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nnae\Desktop\"/>
    </mc:Choice>
  </mc:AlternateContent>
  <xr:revisionPtr revIDLastSave="0" documentId="13_ncr:1_{EE1F69BA-BD5C-4AD7-9353-6F2C3CF2F851}" xr6:coauthVersionLast="43" xr6:coauthVersionMax="43" xr10:uidLastSave="{00000000-0000-0000-0000-000000000000}"/>
  <bookViews>
    <workbookView xWindow="-110" yWindow="-110" windowWidth="19420" windowHeight="10420" xr2:uid="{157B0B42-46DD-443F-BA15-7FE90849FBD8}"/>
  </bookViews>
  <sheets>
    <sheet name="WB Digital Window &amp; POS" sheetId="3" r:id="rId1"/>
    <sheet name="MPA Studio Digital Window" sheetId="1" r:id="rId2"/>
    <sheet name="WB VOD EST KT+SK" sheetId="4" r:id="rId3"/>
    <sheet name="WB Daily Screen Count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89" i="1" l="1"/>
  <c r="I189" i="1"/>
  <c r="J188" i="1"/>
  <c r="I188" i="1"/>
  <c r="J187" i="1"/>
  <c r="I187" i="1"/>
  <c r="J186" i="1"/>
  <c r="I186" i="1"/>
  <c r="J185" i="1"/>
  <c r="I185" i="1"/>
  <c r="J184" i="1"/>
  <c r="I184" i="1"/>
  <c r="J183" i="1"/>
  <c r="J182" i="1"/>
  <c r="J181" i="1"/>
  <c r="I181" i="1"/>
  <c r="J180" i="1"/>
  <c r="J179" i="1"/>
  <c r="I179" i="1"/>
  <c r="J178" i="1"/>
  <c r="I178" i="1"/>
  <c r="J177" i="1"/>
  <c r="I177" i="1"/>
  <c r="J176" i="1"/>
  <c r="I176" i="1"/>
  <c r="J175" i="1"/>
  <c r="I175" i="1"/>
  <c r="J174" i="1"/>
  <c r="I174" i="1"/>
  <c r="J173" i="1"/>
  <c r="I173" i="1"/>
  <c r="J172" i="1"/>
  <c r="J171" i="1"/>
  <c r="I171" i="1"/>
  <c r="J170" i="1"/>
  <c r="I170" i="1"/>
  <c r="J169" i="1"/>
  <c r="I169" i="1"/>
  <c r="J168" i="1"/>
  <c r="I168" i="1"/>
  <c r="J167" i="1"/>
  <c r="I167" i="1"/>
  <c r="J166" i="1"/>
  <c r="J165" i="1"/>
  <c r="I165" i="1"/>
  <c r="J164" i="1"/>
  <c r="I164" i="1"/>
  <c r="J163" i="1"/>
  <c r="I163" i="1"/>
  <c r="J162" i="1"/>
  <c r="I162" i="1"/>
  <c r="J161" i="1"/>
  <c r="J160" i="1"/>
  <c r="I160" i="1"/>
  <c r="J159" i="1"/>
  <c r="I159" i="1"/>
  <c r="J158" i="1"/>
  <c r="I158" i="1"/>
  <c r="J157" i="1"/>
  <c r="I157" i="1"/>
  <c r="J156" i="1"/>
  <c r="I156" i="1"/>
  <c r="J155" i="1"/>
  <c r="I155" i="1"/>
  <c r="J154" i="1"/>
  <c r="I154" i="1"/>
  <c r="J153" i="1"/>
  <c r="I153" i="1"/>
  <c r="J152" i="1"/>
  <c r="I152" i="1"/>
  <c r="J151" i="1"/>
  <c r="I151" i="1"/>
  <c r="J150" i="1"/>
  <c r="I150" i="1"/>
  <c r="J149" i="1"/>
  <c r="I149" i="1"/>
  <c r="J148" i="1"/>
  <c r="I148" i="1"/>
  <c r="J147" i="1"/>
  <c r="I147" i="1"/>
  <c r="J146" i="1"/>
  <c r="I146" i="1"/>
  <c r="J145" i="1"/>
  <c r="I145" i="1"/>
  <c r="FK29" i="5" l="1"/>
  <c r="FK32" i="5"/>
  <c r="W50" i="3"/>
  <c r="J50" i="3"/>
  <c r="I50" i="3"/>
  <c r="W49" i="3"/>
  <c r="W48" i="3"/>
  <c r="W47" i="3"/>
  <c r="W46" i="3"/>
  <c r="W45" i="3"/>
  <c r="W44" i="3"/>
  <c r="W43" i="3"/>
  <c r="W42" i="3"/>
  <c r="W41" i="3"/>
  <c r="W40" i="3"/>
  <c r="W37" i="3"/>
  <c r="W36" i="3"/>
  <c r="W35" i="3"/>
  <c r="W34" i="3"/>
  <c r="W33" i="3"/>
  <c r="W32" i="3"/>
  <c r="W31" i="3"/>
  <c r="W30" i="3"/>
  <c r="W29" i="3"/>
  <c r="W28" i="3"/>
  <c r="W27" i="3"/>
  <c r="W26" i="3"/>
  <c r="W25" i="3"/>
  <c r="W24" i="3"/>
  <c r="W23" i="3"/>
  <c r="W22" i="3"/>
  <c r="W21" i="3"/>
  <c r="W20" i="3"/>
  <c r="W19" i="3"/>
  <c r="W18" i="3"/>
  <c r="W17" i="3"/>
  <c r="W16" i="3"/>
  <c r="W39" i="3"/>
  <c r="W38" i="3"/>
  <c r="T156" i="4"/>
  <c r="S156" i="4"/>
  <c r="R156" i="4"/>
  <c r="Q156" i="4"/>
  <c r="P156" i="4"/>
  <c r="O156" i="4"/>
  <c r="N156" i="4"/>
  <c r="M156" i="4"/>
  <c r="L156" i="4"/>
  <c r="U155" i="4"/>
  <c r="U154" i="4"/>
  <c r="K153" i="4"/>
  <c r="J153" i="4"/>
  <c r="U153" i="4" s="1"/>
  <c r="K152" i="4"/>
  <c r="K156" i="4" s="1"/>
  <c r="J152" i="4"/>
  <c r="J156" i="4" s="1"/>
  <c r="U156" i="4" s="1"/>
  <c r="E152" i="4"/>
  <c r="T151" i="4"/>
  <c r="S151" i="4"/>
  <c r="R151" i="4"/>
  <c r="Q151" i="4"/>
  <c r="P151" i="4"/>
  <c r="O151" i="4"/>
  <c r="N151" i="4"/>
  <c r="M151" i="4"/>
  <c r="U150" i="4"/>
  <c r="U149" i="4"/>
  <c r="U148" i="4"/>
  <c r="L148" i="4"/>
  <c r="K148" i="4"/>
  <c r="J148" i="4"/>
  <c r="L147" i="4"/>
  <c r="L151" i="4" s="1"/>
  <c r="K147" i="4"/>
  <c r="K151" i="4" s="1"/>
  <c r="J147" i="4"/>
  <c r="J151" i="4" s="1"/>
  <c r="U151" i="4" s="1"/>
  <c r="E147" i="4"/>
  <c r="T146" i="4"/>
  <c r="S146" i="4"/>
  <c r="R146" i="4"/>
  <c r="Q146" i="4"/>
  <c r="U145" i="4"/>
  <c r="P145" i="4"/>
  <c r="P144" i="4"/>
  <c r="P146" i="4" s="1"/>
  <c r="O144" i="4"/>
  <c r="O146" i="4" s="1"/>
  <c r="N144" i="4"/>
  <c r="N146" i="4" s="1"/>
  <c r="M144" i="4"/>
  <c r="M146" i="4" s="1"/>
  <c r="L144" i="4"/>
  <c r="U144" i="4" s="1"/>
  <c r="L143" i="4"/>
  <c r="K143" i="4"/>
  <c r="J143" i="4"/>
  <c r="U143" i="4" s="1"/>
  <c r="L142" i="4"/>
  <c r="L146" i="4" s="1"/>
  <c r="K142" i="4"/>
  <c r="K146" i="4" s="1"/>
  <c r="J142" i="4"/>
  <c r="J146" i="4" s="1"/>
  <c r="E142" i="4"/>
  <c r="O141" i="4"/>
  <c r="N141" i="4"/>
  <c r="M141" i="4"/>
  <c r="L141" i="4"/>
  <c r="K141" i="4"/>
  <c r="T140" i="4"/>
  <c r="S140" i="4"/>
  <c r="R140" i="4"/>
  <c r="Q140" i="4"/>
  <c r="P140" i="4"/>
  <c r="P141" i="4" s="1"/>
  <c r="T139" i="4"/>
  <c r="T141" i="4" s="1"/>
  <c r="S139" i="4"/>
  <c r="S141" i="4" s="1"/>
  <c r="R139" i="4"/>
  <c r="R141" i="4" s="1"/>
  <c r="Q139" i="4"/>
  <c r="Q141" i="4" s="1"/>
  <c r="P139" i="4"/>
  <c r="O139" i="4"/>
  <c r="N139" i="4"/>
  <c r="M139" i="4"/>
  <c r="L139" i="4"/>
  <c r="L138" i="4"/>
  <c r="K138" i="4"/>
  <c r="J138" i="4"/>
  <c r="U138" i="4" s="1"/>
  <c r="E138" i="4"/>
  <c r="S137" i="4"/>
  <c r="R137" i="4"/>
  <c r="Q137" i="4"/>
  <c r="P137" i="4"/>
  <c r="O137" i="4"/>
  <c r="N137" i="4"/>
  <c r="M137" i="4"/>
  <c r="L137" i="4"/>
  <c r="K137" i="4"/>
  <c r="J137" i="4"/>
  <c r="T136" i="4"/>
  <c r="T137" i="4" s="1"/>
  <c r="S136" i="4"/>
  <c r="R136" i="4"/>
  <c r="Q136" i="4"/>
  <c r="T135" i="4"/>
  <c r="S135" i="4"/>
  <c r="R135" i="4"/>
  <c r="Q135" i="4"/>
  <c r="P135" i="4"/>
  <c r="O135" i="4"/>
  <c r="N135" i="4"/>
  <c r="M135" i="4"/>
  <c r="U135" i="4" s="1"/>
  <c r="M134" i="4"/>
  <c r="L134" i="4"/>
  <c r="K134" i="4"/>
  <c r="J134" i="4"/>
  <c r="U134" i="4" s="1"/>
  <c r="E134" i="4"/>
  <c r="T133" i="4"/>
  <c r="S133" i="4"/>
  <c r="R133" i="4"/>
  <c r="Q133" i="4"/>
  <c r="P133" i="4"/>
  <c r="K133" i="4"/>
  <c r="J133" i="4"/>
  <c r="T132" i="4"/>
  <c r="S132" i="4"/>
  <c r="R132" i="4"/>
  <c r="Q132" i="4"/>
  <c r="P132" i="4"/>
  <c r="U132" i="4" s="1"/>
  <c r="T131" i="4"/>
  <c r="S131" i="4"/>
  <c r="R131" i="4"/>
  <c r="Q131" i="4"/>
  <c r="P131" i="4"/>
  <c r="O131" i="4"/>
  <c r="O133" i="4" s="1"/>
  <c r="N131" i="4"/>
  <c r="N133" i="4" s="1"/>
  <c r="M131" i="4"/>
  <c r="M133" i="4" s="1"/>
  <c r="L131" i="4"/>
  <c r="U131" i="4" s="1"/>
  <c r="U130" i="4"/>
  <c r="U129" i="4"/>
  <c r="L129" i="4"/>
  <c r="L133" i="4" s="1"/>
  <c r="K129" i="4"/>
  <c r="J129" i="4"/>
  <c r="E129" i="4"/>
  <c r="O128" i="4"/>
  <c r="N128" i="4"/>
  <c r="T127" i="4"/>
  <c r="S127" i="4"/>
  <c r="S128" i="4" s="1"/>
  <c r="R127" i="4"/>
  <c r="R128" i="4" s="1"/>
  <c r="Q127" i="4"/>
  <c r="Q128" i="4" s="1"/>
  <c r="P127" i="4"/>
  <c r="P128" i="4" s="1"/>
  <c r="T126" i="4"/>
  <c r="T128" i="4" s="1"/>
  <c r="S126" i="4"/>
  <c r="R126" i="4"/>
  <c r="Q126" i="4"/>
  <c r="P126" i="4"/>
  <c r="O126" i="4"/>
  <c r="N126" i="4"/>
  <c r="M126" i="4"/>
  <c r="M128" i="4" s="1"/>
  <c r="L126" i="4"/>
  <c r="L125" i="4"/>
  <c r="K125" i="4"/>
  <c r="U125" i="4" s="1"/>
  <c r="G125" i="4"/>
  <c r="L124" i="4"/>
  <c r="L128" i="4" s="1"/>
  <c r="K124" i="4"/>
  <c r="K128" i="4" s="1"/>
  <c r="J124" i="4"/>
  <c r="U124" i="4" s="1"/>
  <c r="G124" i="4"/>
  <c r="E124" i="4"/>
  <c r="T123" i="4"/>
  <c r="S123" i="4"/>
  <c r="R123" i="4"/>
  <c r="Q123" i="4"/>
  <c r="P123" i="4"/>
  <c r="T122" i="4"/>
  <c r="S122" i="4"/>
  <c r="R122" i="4"/>
  <c r="Q122" i="4"/>
  <c r="P122" i="4"/>
  <c r="U122" i="4" s="1"/>
  <c r="T121" i="4"/>
  <c r="S121" i="4"/>
  <c r="R121" i="4"/>
  <c r="Q121" i="4"/>
  <c r="P121" i="4"/>
  <c r="O121" i="4"/>
  <c r="O123" i="4" s="1"/>
  <c r="N121" i="4"/>
  <c r="N123" i="4" s="1"/>
  <c r="M121" i="4"/>
  <c r="M123" i="4" s="1"/>
  <c r="L121" i="4"/>
  <c r="U121" i="4" s="1"/>
  <c r="L120" i="4"/>
  <c r="U120" i="4" s="1"/>
  <c r="K120" i="4"/>
  <c r="J120" i="4"/>
  <c r="L119" i="4"/>
  <c r="L123" i="4" s="1"/>
  <c r="K119" i="4"/>
  <c r="K123" i="4" s="1"/>
  <c r="J119" i="4"/>
  <c r="U119" i="4" s="1"/>
  <c r="E119" i="4"/>
  <c r="O118" i="4"/>
  <c r="N118" i="4"/>
  <c r="M118" i="4"/>
  <c r="L118" i="4"/>
  <c r="K118" i="4"/>
  <c r="J118" i="4"/>
  <c r="T117" i="4"/>
  <c r="T118" i="4" s="1"/>
  <c r="S117" i="4"/>
  <c r="S118" i="4" s="1"/>
  <c r="R117" i="4"/>
  <c r="R118" i="4" s="1"/>
  <c r="Q117" i="4"/>
  <c r="Q118" i="4" s="1"/>
  <c r="P117" i="4"/>
  <c r="O117" i="4"/>
  <c r="N117" i="4"/>
  <c r="T116" i="4"/>
  <c r="S116" i="4"/>
  <c r="R116" i="4"/>
  <c r="Q116" i="4"/>
  <c r="P116" i="4"/>
  <c r="P118" i="4" s="1"/>
  <c r="O116" i="4"/>
  <c r="N116" i="4"/>
  <c r="M116" i="4"/>
  <c r="L116" i="4"/>
  <c r="K116" i="4"/>
  <c r="J116" i="4"/>
  <c r="U116" i="4" s="1"/>
  <c r="E116" i="4"/>
  <c r="T115" i="4"/>
  <c r="S115" i="4"/>
  <c r="R115" i="4"/>
  <c r="Q115" i="4"/>
  <c r="P115" i="4"/>
  <c r="O115" i="4"/>
  <c r="N115" i="4"/>
  <c r="T114" i="4"/>
  <c r="S114" i="4"/>
  <c r="R114" i="4"/>
  <c r="Q114" i="4"/>
  <c r="P114" i="4"/>
  <c r="O114" i="4"/>
  <c r="N114" i="4"/>
  <c r="M114" i="4"/>
  <c r="L114" i="4"/>
  <c r="U114" i="4" s="1"/>
  <c r="T113" i="4"/>
  <c r="S113" i="4"/>
  <c r="R113" i="4"/>
  <c r="Q113" i="4"/>
  <c r="P113" i="4"/>
  <c r="O113" i="4"/>
  <c r="N113" i="4"/>
  <c r="M113" i="4"/>
  <c r="M115" i="4" s="1"/>
  <c r="L113" i="4"/>
  <c r="U113" i="4" s="1"/>
  <c r="L112" i="4"/>
  <c r="K112" i="4"/>
  <c r="J112" i="4"/>
  <c r="U112" i="4" s="1"/>
  <c r="L111" i="4"/>
  <c r="L115" i="4" s="1"/>
  <c r="K111" i="4"/>
  <c r="K115" i="4" s="1"/>
  <c r="J111" i="4"/>
  <c r="J115" i="4" s="1"/>
  <c r="U115" i="4" s="1"/>
  <c r="E111" i="4"/>
  <c r="O110" i="4"/>
  <c r="N110" i="4"/>
  <c r="J110" i="4"/>
  <c r="T109" i="4"/>
  <c r="T110" i="4" s="1"/>
  <c r="S109" i="4"/>
  <c r="S110" i="4" s="1"/>
  <c r="R109" i="4"/>
  <c r="Q109" i="4"/>
  <c r="P109" i="4"/>
  <c r="O109" i="4"/>
  <c r="N109" i="4"/>
  <c r="M109" i="4"/>
  <c r="T108" i="4"/>
  <c r="S108" i="4"/>
  <c r="R108" i="4"/>
  <c r="R110" i="4" s="1"/>
  <c r="Q108" i="4"/>
  <c r="Q110" i="4" s="1"/>
  <c r="P108" i="4"/>
  <c r="P110" i="4" s="1"/>
  <c r="O108" i="4"/>
  <c r="N108" i="4"/>
  <c r="M108" i="4"/>
  <c r="U108" i="4" s="1"/>
  <c r="M107" i="4"/>
  <c r="L107" i="4"/>
  <c r="K107" i="4"/>
  <c r="J107" i="4"/>
  <c r="U107" i="4" s="1"/>
  <c r="M106" i="4"/>
  <c r="M110" i="4" s="1"/>
  <c r="L106" i="4"/>
  <c r="L110" i="4" s="1"/>
  <c r="K106" i="4"/>
  <c r="K110" i="4" s="1"/>
  <c r="J106" i="4"/>
  <c r="E106" i="4"/>
  <c r="O105" i="4"/>
  <c r="N105" i="4"/>
  <c r="M105" i="4"/>
  <c r="L105" i="4"/>
  <c r="J105" i="4"/>
  <c r="T104" i="4"/>
  <c r="S104" i="4"/>
  <c r="R104" i="4"/>
  <c r="Q104" i="4"/>
  <c r="Q105" i="4" s="1"/>
  <c r="P104" i="4"/>
  <c r="P105" i="4" s="1"/>
  <c r="T103" i="4"/>
  <c r="T105" i="4" s="1"/>
  <c r="S103" i="4"/>
  <c r="S105" i="4" s="1"/>
  <c r="R103" i="4"/>
  <c r="R105" i="4" s="1"/>
  <c r="Q103" i="4"/>
  <c r="P103" i="4"/>
  <c r="O103" i="4"/>
  <c r="N103" i="4"/>
  <c r="M103" i="4"/>
  <c r="L103" i="4"/>
  <c r="L102" i="4"/>
  <c r="K102" i="4"/>
  <c r="U102" i="4" s="1"/>
  <c r="J102" i="4"/>
  <c r="E102" i="4"/>
  <c r="Q101" i="4"/>
  <c r="P101" i="4"/>
  <c r="O101" i="4"/>
  <c r="N101" i="4"/>
  <c r="L101" i="4"/>
  <c r="K101" i="4"/>
  <c r="J101" i="4"/>
  <c r="U100" i="4"/>
  <c r="T100" i="4"/>
  <c r="S100" i="4"/>
  <c r="R100" i="4"/>
  <c r="Q100" i="4"/>
  <c r="P100" i="4"/>
  <c r="O100" i="4"/>
  <c r="N100" i="4"/>
  <c r="M100" i="4"/>
  <c r="T99" i="4"/>
  <c r="T101" i="4" s="1"/>
  <c r="S99" i="4"/>
  <c r="S101" i="4" s="1"/>
  <c r="R99" i="4"/>
  <c r="R101" i="4" s="1"/>
  <c r="Q99" i="4"/>
  <c r="P99" i="4"/>
  <c r="O99" i="4"/>
  <c r="N99" i="4"/>
  <c r="M99" i="4"/>
  <c r="U99" i="4" s="1"/>
  <c r="M98" i="4"/>
  <c r="L98" i="4"/>
  <c r="K98" i="4"/>
  <c r="J98" i="4"/>
  <c r="U98" i="4" s="1"/>
  <c r="M97" i="4"/>
  <c r="M101" i="4" s="1"/>
  <c r="L97" i="4"/>
  <c r="K97" i="4"/>
  <c r="J97" i="4"/>
  <c r="E97" i="4"/>
  <c r="O96" i="4"/>
  <c r="N96" i="4"/>
  <c r="L96" i="4"/>
  <c r="K96" i="4"/>
  <c r="J96" i="4"/>
  <c r="T95" i="4"/>
  <c r="S95" i="4"/>
  <c r="S96" i="4" s="1"/>
  <c r="R95" i="4"/>
  <c r="R96" i="4" s="1"/>
  <c r="Q95" i="4"/>
  <c r="Q96" i="4" s="1"/>
  <c r="P95" i="4"/>
  <c r="P96" i="4" s="1"/>
  <c r="T94" i="4"/>
  <c r="T96" i="4" s="1"/>
  <c r="S94" i="4"/>
  <c r="R94" i="4"/>
  <c r="Q94" i="4"/>
  <c r="P94" i="4"/>
  <c r="O94" i="4"/>
  <c r="N94" i="4"/>
  <c r="M94" i="4"/>
  <c r="M96" i="4" s="1"/>
  <c r="L94" i="4"/>
  <c r="L93" i="4"/>
  <c r="K93" i="4"/>
  <c r="J93" i="4"/>
  <c r="U93" i="4" s="1"/>
  <c r="E93" i="4"/>
  <c r="T92" i="4"/>
  <c r="S92" i="4"/>
  <c r="R92" i="4"/>
  <c r="Q92" i="4"/>
  <c r="P92" i="4"/>
  <c r="O92" i="4"/>
  <c r="N92" i="4"/>
  <c r="M92" i="4"/>
  <c r="L92" i="4"/>
  <c r="K92" i="4"/>
  <c r="T91" i="4"/>
  <c r="S91" i="4"/>
  <c r="R91" i="4"/>
  <c r="Q91" i="4"/>
  <c r="P91" i="4"/>
  <c r="U91" i="4" s="1"/>
  <c r="T90" i="4"/>
  <c r="S90" i="4"/>
  <c r="R90" i="4"/>
  <c r="Q90" i="4"/>
  <c r="P90" i="4"/>
  <c r="O90" i="4"/>
  <c r="N90" i="4"/>
  <c r="M90" i="4"/>
  <c r="L90" i="4"/>
  <c r="U90" i="4" s="1"/>
  <c r="L89" i="4"/>
  <c r="K89" i="4"/>
  <c r="J89" i="4"/>
  <c r="J92" i="4" s="1"/>
  <c r="U92" i="4" s="1"/>
  <c r="E89" i="4"/>
  <c r="T88" i="4"/>
  <c r="M88" i="4"/>
  <c r="L88" i="4"/>
  <c r="K88" i="4"/>
  <c r="J88" i="4"/>
  <c r="T87" i="4"/>
  <c r="S87" i="4"/>
  <c r="R87" i="4"/>
  <c r="Q87" i="4"/>
  <c r="P87" i="4"/>
  <c r="U87" i="4" s="1"/>
  <c r="T86" i="4"/>
  <c r="S86" i="4"/>
  <c r="S88" i="4" s="1"/>
  <c r="R86" i="4"/>
  <c r="R88" i="4" s="1"/>
  <c r="Q86" i="4"/>
  <c r="Q88" i="4" s="1"/>
  <c r="P86" i="4"/>
  <c r="P88" i="4" s="1"/>
  <c r="O86" i="4"/>
  <c r="O88" i="4" s="1"/>
  <c r="N86" i="4"/>
  <c r="N88" i="4" s="1"/>
  <c r="M86" i="4"/>
  <c r="U85" i="4"/>
  <c r="E85" i="4"/>
  <c r="N84" i="4"/>
  <c r="M84" i="4"/>
  <c r="L84" i="4"/>
  <c r="K84" i="4"/>
  <c r="J84" i="4"/>
  <c r="T83" i="4"/>
  <c r="S83" i="4"/>
  <c r="R83" i="4"/>
  <c r="R84" i="4" s="1"/>
  <c r="Q83" i="4"/>
  <c r="Q84" i="4" s="1"/>
  <c r="P83" i="4"/>
  <c r="P84" i="4" s="1"/>
  <c r="O83" i="4"/>
  <c r="O84" i="4" s="1"/>
  <c r="T82" i="4"/>
  <c r="T84" i="4" s="1"/>
  <c r="S82" i="4"/>
  <c r="S84" i="4" s="1"/>
  <c r="R82" i="4"/>
  <c r="Q82" i="4"/>
  <c r="P82" i="4"/>
  <c r="O82" i="4"/>
  <c r="E82" i="4"/>
  <c r="S81" i="4"/>
  <c r="R81" i="4"/>
  <c r="Q81" i="4"/>
  <c r="P81" i="4"/>
  <c r="O81" i="4"/>
  <c r="N81" i="4"/>
  <c r="M81" i="4"/>
  <c r="L81" i="4"/>
  <c r="K81" i="4"/>
  <c r="J81" i="4"/>
  <c r="T80" i="4"/>
  <c r="U80" i="4" s="1"/>
  <c r="T79" i="4"/>
  <c r="T81" i="4" s="1"/>
  <c r="U78" i="4"/>
  <c r="E78" i="4"/>
  <c r="T77" i="4"/>
  <c r="S77" i="4"/>
  <c r="R77" i="4"/>
  <c r="Q77" i="4"/>
  <c r="P77" i="4"/>
  <c r="O77" i="4"/>
  <c r="N77" i="4"/>
  <c r="M77" i="4"/>
  <c r="L77" i="4"/>
  <c r="K77" i="4"/>
  <c r="J77" i="4"/>
  <c r="U77" i="4" s="1"/>
  <c r="U76" i="4"/>
  <c r="I76" i="4"/>
  <c r="U75" i="4"/>
  <c r="E75" i="4"/>
  <c r="T74" i="4"/>
  <c r="S74" i="4"/>
  <c r="R74" i="4"/>
  <c r="Q74" i="4"/>
  <c r="P74" i="4"/>
  <c r="O74" i="4"/>
  <c r="N74" i="4"/>
  <c r="U74" i="4" s="1"/>
  <c r="M74" i="4"/>
  <c r="L74" i="4"/>
  <c r="K74" i="4"/>
  <c r="J74" i="4"/>
  <c r="U73" i="4"/>
  <c r="I73" i="4"/>
  <c r="U72" i="4"/>
  <c r="U71" i="4"/>
  <c r="U70" i="4"/>
  <c r="E70" i="4"/>
  <c r="T69" i="4"/>
  <c r="S69" i="4"/>
  <c r="R69" i="4"/>
  <c r="Q69" i="4"/>
  <c r="P69" i="4"/>
  <c r="O69" i="4"/>
  <c r="N69" i="4"/>
  <c r="M69" i="4"/>
  <c r="L69" i="4"/>
  <c r="K69" i="4"/>
  <c r="J69" i="4"/>
  <c r="U69" i="4" s="1"/>
  <c r="U68" i="4"/>
  <c r="I68" i="4"/>
  <c r="U67" i="4"/>
  <c r="U66" i="4"/>
  <c r="U65" i="4"/>
  <c r="E65" i="4"/>
  <c r="T64" i="4"/>
  <c r="S64" i="4"/>
  <c r="R64" i="4"/>
  <c r="Q64" i="4"/>
  <c r="P64" i="4"/>
  <c r="O64" i="4"/>
  <c r="N64" i="4"/>
  <c r="M64" i="4"/>
  <c r="L64" i="4"/>
  <c r="K64" i="4"/>
  <c r="J64" i="4"/>
  <c r="U64" i="4" s="1"/>
  <c r="U63" i="4"/>
  <c r="U62" i="4"/>
  <c r="U61" i="4"/>
  <c r="E61" i="4"/>
  <c r="T60" i="4"/>
  <c r="S60" i="4"/>
  <c r="R60" i="4"/>
  <c r="U60" i="4" s="1"/>
  <c r="Q60" i="4"/>
  <c r="P60" i="4"/>
  <c r="O60" i="4"/>
  <c r="N60" i="4"/>
  <c r="M60" i="4"/>
  <c r="L60" i="4"/>
  <c r="K60" i="4"/>
  <c r="J60" i="4"/>
  <c r="U59" i="4"/>
  <c r="U58" i="4"/>
  <c r="U57" i="4"/>
  <c r="E57" i="4"/>
  <c r="T56" i="4"/>
  <c r="S56" i="4"/>
  <c r="R56" i="4"/>
  <c r="Q56" i="4"/>
  <c r="P56" i="4"/>
  <c r="O56" i="4"/>
  <c r="N56" i="4"/>
  <c r="M56" i="4"/>
  <c r="L56" i="4"/>
  <c r="K56" i="4"/>
  <c r="J56" i="4"/>
  <c r="U56" i="4" s="1"/>
  <c r="U55" i="4"/>
  <c r="U54" i="4"/>
  <c r="E54" i="4"/>
  <c r="T53" i="4"/>
  <c r="S53" i="4"/>
  <c r="R53" i="4"/>
  <c r="Q53" i="4"/>
  <c r="P53" i="4"/>
  <c r="O53" i="4"/>
  <c r="N53" i="4"/>
  <c r="M53" i="4"/>
  <c r="L53" i="4"/>
  <c r="K53" i="4"/>
  <c r="J53" i="4"/>
  <c r="U53" i="4" s="1"/>
  <c r="U52" i="4"/>
  <c r="U51" i="4"/>
  <c r="U50" i="4"/>
  <c r="E50" i="4"/>
  <c r="T49" i="4"/>
  <c r="S49" i="4"/>
  <c r="R49" i="4"/>
  <c r="P49" i="4"/>
  <c r="U49" i="4" s="1"/>
  <c r="O49" i="4"/>
  <c r="N49" i="4"/>
  <c r="M49" i="4"/>
  <c r="L49" i="4"/>
  <c r="K49" i="4"/>
  <c r="J49" i="4"/>
  <c r="U48" i="4"/>
  <c r="U47" i="4"/>
  <c r="G47" i="4"/>
  <c r="E47" i="4"/>
  <c r="T46" i="4"/>
  <c r="S46" i="4"/>
  <c r="R46" i="4"/>
  <c r="Q46" i="4"/>
  <c r="P46" i="4"/>
  <c r="O46" i="4"/>
  <c r="N46" i="4"/>
  <c r="M46" i="4"/>
  <c r="L46" i="4"/>
  <c r="K46" i="4"/>
  <c r="J46" i="4"/>
  <c r="U46" i="4" s="1"/>
  <c r="U45" i="4"/>
  <c r="I45" i="4"/>
  <c r="U44" i="4"/>
  <c r="I44" i="4"/>
  <c r="U43" i="4"/>
  <c r="U42" i="4"/>
  <c r="G42" i="4"/>
  <c r="E42" i="4"/>
  <c r="T41" i="4"/>
  <c r="S41" i="4"/>
  <c r="R41" i="4"/>
  <c r="Q41" i="4"/>
  <c r="P41" i="4"/>
  <c r="O41" i="4"/>
  <c r="N41" i="4"/>
  <c r="M41" i="4"/>
  <c r="L41" i="4"/>
  <c r="K41" i="4"/>
  <c r="J41" i="4"/>
  <c r="U41" i="4" s="1"/>
  <c r="U40" i="4"/>
  <c r="I40" i="4"/>
  <c r="U39" i="4"/>
  <c r="I39" i="4"/>
  <c r="G39" i="4"/>
  <c r="G40" i="4" s="1"/>
  <c r="E39" i="4"/>
  <c r="T38" i="4"/>
  <c r="S38" i="4"/>
  <c r="R38" i="4"/>
  <c r="Q38" i="4"/>
  <c r="P38" i="4"/>
  <c r="O38" i="4"/>
  <c r="N38" i="4"/>
  <c r="M38" i="4"/>
  <c r="L38" i="4"/>
  <c r="K38" i="4"/>
  <c r="U38" i="4" s="1"/>
  <c r="J38" i="4"/>
  <c r="U37" i="4"/>
  <c r="I37" i="4"/>
  <c r="U36" i="4"/>
  <c r="I36" i="4"/>
  <c r="E36" i="4"/>
  <c r="T35" i="4"/>
  <c r="S35" i="4"/>
  <c r="R35" i="4"/>
  <c r="Q35" i="4"/>
  <c r="P35" i="4"/>
  <c r="U35" i="4" s="1"/>
  <c r="O35" i="4"/>
  <c r="N35" i="4"/>
  <c r="M35" i="4"/>
  <c r="L35" i="4"/>
  <c r="J35" i="4"/>
  <c r="U34" i="4"/>
  <c r="I34" i="4"/>
  <c r="U33" i="4"/>
  <c r="I33" i="4"/>
  <c r="G33" i="4"/>
  <c r="E33" i="4"/>
  <c r="T32" i="4"/>
  <c r="S32" i="4"/>
  <c r="R32" i="4"/>
  <c r="Q32" i="4"/>
  <c r="P32" i="4"/>
  <c r="O32" i="4"/>
  <c r="N32" i="4"/>
  <c r="M32" i="4"/>
  <c r="L32" i="4"/>
  <c r="K32" i="4"/>
  <c r="J32" i="4"/>
  <c r="U32" i="4" s="1"/>
  <c r="U31" i="4"/>
  <c r="I31" i="4"/>
  <c r="U30" i="4"/>
  <c r="I30" i="4"/>
  <c r="G30" i="4"/>
  <c r="E30" i="4"/>
  <c r="T29" i="4"/>
  <c r="S29" i="4"/>
  <c r="R29" i="4"/>
  <c r="Q29" i="4"/>
  <c r="P29" i="4"/>
  <c r="O29" i="4"/>
  <c r="N29" i="4"/>
  <c r="M29" i="4"/>
  <c r="L29" i="4"/>
  <c r="K29" i="4"/>
  <c r="J29" i="4"/>
  <c r="U29" i="4" s="1"/>
  <c r="U28" i="4"/>
  <c r="I28" i="4"/>
  <c r="U27" i="4"/>
  <c r="I27" i="4"/>
  <c r="G27" i="4"/>
  <c r="E27" i="4"/>
  <c r="U26" i="4"/>
  <c r="T26" i="4"/>
  <c r="S26" i="4"/>
  <c r="R26" i="4"/>
  <c r="Q26" i="4"/>
  <c r="P26" i="4"/>
  <c r="O26" i="4"/>
  <c r="N26" i="4"/>
  <c r="M26" i="4"/>
  <c r="L26" i="4"/>
  <c r="K26" i="4"/>
  <c r="J26" i="4"/>
  <c r="U25" i="4"/>
  <c r="I25" i="4"/>
  <c r="U24" i="4"/>
  <c r="I24" i="4"/>
  <c r="G24" i="4"/>
  <c r="E24" i="4"/>
  <c r="T23" i="4"/>
  <c r="S23" i="4"/>
  <c r="R23" i="4"/>
  <c r="Q23" i="4"/>
  <c r="P23" i="4"/>
  <c r="O23" i="4"/>
  <c r="U23" i="4" s="1"/>
  <c r="N23" i="4"/>
  <c r="M23" i="4"/>
  <c r="L23" i="4"/>
  <c r="K23" i="4"/>
  <c r="J23" i="4"/>
  <c r="U22" i="4"/>
  <c r="I22" i="4"/>
  <c r="U21" i="4"/>
  <c r="I21" i="4"/>
  <c r="U20" i="4"/>
  <c r="I20" i="4"/>
  <c r="E20" i="4"/>
  <c r="Q19" i="4"/>
  <c r="P19" i="4"/>
  <c r="O19" i="4"/>
  <c r="N19" i="4"/>
  <c r="M19" i="4"/>
  <c r="L19" i="4"/>
  <c r="K19" i="4"/>
  <c r="J19" i="4"/>
  <c r="U19" i="4" s="1"/>
  <c r="U18" i="4"/>
  <c r="I18" i="4"/>
  <c r="U17" i="4"/>
  <c r="I17" i="4"/>
  <c r="E17" i="4"/>
  <c r="T16" i="4"/>
  <c r="S16" i="4"/>
  <c r="R16" i="4"/>
  <c r="Q16" i="4"/>
  <c r="P16" i="4"/>
  <c r="O16" i="4"/>
  <c r="N16" i="4"/>
  <c r="M16" i="4"/>
  <c r="L16" i="4"/>
  <c r="J16" i="4"/>
  <c r="U15" i="4"/>
  <c r="U14" i="4"/>
  <c r="K13" i="4"/>
  <c r="U13" i="4" s="1"/>
  <c r="I13" i="4"/>
  <c r="G13" i="4"/>
  <c r="K12" i="4"/>
  <c r="U12" i="4" s="1"/>
  <c r="I12" i="4"/>
  <c r="G12" i="4"/>
  <c r="E12" i="4"/>
  <c r="T11" i="4"/>
  <c r="S11" i="4"/>
  <c r="R11" i="4"/>
  <c r="Q11" i="4"/>
  <c r="P11" i="4"/>
  <c r="O11" i="4"/>
  <c r="N11" i="4"/>
  <c r="M11" i="4"/>
  <c r="L11" i="4"/>
  <c r="K11" i="4"/>
  <c r="U11" i="4" s="1"/>
  <c r="J11" i="4"/>
  <c r="U10" i="4"/>
  <c r="U9" i="4"/>
  <c r="E9" i="4"/>
  <c r="T8" i="4"/>
  <c r="S8" i="4"/>
  <c r="R8" i="4"/>
  <c r="Q8" i="4"/>
  <c r="P8" i="4"/>
  <c r="O8" i="4"/>
  <c r="N8" i="4"/>
  <c r="U8" i="4" s="1"/>
  <c r="M8" i="4"/>
  <c r="L8" i="4"/>
  <c r="K8" i="4"/>
  <c r="J8" i="4"/>
  <c r="U7" i="4"/>
  <c r="U6" i="4"/>
  <c r="E6" i="4"/>
  <c r="T5" i="4"/>
  <c r="S5" i="4"/>
  <c r="R5" i="4"/>
  <c r="Q5" i="4"/>
  <c r="P5" i="4"/>
  <c r="O5" i="4"/>
  <c r="N5" i="4"/>
  <c r="M5" i="4"/>
  <c r="L5" i="4"/>
  <c r="K5" i="4"/>
  <c r="J5" i="4"/>
  <c r="U5" i="4" s="1"/>
  <c r="U4" i="4"/>
  <c r="U3" i="4"/>
  <c r="E3" i="4"/>
  <c r="Q1" i="4"/>
  <c r="U110" i="4" l="1"/>
  <c r="U96" i="4"/>
  <c r="U118" i="4"/>
  <c r="U84" i="4"/>
  <c r="U81" i="4"/>
  <c r="U137" i="4"/>
  <c r="U101" i="4"/>
  <c r="U133" i="4"/>
  <c r="U105" i="4"/>
  <c r="U88" i="4"/>
  <c r="U146" i="4"/>
  <c r="U16" i="4"/>
  <c r="U82" i="4"/>
  <c r="U94" i="4"/>
  <c r="U97" i="4"/>
  <c r="U126" i="4"/>
  <c r="U109" i="4"/>
  <c r="U79" i="4"/>
  <c r="U106" i="4"/>
  <c r="U117" i="4"/>
  <c r="U152" i="4"/>
  <c r="U95" i="4"/>
  <c r="J128" i="4"/>
  <c r="U128" i="4" s="1"/>
  <c r="U104" i="4"/>
  <c r="U140" i="4"/>
  <c r="K16" i="4"/>
  <c r="K105" i="4"/>
  <c r="J141" i="4"/>
  <c r="U141" i="4" s="1"/>
  <c r="U103" i="4"/>
  <c r="U142" i="4"/>
  <c r="U89" i="4"/>
  <c r="U127" i="4"/>
  <c r="U83" i="4"/>
  <c r="U86" i="4"/>
  <c r="U136" i="4"/>
  <c r="U139" i="4"/>
  <c r="J123" i="4"/>
  <c r="U123" i="4" s="1"/>
  <c r="U147" i="4"/>
  <c r="U111" i="4"/>
  <c r="J49" i="3" l="1"/>
  <c r="I49" i="3"/>
  <c r="J48" i="3"/>
  <c r="I48" i="3"/>
  <c r="J47" i="3"/>
  <c r="I47" i="3"/>
  <c r="J46" i="3"/>
  <c r="I46" i="3"/>
  <c r="J45" i="3"/>
  <c r="I45" i="3"/>
  <c r="J44" i="3"/>
  <c r="J43" i="3"/>
  <c r="J42" i="3"/>
  <c r="I42" i="3"/>
  <c r="J41" i="3"/>
  <c r="J40" i="3"/>
  <c r="I40" i="3"/>
  <c r="J39" i="3"/>
  <c r="I39" i="3"/>
  <c r="J38" i="3"/>
  <c r="I38" i="3"/>
  <c r="J37" i="3"/>
  <c r="I37" i="3"/>
  <c r="J36" i="3"/>
  <c r="I36" i="3"/>
  <c r="J35" i="3"/>
  <c r="I35" i="3"/>
  <c r="J34" i="3"/>
  <c r="I34" i="3"/>
  <c r="J33" i="3"/>
  <c r="J32" i="3"/>
  <c r="I32" i="3"/>
  <c r="J31" i="3"/>
  <c r="I31" i="3"/>
  <c r="J30" i="3"/>
  <c r="I30" i="3"/>
  <c r="J29" i="3"/>
  <c r="I29" i="3"/>
  <c r="J28" i="3"/>
  <c r="I28" i="3"/>
  <c r="J27" i="3"/>
  <c r="J26" i="3"/>
  <c r="I26" i="3"/>
  <c r="J25" i="3"/>
  <c r="I25" i="3"/>
  <c r="J24" i="3"/>
  <c r="I24" i="3"/>
  <c r="J23" i="3"/>
  <c r="I23" i="3"/>
  <c r="J22" i="3"/>
  <c r="J21" i="3"/>
  <c r="I21" i="3"/>
  <c r="J20" i="3"/>
  <c r="I20" i="3"/>
  <c r="J19" i="3"/>
  <c r="I19" i="3"/>
  <c r="J18" i="3"/>
  <c r="I18" i="3"/>
  <c r="J17" i="3"/>
  <c r="I17" i="3"/>
  <c r="J16" i="3"/>
  <c r="I16" i="3"/>
  <c r="J15" i="3"/>
  <c r="I15" i="3"/>
  <c r="J14" i="3"/>
  <c r="I14" i="3"/>
  <c r="J13" i="3"/>
  <c r="I13" i="3"/>
  <c r="J12" i="3"/>
  <c r="I12" i="3"/>
  <c r="J11" i="3"/>
  <c r="I11" i="3"/>
  <c r="J10" i="3"/>
  <c r="I10" i="3"/>
  <c r="J9" i="3"/>
  <c r="I9" i="3"/>
  <c r="J8" i="3"/>
  <c r="I8" i="3"/>
  <c r="J7" i="3"/>
  <c r="I7" i="3"/>
  <c r="J6" i="3"/>
  <c r="I6" i="3"/>
  <c r="J144" i="1"/>
  <c r="I144" i="1"/>
  <c r="J143" i="1"/>
  <c r="I143" i="1"/>
  <c r="J142" i="1"/>
  <c r="I142" i="1"/>
  <c r="J141" i="1"/>
  <c r="I141" i="1"/>
  <c r="J140" i="1"/>
  <c r="I140" i="1"/>
  <c r="J139" i="1"/>
  <c r="I139" i="1"/>
  <c r="J138" i="1"/>
  <c r="I138" i="1"/>
  <c r="J137" i="1"/>
  <c r="I137" i="1"/>
  <c r="J136" i="1"/>
  <c r="I136" i="1"/>
  <c r="J135" i="1"/>
  <c r="I135" i="1"/>
  <c r="J134" i="1"/>
  <c r="I134" i="1"/>
  <c r="J133" i="1"/>
  <c r="I133" i="1"/>
  <c r="J132" i="1"/>
  <c r="I132" i="1"/>
  <c r="J131" i="1"/>
  <c r="I131" i="1"/>
  <c r="J130" i="1"/>
  <c r="I130" i="1"/>
  <c r="J129" i="1"/>
  <c r="I129" i="1"/>
  <c r="J128" i="1"/>
  <c r="I128" i="1"/>
  <c r="J127" i="1"/>
  <c r="I127" i="1"/>
  <c r="J126" i="1"/>
  <c r="I126" i="1"/>
  <c r="J125" i="1"/>
  <c r="I125" i="1"/>
  <c r="J124" i="1"/>
  <c r="I124" i="1"/>
  <c r="J123" i="1"/>
  <c r="I123" i="1"/>
  <c r="J122" i="1"/>
  <c r="I122" i="1"/>
  <c r="J121" i="1"/>
  <c r="I121" i="1"/>
  <c r="J120" i="1"/>
  <c r="I120" i="1"/>
  <c r="J119" i="1"/>
  <c r="I119" i="1"/>
  <c r="J118" i="1"/>
  <c r="I118" i="1"/>
  <c r="J117" i="1"/>
  <c r="I117" i="1"/>
  <c r="J116" i="1"/>
  <c r="I116" i="1"/>
  <c r="J115" i="1"/>
  <c r="I115" i="1"/>
  <c r="J114" i="1"/>
  <c r="I114" i="1"/>
  <c r="J113" i="1"/>
  <c r="I113" i="1"/>
  <c r="J112" i="1"/>
  <c r="I112" i="1"/>
  <c r="J111" i="1"/>
  <c r="I111" i="1"/>
  <c r="J110" i="1"/>
  <c r="I110" i="1"/>
  <c r="J109" i="1"/>
  <c r="I109" i="1"/>
  <c r="J108" i="1"/>
  <c r="I108" i="1"/>
  <c r="J107" i="1"/>
  <c r="I107" i="1"/>
  <c r="J106" i="1"/>
  <c r="I106" i="1"/>
  <c r="J105" i="1"/>
  <c r="I105" i="1"/>
  <c r="J104" i="1"/>
  <c r="I104" i="1"/>
  <c r="J103" i="1"/>
  <c r="I103" i="1"/>
  <c r="J102" i="1"/>
  <c r="I102" i="1"/>
  <c r="J101" i="1"/>
  <c r="I101" i="1"/>
  <c r="J100" i="1"/>
  <c r="I100" i="1"/>
  <c r="J99" i="1"/>
  <c r="I99" i="1"/>
  <c r="J98" i="1"/>
  <c r="I98" i="1"/>
  <c r="J97" i="1"/>
  <c r="I97" i="1"/>
  <c r="J96" i="1"/>
  <c r="I96" i="1"/>
  <c r="J95" i="1"/>
  <c r="I95" i="1"/>
  <c r="J94" i="1"/>
  <c r="I94" i="1"/>
  <c r="J93" i="1"/>
  <c r="I93" i="1"/>
  <c r="J92" i="1"/>
  <c r="I92" i="1"/>
  <c r="J91" i="1"/>
  <c r="I91" i="1"/>
  <c r="J90" i="1"/>
  <c r="I90" i="1"/>
  <c r="J89" i="1"/>
  <c r="I89" i="1"/>
  <c r="J88" i="1"/>
  <c r="J87" i="1"/>
  <c r="I87" i="1"/>
  <c r="J86" i="1"/>
  <c r="I86" i="1"/>
  <c r="J85" i="1"/>
  <c r="I85" i="1"/>
  <c r="J84" i="1"/>
  <c r="I84" i="1"/>
  <c r="J83" i="1"/>
  <c r="I83" i="1"/>
  <c r="J82" i="1"/>
  <c r="I82" i="1"/>
  <c r="J81" i="1"/>
  <c r="I81" i="1"/>
  <c r="J80" i="1"/>
  <c r="I80" i="1"/>
  <c r="J79" i="1"/>
  <c r="I79" i="1"/>
  <c r="J78" i="1"/>
  <c r="J77" i="1"/>
  <c r="I77" i="1"/>
  <c r="J76" i="1"/>
  <c r="I76" i="1"/>
  <c r="J75" i="1"/>
  <c r="I75" i="1"/>
  <c r="J74" i="1"/>
  <c r="I74" i="1"/>
  <c r="H73" i="1"/>
  <c r="I73" i="1" s="1"/>
  <c r="H72" i="1"/>
  <c r="I72" i="1" s="1"/>
  <c r="J71" i="1"/>
  <c r="I71" i="1"/>
  <c r="H70" i="1"/>
  <c r="J70" i="1" s="1"/>
  <c r="J69" i="1"/>
  <c r="I69" i="1"/>
  <c r="J68" i="1"/>
  <c r="I68" i="1"/>
  <c r="J67" i="1"/>
  <c r="I67" i="1"/>
  <c r="J66" i="1"/>
  <c r="I66" i="1"/>
  <c r="J65" i="1"/>
  <c r="I65" i="1"/>
  <c r="J64" i="1"/>
  <c r="I64" i="1"/>
  <c r="J63" i="1"/>
  <c r="I63" i="1"/>
  <c r="J62" i="1"/>
  <c r="I62" i="1"/>
  <c r="J61" i="1"/>
  <c r="I61" i="1"/>
  <c r="J60" i="1"/>
  <c r="I60" i="1"/>
  <c r="J59" i="1"/>
  <c r="I59" i="1"/>
  <c r="J58" i="1"/>
  <c r="I58" i="1"/>
  <c r="J57" i="1"/>
  <c r="I57" i="1"/>
  <c r="J56" i="1"/>
  <c r="I56" i="1"/>
  <c r="J55" i="1"/>
  <c r="I55" i="1"/>
  <c r="J54" i="1"/>
  <c r="I54" i="1"/>
  <c r="J53" i="1"/>
  <c r="I53" i="1"/>
  <c r="J52" i="1"/>
  <c r="I52" i="1"/>
  <c r="J51" i="1"/>
  <c r="I51" i="1"/>
  <c r="J50" i="1"/>
  <c r="I50" i="1"/>
  <c r="J49" i="1"/>
  <c r="I49" i="1"/>
  <c r="H48" i="1"/>
  <c r="J48" i="1" s="1"/>
  <c r="H47" i="1"/>
  <c r="J47" i="1" s="1"/>
  <c r="H46" i="1"/>
  <c r="J46" i="1" s="1"/>
  <c r="J45" i="1"/>
  <c r="I45" i="1"/>
  <c r="J44" i="1"/>
  <c r="I44" i="1"/>
  <c r="J43" i="1"/>
  <c r="I43" i="1"/>
  <c r="J42" i="1"/>
  <c r="I42" i="1"/>
  <c r="J41" i="1"/>
  <c r="I41" i="1"/>
  <c r="J40" i="1"/>
  <c r="I40" i="1"/>
  <c r="J39" i="1"/>
  <c r="I39" i="1"/>
  <c r="J38" i="1"/>
  <c r="I38" i="1"/>
  <c r="J37" i="1"/>
  <c r="I37" i="1"/>
  <c r="J36" i="1"/>
  <c r="I36" i="1"/>
  <c r="J35" i="1"/>
  <c r="I35" i="1"/>
  <c r="J34" i="1"/>
  <c r="I34" i="1"/>
  <c r="J33" i="1"/>
  <c r="I33" i="1"/>
  <c r="J32" i="1"/>
  <c r="I32" i="1"/>
  <c r="J31" i="1"/>
  <c r="I31" i="1"/>
  <c r="J30" i="1"/>
  <c r="I30" i="1"/>
  <c r="J29" i="1"/>
  <c r="I29" i="1"/>
  <c r="J28" i="1"/>
  <c r="I28" i="1"/>
  <c r="J27" i="1"/>
  <c r="I27" i="1"/>
  <c r="J26" i="1"/>
  <c r="I26" i="1"/>
  <c r="J25" i="1"/>
  <c r="I25" i="1"/>
  <c r="J24" i="1"/>
  <c r="I24" i="1"/>
  <c r="J23" i="1"/>
  <c r="I23" i="1"/>
  <c r="J22" i="1"/>
  <c r="I22" i="1"/>
  <c r="J21" i="1"/>
  <c r="I21" i="1"/>
  <c r="J20" i="1"/>
  <c r="I20" i="1"/>
  <c r="J19" i="1"/>
  <c r="I19" i="1"/>
  <c r="J18" i="1"/>
  <c r="I18" i="1"/>
  <c r="J17" i="1"/>
  <c r="I17" i="1"/>
  <c r="J16" i="1"/>
  <c r="I16" i="1"/>
  <c r="J15" i="1"/>
  <c r="I15" i="1"/>
  <c r="J14" i="1"/>
  <c r="I14" i="1"/>
  <c r="J13" i="1"/>
  <c r="I13" i="1"/>
  <c r="H12" i="1"/>
  <c r="I12" i="1" s="1"/>
  <c r="H11" i="1"/>
  <c r="I11" i="1" s="1"/>
  <c r="H10" i="1"/>
  <c r="J10" i="1" s="1"/>
  <c r="H9" i="1"/>
  <c r="I9" i="1" s="1"/>
  <c r="H8" i="1"/>
  <c r="I8" i="1" s="1"/>
  <c r="H7" i="1"/>
  <c r="J7" i="1" s="1"/>
  <c r="H6" i="1"/>
  <c r="J6" i="1" s="1"/>
  <c r="J8" i="1" l="1"/>
  <c r="I7" i="1"/>
  <c r="J9" i="1"/>
  <c r="J72" i="1"/>
  <c r="I6" i="1"/>
  <c r="J73" i="1"/>
  <c r="I46" i="1"/>
  <c r="I70" i="1"/>
  <c r="J12" i="1"/>
  <c r="I10" i="1"/>
  <c r="I47" i="1"/>
  <c r="I48" i="1"/>
  <c r="J11" i="1"/>
</calcChain>
</file>

<file path=xl/sharedStrings.xml><?xml version="1.0" encoding="utf-8"?>
<sst xmlns="http://schemas.openxmlformats.org/spreadsheetml/2006/main" count="2932" uniqueCount="421">
  <si>
    <t>Digital Window in Korea of MPA studios</t>
    <phoneticPr fontId="0" type="noConversion"/>
  </si>
  <si>
    <t>Updated as of Jan. 2019</t>
    <phoneticPr fontId="0" type="noConversion"/>
  </si>
  <si>
    <t>Studio</t>
  </si>
  <si>
    <t>Titles</t>
  </si>
  <si>
    <t>Admission</t>
    <phoneticPr fontId="0" type="noConversion"/>
  </si>
  <si>
    <t>Admission Grade</t>
    <phoneticPr fontId="0" type="noConversion"/>
  </si>
  <si>
    <t>US</t>
    <phoneticPr fontId="0" type="noConversion"/>
  </si>
  <si>
    <t xml:space="preserve">Local </t>
    <phoneticPr fontId="0" type="noConversion"/>
  </si>
  <si>
    <t xml:space="preserve">Local Digital Window </t>
    <phoneticPr fontId="0" type="noConversion"/>
  </si>
  <si>
    <t>Theatrical Release</t>
    <phoneticPr fontId="0" type="noConversion"/>
  </si>
  <si>
    <t>VOD/EST Release
(Digital Initial Relese)</t>
    <phoneticPr fontId="0" type="noConversion"/>
  </si>
  <si>
    <t>From US Theatrical Date</t>
    <phoneticPr fontId="0" type="noConversion"/>
  </si>
  <si>
    <t>From Local Theatrical Date</t>
    <phoneticPr fontId="0" type="noConversion"/>
  </si>
  <si>
    <t>SP Pricing? Y/N</t>
  </si>
  <si>
    <t>Universal</t>
    <phoneticPr fontId="0" type="noConversion"/>
  </si>
  <si>
    <t>Seventh son</t>
    <phoneticPr fontId="0" type="noConversion"/>
  </si>
  <si>
    <t>D</t>
    <phoneticPr fontId="0" type="noConversion"/>
  </si>
  <si>
    <t>Y</t>
  </si>
  <si>
    <t>Universal</t>
  </si>
  <si>
    <t>Fifty shades of grey</t>
  </si>
  <si>
    <t>D</t>
  </si>
  <si>
    <t>Fast &amp; Furious 7</t>
    <phoneticPr fontId="0" type="noConversion"/>
  </si>
  <si>
    <t>A</t>
    <phoneticPr fontId="0" type="noConversion"/>
  </si>
  <si>
    <t>Jurassic World</t>
    <phoneticPr fontId="0" type="noConversion"/>
  </si>
  <si>
    <t>MA</t>
    <phoneticPr fontId="0" type="noConversion"/>
  </si>
  <si>
    <t>Ted 2</t>
    <phoneticPr fontId="0" type="noConversion"/>
  </si>
  <si>
    <t>Minions</t>
    <phoneticPr fontId="0" type="noConversion"/>
  </si>
  <si>
    <t>Everest</t>
    <phoneticPr fontId="0" type="noConversion"/>
  </si>
  <si>
    <t>Crimson Peak</t>
    <phoneticPr fontId="0" type="noConversion"/>
  </si>
  <si>
    <t>Steve Jobs</t>
    <phoneticPr fontId="0" type="noConversion"/>
  </si>
  <si>
    <t>Hotel Transylvania 2</t>
    <phoneticPr fontId="0" type="noConversion"/>
  </si>
  <si>
    <t>B</t>
    <phoneticPr fontId="0" type="noConversion"/>
  </si>
  <si>
    <t>The Danish Girl</t>
    <phoneticPr fontId="0" type="noConversion"/>
  </si>
  <si>
    <t>Hail, Caesar!</t>
    <phoneticPr fontId="0" type="noConversion"/>
  </si>
  <si>
    <t>The Huntsman: Winter's War</t>
  </si>
  <si>
    <t>Warcraft</t>
    <phoneticPr fontId="0" type="noConversion"/>
  </si>
  <si>
    <t>Jason Bourne</t>
  </si>
  <si>
    <t>The Secret Life of Pets</t>
  </si>
  <si>
    <t>Ghostbusters</t>
  </si>
  <si>
    <t>C</t>
    <phoneticPr fontId="0" type="noConversion"/>
  </si>
  <si>
    <t>Bridget Jones's Baby</t>
  </si>
  <si>
    <t>Ouija: Origin of Evil</t>
  </si>
  <si>
    <t>Sing</t>
    <phoneticPr fontId="0" type="noConversion"/>
  </si>
  <si>
    <t>N</t>
    <phoneticPr fontId="0" type="noConversion"/>
  </si>
  <si>
    <t>The Great Wall</t>
    <phoneticPr fontId="0" type="noConversion"/>
  </si>
  <si>
    <t>Y</t>
    <phoneticPr fontId="0" type="noConversion"/>
  </si>
  <si>
    <t>Split</t>
    <phoneticPr fontId="0" type="noConversion"/>
  </si>
  <si>
    <t>Fifty Shades Darker</t>
    <phoneticPr fontId="0" type="noConversion"/>
  </si>
  <si>
    <t>Fast and Furious 8</t>
    <phoneticPr fontId="0" type="noConversion"/>
  </si>
  <si>
    <t>Get Out</t>
    <phoneticPr fontId="0" type="noConversion"/>
  </si>
  <si>
    <t>The Mummy</t>
    <phoneticPr fontId="0" type="noConversion"/>
  </si>
  <si>
    <t>Despicable Me 3</t>
    <phoneticPr fontId="0" type="noConversion"/>
  </si>
  <si>
    <t>A</t>
  </si>
  <si>
    <t>American Made</t>
    <phoneticPr fontId="0" type="noConversion"/>
  </si>
  <si>
    <t xml:space="preserve"> Happy Death Day</t>
  </si>
  <si>
    <t>Darkest Hour</t>
    <phoneticPr fontId="0" type="noConversion"/>
  </si>
  <si>
    <t>Insidious: The Last Key</t>
    <phoneticPr fontId="0" type="noConversion"/>
  </si>
  <si>
    <t>Fifty Shades Freed</t>
    <phoneticPr fontId="0" type="noConversion"/>
  </si>
  <si>
    <t>Phantom Thread</t>
    <phoneticPr fontId="0" type="noConversion"/>
  </si>
  <si>
    <t>Pacific Rim: Uprising</t>
    <phoneticPr fontId="0" type="noConversion"/>
  </si>
  <si>
    <t>Truth or Dare</t>
    <phoneticPr fontId="0" type="noConversion"/>
  </si>
  <si>
    <t>Jurassic World: Fallen Kingdom</t>
    <phoneticPr fontId="0" type="noConversion"/>
  </si>
  <si>
    <t>Skyscraper</t>
    <phoneticPr fontId="0" type="noConversion"/>
  </si>
  <si>
    <t>Mamma Mia! Here We Go Again</t>
    <phoneticPr fontId="0" type="noConversion"/>
  </si>
  <si>
    <t>First Man</t>
    <phoneticPr fontId="0" type="noConversion"/>
  </si>
  <si>
    <t>Halloween</t>
    <phoneticPr fontId="0" type="noConversion"/>
  </si>
  <si>
    <t>Sony</t>
    <phoneticPr fontId="0" type="noConversion"/>
  </si>
  <si>
    <t>Chappie</t>
    <phoneticPr fontId="0" type="noConversion"/>
  </si>
  <si>
    <t>Pixel</t>
    <phoneticPr fontId="0" type="noConversion"/>
  </si>
  <si>
    <t>Ricki &amp; The Flash</t>
    <phoneticPr fontId="0" type="noConversion"/>
  </si>
  <si>
    <t>N</t>
  </si>
  <si>
    <t>The Walk</t>
    <phoneticPr fontId="0" type="noConversion"/>
  </si>
  <si>
    <t>THE 5th WAVE</t>
    <phoneticPr fontId="0" type="noConversion"/>
  </si>
  <si>
    <t>The Angry Birds Movie</t>
    <phoneticPr fontId="0" type="noConversion"/>
  </si>
  <si>
    <t>The Shallows</t>
    <phoneticPr fontId="0" type="noConversion"/>
  </si>
  <si>
    <t>Don’t Breathe</t>
  </si>
  <si>
    <t>The Magnificent Seven</t>
  </si>
  <si>
    <t>Inferno</t>
  </si>
  <si>
    <t>PASSENGERS</t>
  </si>
  <si>
    <t>Life</t>
    <phoneticPr fontId="0" type="noConversion"/>
  </si>
  <si>
    <t xml:space="preserve"> Smurfs: The Lost Village</t>
    <phoneticPr fontId="0" type="noConversion"/>
  </si>
  <si>
    <t>Spider-Man: Homecoming</t>
    <phoneticPr fontId="0" type="noConversion"/>
  </si>
  <si>
    <t>The Emoji Movie</t>
    <phoneticPr fontId="0" type="noConversion"/>
  </si>
  <si>
    <t>The Dark Tower</t>
    <phoneticPr fontId="0" type="noConversion"/>
  </si>
  <si>
    <t>Baby Driver</t>
    <phoneticPr fontId="0" type="noConversion"/>
  </si>
  <si>
    <t>Jumanji: Welcome to the Jungle</t>
  </si>
  <si>
    <t xml:space="preserve"> Peter Rabbit</t>
  </si>
  <si>
    <t>Hotel Transylvania 3: A Summer Vacation</t>
    <phoneticPr fontId="0" type="noConversion"/>
  </si>
  <si>
    <t>Searching</t>
    <phoneticPr fontId="0" type="noConversion"/>
  </si>
  <si>
    <t>Goosebumps 2: Haunted Halloween</t>
  </si>
  <si>
    <t>Venom</t>
    <phoneticPr fontId="0" type="noConversion"/>
  </si>
  <si>
    <t>Fox</t>
    <phoneticPr fontId="0" type="noConversion"/>
  </si>
  <si>
    <t>Spy</t>
    <phoneticPr fontId="0" type="noConversion"/>
  </si>
  <si>
    <t>Fantastic 4</t>
    <phoneticPr fontId="0" type="noConversion"/>
  </si>
  <si>
    <t>Hitman : Agent 47</t>
    <phoneticPr fontId="0" type="noConversion"/>
  </si>
  <si>
    <t>Maze Runner : The Scorch Trials</t>
    <phoneticPr fontId="0" type="noConversion"/>
  </si>
  <si>
    <t>The Martian</t>
    <phoneticPr fontId="0" type="noConversion"/>
  </si>
  <si>
    <t>The Revenant</t>
    <phoneticPr fontId="0" type="noConversion"/>
  </si>
  <si>
    <t>Deadpool</t>
    <phoneticPr fontId="0" type="noConversion"/>
  </si>
  <si>
    <t>Joy</t>
  </si>
  <si>
    <t>Eddie the Eagle</t>
  </si>
  <si>
    <t>The Wailing (LP)</t>
    <phoneticPr fontId="0" type="noConversion"/>
  </si>
  <si>
    <t>N/A</t>
    <phoneticPr fontId="0" type="noConversion"/>
  </si>
  <si>
    <t>N/A</t>
  </si>
  <si>
    <t>X-Men: Apocalypse</t>
    <phoneticPr fontId="0" type="noConversion"/>
  </si>
  <si>
    <t>Fox</t>
  </si>
  <si>
    <t xml:space="preserve"> Independence Day: Resurgence</t>
    <phoneticPr fontId="0" type="noConversion"/>
  </si>
  <si>
    <t>Ice Age: Collision Course</t>
    <phoneticPr fontId="0" type="noConversion"/>
  </si>
  <si>
    <t>Miss Peregrine's Home For Peculiar Children</t>
    <phoneticPr fontId="0" type="noConversion"/>
  </si>
  <si>
    <t>Assassin's Creed</t>
    <phoneticPr fontId="0" type="noConversion"/>
  </si>
  <si>
    <t>A Cure For Wellness</t>
    <phoneticPr fontId="0" type="noConversion"/>
  </si>
  <si>
    <t>Hidden Figures</t>
    <phoneticPr fontId="0" type="noConversion"/>
  </si>
  <si>
    <t>Logan</t>
    <phoneticPr fontId="0" type="noConversion"/>
  </si>
  <si>
    <t>Alien: Covenant</t>
    <phoneticPr fontId="0" type="noConversion"/>
  </si>
  <si>
    <t>Warriors Of The Dawn (LP)</t>
    <phoneticPr fontId="0" type="noConversion"/>
  </si>
  <si>
    <t>War For The Planet Of The Apes</t>
  </si>
  <si>
    <t>Kingsman: The Golden Circle</t>
  </si>
  <si>
    <t>The Greatest Showman</t>
  </si>
  <si>
    <t xml:space="preserve"> Ferdinand</t>
    <phoneticPr fontId="0" type="noConversion"/>
  </si>
  <si>
    <t>Maze Runner: The Death Cure</t>
    <phoneticPr fontId="0" type="noConversion"/>
  </si>
  <si>
    <t>Red Sparrow</t>
  </si>
  <si>
    <t>The Shape of Water</t>
  </si>
  <si>
    <t>Three Billboards Outside Ebbing, Missouri</t>
  </si>
  <si>
    <t>Deadpool 2</t>
  </si>
  <si>
    <t xml:space="preserve"> Isle of Dogs</t>
  </si>
  <si>
    <t>The Predator</t>
  </si>
  <si>
    <t>Paramount</t>
    <phoneticPr fontId="0" type="noConversion"/>
  </si>
  <si>
    <t>Terminator: Genisys</t>
    <phoneticPr fontId="0" type="noConversion"/>
  </si>
  <si>
    <t>Mission: Impossible - Rogue Nation</t>
  </si>
  <si>
    <t>The Big Short</t>
  </si>
  <si>
    <t>446,669 </t>
  </si>
  <si>
    <t>10 Cloverfield Lane</t>
    <phoneticPr fontId="0" type="noConversion"/>
  </si>
  <si>
    <t>Teenage Mutant Ninja Turtles : Out Of The Shadow</t>
    <phoneticPr fontId="0" type="noConversion"/>
  </si>
  <si>
    <t>Star Trek Beyond</t>
    <phoneticPr fontId="0" type="noConversion"/>
  </si>
  <si>
    <t>Ben-Hur</t>
    <phoneticPr fontId="0" type="noConversion"/>
  </si>
  <si>
    <t>Jack Reacher: Never Go Back</t>
    <phoneticPr fontId="0" type="noConversion"/>
  </si>
  <si>
    <t>Allied</t>
    <phoneticPr fontId="0" type="noConversion"/>
  </si>
  <si>
    <t>xXx: The Return of Xander Cage</t>
    <phoneticPr fontId="0" type="noConversion"/>
  </si>
  <si>
    <t>Arrival</t>
    <phoneticPr fontId="0" type="noConversion"/>
  </si>
  <si>
    <t>Ghost in the Shell</t>
    <phoneticPr fontId="0" type="noConversion"/>
  </si>
  <si>
    <t>TRANSFORMERS: THE LAST KNIGHT</t>
    <phoneticPr fontId="0" type="noConversion"/>
  </si>
  <si>
    <t>Mother!</t>
  </si>
  <si>
    <t>Downsizing</t>
  </si>
  <si>
    <t>A Quiet Place</t>
  </si>
  <si>
    <t>Mission: Impossible - Fallout</t>
  </si>
  <si>
    <t>Disney</t>
    <phoneticPr fontId="0" type="noConversion"/>
  </si>
  <si>
    <t>Cinderella</t>
    <phoneticPr fontId="0" type="noConversion"/>
  </si>
  <si>
    <t>The Avengers : Ages of Ultron</t>
    <phoneticPr fontId="0" type="noConversion"/>
  </si>
  <si>
    <t xml:space="preserve">Inside Out </t>
    <phoneticPr fontId="0" type="noConversion"/>
  </si>
  <si>
    <t>Ant-Man</t>
    <phoneticPr fontId="0" type="noConversion"/>
  </si>
  <si>
    <t>The Good Dinosaur</t>
  </si>
  <si>
    <t>Star Wars : The Force Awakens</t>
  </si>
  <si>
    <t>Zootopia</t>
  </si>
  <si>
    <t>The Jungle Book</t>
    <phoneticPr fontId="0" type="noConversion"/>
  </si>
  <si>
    <t>Captain America: Civil War</t>
    <phoneticPr fontId="0" type="noConversion"/>
  </si>
  <si>
    <t>Alice Through the Looking Glass</t>
    <phoneticPr fontId="0" type="noConversion"/>
  </si>
  <si>
    <t>Finding Dory</t>
    <phoneticPr fontId="0" type="noConversion"/>
  </si>
  <si>
    <t>Pete's Dragon</t>
    <phoneticPr fontId="0" type="noConversion"/>
  </si>
  <si>
    <t>Doctor Strange</t>
    <phoneticPr fontId="0" type="noConversion"/>
  </si>
  <si>
    <t>Moana</t>
    <phoneticPr fontId="0" type="noConversion"/>
  </si>
  <si>
    <t>Disney</t>
  </si>
  <si>
    <t>Rogue One: A Star Wars Story</t>
    <phoneticPr fontId="0" type="noConversion"/>
  </si>
  <si>
    <t>Beauty and the Beast</t>
    <phoneticPr fontId="0" type="noConversion"/>
  </si>
  <si>
    <t>Guardians of the Galaxy Vol. 2</t>
    <phoneticPr fontId="0" type="noConversion"/>
  </si>
  <si>
    <t>Pirates of the Caribbean: Dead Men Tell No Tales</t>
    <phoneticPr fontId="0" type="noConversion"/>
  </si>
  <si>
    <t>Cars 3</t>
    <phoneticPr fontId="0" type="noConversion"/>
  </si>
  <si>
    <t>THOR: RAGNAROK</t>
    <phoneticPr fontId="0" type="noConversion"/>
  </si>
  <si>
    <t>COCO</t>
    <phoneticPr fontId="0" type="noConversion"/>
  </si>
  <si>
    <t>Star Wars: The Last Jedi</t>
    <phoneticPr fontId="0" type="noConversion"/>
  </si>
  <si>
    <t>Black Panther</t>
    <phoneticPr fontId="0" type="noConversion"/>
  </si>
  <si>
    <t>Avengers: Infinity War</t>
    <phoneticPr fontId="0" type="noConversion"/>
  </si>
  <si>
    <t>Ant-Man and the Wasp</t>
    <phoneticPr fontId="0" type="noConversion"/>
  </si>
  <si>
    <t>Solo: A Star Wars Story</t>
    <phoneticPr fontId="0" type="noConversion"/>
  </si>
  <si>
    <t>The Incredibles 2</t>
    <phoneticPr fontId="0" type="noConversion"/>
  </si>
  <si>
    <t>Christopher Robin</t>
    <phoneticPr fontId="0" type="noConversion"/>
  </si>
  <si>
    <t>WB</t>
  </si>
  <si>
    <t>American Sniper</t>
    <phoneticPr fontId="0" type="noConversion"/>
  </si>
  <si>
    <t xml:space="preserve">Jupiter Ascending </t>
    <phoneticPr fontId="0" type="noConversion"/>
  </si>
  <si>
    <t>Run all night</t>
    <phoneticPr fontId="0" type="noConversion"/>
  </si>
  <si>
    <t>Mad Max: Fury Road</t>
    <phoneticPr fontId="0" type="noConversion"/>
  </si>
  <si>
    <t>San Andreas</t>
    <phoneticPr fontId="0" type="noConversion"/>
  </si>
  <si>
    <t>B</t>
  </si>
  <si>
    <t>Gallows</t>
    <phoneticPr fontId="0" type="noConversion"/>
  </si>
  <si>
    <t>The Intern</t>
    <phoneticPr fontId="0" type="noConversion"/>
  </si>
  <si>
    <t>Pan</t>
    <phoneticPr fontId="0" type="noConversion"/>
  </si>
  <si>
    <t>Man From U.N.C.L.E</t>
    <phoneticPr fontId="0" type="noConversion"/>
  </si>
  <si>
    <t>In the Heart of the Sea</t>
    <phoneticPr fontId="0" type="noConversion"/>
  </si>
  <si>
    <t xml:space="preserve">Batman v Superman : Dawn of Justice </t>
    <phoneticPr fontId="0" type="noConversion"/>
  </si>
  <si>
    <t>Legend of Tarzan</t>
    <phoneticPr fontId="0" type="noConversion"/>
  </si>
  <si>
    <t>Me Before You</t>
  </si>
  <si>
    <t>Conjuring 2</t>
    <phoneticPr fontId="0" type="noConversion"/>
  </si>
  <si>
    <t>Suicide Squad</t>
  </si>
  <si>
    <t>Lights Out</t>
  </si>
  <si>
    <t>Mil Jeong (LP)</t>
    <phoneticPr fontId="0" type="noConversion"/>
  </si>
  <si>
    <t>Sully</t>
  </si>
  <si>
    <t>Accountant</t>
  </si>
  <si>
    <t>Fantastic Beasts and Where To Find Them</t>
    <phoneticPr fontId="0" type="noConversion"/>
  </si>
  <si>
    <t>Storks</t>
    <phoneticPr fontId="0" type="noConversion"/>
  </si>
  <si>
    <t>A Single Rider (LP)</t>
    <phoneticPr fontId="0" type="noConversion"/>
  </si>
  <si>
    <t>The LEGO Batman Movie</t>
    <phoneticPr fontId="0" type="noConversion"/>
  </si>
  <si>
    <t>Kong: Skull Island</t>
    <phoneticPr fontId="0" type="noConversion"/>
  </si>
  <si>
    <t>King Arthur: Legend of the Sword</t>
    <phoneticPr fontId="0" type="noConversion"/>
  </si>
  <si>
    <t>Wonder Woman</t>
    <phoneticPr fontId="0" type="noConversion"/>
  </si>
  <si>
    <t>Annabelle: Creation</t>
    <phoneticPr fontId="0" type="noConversion"/>
  </si>
  <si>
    <t>V.I.P (LP)</t>
    <phoneticPr fontId="0" type="noConversion"/>
  </si>
  <si>
    <t xml:space="preserve">IT </t>
    <phoneticPr fontId="0" type="noConversion"/>
  </si>
  <si>
    <t>Lego Ninjago Movie</t>
    <phoneticPr fontId="0" type="noConversion"/>
  </si>
  <si>
    <t>Geostorm</t>
    <phoneticPr fontId="0" type="noConversion"/>
  </si>
  <si>
    <t>Dunkirk</t>
    <phoneticPr fontId="0" type="noConversion"/>
  </si>
  <si>
    <t>Justice League</t>
    <phoneticPr fontId="0" type="noConversion"/>
  </si>
  <si>
    <t>Ready Player One</t>
    <phoneticPr fontId="0" type="noConversion"/>
  </si>
  <si>
    <t>Y</t>
    <phoneticPr fontId="0" type="noConversion"/>
  </si>
  <si>
    <t>Rampage</t>
    <phoneticPr fontId="0" type="noConversion"/>
  </si>
  <si>
    <t>Ocean's 8</t>
    <phoneticPr fontId="0" type="noConversion"/>
  </si>
  <si>
    <t>The Witch : Part 1. The Subversion</t>
    <phoneticPr fontId="0" type="noConversion"/>
  </si>
  <si>
    <t>ILLANG : THE WOLF BRIGADE</t>
    <phoneticPr fontId="0" type="noConversion"/>
  </si>
  <si>
    <t>The Meg</t>
    <phoneticPr fontId="0" type="noConversion"/>
  </si>
  <si>
    <t>The Nun</t>
    <phoneticPr fontId="0" type="noConversion"/>
  </si>
  <si>
    <t>A Star is born</t>
    <phoneticPr fontId="0" type="noConversion"/>
  </si>
  <si>
    <t>Crazy Rich Asians</t>
    <phoneticPr fontId="0" type="noConversion"/>
  </si>
  <si>
    <t>Fantastic Beasts: The Crimes of Grindelwald</t>
    <phoneticPr fontId="0" type="noConversion"/>
  </si>
  <si>
    <t>*KT and SK Data ONLY. KT and SK account for 60% of total WB Digital Revenue</t>
  </si>
  <si>
    <t xml:space="preserve">1st week </t>
    <phoneticPr fontId="0" type="noConversion"/>
  </si>
  <si>
    <t xml:space="preserve">2nd week </t>
  </si>
  <si>
    <t xml:space="preserve">3rd week </t>
  </si>
  <si>
    <t xml:space="preserve">4th week </t>
  </si>
  <si>
    <t xml:space="preserve">5th week </t>
  </si>
  <si>
    <t xml:space="preserve">6th week </t>
  </si>
  <si>
    <t xml:space="preserve">7th week </t>
  </si>
  <si>
    <t xml:space="preserve">8th week </t>
  </si>
  <si>
    <t xml:space="preserve">9th week </t>
  </si>
  <si>
    <t xml:space="preserve">10th week </t>
  </si>
  <si>
    <t xml:space="preserve">11th week </t>
  </si>
  <si>
    <t>Total</t>
    <phoneticPr fontId="0" type="noConversion"/>
  </si>
  <si>
    <t>WBDD TNR VOD/EST performance KT+SK (WBDD net revenue)</t>
    <phoneticPr fontId="0" type="noConversion"/>
  </si>
  <si>
    <t>Title</t>
    <phoneticPr fontId="0" type="noConversion"/>
  </si>
  <si>
    <t>Theatrical Admission
(Person)</t>
    <phoneticPr fontId="0" type="noConversion"/>
  </si>
  <si>
    <t>TR date</t>
  </si>
  <si>
    <t>Digital Date</t>
  </si>
  <si>
    <t>Window</t>
    <phoneticPr fontId="0" type="noConversion"/>
  </si>
  <si>
    <t>Release
Type</t>
    <phoneticPr fontId="0" type="noConversion"/>
  </si>
  <si>
    <t>Release
Date</t>
    <phoneticPr fontId="0" type="noConversion"/>
  </si>
  <si>
    <t>Pricing</t>
    <phoneticPr fontId="0" type="noConversion"/>
  </si>
  <si>
    <t>MLFPB</t>
    <phoneticPr fontId="0" type="noConversion"/>
  </si>
  <si>
    <t xml:space="preserve">1st week </t>
    <phoneticPr fontId="0" type="noConversion"/>
  </si>
  <si>
    <t>Total</t>
    <phoneticPr fontId="0" type="noConversion"/>
  </si>
  <si>
    <t>Batman v Superman: Dawn of Justice</t>
  </si>
  <si>
    <t>E.EST</t>
  </si>
  <si>
    <t>VOD</t>
  </si>
  <si>
    <t>Total</t>
  </si>
  <si>
    <t>Me before you</t>
    <phoneticPr fontId="0" type="noConversion"/>
  </si>
  <si>
    <t>E.EST</t>
    <phoneticPr fontId="0" type="noConversion"/>
  </si>
  <si>
    <t>VOD</t>
    <phoneticPr fontId="0" type="noConversion"/>
  </si>
  <si>
    <t>Total</t>
    <phoneticPr fontId="0" type="noConversion"/>
  </si>
  <si>
    <t>The Conjuring 2</t>
    <phoneticPr fontId="0" type="noConversion"/>
  </si>
  <si>
    <t>Mil-Jeong 
(SP Window)</t>
    <phoneticPr fontId="0" type="noConversion"/>
  </si>
  <si>
    <t>SP VOD</t>
    <phoneticPr fontId="0" type="noConversion"/>
  </si>
  <si>
    <t>SP EST</t>
    <phoneticPr fontId="0" type="noConversion"/>
  </si>
  <si>
    <t>#1
Interstellar</t>
    <phoneticPr fontId="0" type="noConversion"/>
  </si>
  <si>
    <t>E.EST</t>
    <phoneticPr fontId="0" type="noConversion"/>
  </si>
  <si>
    <t>VOD</t>
    <phoneticPr fontId="0" type="noConversion"/>
  </si>
  <si>
    <t>Legend of Tarzan 
(SP Window)</t>
    <phoneticPr fontId="0" type="noConversion"/>
  </si>
  <si>
    <t>Suicide Squad 
(Early EST)</t>
    <phoneticPr fontId="0" type="noConversion"/>
  </si>
  <si>
    <t>Lights Out 
(Early EST)</t>
    <phoneticPr fontId="0" type="noConversion"/>
  </si>
  <si>
    <t>Sully 
(Early EST)</t>
    <phoneticPr fontId="0" type="noConversion"/>
  </si>
  <si>
    <t>Accountant 
(Early EST)</t>
    <phoneticPr fontId="0" type="noConversion"/>
  </si>
  <si>
    <t>Fantastic Beasts
(Early EST)</t>
    <phoneticPr fontId="0" type="noConversion"/>
  </si>
  <si>
    <t>Storks
(Early EST)</t>
    <phoneticPr fontId="0" type="noConversion"/>
  </si>
  <si>
    <t>Single Rider (Local Production)
(SP Window)</t>
    <phoneticPr fontId="0" type="noConversion"/>
  </si>
  <si>
    <t>LEGO Batman Movie
(Early EST)</t>
    <phoneticPr fontId="0" type="noConversion"/>
  </si>
  <si>
    <t>Kong:Skull Island
(SP Window)</t>
    <phoneticPr fontId="0" type="noConversion"/>
  </si>
  <si>
    <t>King Arthur: Legend of the Sword
(Early EST)</t>
    <phoneticPr fontId="0" type="noConversion"/>
  </si>
  <si>
    <t>Wonder Woman
(SP Window)</t>
    <phoneticPr fontId="0" type="noConversion"/>
  </si>
  <si>
    <t>Annabelle: Creation
(SP Window)</t>
    <phoneticPr fontId="0" type="noConversion"/>
  </si>
  <si>
    <t>V.I.P. (Local Production)
(SP Window)</t>
    <phoneticPr fontId="0" type="noConversion"/>
  </si>
  <si>
    <t>IT
(SP Window)</t>
    <phoneticPr fontId="0" type="noConversion"/>
  </si>
  <si>
    <t>The Lego Ninjago Movie
(Early EST/PVOD D&amp;D)</t>
    <phoneticPr fontId="0" type="noConversion"/>
  </si>
  <si>
    <t>Geostorm
(SP Window)</t>
    <phoneticPr fontId="0" type="noConversion"/>
  </si>
  <si>
    <t>Dunkirk
(Early EST)</t>
    <phoneticPr fontId="0" type="noConversion"/>
  </si>
  <si>
    <t>Justice League
(SP Window)</t>
    <phoneticPr fontId="0" type="noConversion"/>
  </si>
  <si>
    <t>Ready Player One
(SP Window)</t>
    <phoneticPr fontId="0" type="noConversion"/>
  </si>
  <si>
    <t>Rampage
(SP Window)</t>
    <phoneticPr fontId="0" type="noConversion"/>
  </si>
  <si>
    <t>Champion (Local Production)
(SP Window)</t>
    <phoneticPr fontId="0" type="noConversion"/>
  </si>
  <si>
    <t>Ocean's 8
(SP Window)</t>
    <phoneticPr fontId="0" type="noConversion"/>
  </si>
  <si>
    <t>The Witch (Local Production)
(SP Window)</t>
    <phoneticPr fontId="0" type="noConversion"/>
  </si>
  <si>
    <t>ILLANG (Local Production)
(SP Window)</t>
    <phoneticPr fontId="0" type="noConversion"/>
  </si>
  <si>
    <t>The Meg
(Early EST)</t>
    <phoneticPr fontId="0" type="noConversion"/>
  </si>
  <si>
    <t>The Nun
(SP Window)</t>
    <phoneticPr fontId="0" type="noConversion"/>
  </si>
  <si>
    <t>A Star is Born
(SP Window)</t>
    <phoneticPr fontId="0" type="noConversion"/>
  </si>
  <si>
    <t>Crazy Rich Asians
(SP Window)</t>
    <phoneticPr fontId="0" type="noConversion"/>
  </si>
  <si>
    <t>Fantastic Beasts: The Crimes of Grindelwald
(SP Window)</t>
    <phoneticPr fontId="0" type="noConversion"/>
  </si>
  <si>
    <t>Aquaman
(SP Window)</t>
    <phoneticPr fontId="0" type="noConversion"/>
  </si>
  <si>
    <t>The Lego Movie 2
(SP Window)</t>
    <phoneticPr fontId="0" type="noConversion"/>
  </si>
  <si>
    <t>Jo Pil-ho: The Dawning Rage (Local Production)
(SP Window)</t>
    <phoneticPr fontId="0" type="noConversion"/>
  </si>
  <si>
    <t>The Mule
(SP Window)</t>
    <phoneticPr fontId="0" type="noConversion"/>
  </si>
  <si>
    <t>Out of Terms with KT, only SK Data</t>
  </si>
  <si>
    <t>Champion (LP)</t>
  </si>
  <si>
    <t>Aquaman</t>
  </si>
  <si>
    <t>SP VOD/EST released on Oct. 18,2016 as 41 days</t>
    <phoneticPr fontId="2" type="noConversion"/>
  </si>
  <si>
    <t>SP VOD/EST released on Nov. 6 as 28 days</t>
    <phoneticPr fontId="2" type="noConversion"/>
  </si>
  <si>
    <t>Sun</t>
  </si>
  <si>
    <t>Sat</t>
  </si>
  <si>
    <t>Fri</t>
  </si>
  <si>
    <t>Thu</t>
  </si>
  <si>
    <t>Wed</t>
  </si>
  <si>
    <t>Tue</t>
  </si>
  <si>
    <t>E. EST released on Dec. 13 as 146 days</t>
    <phoneticPr fontId="2" type="noConversion"/>
  </si>
  <si>
    <t>Mon</t>
  </si>
  <si>
    <t>SP VOD/EST released on Jul. 25 as 28 days</t>
    <phoneticPr fontId="2" type="noConversion"/>
  </si>
  <si>
    <t>SP EST released on Jan. 23 as 35 days</t>
    <phoneticPr fontId="2" type="noConversion"/>
  </si>
  <si>
    <t>Wed</t>
    <phoneticPr fontId="2" type="noConversion"/>
  </si>
  <si>
    <t>SP EST released on May. 2 as 35 days</t>
    <phoneticPr fontId="2" type="noConversion"/>
  </si>
  <si>
    <t>Tue</t>
    <phoneticPr fontId="2" type="noConversion"/>
  </si>
  <si>
    <t>Early EST released on Jan. 12 as 57 days</t>
    <phoneticPr fontId="2" type="noConversion"/>
  </si>
  <si>
    <t>Early EST released on Jan. 24 as 48 days</t>
    <phoneticPr fontId="2" type="noConversion"/>
  </si>
  <si>
    <t>Mon</t>
    <phoneticPr fontId="2" type="noConversion"/>
  </si>
  <si>
    <t>Thu</t>
    <phoneticPr fontId="2" type="noConversion"/>
  </si>
  <si>
    <t>Sun</t>
    <phoneticPr fontId="2" type="noConversion"/>
  </si>
  <si>
    <t>Early EST released on Nov. 10, 2016 as 43 days</t>
    <phoneticPr fontId="2" type="noConversion"/>
  </si>
  <si>
    <t>Sat</t>
    <phoneticPr fontId="2" type="noConversion"/>
  </si>
  <si>
    <t>Fri</t>
    <phoneticPr fontId="2" type="noConversion"/>
  </si>
  <si>
    <t>SP VOD/EST released on Nov. 22 as 28 days</t>
    <phoneticPr fontId="2" type="noConversion"/>
  </si>
  <si>
    <t>SP VOD/EST will be released on Sep. 19 as 27 days</t>
    <phoneticPr fontId="2" type="noConversion"/>
  </si>
  <si>
    <t>SP EST released on Dec. 19 as 34 days</t>
    <phoneticPr fontId="2" type="noConversion"/>
  </si>
  <si>
    <t>SP EST released on Jun. 28 as 28 days</t>
    <phoneticPr fontId="2" type="noConversion"/>
  </si>
  <si>
    <t>SP EST released on Sep. 12 as 33 days</t>
    <phoneticPr fontId="2" type="noConversion"/>
  </si>
  <si>
    <t>SP EST released on Jul.18 as 35 days</t>
    <phoneticPr fontId="2" type="noConversion"/>
  </si>
  <si>
    <t>SP VOD/EST released on Apr. 7 as 29 days</t>
    <phoneticPr fontId="2" type="noConversion"/>
  </si>
  <si>
    <t>SP EST released on Nov. 14 as 26 days</t>
    <phoneticPr fontId="2" type="noConversion"/>
  </si>
  <si>
    <t>Early EST released on Oct. 12, 2016 as 49 days</t>
    <phoneticPr fontId="2" type="noConversion"/>
  </si>
  <si>
    <t>SP VOD/EST will be released on Oct. 2 as 26 days</t>
    <phoneticPr fontId="2" type="noConversion"/>
  </si>
  <si>
    <t>SP VOD/EST released on Oct. 17 as 28 days</t>
    <phoneticPr fontId="2" type="noConversion"/>
  </si>
  <si>
    <t>Early EST released on Mar. 23 as 42 days</t>
    <phoneticPr fontId="2" type="noConversion"/>
  </si>
  <si>
    <t>SP EST released on Dec. 12 as 38 days</t>
    <phoneticPr fontId="2" type="noConversion"/>
  </si>
  <si>
    <t>Early EST released on Oct. 7, 2016 as 65 days</t>
    <phoneticPr fontId="2" type="noConversion"/>
  </si>
  <si>
    <t>SP EST released on May.10 as 35 days</t>
    <phoneticPr fontId="2" type="noConversion"/>
  </si>
  <si>
    <t>SP EST/VOD released on Apr. 11 as 28 days</t>
    <phoneticPr fontId="2" type="noConversion"/>
  </si>
  <si>
    <t>Early EST released on Jun. 29, 2016 as 97 days</t>
    <phoneticPr fontId="2" type="noConversion"/>
  </si>
  <si>
    <t>SP VOD/EST released on Aug. 14 as 20 days</t>
    <phoneticPr fontId="2" type="noConversion"/>
  </si>
  <si>
    <t>SP VOD/EST released on May. 24 as 27 days</t>
    <phoneticPr fontId="2" type="noConversion"/>
  </si>
  <si>
    <t>E.EST released on Sep. 12 as 28 days</t>
    <phoneticPr fontId="2" type="noConversion"/>
  </si>
  <si>
    <t>SP VOD/EST released on Mar. 9 as 15 days</t>
    <phoneticPr fontId="2" type="noConversion"/>
  </si>
  <si>
    <t xml:space="preserve">Early EST released on Jun. 22nd as 35 days </t>
    <phoneticPr fontId="2" type="noConversion"/>
  </si>
  <si>
    <t>E. EST/PVOD released on Oct. 26 as 28 days</t>
    <phoneticPr fontId="2" type="noConversion"/>
  </si>
  <si>
    <t>SP EST/VOD released on Mar. 6 as 28 days</t>
    <phoneticPr fontId="2" type="noConversion"/>
  </si>
  <si>
    <t>SP EST/VOD released on Apr. 5 as 16 days</t>
    <phoneticPr fontId="2" type="noConversion"/>
  </si>
  <si>
    <t>Early EST released on Nov. 24, 2016 as 42 days</t>
    <phoneticPr fontId="2" type="noConversion"/>
  </si>
  <si>
    <t>wed</t>
    <phoneticPr fontId="2" type="noConversion"/>
  </si>
  <si>
    <t>TTL admission</t>
    <phoneticPr fontId="2" type="noConversion"/>
  </si>
  <si>
    <t>admission</t>
    <phoneticPr fontId="2" type="noConversion"/>
  </si>
  <si>
    <t># screen</t>
    <phoneticPr fontId="2" type="noConversion"/>
  </si>
  <si>
    <t>Date</t>
    <phoneticPr fontId="2" type="noConversion"/>
  </si>
  <si>
    <t>Day</t>
    <phoneticPr fontId="2" type="noConversion"/>
  </si>
  <si>
    <t>Batman V Superman (WB)</t>
    <phoneticPr fontId="2" type="noConversion"/>
  </si>
  <si>
    <t>Suicide Squad (WB)</t>
    <phoneticPr fontId="2" type="noConversion"/>
  </si>
  <si>
    <t>Lights Out (WB)</t>
    <phoneticPr fontId="2" type="noConversion"/>
  </si>
  <si>
    <t>Mil-Jeong(LP) (WB)</t>
    <phoneticPr fontId="2" type="noConversion"/>
  </si>
  <si>
    <t>Sully (WB)</t>
    <phoneticPr fontId="2" type="noConversion"/>
  </si>
  <si>
    <t>Accountant (WB)</t>
    <phoneticPr fontId="2" type="noConversion"/>
  </si>
  <si>
    <t>Fantastic Beasts (WB)</t>
    <phoneticPr fontId="2" type="noConversion"/>
  </si>
  <si>
    <t>Storks (WB)</t>
    <phoneticPr fontId="2" type="noConversion"/>
  </si>
  <si>
    <t>A Single Rider(LP) (WB)</t>
    <phoneticPr fontId="2" type="noConversion"/>
  </si>
  <si>
    <t>Lego Batman Movie (WB)</t>
    <phoneticPr fontId="2" type="noConversion"/>
  </si>
  <si>
    <t>Kong: Skull Island (WB)</t>
    <phoneticPr fontId="2" type="noConversion"/>
  </si>
  <si>
    <t>King Arthur: Legend of the Sword (WB)</t>
    <phoneticPr fontId="2" type="noConversion"/>
  </si>
  <si>
    <t>Wonder Woman (WB)</t>
    <phoneticPr fontId="2" type="noConversion"/>
  </si>
  <si>
    <t>Annablle : Creation (WB)</t>
    <phoneticPr fontId="2" type="noConversion"/>
  </si>
  <si>
    <t>V.I.P.(LP) (WB)</t>
    <phoneticPr fontId="2" type="noConversion"/>
  </si>
  <si>
    <t>IT (WB)</t>
    <phoneticPr fontId="2" type="noConversion"/>
  </si>
  <si>
    <t>Lego Ninjago Movie (WB)</t>
    <phoneticPr fontId="2" type="noConversion"/>
  </si>
  <si>
    <t>Geostorm (WB)</t>
    <phoneticPr fontId="2" type="noConversion"/>
  </si>
  <si>
    <t>Dunkirk (WB)</t>
  </si>
  <si>
    <t>Justie League (WB)</t>
    <phoneticPr fontId="2" type="noConversion"/>
  </si>
  <si>
    <t>Ready Player One (WB)</t>
    <phoneticPr fontId="2" type="noConversion"/>
  </si>
  <si>
    <t>Rampage (WB)</t>
    <phoneticPr fontId="2" type="noConversion"/>
  </si>
  <si>
    <t>Champion (LP) (WB)</t>
    <phoneticPr fontId="2" type="noConversion"/>
  </si>
  <si>
    <t>Ocean's 8 (WB)</t>
    <phoneticPr fontId="2" type="noConversion"/>
  </si>
  <si>
    <t>The Witch : Part 1. The Subversion (LP) (WB)</t>
    <phoneticPr fontId="2" type="noConversion"/>
  </si>
  <si>
    <t>ILLANG : THE WOLF BRIGADE (LP) (WB)</t>
    <phoneticPr fontId="2" type="noConversion"/>
  </si>
  <si>
    <t>The Meg (WB)</t>
    <phoneticPr fontId="2" type="noConversion"/>
  </si>
  <si>
    <t>The Nun (WB)</t>
    <phoneticPr fontId="2" type="noConversion"/>
  </si>
  <si>
    <t>A Star is Born (WB)</t>
    <phoneticPr fontId="2" type="noConversion"/>
  </si>
  <si>
    <t>Crazy Rich Asians (WB)</t>
    <phoneticPr fontId="2" type="noConversion"/>
  </si>
  <si>
    <t>Fantastic Beasts 2 (WB)</t>
    <phoneticPr fontId="2" type="noConversion"/>
  </si>
  <si>
    <t>Aquaman (WB)</t>
    <phoneticPr fontId="2" type="noConversion"/>
  </si>
  <si>
    <t>The Lego Movie 2 (WB)</t>
    <phoneticPr fontId="2" type="noConversion"/>
  </si>
  <si>
    <t xml:space="preserve">	Jo Pil-ho: The Dawning Rage (LP) (WB)</t>
    <phoneticPr fontId="2" type="noConversion"/>
  </si>
  <si>
    <t>The Mule (WB)</t>
    <phoneticPr fontId="2" type="noConversion"/>
  </si>
  <si>
    <t>97 days Early EST</t>
    <phoneticPr fontId="2" type="noConversion"/>
  </si>
  <si>
    <t>65 days Early EST</t>
    <phoneticPr fontId="2" type="noConversion"/>
  </si>
  <si>
    <t>49 days Early EST</t>
    <phoneticPr fontId="2" type="noConversion"/>
  </si>
  <si>
    <t>41 days SP VOD/EST</t>
    <phoneticPr fontId="2" type="noConversion"/>
  </si>
  <si>
    <t>43 days Early EST</t>
    <phoneticPr fontId="2" type="noConversion"/>
  </si>
  <si>
    <t>42 days Early EST</t>
    <phoneticPr fontId="2" type="noConversion"/>
  </si>
  <si>
    <t>57 days Early EST</t>
    <phoneticPr fontId="2" type="noConversion"/>
  </si>
  <si>
    <t>48 days Early EST</t>
    <phoneticPr fontId="2" type="noConversion"/>
  </si>
  <si>
    <t>15 days SP VOD/EST</t>
    <phoneticPr fontId="2" type="noConversion"/>
  </si>
  <si>
    <t>29 days SP EST</t>
    <phoneticPr fontId="2" type="noConversion"/>
  </si>
  <si>
    <t>35 days Early EST</t>
    <phoneticPr fontId="2" type="noConversion"/>
  </si>
  <si>
    <t>28 days SP EST</t>
    <phoneticPr fontId="2" type="noConversion"/>
  </si>
  <si>
    <t>33 days SP EST</t>
    <phoneticPr fontId="2" type="noConversion"/>
  </si>
  <si>
    <t>27 days SP VOD/EST</t>
    <phoneticPr fontId="2" type="noConversion"/>
  </si>
  <si>
    <t>26 days SP EST/VOD</t>
    <phoneticPr fontId="2" type="noConversion"/>
  </si>
  <si>
    <t>28 days Early EST/PVOD</t>
    <phoneticPr fontId="2" type="noConversion"/>
  </si>
  <si>
    <t>26 days SP EST</t>
    <phoneticPr fontId="2" type="noConversion"/>
  </si>
  <si>
    <t>146 days Early EST</t>
    <phoneticPr fontId="2" type="noConversion"/>
  </si>
  <si>
    <t>34 days SP EST</t>
    <phoneticPr fontId="2" type="noConversion"/>
  </si>
  <si>
    <t>35 days SP EST</t>
    <phoneticPr fontId="2" type="noConversion"/>
  </si>
  <si>
    <t>23 days SP EST/VOD</t>
    <phoneticPr fontId="2" type="noConversion"/>
  </si>
  <si>
    <t>28 days SP EST/VOD</t>
    <phoneticPr fontId="2" type="noConversion"/>
  </si>
  <si>
    <t>20 days SP EST/VOD</t>
    <phoneticPr fontId="2" type="noConversion"/>
  </si>
  <si>
    <t>28 days Early EST</t>
    <phoneticPr fontId="2" type="noConversion"/>
  </si>
  <si>
    <t>16 days SP EST/VOD</t>
    <phoneticPr fontId="2" type="noConversion"/>
  </si>
  <si>
    <t>SELECT TITLES AS OF 04/18/19</t>
    <phoneticPr fontId="2" type="noConversion"/>
  </si>
  <si>
    <t>KOREA - DAILY ADMISSIONS (WB)</t>
    <phoneticPr fontId="2" type="noConversion"/>
  </si>
  <si>
    <t>WB Digital Window in Korea &amp; First 11 Weeks POS* in KRW</t>
  </si>
  <si>
    <t>Source:</t>
  </si>
  <si>
    <t>Public Data - Admission data and Theatrical release date through Kofic, Digital release date via WB Korea team searching digital platforms</t>
  </si>
  <si>
    <t>Private Data - 11 week KT and SK POS data (WB Share)</t>
  </si>
  <si>
    <t>KT and SK POS initial 11 week data</t>
  </si>
  <si>
    <t>DATA AVAILABLE THROUGH KOFIC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</si>
</sst>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1" formatCode="_-* #,##0_-;\-* #,##0_-;_-* &quot;-&quot;_-;_-@_-"/>
    <numFmt numFmtId="43" formatCode="_-* #,##0.00_-;\-* #,##0.00_-;_-* &quot;-&quot;??_-;_-@_-"/>
    <numFmt numFmtId="176" formatCode="_(* #,##0.00_);_(* \(#,##0.00\);_(* &quot;-&quot;??_);_(@_)"/>
    <numFmt numFmtId="177" formatCode="mmm/dd/yyyy"/>
    <numFmt numFmtId="178" formatCode="0.0%"/>
    <numFmt numFmtId="179" formatCode="#,##0;\(#,##0\)"/>
    <numFmt numFmtId="180" formatCode="_(* #,##0_);_(* \(#,##0\);_(* &quot;-&quot;??_);_(@_)"/>
  </numFmts>
  <fonts count="3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b/>
      <sz val="14"/>
      <color theme="1"/>
      <name val="Calibri"/>
      <family val="2"/>
    </font>
    <font>
      <sz val="11"/>
      <color theme="1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theme="1"/>
      <name val="맑은 고딕"/>
      <family val="3"/>
      <charset val="129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rgb="FFFF0000"/>
      <name val="Arial"/>
      <family val="2"/>
    </font>
    <font>
      <b/>
      <sz val="10"/>
      <color rgb="FF0000FF"/>
      <name val="Arial"/>
      <family val="2"/>
    </font>
    <font>
      <i/>
      <sz val="10"/>
      <color theme="1"/>
      <name val="Arial"/>
      <family val="2"/>
    </font>
    <font>
      <b/>
      <i/>
      <sz val="10"/>
      <color theme="1"/>
      <name val="Arial"/>
      <family val="2"/>
    </font>
    <font>
      <b/>
      <i/>
      <sz val="10"/>
      <color rgb="FFFF0000"/>
      <name val="Arial"/>
      <family val="2"/>
    </font>
    <font>
      <b/>
      <i/>
      <sz val="10"/>
      <color rgb="FF0000FF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8"/>
      <color rgb="FFFF0000"/>
      <name val="Arial"/>
      <family val="2"/>
    </font>
    <font>
      <sz val="8"/>
      <name val="Arial"/>
      <family val="2"/>
    </font>
    <font>
      <b/>
      <sz val="11"/>
      <color theme="1"/>
      <name val="Calibri"/>
      <family val="2"/>
    </font>
    <font>
      <sz val="10"/>
      <color theme="1"/>
      <name val="Tahoma"/>
      <family val="2"/>
    </font>
    <font>
      <sz val="11"/>
      <color theme="1"/>
      <name val="Tahoma"/>
      <family val="2"/>
    </font>
    <font>
      <sz val="10"/>
      <color rgb="FFFF0000"/>
      <name val="Tahoma"/>
      <family val="2"/>
    </font>
    <font>
      <sz val="10"/>
      <name val="Tahoma"/>
      <family val="2"/>
    </font>
    <font>
      <b/>
      <sz val="10"/>
      <color theme="1"/>
      <name val="Tahoma"/>
      <family val="2"/>
    </font>
    <font>
      <b/>
      <sz val="10"/>
      <name val="Tahoma"/>
      <family val="2"/>
    </font>
    <font>
      <u/>
      <sz val="11"/>
      <color theme="1"/>
      <name val="Calibri"/>
      <family val="2"/>
    </font>
    <font>
      <sz val="8"/>
      <name val="맑은 고딕"/>
      <family val="2"/>
      <charset val="129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mediumGray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5">
    <xf numFmtId="0" fontId="0" fillId="0" borderId="0">
      <alignment vertical="center"/>
    </xf>
    <xf numFmtId="176" fontId="1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0" fontId="8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363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right" vertical="center"/>
    </xf>
    <xf numFmtId="41" fontId="5" fillId="3" borderId="2" xfId="2" applyFont="1" applyFill="1" applyBorder="1" applyAlignment="1">
      <alignment horizontal="center" vertical="center" wrapText="1"/>
    </xf>
    <xf numFmtId="41" fontId="5" fillId="5" borderId="5" xfId="2" applyFont="1" applyFill="1" applyBorder="1" applyAlignment="1">
      <alignment vertical="center" wrapText="1"/>
    </xf>
    <xf numFmtId="0" fontId="6" fillId="7" borderId="13" xfId="0" applyFont="1" applyFill="1" applyBorder="1" applyAlignment="1" applyProtection="1">
      <alignment horizontal="center" vertical="top"/>
      <protection locked="0"/>
    </xf>
    <xf numFmtId="0" fontId="4" fillId="7" borderId="14" xfId="0" applyFont="1" applyFill="1" applyBorder="1" applyAlignment="1">
      <alignment horizontal="center" vertical="center"/>
    </xf>
    <xf numFmtId="3" fontId="7" fillId="8" borderId="14" xfId="0" applyNumberFormat="1" applyFont="1" applyFill="1" applyBorder="1" applyAlignment="1">
      <alignment horizontal="center" vertical="center"/>
    </xf>
    <xf numFmtId="177" fontId="4" fillId="3" borderId="1" xfId="2" applyNumberFormat="1" applyFont="1" applyFill="1" applyBorder="1" applyAlignment="1">
      <alignment horizontal="center" vertical="center"/>
    </xf>
    <xf numFmtId="177" fontId="4" fillId="4" borderId="1" xfId="0" applyNumberFormat="1" applyFont="1" applyFill="1" applyBorder="1" applyAlignment="1">
      <alignment horizontal="center" vertical="center" wrapText="1"/>
    </xf>
    <xf numFmtId="177" fontId="4" fillId="4" borderId="1" xfId="3" applyNumberFormat="1" applyFont="1" applyFill="1" applyBorder="1" applyAlignment="1">
      <alignment horizontal="center" vertical="center"/>
    </xf>
    <xf numFmtId="0" fontId="4" fillId="5" borderId="14" xfId="2" applyNumberFormat="1" applyFont="1" applyFill="1" applyBorder="1" applyAlignment="1">
      <alignment horizontal="center" vertical="center"/>
    </xf>
    <xf numFmtId="0" fontId="4" fillId="6" borderId="2" xfId="2" applyNumberFormat="1" applyFont="1" applyFill="1" applyBorder="1" applyAlignment="1">
      <alignment horizontal="center" vertical="center"/>
    </xf>
    <xf numFmtId="0" fontId="4" fillId="5" borderId="13" xfId="2" applyNumberFormat="1" applyFont="1" applyFill="1" applyBorder="1" applyAlignment="1">
      <alignment horizontal="center" vertical="center"/>
    </xf>
    <xf numFmtId="0" fontId="6" fillId="7" borderId="9" xfId="0" applyFont="1" applyFill="1" applyBorder="1" applyAlignment="1" applyProtection="1">
      <alignment horizontal="center" vertical="top"/>
      <protection locked="0"/>
    </xf>
    <xf numFmtId="0" fontId="4" fillId="7" borderId="1" xfId="0" applyFont="1" applyFill="1" applyBorder="1" applyAlignment="1">
      <alignment horizontal="center" vertical="center"/>
    </xf>
    <xf numFmtId="3" fontId="7" fillId="8" borderId="1" xfId="0" applyNumberFormat="1" applyFont="1" applyFill="1" applyBorder="1" applyAlignment="1">
      <alignment horizontal="center" vertical="center"/>
    </xf>
    <xf numFmtId="0" fontId="4" fillId="5" borderId="1" xfId="2" applyNumberFormat="1" applyFont="1" applyFill="1" applyBorder="1" applyAlignment="1">
      <alignment horizontal="center" vertical="center"/>
    </xf>
    <xf numFmtId="0" fontId="4" fillId="6" borderId="8" xfId="2" applyNumberFormat="1" applyFont="1" applyFill="1" applyBorder="1" applyAlignment="1">
      <alignment horizontal="center" vertical="center"/>
    </xf>
    <xf numFmtId="177" fontId="4" fillId="3" borderId="14" xfId="2" applyNumberFormat="1" applyFont="1" applyFill="1" applyBorder="1" applyAlignment="1">
      <alignment horizontal="center" vertical="center"/>
    </xf>
    <xf numFmtId="0" fontId="4" fillId="5" borderId="9" xfId="2" applyNumberFormat="1" applyFont="1" applyFill="1" applyBorder="1" applyAlignment="1">
      <alignment horizontal="center" vertical="center"/>
    </xf>
    <xf numFmtId="177" fontId="4" fillId="4" borderId="14" xfId="0" applyNumberFormat="1" applyFont="1" applyFill="1" applyBorder="1" applyAlignment="1">
      <alignment horizontal="center" vertical="center" wrapText="1"/>
    </xf>
    <xf numFmtId="177" fontId="4" fillId="4" borderId="14" xfId="3" applyNumberFormat="1" applyFont="1" applyFill="1" applyBorder="1" applyAlignment="1">
      <alignment horizontal="center" vertical="center"/>
    </xf>
    <xf numFmtId="0" fontId="4" fillId="6" borderId="15" xfId="2" applyNumberFormat="1" applyFont="1" applyFill="1" applyBorder="1" applyAlignment="1">
      <alignment horizontal="center" vertical="center"/>
    </xf>
    <xf numFmtId="0" fontId="4" fillId="5" borderId="16" xfId="2" applyNumberFormat="1" applyFont="1" applyFill="1" applyBorder="1" applyAlignment="1">
      <alignment horizontal="center" vertical="center"/>
    </xf>
    <xf numFmtId="0" fontId="4" fillId="5" borderId="7" xfId="2" applyNumberFormat="1" applyFont="1" applyFill="1" applyBorder="1" applyAlignment="1">
      <alignment horizontal="center" vertical="center"/>
    </xf>
    <xf numFmtId="0" fontId="4" fillId="7" borderId="7" xfId="0" applyFont="1" applyFill="1" applyBorder="1" applyAlignment="1">
      <alignment horizontal="center" vertical="center"/>
    </xf>
    <xf numFmtId="0" fontId="6" fillId="7" borderId="17" xfId="0" applyFont="1" applyFill="1" applyBorder="1" applyAlignment="1" applyProtection="1">
      <alignment horizontal="center" vertical="top"/>
      <protection locked="0"/>
    </xf>
    <xf numFmtId="0" fontId="4" fillId="7" borderId="18" xfId="0" applyFont="1" applyFill="1" applyBorder="1" applyAlignment="1">
      <alignment horizontal="center" vertical="center"/>
    </xf>
    <xf numFmtId="3" fontId="7" fillId="8" borderId="18" xfId="0" applyNumberFormat="1" applyFont="1" applyFill="1" applyBorder="1" applyAlignment="1">
      <alignment horizontal="center" vertical="center"/>
    </xf>
    <xf numFmtId="177" fontId="4" fillId="3" borderId="18" xfId="2" applyNumberFormat="1" applyFont="1" applyFill="1" applyBorder="1" applyAlignment="1">
      <alignment horizontal="center" vertical="center"/>
    </xf>
    <xf numFmtId="177" fontId="4" fillId="4" borderId="18" xfId="0" applyNumberFormat="1" applyFont="1" applyFill="1" applyBorder="1" applyAlignment="1">
      <alignment horizontal="center" vertical="center" wrapText="1"/>
    </xf>
    <xf numFmtId="177" fontId="4" fillId="4" borderId="18" xfId="3" applyNumberFormat="1" applyFont="1" applyFill="1" applyBorder="1" applyAlignment="1">
      <alignment horizontal="center" vertical="center"/>
    </xf>
    <xf numFmtId="0" fontId="4" fillId="5" borderId="18" xfId="2" applyNumberFormat="1" applyFont="1" applyFill="1" applyBorder="1" applyAlignment="1">
      <alignment horizontal="center" vertical="center"/>
    </xf>
    <xf numFmtId="0" fontId="4" fillId="6" borderId="19" xfId="2" applyNumberFormat="1" applyFont="1" applyFill="1" applyBorder="1" applyAlignment="1">
      <alignment horizontal="center" vertical="center"/>
    </xf>
    <xf numFmtId="0" fontId="4" fillId="5" borderId="17" xfId="2" applyNumberFormat="1" applyFont="1" applyFill="1" applyBorder="1" applyAlignment="1">
      <alignment horizontal="center" vertical="center"/>
    </xf>
    <xf numFmtId="0" fontId="6" fillId="7" borderId="21" xfId="0" applyFont="1" applyFill="1" applyBorder="1" applyAlignment="1">
      <alignment horizontal="center" vertical="center"/>
    </xf>
    <xf numFmtId="3" fontId="7" fillId="8" borderId="22" xfId="0" applyNumberFormat="1" applyFont="1" applyFill="1" applyBorder="1" applyAlignment="1">
      <alignment horizontal="center" vertical="center"/>
    </xf>
    <xf numFmtId="3" fontId="7" fillId="8" borderId="7" xfId="0" applyNumberFormat="1" applyFont="1" applyFill="1" applyBorder="1" applyAlignment="1">
      <alignment horizontal="center" vertical="center"/>
    </xf>
    <xf numFmtId="177" fontId="4" fillId="3" borderId="22" xfId="2" applyNumberFormat="1" applyFont="1" applyFill="1" applyBorder="1" applyAlignment="1">
      <alignment horizontal="center" vertical="center"/>
    </xf>
    <xf numFmtId="177" fontId="4" fillId="4" borderId="7" xfId="0" applyNumberFormat="1" applyFont="1" applyFill="1" applyBorder="1" applyAlignment="1">
      <alignment horizontal="center" vertical="center" wrapText="1"/>
    </xf>
    <xf numFmtId="177" fontId="4" fillId="4" borderId="7" xfId="0" applyNumberFormat="1" applyFont="1" applyFill="1" applyBorder="1" applyAlignment="1">
      <alignment horizontal="center" vertical="center"/>
    </xf>
    <xf numFmtId="0" fontId="4" fillId="6" borderId="23" xfId="2" applyNumberFormat="1" applyFont="1" applyFill="1" applyBorder="1" applyAlignment="1">
      <alignment horizontal="center" vertical="center"/>
    </xf>
    <xf numFmtId="0" fontId="4" fillId="5" borderId="22" xfId="2" applyNumberFormat="1" applyFont="1" applyFill="1" applyBorder="1" applyAlignment="1">
      <alignment horizontal="center" vertical="center"/>
    </xf>
    <xf numFmtId="0" fontId="6" fillId="7" borderId="13" xfId="0" applyFont="1" applyFill="1" applyBorder="1" applyAlignment="1">
      <alignment horizontal="center" vertical="center"/>
    </xf>
    <xf numFmtId="177" fontId="4" fillId="4" borderId="1" xfId="0" applyNumberFormat="1" applyFont="1" applyFill="1" applyBorder="1" applyAlignment="1">
      <alignment horizontal="center" vertical="center"/>
    </xf>
    <xf numFmtId="0" fontId="6" fillId="7" borderId="9" xfId="0" applyFont="1" applyFill="1" applyBorder="1" applyAlignment="1">
      <alignment horizontal="center" vertical="center"/>
    </xf>
    <xf numFmtId="0" fontId="6" fillId="5" borderId="9" xfId="2" applyNumberFormat="1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177" fontId="4" fillId="4" borderId="14" xfId="0" applyNumberFormat="1" applyFont="1" applyFill="1" applyBorder="1" applyAlignment="1">
      <alignment horizontal="center" vertical="center"/>
    </xf>
    <xf numFmtId="0" fontId="4" fillId="5" borderId="21" xfId="2" applyNumberFormat="1" applyFont="1" applyFill="1" applyBorder="1" applyAlignment="1">
      <alignment horizontal="center" vertical="center"/>
    </xf>
    <xf numFmtId="0" fontId="6" fillId="7" borderId="17" xfId="0" applyFont="1" applyFill="1" applyBorder="1" applyAlignment="1">
      <alignment horizontal="center" vertical="center"/>
    </xf>
    <xf numFmtId="177" fontId="4" fillId="4" borderId="18" xfId="0" applyNumberFormat="1" applyFont="1" applyFill="1" applyBorder="1" applyAlignment="1">
      <alignment horizontal="center" vertical="center"/>
    </xf>
    <xf numFmtId="0" fontId="6" fillId="5" borderId="17" xfId="2" applyNumberFormat="1" applyFont="1" applyFill="1" applyBorder="1" applyAlignment="1">
      <alignment horizontal="center" vertical="center"/>
    </xf>
    <xf numFmtId="0" fontId="6" fillId="7" borderId="21" xfId="0" applyFont="1" applyFill="1" applyBorder="1" applyAlignment="1" applyProtection="1">
      <alignment horizontal="center" vertical="top"/>
      <protection locked="0"/>
    </xf>
    <xf numFmtId="177" fontId="4" fillId="3" borderId="7" xfId="2" applyNumberFormat="1" applyFont="1" applyFill="1" applyBorder="1" applyAlignment="1">
      <alignment horizontal="center" vertical="center"/>
    </xf>
    <xf numFmtId="177" fontId="4" fillId="4" borderId="7" xfId="3" applyNumberFormat="1" applyFont="1" applyFill="1" applyBorder="1" applyAlignment="1">
      <alignment horizontal="center" vertical="center"/>
    </xf>
    <xf numFmtId="0" fontId="4" fillId="5" borderId="5" xfId="2" applyNumberFormat="1" applyFont="1" applyFill="1" applyBorder="1" applyAlignment="1">
      <alignment horizontal="center" vertical="center"/>
    </xf>
    <xf numFmtId="0" fontId="4" fillId="5" borderId="24" xfId="2" applyNumberFormat="1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3" fontId="4" fillId="0" borderId="24" xfId="0" applyNumberFormat="1" applyFont="1" applyBorder="1" applyAlignment="1">
      <alignment horizontal="center" vertical="center"/>
    </xf>
    <xf numFmtId="177" fontId="4" fillId="3" borderId="24" xfId="2" applyNumberFormat="1" applyFont="1" applyFill="1" applyBorder="1" applyAlignment="1">
      <alignment horizontal="center" vertical="center"/>
    </xf>
    <xf numFmtId="177" fontId="4" fillId="4" borderId="24" xfId="0" applyNumberFormat="1" applyFont="1" applyFill="1" applyBorder="1" applyAlignment="1">
      <alignment horizontal="center" vertical="center" wrapText="1"/>
    </xf>
    <xf numFmtId="177" fontId="4" fillId="4" borderId="24" xfId="3" applyNumberFormat="1" applyFont="1" applyFill="1" applyBorder="1" applyAlignment="1">
      <alignment horizontal="center" vertical="center"/>
    </xf>
    <xf numFmtId="0" fontId="4" fillId="6" borderId="6" xfId="2" applyNumberFormat="1" applyFont="1" applyFill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3" fontId="4" fillId="0" borderId="14" xfId="0" applyNumberFormat="1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3" fontId="4" fillId="0" borderId="1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3" fontId="4" fillId="0" borderId="7" xfId="0" applyNumberFormat="1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3" fontId="4" fillId="0" borderId="22" xfId="0" applyNumberFormat="1" applyFont="1" applyBorder="1" applyAlignment="1">
      <alignment horizontal="center" vertical="center"/>
    </xf>
    <xf numFmtId="177" fontId="4" fillId="4" borderId="22" xfId="0" applyNumberFormat="1" applyFont="1" applyFill="1" applyBorder="1" applyAlignment="1">
      <alignment horizontal="center" vertical="center" wrapText="1"/>
    </xf>
    <xf numFmtId="177" fontId="4" fillId="4" borderId="22" xfId="3" applyNumberFormat="1" applyFont="1" applyFill="1" applyBorder="1" applyAlignment="1">
      <alignment horizontal="center" vertical="center"/>
    </xf>
    <xf numFmtId="0" fontId="4" fillId="6" borderId="25" xfId="2" applyNumberFormat="1" applyFont="1" applyFill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3" fontId="4" fillId="0" borderId="18" xfId="0" applyNumberFormat="1" applyFont="1" applyBorder="1" applyAlignment="1">
      <alignment horizontal="center" vertical="center"/>
    </xf>
    <xf numFmtId="0" fontId="6" fillId="7" borderId="16" xfId="0" applyFont="1" applyFill="1" applyBorder="1" applyAlignment="1" applyProtection="1">
      <alignment horizontal="center" vertical="top"/>
      <protection locked="0"/>
    </xf>
    <xf numFmtId="0" fontId="4" fillId="7" borderId="22" xfId="0" applyFont="1" applyFill="1" applyBorder="1" applyAlignment="1">
      <alignment horizontal="center" vertical="center"/>
    </xf>
    <xf numFmtId="177" fontId="6" fillId="4" borderId="14" xfId="3" applyNumberFormat="1" applyFont="1" applyFill="1" applyBorder="1" applyAlignment="1">
      <alignment horizontal="center" vertical="center"/>
    </xf>
    <xf numFmtId="0" fontId="6" fillId="5" borderId="14" xfId="2" applyNumberFormat="1" applyFont="1" applyFill="1" applyBorder="1" applyAlignment="1">
      <alignment horizontal="center" vertical="center"/>
    </xf>
    <xf numFmtId="0" fontId="6" fillId="6" borderId="2" xfId="2" applyNumberFormat="1" applyFont="1" applyFill="1" applyBorder="1" applyAlignment="1">
      <alignment horizontal="center" vertical="center"/>
    </xf>
    <xf numFmtId="0" fontId="6" fillId="7" borderId="5" xfId="0" applyFont="1" applyFill="1" applyBorder="1" applyAlignment="1">
      <alignment horizontal="center" vertical="center"/>
    </xf>
    <xf numFmtId="0" fontId="6" fillId="7" borderId="24" xfId="0" applyFont="1" applyFill="1" applyBorder="1" applyAlignment="1">
      <alignment horizontal="center" vertical="center"/>
    </xf>
    <xf numFmtId="3" fontId="6" fillId="8" borderId="24" xfId="0" applyNumberFormat="1" applyFont="1" applyFill="1" applyBorder="1" applyAlignment="1">
      <alignment horizontal="center" vertical="center"/>
    </xf>
    <xf numFmtId="177" fontId="6" fillId="3" borderId="24" xfId="2" applyNumberFormat="1" applyFont="1" applyFill="1" applyBorder="1" applyAlignment="1">
      <alignment horizontal="center" vertical="center"/>
    </xf>
    <xf numFmtId="177" fontId="6" fillId="4" borderId="24" xfId="0" applyNumberFormat="1" applyFont="1" applyFill="1" applyBorder="1" applyAlignment="1">
      <alignment horizontal="center" vertical="center" wrapText="1"/>
    </xf>
    <xf numFmtId="177" fontId="6" fillId="4" borderId="24" xfId="3" applyNumberFormat="1" applyFont="1" applyFill="1" applyBorder="1" applyAlignment="1">
      <alignment horizontal="center" vertical="center"/>
    </xf>
    <xf numFmtId="0" fontId="6" fillId="5" borderId="24" xfId="2" applyNumberFormat="1" applyFont="1" applyFill="1" applyBorder="1" applyAlignment="1">
      <alignment horizontal="center" vertical="center"/>
    </xf>
    <xf numFmtId="0" fontId="6" fillId="6" borderId="6" xfId="2" applyNumberFormat="1" applyFont="1" applyFill="1" applyBorder="1" applyAlignment="1">
      <alignment horizontal="center" vertical="center"/>
    </xf>
    <xf numFmtId="0" fontId="6" fillId="7" borderId="14" xfId="0" applyFont="1" applyFill="1" applyBorder="1" applyAlignment="1">
      <alignment horizontal="center" vertical="center"/>
    </xf>
    <xf numFmtId="3" fontId="6" fillId="8" borderId="14" xfId="0" applyNumberFormat="1" applyFont="1" applyFill="1" applyBorder="1" applyAlignment="1">
      <alignment horizontal="center" vertical="center"/>
    </xf>
    <xf numFmtId="177" fontId="6" fillId="3" borderId="14" xfId="2" applyNumberFormat="1" applyFont="1" applyFill="1" applyBorder="1" applyAlignment="1">
      <alignment horizontal="center" vertical="center"/>
    </xf>
    <xf numFmtId="177" fontId="6" fillId="4" borderId="14" xfId="0" applyNumberFormat="1" applyFont="1" applyFill="1" applyBorder="1" applyAlignment="1">
      <alignment horizontal="center" vertical="center" wrapText="1"/>
    </xf>
    <xf numFmtId="3" fontId="6" fillId="8" borderId="1" xfId="0" applyNumberFormat="1" applyFont="1" applyFill="1" applyBorder="1" applyAlignment="1">
      <alignment horizontal="center" vertical="center"/>
    </xf>
    <xf numFmtId="177" fontId="6" fillId="3" borderId="1" xfId="2" applyNumberFormat="1" applyFont="1" applyFill="1" applyBorder="1" applyAlignment="1">
      <alignment horizontal="center" vertical="center"/>
    </xf>
    <xf numFmtId="177" fontId="6" fillId="4" borderId="1" xfId="0" applyNumberFormat="1" applyFont="1" applyFill="1" applyBorder="1" applyAlignment="1">
      <alignment horizontal="center" vertical="center" wrapText="1"/>
    </xf>
    <xf numFmtId="177" fontId="6" fillId="4" borderId="1" xfId="3" applyNumberFormat="1" applyFont="1" applyFill="1" applyBorder="1" applyAlignment="1">
      <alignment horizontal="center" vertical="center"/>
    </xf>
    <xf numFmtId="0" fontId="6" fillId="5" borderId="1" xfId="2" applyNumberFormat="1" applyFont="1" applyFill="1" applyBorder="1" applyAlignment="1">
      <alignment horizontal="center" vertical="center"/>
    </xf>
    <xf numFmtId="0" fontId="6" fillId="6" borderId="8" xfId="2" applyNumberFormat="1" applyFont="1" applyFill="1" applyBorder="1" applyAlignment="1">
      <alignment horizontal="center" vertical="center"/>
    </xf>
    <xf numFmtId="0" fontId="6" fillId="5" borderId="13" xfId="2" applyNumberFormat="1" applyFont="1" applyFill="1" applyBorder="1" applyAlignment="1">
      <alignment horizontal="center" vertical="center"/>
    </xf>
    <xf numFmtId="0" fontId="6" fillId="7" borderId="7" xfId="0" applyFont="1" applyFill="1" applyBorder="1" applyAlignment="1">
      <alignment horizontal="center" vertical="center"/>
    </xf>
    <xf numFmtId="3" fontId="6" fillId="8" borderId="7" xfId="0" applyNumberFormat="1" applyFont="1" applyFill="1" applyBorder="1" applyAlignment="1">
      <alignment horizontal="center" vertical="center"/>
    </xf>
    <xf numFmtId="177" fontId="6" fillId="3" borderId="7" xfId="2" applyNumberFormat="1" applyFont="1" applyFill="1" applyBorder="1" applyAlignment="1">
      <alignment horizontal="center" vertical="center"/>
    </xf>
    <xf numFmtId="177" fontId="6" fillId="4" borderId="22" xfId="0" applyNumberFormat="1" applyFont="1" applyFill="1" applyBorder="1" applyAlignment="1">
      <alignment horizontal="center" vertical="center" wrapText="1"/>
    </xf>
    <xf numFmtId="177" fontId="6" fillId="4" borderId="22" xfId="3" applyNumberFormat="1" applyFont="1" applyFill="1" applyBorder="1" applyAlignment="1">
      <alignment horizontal="center" vertical="center"/>
    </xf>
    <xf numFmtId="0" fontId="6" fillId="7" borderId="18" xfId="0" applyFont="1" applyFill="1" applyBorder="1" applyAlignment="1">
      <alignment horizontal="center" vertical="center"/>
    </xf>
    <xf numFmtId="3" fontId="6" fillId="8" borderId="18" xfId="0" applyNumberFormat="1" applyFont="1" applyFill="1" applyBorder="1" applyAlignment="1">
      <alignment horizontal="center" vertical="center"/>
    </xf>
    <xf numFmtId="177" fontId="6" fillId="3" borderId="18" xfId="2" applyNumberFormat="1" applyFont="1" applyFill="1" applyBorder="1" applyAlignment="1">
      <alignment horizontal="center" vertical="center"/>
    </xf>
    <xf numFmtId="177" fontId="6" fillId="4" borderId="18" xfId="0" applyNumberFormat="1" applyFont="1" applyFill="1" applyBorder="1" applyAlignment="1">
      <alignment horizontal="center" vertical="center" wrapText="1"/>
    </xf>
    <xf numFmtId="177" fontId="6" fillId="4" borderId="18" xfId="3" applyNumberFormat="1" applyFont="1" applyFill="1" applyBorder="1" applyAlignment="1">
      <alignment horizontal="center" vertical="center"/>
    </xf>
    <xf numFmtId="0" fontId="4" fillId="6" borderId="20" xfId="2" applyNumberFormat="1" applyFont="1" applyFill="1" applyBorder="1" applyAlignment="1">
      <alignment horizontal="center" vertical="center"/>
    </xf>
    <xf numFmtId="0" fontId="9" fillId="0" borderId="26" xfId="0" applyFont="1" applyBorder="1" applyAlignment="1">
      <alignment horizontal="center" vertical="center"/>
    </xf>
    <xf numFmtId="0" fontId="9" fillId="0" borderId="27" xfId="0" applyFont="1" applyBorder="1" applyAlignment="1">
      <alignment horizontal="center" vertical="center"/>
    </xf>
    <xf numFmtId="0" fontId="4" fillId="9" borderId="0" xfId="0" applyFont="1" applyFill="1">
      <alignment vertical="center"/>
    </xf>
    <xf numFmtId="0" fontId="10" fillId="0" borderId="0" xfId="0" applyFont="1">
      <alignment vertical="center"/>
    </xf>
    <xf numFmtId="0" fontId="9" fillId="0" borderId="0" xfId="0" applyFont="1">
      <alignment vertical="center"/>
    </xf>
    <xf numFmtId="178" fontId="9" fillId="0" borderId="0" xfId="4" applyNumberFormat="1" applyFont="1" applyAlignment="1">
      <alignment horizontal="center" vertical="center"/>
    </xf>
    <xf numFmtId="0" fontId="9" fillId="0" borderId="28" xfId="0" applyFont="1" applyBorder="1" applyAlignment="1">
      <alignment horizontal="center" vertical="center"/>
    </xf>
    <xf numFmtId="41" fontId="10" fillId="0" borderId="26" xfId="2" applyFont="1" applyBorder="1" applyAlignment="1">
      <alignment horizontal="center" vertical="center" wrapText="1"/>
    </xf>
    <xf numFmtId="41" fontId="9" fillId="0" borderId="26" xfId="2" applyFont="1" applyBorder="1" applyAlignment="1">
      <alignment horizontal="center" vertical="center" wrapText="1"/>
    </xf>
    <xf numFmtId="0" fontId="9" fillId="0" borderId="26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11" fillId="7" borderId="0" xfId="0" applyFont="1" applyFill="1" applyAlignment="1">
      <alignment horizontal="center" vertical="center"/>
    </xf>
    <xf numFmtId="14" fontId="9" fillId="7" borderId="0" xfId="0" applyNumberFormat="1" applyFont="1" applyFill="1" applyAlignment="1">
      <alignment horizontal="center" vertical="center"/>
    </xf>
    <xf numFmtId="41" fontId="9" fillId="7" borderId="0" xfId="2" applyFont="1" applyFill="1" applyAlignment="1">
      <alignment horizontal="center" vertical="center"/>
    </xf>
    <xf numFmtId="41" fontId="9" fillId="7" borderId="0" xfId="2" applyFont="1" applyFill="1">
      <alignment vertical="center"/>
    </xf>
    <xf numFmtId="41" fontId="9" fillId="7" borderId="31" xfId="0" applyNumberFormat="1" applyFont="1" applyFill="1" applyBorder="1">
      <alignment vertical="center"/>
    </xf>
    <xf numFmtId="0" fontId="12" fillId="7" borderId="0" xfId="0" applyFont="1" applyFill="1" applyAlignment="1">
      <alignment horizontal="center" vertical="center"/>
    </xf>
    <xf numFmtId="14" fontId="9" fillId="7" borderId="0" xfId="0" applyNumberFormat="1" applyFont="1" applyFill="1" applyAlignment="1">
      <alignment horizontal="center" vertical="center" wrapText="1"/>
    </xf>
    <xf numFmtId="41" fontId="9" fillId="7" borderId="31" xfId="0" applyNumberFormat="1" applyFont="1" applyFill="1" applyBorder="1" applyAlignment="1">
      <alignment horizontal="center" vertical="center"/>
    </xf>
    <xf numFmtId="0" fontId="10" fillId="7" borderId="0" xfId="0" applyFont="1" applyFill="1" applyAlignment="1">
      <alignment horizontal="center" vertical="center"/>
    </xf>
    <xf numFmtId="41" fontId="10" fillId="7" borderId="0" xfId="2" applyFont="1" applyFill="1">
      <alignment vertical="center"/>
    </xf>
    <xf numFmtId="41" fontId="10" fillId="7" borderId="31" xfId="2" applyFont="1" applyFill="1" applyBorder="1">
      <alignment vertical="center"/>
    </xf>
    <xf numFmtId="0" fontId="11" fillId="7" borderId="33" xfId="0" applyFont="1" applyFill="1" applyBorder="1" applyAlignment="1">
      <alignment horizontal="center" vertical="center"/>
    </xf>
    <xf numFmtId="14" fontId="9" fillId="7" borderId="33" xfId="0" applyNumberFormat="1" applyFont="1" applyFill="1" applyBorder="1" applyAlignment="1">
      <alignment horizontal="center" vertical="center"/>
    </xf>
    <xf numFmtId="41" fontId="9" fillId="7" borderId="33" xfId="2" applyFont="1" applyFill="1" applyBorder="1" applyAlignment="1">
      <alignment horizontal="center" vertical="center"/>
    </xf>
    <xf numFmtId="41" fontId="9" fillId="7" borderId="33" xfId="2" applyFont="1" applyFill="1" applyBorder="1">
      <alignment vertical="center"/>
    </xf>
    <xf numFmtId="41" fontId="9" fillId="7" borderId="34" xfId="0" applyNumberFormat="1" applyFont="1" applyFill="1" applyBorder="1">
      <alignment vertical="center"/>
    </xf>
    <xf numFmtId="0" fontId="10" fillId="7" borderId="32" xfId="0" applyFont="1" applyFill="1" applyBorder="1" applyAlignment="1">
      <alignment horizontal="center" vertical="center"/>
    </xf>
    <xf numFmtId="41" fontId="10" fillId="7" borderId="32" xfId="2" applyFont="1" applyFill="1" applyBorder="1">
      <alignment vertical="center"/>
    </xf>
    <xf numFmtId="41" fontId="10" fillId="7" borderId="35" xfId="2" applyFont="1" applyFill="1" applyBorder="1">
      <alignment vertical="center"/>
    </xf>
    <xf numFmtId="43" fontId="10" fillId="0" borderId="0" xfId="0" applyNumberFormat="1" applyFont="1">
      <alignment vertical="center"/>
    </xf>
    <xf numFmtId="41" fontId="14" fillId="10" borderId="33" xfId="2" applyFont="1" applyFill="1" applyBorder="1" applyAlignment="1">
      <alignment horizontal="center" vertical="center"/>
    </xf>
    <xf numFmtId="41" fontId="13" fillId="10" borderId="33" xfId="2" applyFont="1" applyFill="1" applyBorder="1" applyAlignment="1">
      <alignment horizontal="center" vertical="center"/>
    </xf>
    <xf numFmtId="0" fontId="13" fillId="10" borderId="33" xfId="0" applyFont="1" applyFill="1" applyBorder="1" applyAlignment="1">
      <alignment horizontal="center" vertical="center"/>
    </xf>
    <xf numFmtId="14" fontId="13" fillId="10" borderId="33" xfId="0" applyNumberFormat="1" applyFont="1" applyFill="1" applyBorder="1" applyAlignment="1">
      <alignment horizontal="center" vertical="center"/>
    </xf>
    <xf numFmtId="41" fontId="13" fillId="10" borderId="33" xfId="2" applyFont="1" applyFill="1" applyBorder="1">
      <alignment vertical="center"/>
    </xf>
    <xf numFmtId="41" fontId="13" fillId="10" borderId="0" xfId="2" applyFont="1" applyFill="1">
      <alignment vertical="center"/>
    </xf>
    <xf numFmtId="41" fontId="13" fillId="10" borderId="0" xfId="0" applyNumberFormat="1" applyFont="1" applyFill="1">
      <alignment vertical="center"/>
    </xf>
    <xf numFmtId="41" fontId="13" fillId="10" borderId="0" xfId="4" applyNumberFormat="1" applyFont="1" applyFill="1" applyAlignment="1">
      <alignment horizontal="center" vertical="center"/>
    </xf>
    <xf numFmtId="41" fontId="13" fillId="10" borderId="31" xfId="0" applyNumberFormat="1" applyFont="1" applyFill="1" applyBorder="1">
      <alignment vertical="center"/>
    </xf>
    <xf numFmtId="0" fontId="13" fillId="0" borderId="0" xfId="0" applyFont="1">
      <alignment vertical="center"/>
    </xf>
    <xf numFmtId="41" fontId="14" fillId="10" borderId="0" xfId="2" applyFont="1" applyFill="1" applyAlignment="1">
      <alignment horizontal="center" vertical="center"/>
    </xf>
    <xf numFmtId="14" fontId="13" fillId="10" borderId="0" xfId="0" applyNumberFormat="1" applyFont="1" applyFill="1">
      <alignment vertical="center"/>
    </xf>
    <xf numFmtId="14" fontId="13" fillId="10" borderId="0" xfId="0" applyNumberFormat="1" applyFont="1" applyFill="1" applyAlignment="1">
      <alignment horizontal="center" vertical="center"/>
    </xf>
    <xf numFmtId="0" fontId="13" fillId="10" borderId="0" xfId="0" applyFont="1" applyFill="1" applyAlignment="1">
      <alignment horizontal="center" vertical="center"/>
    </xf>
    <xf numFmtId="41" fontId="13" fillId="10" borderId="0" xfId="2" applyFont="1" applyFill="1" applyAlignment="1">
      <alignment horizontal="center" vertical="center"/>
    </xf>
    <xf numFmtId="41" fontId="13" fillId="10" borderId="0" xfId="2" applyFont="1" applyFill="1" applyAlignment="1">
      <alignment horizontal="right" vertical="center"/>
    </xf>
    <xf numFmtId="0" fontId="13" fillId="10" borderId="0" xfId="2" applyNumberFormat="1" applyFont="1" applyFill="1">
      <alignment vertical="center"/>
    </xf>
    <xf numFmtId="41" fontId="14" fillId="10" borderId="32" xfId="2" applyFont="1" applyFill="1" applyBorder="1" applyAlignment="1">
      <alignment horizontal="center" vertical="center"/>
    </xf>
    <xf numFmtId="0" fontId="14" fillId="10" borderId="32" xfId="0" applyFont="1" applyFill="1" applyBorder="1" applyAlignment="1">
      <alignment horizontal="center" vertical="center"/>
    </xf>
    <xf numFmtId="41" fontId="14" fillId="10" borderId="32" xfId="2" applyFont="1" applyFill="1" applyBorder="1">
      <alignment vertical="center"/>
    </xf>
    <xf numFmtId="41" fontId="14" fillId="10" borderId="35" xfId="2" applyFont="1" applyFill="1" applyBorder="1">
      <alignment vertical="center"/>
    </xf>
    <xf numFmtId="0" fontId="14" fillId="0" borderId="0" xfId="0" applyFont="1">
      <alignment vertical="center"/>
    </xf>
    <xf numFmtId="0" fontId="15" fillId="10" borderId="0" xfId="0" applyFont="1" applyFill="1" applyAlignment="1">
      <alignment horizontal="center" vertical="center"/>
    </xf>
    <xf numFmtId="0" fontId="16" fillId="10" borderId="0" xfId="0" applyFont="1" applyFill="1" applyAlignment="1">
      <alignment horizontal="center" vertical="center"/>
    </xf>
    <xf numFmtId="14" fontId="13" fillId="10" borderId="0" xfId="0" applyNumberFormat="1" applyFont="1" applyFill="1" applyAlignment="1">
      <alignment horizontal="center" vertical="center" wrapText="1"/>
    </xf>
    <xf numFmtId="0" fontId="13" fillId="10" borderId="0" xfId="0" applyFont="1" applyFill="1">
      <alignment vertical="center"/>
    </xf>
    <xf numFmtId="41" fontId="14" fillId="10" borderId="31" xfId="0" applyNumberFormat="1" applyFont="1" applyFill="1" applyBorder="1">
      <alignment vertical="center"/>
    </xf>
    <xf numFmtId="41" fontId="10" fillId="7" borderId="0" xfId="2" applyFont="1" applyFill="1" applyAlignment="1">
      <alignment horizontal="center" vertical="center"/>
    </xf>
    <xf numFmtId="41" fontId="10" fillId="7" borderId="32" xfId="2" applyFont="1" applyFill="1" applyBorder="1" applyAlignment="1">
      <alignment horizontal="center" vertical="center"/>
    </xf>
    <xf numFmtId="41" fontId="17" fillId="7" borderId="0" xfId="2" applyFont="1" applyFill="1">
      <alignment vertical="center"/>
    </xf>
    <xf numFmtId="0" fontId="9" fillId="7" borderId="0" xfId="0" applyFont="1" applyFill="1">
      <alignment vertical="center"/>
    </xf>
    <xf numFmtId="3" fontId="9" fillId="0" borderId="0" xfId="0" applyNumberFormat="1" applyFont="1">
      <alignment vertical="center"/>
    </xf>
    <xf numFmtId="0" fontId="18" fillId="7" borderId="0" xfId="0" applyFont="1" applyFill="1" applyAlignment="1">
      <alignment horizontal="center" vertical="center"/>
    </xf>
    <xf numFmtId="3" fontId="10" fillId="0" borderId="0" xfId="0" applyNumberFormat="1" applyFont="1">
      <alignment vertical="center"/>
    </xf>
    <xf numFmtId="41" fontId="9" fillId="7" borderId="0" xfId="0" applyNumberFormat="1" applyFont="1" applyFill="1">
      <alignment vertical="center"/>
    </xf>
    <xf numFmtId="41" fontId="17" fillId="11" borderId="0" xfId="2" applyFont="1" applyFill="1">
      <alignment vertical="center"/>
    </xf>
    <xf numFmtId="41" fontId="10" fillId="11" borderId="32" xfId="2" applyFont="1" applyFill="1" applyBorder="1">
      <alignment vertical="center"/>
    </xf>
    <xf numFmtId="41" fontId="9" fillId="11" borderId="0" xfId="2" applyFont="1" applyFill="1">
      <alignment vertical="center"/>
    </xf>
    <xf numFmtId="0" fontId="9" fillId="11" borderId="0" xfId="0" applyFont="1" applyFill="1">
      <alignment vertical="center"/>
    </xf>
    <xf numFmtId="41" fontId="17" fillId="11" borderId="33" xfId="2" applyFont="1" applyFill="1" applyBorder="1">
      <alignment vertical="center"/>
    </xf>
    <xf numFmtId="41" fontId="9" fillId="11" borderId="33" xfId="2" applyFont="1" applyFill="1" applyBorder="1">
      <alignment vertical="center"/>
    </xf>
    <xf numFmtId="0" fontId="9" fillId="11" borderId="33" xfId="0" applyFont="1" applyFill="1" applyBorder="1">
      <alignment vertical="center"/>
    </xf>
    <xf numFmtId="14" fontId="9" fillId="7" borderId="32" xfId="0" applyNumberFormat="1" applyFont="1" applyFill="1" applyBorder="1" applyAlignment="1">
      <alignment horizontal="center" vertical="center" wrapText="1"/>
    </xf>
    <xf numFmtId="41" fontId="9" fillId="7" borderId="32" xfId="2" applyFont="1" applyFill="1" applyBorder="1" applyAlignment="1">
      <alignment horizontal="center" vertical="center"/>
    </xf>
    <xf numFmtId="41" fontId="10" fillId="7" borderId="35" xfId="0" applyNumberFormat="1" applyFont="1" applyFill="1" applyBorder="1" applyAlignment="1">
      <alignment horizontal="center" vertical="center"/>
    </xf>
    <xf numFmtId="179" fontId="9" fillId="11" borderId="0" xfId="0" applyNumberFormat="1" applyFont="1" applyFill="1">
      <alignment vertical="center"/>
    </xf>
    <xf numFmtId="41" fontId="18" fillId="11" borderId="32" xfId="2" applyFont="1" applyFill="1" applyBorder="1">
      <alignment vertical="center"/>
    </xf>
    <xf numFmtId="41" fontId="9" fillId="0" borderId="34" xfId="2" applyFont="1" applyBorder="1">
      <alignment vertical="center"/>
    </xf>
    <xf numFmtId="41" fontId="9" fillId="0" borderId="31" xfId="2" applyFont="1" applyBorder="1">
      <alignment vertical="center"/>
    </xf>
    <xf numFmtId="0" fontId="9" fillId="0" borderId="32" xfId="0" applyFont="1" applyBorder="1">
      <alignment vertical="center"/>
    </xf>
    <xf numFmtId="41" fontId="10" fillId="0" borderId="35" xfId="2" applyFont="1" applyBorder="1">
      <alignment vertical="center"/>
    </xf>
    <xf numFmtId="41" fontId="17" fillId="0" borderId="0" xfId="2" applyFont="1">
      <alignment vertical="center"/>
    </xf>
    <xf numFmtId="41" fontId="17" fillId="0" borderId="34" xfId="2" applyFont="1" applyBorder="1">
      <alignment vertical="center"/>
    </xf>
    <xf numFmtId="41" fontId="17" fillId="0" borderId="31" xfId="2" applyFont="1" applyBorder="1">
      <alignment vertical="center"/>
    </xf>
    <xf numFmtId="41" fontId="9" fillId="0" borderId="0" xfId="2" applyFont="1">
      <alignment vertical="center"/>
    </xf>
    <xf numFmtId="41" fontId="10" fillId="0" borderId="32" xfId="2" applyFont="1" applyBorder="1">
      <alignment vertical="center"/>
    </xf>
    <xf numFmtId="41" fontId="19" fillId="11" borderId="0" xfId="2" applyFont="1" applyFill="1" applyAlignment="1">
      <alignment horizontal="center" vertical="center"/>
    </xf>
    <xf numFmtId="41" fontId="19" fillId="11" borderId="0" xfId="2" applyFont="1" applyFill="1">
      <alignment vertical="center"/>
    </xf>
    <xf numFmtId="41" fontId="20" fillId="11" borderId="0" xfId="2" applyFont="1" applyFill="1" applyAlignment="1">
      <alignment horizontal="center" vertical="center"/>
    </xf>
    <xf numFmtId="41" fontId="17" fillId="0" borderId="33" xfId="2" applyFont="1" applyBorder="1">
      <alignment vertical="center"/>
    </xf>
    <xf numFmtId="41" fontId="9" fillId="0" borderId="33" xfId="2" applyFont="1" applyBorder="1">
      <alignment vertical="center"/>
    </xf>
    <xf numFmtId="0" fontId="9" fillId="0" borderId="33" xfId="0" applyFont="1" applyBorder="1">
      <alignment vertical="center"/>
    </xf>
    <xf numFmtId="14" fontId="9" fillId="7" borderId="32" xfId="0" applyNumberFormat="1" applyFont="1" applyFill="1" applyBorder="1" applyAlignment="1">
      <alignment horizontal="center" vertical="center"/>
    </xf>
    <xf numFmtId="43" fontId="9" fillId="0" borderId="0" xfId="0" applyNumberFormat="1" applyFont="1">
      <alignment vertical="center"/>
    </xf>
    <xf numFmtId="0" fontId="17" fillId="0" borderId="0" xfId="0" applyFont="1">
      <alignment vertical="center"/>
    </xf>
    <xf numFmtId="41" fontId="18" fillId="0" borderId="32" xfId="2" applyFont="1" applyBorder="1">
      <alignment vertical="center"/>
    </xf>
    <xf numFmtId="180" fontId="21" fillId="0" borderId="0" xfId="1" applyNumberFormat="1" applyFont="1" applyAlignment="1">
      <alignment vertical="center"/>
    </xf>
    <xf numFmtId="0" fontId="10" fillId="0" borderId="26" xfId="0" applyFont="1" applyBorder="1" applyAlignment="1">
      <alignment horizontal="center" vertical="center"/>
    </xf>
    <xf numFmtId="0" fontId="10" fillId="0" borderId="27" xfId="0" applyFont="1" applyBorder="1" applyAlignment="1">
      <alignment horizontal="center" vertical="center"/>
    </xf>
    <xf numFmtId="0" fontId="22" fillId="0" borderId="0" xfId="0" applyFont="1">
      <alignment vertical="center"/>
    </xf>
    <xf numFmtId="0" fontId="22" fillId="0" borderId="0" xfId="0" applyFont="1" applyAlignment="1">
      <alignment horizontal="center" vertical="center"/>
    </xf>
    <xf numFmtId="0" fontId="23" fillId="0" borderId="0" xfId="0" applyFont="1">
      <alignment vertical="center"/>
    </xf>
    <xf numFmtId="0" fontId="24" fillId="0" borderId="0" xfId="0" applyFont="1" applyBorder="1" applyAlignment="1">
      <alignment horizontal="left" vertical="center"/>
    </xf>
    <xf numFmtId="41" fontId="22" fillId="0" borderId="36" xfId="2" applyFont="1" applyBorder="1" applyAlignment="1">
      <alignment vertical="center" wrapText="1"/>
    </xf>
    <xf numFmtId="14" fontId="22" fillId="0" borderId="14" xfId="0" applyNumberFormat="1" applyFont="1" applyBorder="1" applyAlignment="1">
      <alignment horizontal="center" vertical="center" wrapText="1"/>
    </xf>
    <xf numFmtId="14" fontId="22" fillId="0" borderId="36" xfId="0" applyNumberFormat="1" applyFont="1" applyBorder="1" applyAlignment="1">
      <alignment vertical="center" wrapText="1"/>
    </xf>
    <xf numFmtId="0" fontId="22" fillId="0" borderId="14" xfId="0" applyFont="1" applyBorder="1" applyAlignment="1">
      <alignment horizontal="center" vertical="center"/>
    </xf>
    <xf numFmtId="3" fontId="22" fillId="0" borderId="14" xfId="2" applyNumberFormat="1" applyFont="1" applyBorder="1" applyAlignment="1">
      <alignment vertical="center" wrapText="1"/>
    </xf>
    <xf numFmtId="3" fontId="22" fillId="0" borderId="36" xfId="0" applyNumberFormat="1" applyFont="1" applyBorder="1" applyAlignment="1">
      <alignment vertical="center" wrapText="1"/>
    </xf>
    <xf numFmtId="41" fontId="22" fillId="0" borderId="14" xfId="2" applyFont="1" applyBorder="1" applyAlignment="1">
      <alignment vertical="center" wrapText="1"/>
    </xf>
    <xf numFmtId="41" fontId="22" fillId="0" borderId="36" xfId="2" applyFont="1" applyFill="1" applyBorder="1" applyAlignment="1">
      <alignment vertical="center" wrapText="1"/>
    </xf>
    <xf numFmtId="0" fontId="22" fillId="0" borderId="36" xfId="0" applyFont="1" applyBorder="1" applyAlignment="1">
      <alignment vertical="center" wrapText="1"/>
    </xf>
    <xf numFmtId="0" fontId="22" fillId="0" borderId="37" xfId="0" applyFont="1" applyBorder="1" applyAlignment="1">
      <alignment vertical="center" wrapText="1"/>
    </xf>
    <xf numFmtId="0" fontId="22" fillId="0" borderId="14" xfId="0" applyFont="1" applyBorder="1" applyAlignment="1">
      <alignment vertical="center" wrapText="1"/>
    </xf>
    <xf numFmtId="14" fontId="22" fillId="0" borderId="38" xfId="0" applyNumberFormat="1" applyFont="1" applyBorder="1" applyAlignment="1">
      <alignment vertical="center" wrapText="1"/>
    </xf>
    <xf numFmtId="3" fontId="22" fillId="0" borderId="14" xfId="0" applyNumberFormat="1" applyFont="1" applyBorder="1" applyAlignment="1">
      <alignment vertical="center" wrapText="1"/>
    </xf>
    <xf numFmtId="14" fontId="22" fillId="0" borderId="14" xfId="0" applyNumberFormat="1" applyFont="1" applyBorder="1" applyAlignment="1">
      <alignment vertical="center" wrapText="1"/>
    </xf>
    <xf numFmtId="0" fontId="25" fillId="0" borderId="14" xfId="0" applyFont="1" applyBorder="1" applyAlignment="1">
      <alignment horizontal="center" vertical="center"/>
    </xf>
    <xf numFmtId="0" fontId="22" fillId="7" borderId="14" xfId="0" applyFont="1" applyFill="1" applyBorder="1" applyAlignment="1">
      <alignment horizontal="center" vertical="center"/>
    </xf>
    <xf numFmtId="3" fontId="22" fillId="11" borderId="36" xfId="0" applyNumberFormat="1" applyFont="1" applyFill="1" applyBorder="1" applyAlignment="1">
      <alignment vertical="center" wrapText="1"/>
    </xf>
    <xf numFmtId="0" fontId="22" fillId="11" borderId="37" xfId="0" applyFont="1" applyFill="1" applyBorder="1" applyAlignment="1">
      <alignment vertical="center" wrapText="1"/>
    </xf>
    <xf numFmtId="0" fontId="22" fillId="11" borderId="14" xfId="0" applyFont="1" applyFill="1" applyBorder="1" applyAlignment="1">
      <alignment vertical="center" wrapText="1"/>
    </xf>
    <xf numFmtId="0" fontId="22" fillId="11" borderId="14" xfId="0" applyFont="1" applyFill="1" applyBorder="1" applyAlignment="1">
      <alignment horizontal="center" vertical="center"/>
    </xf>
    <xf numFmtId="14" fontId="22" fillId="11" borderId="38" xfId="0" applyNumberFormat="1" applyFont="1" applyFill="1" applyBorder="1" applyAlignment="1">
      <alignment vertical="center" wrapText="1"/>
    </xf>
    <xf numFmtId="0" fontId="24" fillId="0" borderId="0" xfId="0" applyFont="1">
      <alignment vertical="center"/>
    </xf>
    <xf numFmtId="41" fontId="22" fillId="11" borderId="36" xfId="2" applyFont="1" applyFill="1" applyBorder="1" applyAlignment="1">
      <alignment vertical="center" wrapText="1"/>
    </xf>
    <xf numFmtId="14" fontId="22" fillId="11" borderId="14" xfId="0" applyNumberFormat="1" applyFont="1" applyFill="1" applyBorder="1" applyAlignment="1">
      <alignment horizontal="center" vertical="center" wrapText="1"/>
    </xf>
    <xf numFmtId="14" fontId="22" fillId="11" borderId="36" xfId="0" applyNumberFormat="1" applyFont="1" applyFill="1" applyBorder="1" applyAlignment="1">
      <alignment vertical="center" wrapText="1"/>
    </xf>
    <xf numFmtId="3" fontId="22" fillId="11" borderId="14" xfId="0" applyNumberFormat="1" applyFont="1" applyFill="1" applyBorder="1" applyAlignment="1">
      <alignment vertical="center" wrapText="1"/>
    </xf>
    <xf numFmtId="14" fontId="22" fillId="11" borderId="14" xfId="0" applyNumberFormat="1" applyFont="1" applyFill="1" applyBorder="1" applyAlignment="1">
      <alignment vertical="center" wrapText="1"/>
    </xf>
    <xf numFmtId="0" fontId="25" fillId="11" borderId="14" xfId="0" applyFont="1" applyFill="1" applyBorder="1" applyAlignment="1">
      <alignment horizontal="center" vertical="center"/>
    </xf>
    <xf numFmtId="0" fontId="22" fillId="0" borderId="14" xfId="2" applyNumberFormat="1" applyFont="1" applyBorder="1" applyAlignment="1">
      <alignment vertical="center" wrapText="1"/>
    </xf>
    <xf numFmtId="14" fontId="22" fillId="0" borderId="1" xfId="0" applyNumberFormat="1" applyFont="1" applyBorder="1" applyAlignment="1">
      <alignment horizontal="center" vertical="center" wrapText="1"/>
    </xf>
    <xf numFmtId="14" fontId="22" fillId="0" borderId="39" xfId="0" applyNumberFormat="1" applyFont="1" applyBorder="1" applyAlignment="1">
      <alignment vertical="center" wrapText="1"/>
    </xf>
    <xf numFmtId="0" fontId="22" fillId="0" borderId="1" xfId="0" applyFont="1" applyBorder="1" applyAlignment="1">
      <alignment horizontal="center" vertical="center"/>
    </xf>
    <xf numFmtId="41" fontId="22" fillId="11" borderId="14" xfId="2" applyFont="1" applyFill="1" applyBorder="1" applyAlignment="1">
      <alignment vertical="center" wrapText="1"/>
    </xf>
    <xf numFmtId="0" fontId="22" fillId="11" borderId="36" xfId="0" applyFont="1" applyFill="1" applyBorder="1" applyAlignment="1">
      <alignment vertical="center" wrapText="1"/>
    </xf>
    <xf numFmtId="3" fontId="22" fillId="11" borderId="14" xfId="2" applyNumberFormat="1" applyFont="1" applyFill="1" applyBorder="1" applyAlignment="1">
      <alignment vertical="center" wrapText="1"/>
    </xf>
    <xf numFmtId="0" fontId="22" fillId="0" borderId="39" xfId="0" applyFont="1" applyBorder="1" applyAlignment="1">
      <alignment vertical="center" wrapText="1"/>
    </xf>
    <xf numFmtId="0" fontId="22" fillId="7" borderId="0" xfId="0" applyFont="1" applyFill="1">
      <alignment vertical="center"/>
    </xf>
    <xf numFmtId="0" fontId="24" fillId="7" borderId="0" xfId="0" applyFont="1" applyFill="1">
      <alignment vertical="center"/>
    </xf>
    <xf numFmtId="3" fontId="22" fillId="0" borderId="40" xfId="0" applyNumberFormat="1" applyFont="1" applyBorder="1" applyAlignment="1">
      <alignment vertical="center" wrapText="1"/>
    </xf>
    <xf numFmtId="0" fontId="22" fillId="0" borderId="41" xfId="0" applyFont="1" applyBorder="1" applyAlignment="1">
      <alignment vertical="center" wrapText="1"/>
    </xf>
    <xf numFmtId="0" fontId="22" fillId="0" borderId="42" xfId="0" applyFont="1" applyBorder="1" applyAlignment="1">
      <alignment vertical="center" wrapText="1"/>
    </xf>
    <xf numFmtId="14" fontId="22" fillId="0" borderId="43" xfId="0" applyNumberFormat="1" applyFont="1" applyBorder="1" applyAlignment="1">
      <alignment horizontal="center" vertical="center" wrapText="1"/>
    </xf>
    <xf numFmtId="14" fontId="22" fillId="0" borderId="39" xfId="0" applyNumberFormat="1" applyFont="1" applyBorder="1" applyAlignment="1">
      <alignment horizontal="center" vertical="center" wrapText="1"/>
    </xf>
    <xf numFmtId="0" fontId="22" fillId="11" borderId="14" xfId="2" applyNumberFormat="1" applyFont="1" applyFill="1" applyBorder="1" applyAlignment="1">
      <alignment vertical="center" wrapText="1"/>
    </xf>
    <xf numFmtId="3" fontId="22" fillId="7" borderId="14" xfId="0" applyNumberFormat="1" applyFont="1" applyFill="1" applyBorder="1">
      <alignment vertical="center"/>
    </xf>
    <xf numFmtId="0" fontId="22" fillId="7" borderId="14" xfId="0" applyFont="1" applyFill="1" applyBorder="1">
      <alignment vertical="center"/>
    </xf>
    <xf numFmtId="3" fontId="22" fillId="0" borderId="0" xfId="0" applyNumberFormat="1" applyFont="1" applyBorder="1" applyAlignment="1">
      <alignment vertical="center" wrapText="1"/>
    </xf>
    <xf numFmtId="14" fontId="22" fillId="7" borderId="14" xfId="0" applyNumberFormat="1" applyFont="1" applyFill="1" applyBorder="1" applyAlignment="1">
      <alignment horizontal="center" vertical="center" wrapText="1"/>
    </xf>
    <xf numFmtId="3" fontId="22" fillId="0" borderId="44" xfId="0" applyNumberFormat="1" applyFont="1" applyBorder="1" applyAlignment="1">
      <alignment vertical="center" wrapText="1"/>
    </xf>
    <xf numFmtId="3" fontId="22" fillId="0" borderId="45" xfId="0" applyNumberFormat="1" applyFont="1" applyBorder="1" applyAlignment="1">
      <alignment vertical="center" wrapText="1"/>
    </xf>
    <xf numFmtId="14" fontId="22" fillId="0" borderId="36" xfId="0" applyNumberFormat="1" applyFont="1" applyBorder="1" applyAlignment="1">
      <alignment horizontal="center" vertical="center" wrapText="1"/>
    </xf>
    <xf numFmtId="0" fontId="22" fillId="0" borderId="36" xfId="2" applyNumberFormat="1" applyFont="1" applyBorder="1" applyAlignment="1">
      <alignment vertical="center" wrapText="1"/>
    </xf>
    <xf numFmtId="3" fontId="22" fillId="7" borderId="14" xfId="0" applyNumberFormat="1" applyFont="1" applyFill="1" applyBorder="1" applyAlignment="1">
      <alignment vertical="center" wrapText="1"/>
    </xf>
    <xf numFmtId="0" fontId="22" fillId="7" borderId="14" xfId="0" applyFont="1" applyFill="1" applyBorder="1" applyAlignment="1">
      <alignment vertical="center" wrapText="1"/>
    </xf>
    <xf numFmtId="3" fontId="22" fillId="7" borderId="45" xfId="0" applyNumberFormat="1" applyFont="1" applyFill="1" applyBorder="1" applyAlignment="1">
      <alignment vertical="center" wrapText="1"/>
    </xf>
    <xf numFmtId="3" fontId="22" fillId="7" borderId="36" xfId="0" applyNumberFormat="1" applyFont="1" applyFill="1" applyBorder="1" applyAlignment="1">
      <alignment vertical="center" wrapText="1"/>
    </xf>
    <xf numFmtId="0" fontId="22" fillId="7" borderId="36" xfId="0" applyFont="1" applyFill="1" applyBorder="1" applyAlignment="1">
      <alignment vertical="center" wrapText="1"/>
    </xf>
    <xf numFmtId="14" fontId="22" fillId="7" borderId="36" xfId="0" applyNumberFormat="1" applyFont="1" applyFill="1" applyBorder="1" applyAlignment="1">
      <alignment horizontal="center" vertical="center" wrapText="1"/>
    </xf>
    <xf numFmtId="3" fontId="22" fillId="7" borderId="0" xfId="0" applyNumberFormat="1" applyFont="1" applyFill="1" applyBorder="1" applyAlignment="1">
      <alignment vertical="center" wrapText="1"/>
    </xf>
    <xf numFmtId="41" fontId="22" fillId="7" borderId="14" xfId="2" applyFont="1" applyFill="1" applyBorder="1" applyAlignment="1">
      <alignment vertical="center" wrapText="1"/>
    </xf>
    <xf numFmtId="3" fontId="22" fillId="0" borderId="39" xfId="0" applyNumberFormat="1" applyFont="1" applyBorder="1" applyAlignment="1">
      <alignment vertical="center" wrapText="1"/>
    </xf>
    <xf numFmtId="0" fontId="22" fillId="0" borderId="14" xfId="0" applyFont="1" applyBorder="1" applyAlignment="1">
      <alignment horizontal="center" vertical="center" wrapText="1"/>
    </xf>
    <xf numFmtId="0" fontId="22" fillId="0" borderId="46" xfId="0" applyFont="1" applyBorder="1" applyAlignment="1">
      <alignment horizontal="center" vertical="center" wrapText="1"/>
    </xf>
    <xf numFmtId="0" fontId="22" fillId="0" borderId="47" xfId="0" applyFont="1" applyBorder="1" applyAlignment="1">
      <alignment horizontal="center" vertical="center" wrapText="1"/>
    </xf>
    <xf numFmtId="0" fontId="22" fillId="0" borderId="48" xfId="0" applyFont="1" applyBorder="1" applyAlignment="1">
      <alignment horizontal="center" vertical="center" wrapText="1"/>
    </xf>
    <xf numFmtId="0" fontId="22" fillId="0" borderId="22" xfId="0" applyFont="1" applyBorder="1" applyAlignment="1">
      <alignment horizontal="center" vertical="center"/>
    </xf>
    <xf numFmtId="0" fontId="22" fillId="0" borderId="0" xfId="0" applyFont="1" applyBorder="1" applyAlignment="1">
      <alignment horizontal="center" vertical="center" wrapText="1"/>
    </xf>
    <xf numFmtId="0" fontId="26" fillId="0" borderId="0" xfId="0" applyFont="1">
      <alignment vertical="center"/>
    </xf>
    <xf numFmtId="0" fontId="26" fillId="7" borderId="0" xfId="0" applyFont="1" applyFill="1">
      <alignment vertical="center"/>
    </xf>
    <xf numFmtId="0" fontId="24" fillId="0" borderId="0" xfId="0" applyFont="1" applyAlignment="1">
      <alignment horizontal="center" vertical="center"/>
    </xf>
    <xf numFmtId="0" fontId="25" fillId="0" borderId="0" xfId="0" applyFont="1">
      <alignment vertical="center"/>
    </xf>
    <xf numFmtId="0" fontId="25" fillId="0" borderId="0" xfId="0" applyFont="1" applyAlignment="1">
      <alignment horizontal="center" vertical="center"/>
    </xf>
    <xf numFmtId="0" fontId="25" fillId="0" borderId="0" xfId="0" applyFont="1" applyBorder="1">
      <alignment vertical="center"/>
    </xf>
    <xf numFmtId="0" fontId="25" fillId="0" borderId="0" xfId="0" applyFont="1" applyAlignment="1">
      <alignment horizontal="right" vertical="center"/>
    </xf>
    <xf numFmtId="0" fontId="27" fillId="0" borderId="0" xfId="0" applyFont="1">
      <alignment vertical="center"/>
    </xf>
    <xf numFmtId="0" fontId="28" fillId="0" borderId="0" xfId="0" applyFont="1">
      <alignment vertical="center"/>
    </xf>
    <xf numFmtId="0" fontId="21" fillId="0" borderId="0" xfId="0" applyFont="1">
      <alignment vertical="center"/>
    </xf>
    <xf numFmtId="0" fontId="5" fillId="5" borderId="9" xfId="0" applyFont="1" applyFill="1" applyBorder="1" applyAlignment="1">
      <alignment horizontal="center" vertical="center" wrapText="1"/>
    </xf>
    <xf numFmtId="0" fontId="5" fillId="5" borderId="12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41" fontId="5" fillId="4" borderId="2" xfId="2" applyFont="1" applyFill="1" applyBorder="1" applyAlignment="1">
      <alignment horizontal="center" vertical="center" wrapText="1"/>
    </xf>
    <xf numFmtId="41" fontId="5" fillId="4" borderId="3" xfId="2" applyFont="1" applyFill="1" applyBorder="1" applyAlignment="1">
      <alignment horizontal="center" vertical="center" wrapText="1"/>
    </xf>
    <xf numFmtId="41" fontId="5" fillId="5" borderId="4" xfId="2" applyFont="1" applyFill="1" applyBorder="1" applyAlignment="1">
      <alignment horizontal="center" vertical="center" wrapText="1"/>
    </xf>
    <xf numFmtId="177" fontId="5" fillId="3" borderId="1" xfId="0" applyNumberFormat="1" applyFont="1" applyFill="1" applyBorder="1" applyAlignment="1">
      <alignment horizontal="center" vertical="center" wrapText="1"/>
    </xf>
    <xf numFmtId="177" fontId="5" fillId="3" borderId="10" xfId="0" applyNumberFormat="1" applyFont="1" applyFill="1" applyBorder="1" applyAlignment="1">
      <alignment horizontal="center" vertical="center" wrapText="1"/>
    </xf>
    <xf numFmtId="177" fontId="5" fillId="4" borderId="1" xfId="0" applyNumberFormat="1" applyFont="1" applyFill="1" applyBorder="1" applyAlignment="1">
      <alignment horizontal="center" vertical="center" wrapText="1"/>
    </xf>
    <xf numFmtId="177" fontId="5" fillId="4" borderId="10" xfId="0" applyNumberFormat="1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5" fillId="5" borderId="10" xfId="0" applyFont="1" applyFill="1" applyBorder="1" applyAlignment="1">
      <alignment horizontal="center" vertical="center" wrapText="1"/>
    </xf>
    <xf numFmtId="0" fontId="5" fillId="6" borderId="8" xfId="0" applyFont="1" applyFill="1" applyBorder="1" applyAlignment="1">
      <alignment horizontal="center" vertical="center" wrapText="1"/>
    </xf>
    <xf numFmtId="0" fontId="5" fillId="6" borderId="11" xfId="0" applyFont="1" applyFill="1" applyBorder="1" applyAlignment="1">
      <alignment horizontal="center" vertical="center" wrapText="1"/>
    </xf>
    <xf numFmtId="0" fontId="9" fillId="7" borderId="23" xfId="0" applyFont="1" applyFill="1" applyBorder="1" applyAlignment="1">
      <alignment horizontal="center" vertical="center" wrapText="1"/>
    </xf>
    <xf numFmtId="0" fontId="9" fillId="7" borderId="25" xfId="0" applyFont="1" applyFill="1" applyBorder="1" applyAlignment="1">
      <alignment horizontal="center" vertical="center" wrapText="1"/>
    </xf>
    <xf numFmtId="41" fontId="10" fillId="0" borderId="0" xfId="2" applyFont="1" applyAlignment="1">
      <alignment horizontal="center" vertical="center"/>
    </xf>
    <xf numFmtId="41" fontId="10" fillId="0" borderId="32" xfId="2" applyFont="1" applyBorder="1" applyAlignment="1">
      <alignment horizontal="center" vertical="center"/>
    </xf>
    <xf numFmtId="14" fontId="9" fillId="7" borderId="0" xfId="0" applyNumberFormat="1" applyFont="1" applyFill="1" applyAlignment="1">
      <alignment horizontal="center" vertical="center"/>
    </xf>
    <xf numFmtId="14" fontId="9" fillId="7" borderId="32" xfId="0" applyNumberFormat="1" applyFont="1" applyFill="1" applyBorder="1" applyAlignment="1">
      <alignment horizontal="center" vertical="center"/>
    </xf>
    <xf numFmtId="0" fontId="9" fillId="7" borderId="0" xfId="0" applyFont="1" applyFill="1" applyAlignment="1">
      <alignment horizontal="center" vertical="center"/>
    </xf>
    <xf numFmtId="0" fontId="9" fillId="7" borderId="32" xfId="0" applyFont="1" applyFill="1" applyBorder="1" applyAlignment="1">
      <alignment horizontal="center" vertical="center"/>
    </xf>
    <xf numFmtId="0" fontId="9" fillId="7" borderId="33" xfId="0" applyFont="1" applyFill="1" applyBorder="1" applyAlignment="1">
      <alignment horizontal="center" vertical="center"/>
    </xf>
    <xf numFmtId="0" fontId="9" fillId="7" borderId="8" xfId="0" applyFont="1" applyFill="1" applyBorder="1" applyAlignment="1">
      <alignment horizontal="center" vertical="center" wrapText="1"/>
    </xf>
    <xf numFmtId="41" fontId="10" fillId="7" borderId="33" xfId="2" applyFont="1" applyFill="1" applyBorder="1" applyAlignment="1">
      <alignment horizontal="center" vertical="center"/>
    </xf>
    <xf numFmtId="41" fontId="10" fillId="7" borderId="0" xfId="2" applyFont="1" applyFill="1" applyAlignment="1">
      <alignment horizontal="center" vertical="center"/>
    </xf>
    <xf numFmtId="41" fontId="10" fillId="7" borderId="32" xfId="2" applyFont="1" applyFill="1" applyBorder="1" applyAlignment="1">
      <alignment horizontal="center" vertical="center"/>
    </xf>
    <xf numFmtId="14" fontId="9" fillId="7" borderId="33" xfId="0" applyNumberFormat="1" applyFont="1" applyFill="1" applyBorder="1" applyAlignment="1">
      <alignment horizontal="center" vertical="center"/>
    </xf>
    <xf numFmtId="41" fontId="10" fillId="0" borderId="33" xfId="2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 wrapText="1"/>
    </xf>
    <xf numFmtId="0" fontId="9" fillId="0" borderId="23" xfId="0" applyFont="1" applyBorder="1" applyAlignment="1">
      <alignment horizontal="center" vertical="center" wrapText="1"/>
    </xf>
    <xf numFmtId="0" fontId="9" fillId="0" borderId="25" xfId="0" applyFont="1" applyBorder="1" applyAlignment="1">
      <alignment horizontal="center" vertical="center" wrapText="1"/>
    </xf>
    <xf numFmtId="0" fontId="13" fillId="10" borderId="8" xfId="0" applyFont="1" applyFill="1" applyBorder="1" applyAlignment="1">
      <alignment horizontal="center" vertical="center" wrapText="1"/>
    </xf>
    <xf numFmtId="0" fontId="13" fillId="10" borderId="23" xfId="0" applyFont="1" applyFill="1" applyBorder="1" applyAlignment="1">
      <alignment horizontal="center" vertical="center" wrapText="1"/>
    </xf>
    <xf numFmtId="0" fontId="13" fillId="10" borderId="25" xfId="0" applyFont="1" applyFill="1" applyBorder="1" applyAlignment="1">
      <alignment horizontal="center" vertical="center" wrapText="1"/>
    </xf>
    <xf numFmtId="14" fontId="13" fillId="10" borderId="33" xfId="0" applyNumberFormat="1" applyFont="1" applyFill="1" applyBorder="1" applyAlignment="1">
      <alignment horizontal="center" vertical="center"/>
    </xf>
    <xf numFmtId="14" fontId="13" fillId="10" borderId="0" xfId="0" applyNumberFormat="1" applyFont="1" applyFill="1" applyAlignment="1">
      <alignment horizontal="center" vertical="center"/>
    </xf>
    <xf numFmtId="14" fontId="13" fillId="10" borderId="32" xfId="0" applyNumberFormat="1" applyFont="1" applyFill="1" applyBorder="1" applyAlignment="1">
      <alignment horizontal="center" vertical="center"/>
    </xf>
    <xf numFmtId="0" fontId="13" fillId="10" borderId="33" xfId="0" applyFont="1" applyFill="1" applyBorder="1" applyAlignment="1">
      <alignment horizontal="center" vertical="center"/>
    </xf>
    <xf numFmtId="0" fontId="13" fillId="10" borderId="0" xfId="0" applyFont="1" applyFill="1" applyAlignment="1">
      <alignment horizontal="center" vertical="center"/>
    </xf>
    <xf numFmtId="0" fontId="13" fillId="10" borderId="32" xfId="0" applyFont="1" applyFill="1" applyBorder="1" applyAlignment="1">
      <alignment horizontal="center" vertical="center"/>
    </xf>
    <xf numFmtId="41" fontId="14" fillId="10" borderId="0" xfId="2" applyFont="1" applyFill="1" applyAlignment="1">
      <alignment horizontal="center" vertical="center"/>
    </xf>
    <xf numFmtId="14" fontId="9" fillId="0" borderId="0" xfId="0" applyNumberFormat="1" applyFont="1" applyAlignment="1">
      <alignment horizontal="right" vertical="center"/>
    </xf>
    <xf numFmtId="0" fontId="9" fillId="7" borderId="29" xfId="0" applyFont="1" applyFill="1" applyBorder="1" applyAlignment="1">
      <alignment horizontal="center" vertical="center" wrapText="1"/>
    </xf>
    <xf numFmtId="41" fontId="10" fillId="7" borderId="30" xfId="2" applyFont="1" applyFill="1" applyBorder="1" applyAlignment="1">
      <alignment horizontal="center" vertical="center"/>
    </xf>
    <xf numFmtId="14" fontId="9" fillId="7" borderId="30" xfId="0" applyNumberFormat="1" applyFont="1" applyFill="1" applyBorder="1" applyAlignment="1">
      <alignment horizontal="center" vertical="center"/>
    </xf>
    <xf numFmtId="0" fontId="9" fillId="7" borderId="30" xfId="0" applyFont="1" applyFill="1" applyBorder="1" applyAlignment="1">
      <alignment horizontal="center" vertical="center"/>
    </xf>
    <xf numFmtId="0" fontId="26" fillId="7" borderId="8" xfId="0" applyFont="1" applyFill="1" applyBorder="1" applyAlignment="1">
      <alignment horizontal="center" vertical="center"/>
    </xf>
    <xf numFmtId="0" fontId="26" fillId="7" borderId="33" xfId="0" applyFont="1" applyFill="1" applyBorder="1" applyAlignment="1">
      <alignment horizontal="center" vertical="center"/>
    </xf>
    <xf numFmtId="0" fontId="26" fillId="7" borderId="34" xfId="0" applyFont="1" applyFill="1" applyBorder="1" applyAlignment="1">
      <alignment horizontal="center" vertical="center"/>
    </xf>
    <xf numFmtId="0" fontId="24" fillId="0" borderId="2" xfId="0" applyFont="1" applyBorder="1" applyAlignment="1">
      <alignment horizontal="center" vertical="center"/>
    </xf>
    <xf numFmtId="0" fontId="24" fillId="0" borderId="4" xfId="0" applyFont="1" applyBorder="1" applyAlignment="1">
      <alignment horizontal="center" vertical="center"/>
    </xf>
    <xf numFmtId="0" fontId="24" fillId="0" borderId="3" xfId="0" applyFont="1" applyBorder="1" applyAlignment="1">
      <alignment horizontal="center" vertical="center"/>
    </xf>
    <xf numFmtId="0" fontId="26" fillId="0" borderId="8" xfId="0" applyFont="1" applyBorder="1" applyAlignment="1">
      <alignment horizontal="center" vertical="center"/>
    </xf>
    <xf numFmtId="0" fontId="26" fillId="0" borderId="33" xfId="0" applyFont="1" applyBorder="1" applyAlignment="1">
      <alignment horizontal="center" vertical="center"/>
    </xf>
    <xf numFmtId="0" fontId="26" fillId="0" borderId="34" xfId="0" applyFont="1" applyBorder="1" applyAlignment="1">
      <alignment horizontal="center" vertical="center"/>
    </xf>
    <xf numFmtId="0" fontId="26" fillId="0" borderId="14" xfId="0" applyFont="1" applyBorder="1" applyAlignment="1">
      <alignment horizontal="center" vertical="center"/>
    </xf>
    <xf numFmtId="0" fontId="26" fillId="0" borderId="2" xfId="0" applyFont="1" applyBorder="1" applyAlignment="1">
      <alignment horizontal="center" vertical="center"/>
    </xf>
    <xf numFmtId="0" fontId="26" fillId="0" borderId="4" xfId="0" applyFont="1" applyBorder="1" applyAlignment="1">
      <alignment horizontal="center" vertical="center"/>
    </xf>
    <xf numFmtId="0" fontId="26" fillId="0" borderId="3" xfId="0" applyFont="1" applyBorder="1" applyAlignment="1">
      <alignment horizontal="center" vertical="center"/>
    </xf>
  </cellXfs>
  <cellStyles count="5">
    <cellStyle name="Normal 2" xfId="3" xr:uid="{65222250-5344-4F86-B88C-0DAFAF543DEE}"/>
    <cellStyle name="Percent 2" xfId="4" xr:uid="{2AC8E203-FCC4-4AB2-AB93-36C77A8F8863}"/>
    <cellStyle name="쉼표" xfId="1" builtinId="3"/>
    <cellStyle name="쉼표 [0]" xfId="2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813D7-D1DF-4BCE-B842-7F62165615F8}">
  <sheetPr>
    <tabColor rgb="FFFFC000"/>
    <pageSetUpPr fitToPage="1"/>
  </sheetPr>
  <dimension ref="B1:W54"/>
  <sheetViews>
    <sheetView showGridLines="0" tabSelected="1" zoomScaleNormal="100" workbookViewId="0">
      <pane xSplit="5" ySplit="5" topLeftCell="F6" activePane="bottomRight" state="frozen"/>
      <selection activeCell="B2" sqref="B2"/>
      <selection pane="topRight" activeCell="B2" sqref="B2"/>
      <selection pane="bottomLeft" activeCell="B2" sqref="B2"/>
      <selection pane="bottomRight" activeCell="G6" sqref="G6"/>
    </sheetView>
  </sheetViews>
  <sheetFormatPr defaultColWidth="9.1640625" defaultRowHeight="14.5" x14ac:dyDescent="0.45"/>
  <cols>
    <col min="1" max="1" width="1.4140625" style="2" customWidth="1"/>
    <col min="2" max="2" width="15.4140625" style="2" customWidth="1"/>
    <col min="3" max="3" width="46.83203125" style="2" bestFit="1" customWidth="1"/>
    <col min="4" max="4" width="10.25" style="3" bestFit="1" customWidth="1"/>
    <col min="5" max="5" width="9.4140625" style="3" hidden="1" customWidth="1"/>
    <col min="6" max="6" width="18.58203125" style="2" customWidth="1"/>
    <col min="7" max="7" width="14.83203125" style="3" customWidth="1"/>
    <col min="8" max="8" width="16.25" style="3" customWidth="1"/>
    <col min="9" max="9" width="12.25" style="2" customWidth="1"/>
    <col min="10" max="10" width="12" style="2" customWidth="1"/>
    <col min="11" max="11" width="9.83203125" style="2" customWidth="1"/>
    <col min="12" max="12" width="15.25" style="2" bestFit="1" customWidth="1"/>
    <col min="13" max="14" width="14.25" style="2" bestFit="1" customWidth="1"/>
    <col min="15" max="15" width="15.25" style="2" bestFit="1" customWidth="1"/>
    <col min="16" max="19" width="14.25" style="2" bestFit="1" customWidth="1"/>
    <col min="20" max="22" width="13.25" style="2" bestFit="1" customWidth="1"/>
    <col min="23" max="23" width="15.25" style="2" bestFit="1" customWidth="1"/>
    <col min="24" max="16384" width="9.1640625" style="2"/>
  </cols>
  <sheetData>
    <row r="1" spans="2:23" ht="18.5" x14ac:dyDescent="0.45">
      <c r="B1" s="1" t="s">
        <v>415</v>
      </c>
    </row>
    <row r="2" spans="2:23" ht="15" thickBot="1" x14ac:dyDescent="0.5">
      <c r="B2" s="2" t="s">
        <v>221</v>
      </c>
      <c r="J2" s="4"/>
    </row>
    <row r="3" spans="2:23" x14ac:dyDescent="0.45">
      <c r="B3" s="303" t="s">
        <v>2</v>
      </c>
      <c r="C3" s="303" t="s">
        <v>3</v>
      </c>
      <c r="D3" s="303" t="s">
        <v>4</v>
      </c>
      <c r="E3" s="303" t="s">
        <v>5</v>
      </c>
      <c r="F3" s="5" t="s">
        <v>6</v>
      </c>
      <c r="G3" s="306" t="s">
        <v>7</v>
      </c>
      <c r="H3" s="307"/>
      <c r="I3" s="308" t="s">
        <v>8</v>
      </c>
      <c r="J3" s="308"/>
      <c r="K3" s="6"/>
    </row>
    <row r="4" spans="2:23" x14ac:dyDescent="0.45">
      <c r="B4" s="304"/>
      <c r="C4" s="304"/>
      <c r="D4" s="304"/>
      <c r="E4" s="304"/>
      <c r="F4" s="309" t="s">
        <v>9</v>
      </c>
      <c r="G4" s="311" t="s">
        <v>9</v>
      </c>
      <c r="H4" s="311" t="s">
        <v>10</v>
      </c>
      <c r="I4" s="313" t="s">
        <v>11</v>
      </c>
      <c r="J4" s="315" t="s">
        <v>12</v>
      </c>
      <c r="K4" s="301" t="s">
        <v>13</v>
      </c>
      <c r="L4" s="300" t="s">
        <v>419</v>
      </c>
    </row>
    <row r="5" spans="2:23" ht="15" thickBot="1" x14ac:dyDescent="0.5">
      <c r="B5" s="305"/>
      <c r="C5" s="305"/>
      <c r="D5" s="305"/>
      <c r="E5" s="305"/>
      <c r="F5" s="310"/>
      <c r="G5" s="312"/>
      <c r="H5" s="312"/>
      <c r="I5" s="314"/>
      <c r="J5" s="316"/>
      <c r="K5" s="302"/>
      <c r="L5" s="218" t="s">
        <v>222</v>
      </c>
      <c r="M5" s="218" t="s">
        <v>223</v>
      </c>
      <c r="N5" s="218" t="s">
        <v>224</v>
      </c>
      <c r="O5" s="218" t="s">
        <v>225</v>
      </c>
      <c r="P5" s="218" t="s">
        <v>226</v>
      </c>
      <c r="Q5" s="218" t="s">
        <v>227</v>
      </c>
      <c r="R5" s="218" t="s">
        <v>228</v>
      </c>
      <c r="S5" s="218" t="s">
        <v>229</v>
      </c>
      <c r="T5" s="218" t="s">
        <v>230</v>
      </c>
      <c r="U5" s="218" t="s">
        <v>231</v>
      </c>
      <c r="V5" s="218" t="s">
        <v>232</v>
      </c>
      <c r="W5" s="219" t="s">
        <v>233</v>
      </c>
    </row>
    <row r="6" spans="2:23" ht="15" thickTop="1" x14ac:dyDescent="0.45">
      <c r="B6" s="90" t="s">
        <v>175</v>
      </c>
      <c r="C6" s="91" t="s">
        <v>176</v>
      </c>
      <c r="D6" s="92">
        <v>345782</v>
      </c>
      <c r="E6" s="92" t="s">
        <v>16</v>
      </c>
      <c r="F6" s="93">
        <v>42018</v>
      </c>
      <c r="G6" s="94">
        <v>42018</v>
      </c>
      <c r="H6" s="95">
        <v>42110</v>
      </c>
      <c r="I6" s="96">
        <f t="shared" ref="I6:I31" si="0">H6-F6</f>
        <v>92</v>
      </c>
      <c r="J6" s="97">
        <f t="shared" ref="J6:J32" si="1">H6-G6</f>
        <v>92</v>
      </c>
      <c r="K6" s="22" t="s">
        <v>70</v>
      </c>
      <c r="L6" s="122"/>
      <c r="M6" s="122"/>
      <c r="N6" s="122"/>
      <c r="O6" s="122"/>
      <c r="P6" s="122"/>
      <c r="Q6" s="122"/>
      <c r="R6" s="122"/>
      <c r="S6" s="122"/>
      <c r="T6" s="122"/>
      <c r="U6" s="122"/>
      <c r="V6" s="122"/>
      <c r="W6" s="122"/>
    </row>
    <row r="7" spans="2:23" x14ac:dyDescent="0.45">
      <c r="B7" s="46" t="s">
        <v>175</v>
      </c>
      <c r="C7" s="98" t="s">
        <v>177</v>
      </c>
      <c r="D7" s="99">
        <v>309842</v>
      </c>
      <c r="E7" s="99" t="s">
        <v>16</v>
      </c>
      <c r="F7" s="100">
        <v>42041</v>
      </c>
      <c r="G7" s="101">
        <v>42040</v>
      </c>
      <c r="H7" s="87">
        <v>42131</v>
      </c>
      <c r="I7" s="88">
        <f t="shared" si="0"/>
        <v>90</v>
      </c>
      <c r="J7" s="89">
        <f t="shared" si="1"/>
        <v>91</v>
      </c>
      <c r="K7" s="22" t="s">
        <v>70</v>
      </c>
      <c r="L7" s="122"/>
      <c r="M7" s="122"/>
      <c r="N7" s="122"/>
      <c r="O7" s="122"/>
      <c r="P7" s="122"/>
      <c r="Q7" s="122"/>
      <c r="R7" s="122"/>
      <c r="S7" s="122"/>
      <c r="T7" s="122"/>
      <c r="U7" s="122"/>
      <c r="V7" s="122"/>
      <c r="W7" s="122"/>
    </row>
    <row r="8" spans="2:23" x14ac:dyDescent="0.45">
      <c r="B8" s="46" t="s">
        <v>175</v>
      </c>
      <c r="C8" s="98" t="s">
        <v>178</v>
      </c>
      <c r="D8" s="99">
        <v>289534</v>
      </c>
      <c r="E8" s="99" t="s">
        <v>16</v>
      </c>
      <c r="F8" s="100">
        <v>42076</v>
      </c>
      <c r="G8" s="101">
        <v>42082</v>
      </c>
      <c r="H8" s="87">
        <v>42173</v>
      </c>
      <c r="I8" s="88">
        <f t="shared" si="0"/>
        <v>97</v>
      </c>
      <c r="J8" s="89">
        <f t="shared" si="1"/>
        <v>91</v>
      </c>
      <c r="K8" s="22" t="s">
        <v>70</v>
      </c>
      <c r="L8" s="122"/>
      <c r="M8" s="122"/>
      <c r="N8" s="122"/>
      <c r="O8" s="122"/>
      <c r="P8" s="122"/>
      <c r="Q8" s="122"/>
      <c r="R8" s="122"/>
      <c r="S8" s="122"/>
      <c r="T8" s="122"/>
      <c r="U8" s="122"/>
      <c r="V8" s="122"/>
      <c r="W8" s="122"/>
    </row>
    <row r="9" spans="2:23" x14ac:dyDescent="0.45">
      <c r="B9" s="46" t="s">
        <v>175</v>
      </c>
      <c r="C9" s="98" t="s">
        <v>179</v>
      </c>
      <c r="D9" s="99">
        <v>3884129</v>
      </c>
      <c r="E9" s="99" t="s">
        <v>22</v>
      </c>
      <c r="F9" s="100">
        <v>42139</v>
      </c>
      <c r="G9" s="101">
        <v>42138</v>
      </c>
      <c r="H9" s="87">
        <v>42229</v>
      </c>
      <c r="I9" s="88">
        <f t="shared" si="0"/>
        <v>90</v>
      </c>
      <c r="J9" s="89">
        <f t="shared" si="1"/>
        <v>91</v>
      </c>
      <c r="K9" s="22" t="s">
        <v>70</v>
      </c>
      <c r="L9" s="122"/>
      <c r="M9" s="122"/>
      <c r="N9" s="122"/>
      <c r="O9" s="122"/>
      <c r="P9" s="122"/>
      <c r="Q9" s="122"/>
      <c r="R9" s="122"/>
      <c r="S9" s="122"/>
      <c r="T9" s="122"/>
      <c r="U9" s="122"/>
      <c r="V9" s="122"/>
      <c r="W9" s="122"/>
    </row>
    <row r="10" spans="2:23" x14ac:dyDescent="0.45">
      <c r="B10" s="46" t="s">
        <v>175</v>
      </c>
      <c r="C10" s="98" t="s">
        <v>180</v>
      </c>
      <c r="D10" s="99">
        <v>1716455</v>
      </c>
      <c r="E10" s="99" t="s">
        <v>181</v>
      </c>
      <c r="F10" s="100">
        <v>42153</v>
      </c>
      <c r="G10" s="101">
        <v>42158</v>
      </c>
      <c r="H10" s="87">
        <v>42250</v>
      </c>
      <c r="I10" s="88">
        <f t="shared" si="0"/>
        <v>97</v>
      </c>
      <c r="J10" s="89">
        <f t="shared" si="1"/>
        <v>92</v>
      </c>
      <c r="K10" s="22" t="s">
        <v>70</v>
      </c>
      <c r="L10" s="122"/>
      <c r="M10" s="122"/>
      <c r="N10" s="122"/>
      <c r="O10" s="122"/>
      <c r="P10" s="122"/>
      <c r="Q10" s="122"/>
      <c r="R10" s="122"/>
      <c r="S10" s="122"/>
      <c r="T10" s="122"/>
      <c r="U10" s="122"/>
      <c r="V10" s="122"/>
      <c r="W10" s="122"/>
    </row>
    <row r="11" spans="2:23" x14ac:dyDescent="0.45">
      <c r="B11" s="46" t="s">
        <v>175</v>
      </c>
      <c r="C11" s="98" t="s">
        <v>182</v>
      </c>
      <c r="D11" s="99">
        <v>88777</v>
      </c>
      <c r="E11" s="99" t="s">
        <v>16</v>
      </c>
      <c r="F11" s="100">
        <v>42195</v>
      </c>
      <c r="G11" s="101">
        <v>42250</v>
      </c>
      <c r="H11" s="87">
        <v>42341</v>
      </c>
      <c r="I11" s="88">
        <f t="shared" si="0"/>
        <v>146</v>
      </c>
      <c r="J11" s="89">
        <f t="shared" si="1"/>
        <v>91</v>
      </c>
      <c r="K11" s="22" t="s">
        <v>70</v>
      </c>
      <c r="L11" s="122"/>
      <c r="M11" s="122"/>
      <c r="N11" s="122"/>
      <c r="O11" s="122"/>
      <c r="P11" s="122"/>
      <c r="Q11" s="122"/>
      <c r="R11" s="122"/>
      <c r="S11" s="122"/>
      <c r="T11" s="122"/>
      <c r="U11" s="122"/>
      <c r="V11" s="122"/>
      <c r="W11" s="122"/>
    </row>
    <row r="12" spans="2:23" x14ac:dyDescent="0.45">
      <c r="B12" s="46" t="s">
        <v>175</v>
      </c>
      <c r="C12" s="98" t="s">
        <v>183</v>
      </c>
      <c r="D12" s="99">
        <v>3611166</v>
      </c>
      <c r="E12" s="99" t="s">
        <v>22</v>
      </c>
      <c r="F12" s="100">
        <v>42272</v>
      </c>
      <c r="G12" s="101">
        <v>42271</v>
      </c>
      <c r="H12" s="87">
        <v>42355</v>
      </c>
      <c r="I12" s="88">
        <f t="shared" si="0"/>
        <v>83</v>
      </c>
      <c r="J12" s="89">
        <f t="shared" si="1"/>
        <v>84</v>
      </c>
      <c r="K12" s="22" t="s">
        <v>70</v>
      </c>
      <c r="L12" s="122"/>
      <c r="M12" s="122"/>
      <c r="N12" s="122"/>
      <c r="O12" s="122"/>
      <c r="P12" s="122"/>
      <c r="Q12" s="122"/>
      <c r="R12" s="122"/>
      <c r="S12" s="122"/>
      <c r="T12" s="122"/>
      <c r="U12" s="122"/>
      <c r="V12" s="122"/>
      <c r="W12" s="122"/>
    </row>
    <row r="13" spans="2:23" x14ac:dyDescent="0.45">
      <c r="B13" s="46" t="s">
        <v>175</v>
      </c>
      <c r="C13" s="98" t="s">
        <v>184</v>
      </c>
      <c r="D13" s="99">
        <v>186174</v>
      </c>
      <c r="E13" s="99" t="s">
        <v>16</v>
      </c>
      <c r="F13" s="100">
        <v>42286</v>
      </c>
      <c r="G13" s="101">
        <v>42285</v>
      </c>
      <c r="H13" s="87">
        <v>42376</v>
      </c>
      <c r="I13" s="88">
        <f t="shared" si="0"/>
        <v>90</v>
      </c>
      <c r="J13" s="89">
        <f t="shared" si="1"/>
        <v>91</v>
      </c>
      <c r="K13" s="22" t="s">
        <v>70</v>
      </c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</row>
    <row r="14" spans="2:23" x14ac:dyDescent="0.45">
      <c r="B14" s="46" t="s">
        <v>175</v>
      </c>
      <c r="C14" s="98" t="s">
        <v>185</v>
      </c>
      <c r="D14" s="99">
        <v>108552</v>
      </c>
      <c r="E14" s="99" t="s">
        <v>16</v>
      </c>
      <c r="F14" s="100">
        <v>42230</v>
      </c>
      <c r="G14" s="101">
        <v>42305</v>
      </c>
      <c r="H14" s="87">
        <v>42397</v>
      </c>
      <c r="I14" s="88">
        <f t="shared" si="0"/>
        <v>167</v>
      </c>
      <c r="J14" s="89">
        <f t="shared" si="1"/>
        <v>92</v>
      </c>
      <c r="K14" s="22" t="s">
        <v>70</v>
      </c>
      <c r="L14" s="122"/>
      <c r="M14" s="122"/>
      <c r="N14" s="122"/>
      <c r="O14" s="122"/>
      <c r="P14" s="122"/>
      <c r="Q14" s="122"/>
      <c r="R14" s="122"/>
      <c r="S14" s="122"/>
      <c r="T14" s="122"/>
      <c r="U14" s="122"/>
      <c r="V14" s="122"/>
      <c r="W14" s="122"/>
    </row>
    <row r="15" spans="2:23" x14ac:dyDescent="0.45">
      <c r="B15" s="48" t="s">
        <v>175</v>
      </c>
      <c r="C15" s="50" t="s">
        <v>186</v>
      </c>
      <c r="D15" s="102">
        <v>809841</v>
      </c>
      <c r="E15" s="99" t="s">
        <v>39</v>
      </c>
      <c r="F15" s="103">
        <v>42341</v>
      </c>
      <c r="G15" s="104">
        <v>42341</v>
      </c>
      <c r="H15" s="105">
        <v>42432</v>
      </c>
      <c r="I15" s="106">
        <f t="shared" si="0"/>
        <v>91</v>
      </c>
      <c r="J15" s="107">
        <f t="shared" si="1"/>
        <v>91</v>
      </c>
      <c r="K15" s="22" t="s">
        <v>70</v>
      </c>
      <c r="L15" s="122"/>
      <c r="M15" s="122"/>
      <c r="N15" s="122"/>
      <c r="O15" s="122"/>
      <c r="P15" s="122"/>
      <c r="Q15" s="122"/>
      <c r="R15" s="122"/>
      <c r="S15" s="122"/>
      <c r="T15" s="122"/>
      <c r="U15" s="122"/>
      <c r="V15" s="122"/>
      <c r="W15" s="122"/>
    </row>
    <row r="16" spans="2:23" x14ac:dyDescent="0.45">
      <c r="B16" s="48" t="s">
        <v>175</v>
      </c>
      <c r="C16" s="50" t="s">
        <v>187</v>
      </c>
      <c r="D16" s="102">
        <v>2256691</v>
      </c>
      <c r="E16" s="102" t="s">
        <v>22</v>
      </c>
      <c r="F16" s="103">
        <v>42454</v>
      </c>
      <c r="G16" s="104">
        <v>42453</v>
      </c>
      <c r="H16" s="105">
        <v>42550</v>
      </c>
      <c r="I16" s="106">
        <f t="shared" si="0"/>
        <v>96</v>
      </c>
      <c r="J16" s="89">
        <f t="shared" si="1"/>
        <v>97</v>
      </c>
      <c r="K16" s="22" t="s">
        <v>70</v>
      </c>
      <c r="L16" s="217">
        <v>226216000</v>
      </c>
      <c r="M16" s="217">
        <v>79002000</v>
      </c>
      <c r="N16" s="217">
        <v>74257000</v>
      </c>
      <c r="O16" s="217">
        <v>126598400</v>
      </c>
      <c r="P16" s="217">
        <v>44610816</v>
      </c>
      <c r="Q16" s="217">
        <v>33876828</v>
      </c>
      <c r="R16" s="217">
        <v>18901989</v>
      </c>
      <c r="S16" s="217">
        <v>14983182</v>
      </c>
      <c r="T16" s="217">
        <v>9738702</v>
      </c>
      <c r="U16" s="217">
        <v>4163409</v>
      </c>
      <c r="V16" s="217">
        <v>3254616</v>
      </c>
      <c r="W16" s="217">
        <f t="shared" ref="W16:W37" si="2">SUM(L16:V16)</f>
        <v>635602942</v>
      </c>
    </row>
    <row r="17" spans="2:23" x14ac:dyDescent="0.45">
      <c r="B17" s="48" t="s">
        <v>175</v>
      </c>
      <c r="C17" s="50" t="s">
        <v>188</v>
      </c>
      <c r="D17" s="102">
        <v>858406</v>
      </c>
      <c r="E17" s="102" t="s">
        <v>39</v>
      </c>
      <c r="F17" s="103">
        <v>42552</v>
      </c>
      <c r="G17" s="104">
        <v>42550</v>
      </c>
      <c r="H17" s="105">
        <v>42584</v>
      </c>
      <c r="I17" s="106">
        <f t="shared" si="0"/>
        <v>32</v>
      </c>
      <c r="J17" s="89">
        <f t="shared" si="1"/>
        <v>34</v>
      </c>
      <c r="K17" s="49" t="s">
        <v>17</v>
      </c>
      <c r="L17" s="217">
        <v>254680060</v>
      </c>
      <c r="M17" s="217">
        <v>166689340</v>
      </c>
      <c r="N17" s="217">
        <v>80550238</v>
      </c>
      <c r="O17" s="217">
        <v>65694385</v>
      </c>
      <c r="P17" s="217">
        <v>50092317</v>
      </c>
      <c r="Q17" s="217">
        <v>34012242</v>
      </c>
      <c r="R17" s="217">
        <v>61728282</v>
      </c>
      <c r="S17" s="217">
        <v>41109500</v>
      </c>
      <c r="T17" s="217">
        <v>47865870</v>
      </c>
      <c r="U17" s="217">
        <v>28588330</v>
      </c>
      <c r="V17" s="217">
        <v>14935085</v>
      </c>
      <c r="W17" s="217">
        <f t="shared" si="2"/>
        <v>845945649</v>
      </c>
    </row>
    <row r="18" spans="2:23" x14ac:dyDescent="0.45">
      <c r="B18" s="48" t="s">
        <v>175</v>
      </c>
      <c r="C18" s="50" t="s">
        <v>189</v>
      </c>
      <c r="D18" s="102">
        <v>945172</v>
      </c>
      <c r="E18" s="102" t="s">
        <v>39</v>
      </c>
      <c r="F18" s="103">
        <v>42433</v>
      </c>
      <c r="G18" s="104">
        <v>42522</v>
      </c>
      <c r="H18" s="105">
        <v>42593</v>
      </c>
      <c r="I18" s="106">
        <f t="shared" si="0"/>
        <v>160</v>
      </c>
      <c r="J18" s="107">
        <f t="shared" si="1"/>
        <v>71</v>
      </c>
      <c r="K18" s="22" t="s">
        <v>70</v>
      </c>
      <c r="L18" s="217">
        <v>63204570</v>
      </c>
      <c r="M18" s="217">
        <v>83584695</v>
      </c>
      <c r="N18" s="217">
        <v>41317353</v>
      </c>
      <c r="O18" s="217">
        <v>26538767</v>
      </c>
      <c r="P18" s="217">
        <v>26876727</v>
      </c>
      <c r="Q18" s="217">
        <v>36999891</v>
      </c>
      <c r="R18" s="217">
        <v>16836585</v>
      </c>
      <c r="S18" s="217">
        <v>12467457</v>
      </c>
      <c r="T18" s="217">
        <v>15416925</v>
      </c>
      <c r="U18" s="217">
        <v>11087497</v>
      </c>
      <c r="V18" s="217">
        <v>8714574</v>
      </c>
      <c r="W18" s="217">
        <f t="shared" si="2"/>
        <v>343045041</v>
      </c>
    </row>
    <row r="19" spans="2:23" x14ac:dyDescent="0.45">
      <c r="B19" s="48" t="s">
        <v>175</v>
      </c>
      <c r="C19" s="50" t="s">
        <v>190</v>
      </c>
      <c r="D19" s="102">
        <v>1928605</v>
      </c>
      <c r="E19" s="102" t="s">
        <v>31</v>
      </c>
      <c r="F19" s="103">
        <v>42531</v>
      </c>
      <c r="G19" s="104">
        <v>42530</v>
      </c>
      <c r="H19" s="105">
        <v>42613</v>
      </c>
      <c r="I19" s="106">
        <f t="shared" si="0"/>
        <v>82</v>
      </c>
      <c r="J19" s="89">
        <f t="shared" si="1"/>
        <v>83</v>
      </c>
      <c r="K19" s="22" t="s">
        <v>70</v>
      </c>
      <c r="L19" s="217">
        <v>74915478</v>
      </c>
      <c r="M19" s="217">
        <v>49652346</v>
      </c>
      <c r="N19" s="217">
        <v>54217723</v>
      </c>
      <c r="O19" s="217">
        <v>14722598</v>
      </c>
      <c r="P19" s="217">
        <v>17166222</v>
      </c>
      <c r="Q19" s="217">
        <v>16994574</v>
      </c>
      <c r="R19" s="217">
        <v>11524458</v>
      </c>
      <c r="S19" s="217">
        <v>8562785</v>
      </c>
      <c r="T19" s="217">
        <v>5257863</v>
      </c>
      <c r="U19" s="217">
        <v>4195350</v>
      </c>
      <c r="V19" s="217">
        <v>3012939</v>
      </c>
      <c r="W19" s="217">
        <f t="shared" si="2"/>
        <v>260222336</v>
      </c>
    </row>
    <row r="20" spans="2:23" x14ac:dyDescent="0.45">
      <c r="B20" s="48" t="s">
        <v>175</v>
      </c>
      <c r="C20" s="50" t="s">
        <v>191</v>
      </c>
      <c r="D20" s="102">
        <v>1898220</v>
      </c>
      <c r="E20" s="102" t="s">
        <v>31</v>
      </c>
      <c r="F20" s="103">
        <v>42587</v>
      </c>
      <c r="G20" s="104">
        <v>42585</v>
      </c>
      <c r="H20" s="105">
        <v>42650</v>
      </c>
      <c r="I20" s="106">
        <f t="shared" si="0"/>
        <v>63</v>
      </c>
      <c r="J20" s="89">
        <f t="shared" si="1"/>
        <v>65</v>
      </c>
      <c r="K20" s="22" t="s">
        <v>70</v>
      </c>
      <c r="L20" s="217">
        <v>117971567.99999999</v>
      </c>
      <c r="M20" s="217">
        <v>160441182</v>
      </c>
      <c r="N20" s="217">
        <v>95636178</v>
      </c>
      <c r="O20" s="217">
        <v>66648087</v>
      </c>
      <c r="P20" s="217">
        <v>67288410</v>
      </c>
      <c r="Q20" s="217">
        <v>61024491</v>
      </c>
      <c r="R20" s="217">
        <v>42325884</v>
      </c>
      <c r="S20" s="217">
        <v>38851425</v>
      </c>
      <c r="T20" s="217">
        <v>36507834</v>
      </c>
      <c r="U20" s="217">
        <v>22161267</v>
      </c>
      <c r="V20" s="217">
        <v>20776441</v>
      </c>
      <c r="W20" s="217">
        <f t="shared" si="2"/>
        <v>729632767</v>
      </c>
    </row>
    <row r="21" spans="2:23" x14ac:dyDescent="0.45">
      <c r="B21" s="48" t="s">
        <v>175</v>
      </c>
      <c r="C21" s="50" t="s">
        <v>192</v>
      </c>
      <c r="D21" s="102">
        <v>1111284</v>
      </c>
      <c r="E21" s="102" t="s">
        <v>31</v>
      </c>
      <c r="F21" s="103">
        <v>42573</v>
      </c>
      <c r="G21" s="104">
        <v>42606</v>
      </c>
      <c r="H21" s="105">
        <v>42655</v>
      </c>
      <c r="I21" s="106">
        <f t="shared" si="0"/>
        <v>82</v>
      </c>
      <c r="J21" s="107">
        <f t="shared" si="1"/>
        <v>49</v>
      </c>
      <c r="K21" s="22" t="s">
        <v>70</v>
      </c>
      <c r="L21" s="217">
        <v>36755532</v>
      </c>
      <c r="M21" s="217">
        <v>32378742</v>
      </c>
      <c r="N21" s="217">
        <v>19635165</v>
      </c>
      <c r="O21" s="217">
        <v>13448709</v>
      </c>
      <c r="P21" s="217">
        <v>9028458</v>
      </c>
      <c r="Q21" s="217">
        <v>6072390</v>
      </c>
      <c r="R21" s="217">
        <v>4107087</v>
      </c>
      <c r="S21" s="217">
        <v>3196332</v>
      </c>
      <c r="T21" s="217">
        <v>2192841</v>
      </c>
      <c r="U21" s="217">
        <v>3019213</v>
      </c>
      <c r="V21" s="217">
        <v>3475738</v>
      </c>
      <c r="W21" s="217">
        <f t="shared" si="2"/>
        <v>133310207</v>
      </c>
    </row>
    <row r="22" spans="2:23" x14ac:dyDescent="0.45">
      <c r="B22" s="48" t="s">
        <v>175</v>
      </c>
      <c r="C22" s="50" t="s">
        <v>193</v>
      </c>
      <c r="D22" s="102">
        <v>7500457</v>
      </c>
      <c r="E22" s="102" t="s">
        <v>24</v>
      </c>
      <c r="F22" s="103" t="s">
        <v>103</v>
      </c>
      <c r="G22" s="104">
        <v>42620</v>
      </c>
      <c r="H22" s="105">
        <v>42661</v>
      </c>
      <c r="I22" s="106" t="s">
        <v>103</v>
      </c>
      <c r="J22" s="89">
        <f t="shared" si="1"/>
        <v>41</v>
      </c>
      <c r="K22" s="49" t="s">
        <v>17</v>
      </c>
      <c r="L22" s="217">
        <v>383077989</v>
      </c>
      <c r="M22" s="217">
        <v>258280118</v>
      </c>
      <c r="N22" s="217">
        <v>104421860</v>
      </c>
      <c r="O22" s="217">
        <v>110291166</v>
      </c>
      <c r="P22" s="217">
        <v>78882903</v>
      </c>
      <c r="Q22" s="217">
        <v>67781439</v>
      </c>
      <c r="R22" s="217">
        <v>56577645</v>
      </c>
      <c r="S22" s="217">
        <v>44943947</v>
      </c>
      <c r="T22" s="217">
        <v>34537588</v>
      </c>
      <c r="U22" s="217">
        <v>41860867</v>
      </c>
      <c r="V22" s="217">
        <v>58430590</v>
      </c>
      <c r="W22" s="217">
        <f t="shared" si="2"/>
        <v>1239086112</v>
      </c>
    </row>
    <row r="23" spans="2:23" x14ac:dyDescent="0.45">
      <c r="B23" s="48" t="s">
        <v>175</v>
      </c>
      <c r="C23" s="50" t="s">
        <v>194</v>
      </c>
      <c r="D23" s="102">
        <v>627424</v>
      </c>
      <c r="E23" s="102" t="s">
        <v>39</v>
      </c>
      <c r="F23" s="103">
        <v>42622</v>
      </c>
      <c r="G23" s="104">
        <v>42641</v>
      </c>
      <c r="H23" s="105">
        <v>42684</v>
      </c>
      <c r="I23" s="106">
        <f t="shared" si="0"/>
        <v>62</v>
      </c>
      <c r="J23" s="89">
        <f t="shared" si="1"/>
        <v>43</v>
      </c>
      <c r="K23" s="22" t="s">
        <v>70</v>
      </c>
      <c r="L23" s="217">
        <v>99814572</v>
      </c>
      <c r="M23" s="217">
        <v>115852869</v>
      </c>
      <c r="N23" s="217">
        <v>71430282</v>
      </c>
      <c r="O23" s="217">
        <v>45765918</v>
      </c>
      <c r="P23" s="217">
        <v>39598281</v>
      </c>
      <c r="Q23" s="217">
        <v>35102601</v>
      </c>
      <c r="R23" s="217">
        <v>24094278</v>
      </c>
      <c r="S23" s="217">
        <v>17164440</v>
      </c>
      <c r="T23" s="217">
        <v>13959180</v>
      </c>
      <c r="U23" s="217">
        <v>13077450</v>
      </c>
      <c r="V23" s="217">
        <v>9273177</v>
      </c>
      <c r="W23" s="217">
        <f t="shared" si="2"/>
        <v>485133048</v>
      </c>
    </row>
    <row r="24" spans="2:23" x14ac:dyDescent="0.45">
      <c r="B24" s="48" t="s">
        <v>175</v>
      </c>
      <c r="C24" s="50" t="s">
        <v>195</v>
      </c>
      <c r="D24" s="102">
        <v>69529</v>
      </c>
      <c r="E24" s="102" t="s">
        <v>16</v>
      </c>
      <c r="F24" s="103">
        <v>42657</v>
      </c>
      <c r="G24" s="104">
        <v>42656</v>
      </c>
      <c r="H24" s="105">
        <v>42698</v>
      </c>
      <c r="I24" s="106">
        <f t="shared" si="0"/>
        <v>41</v>
      </c>
      <c r="J24" s="107">
        <f t="shared" si="1"/>
        <v>42</v>
      </c>
      <c r="K24" s="22" t="s">
        <v>70</v>
      </c>
      <c r="L24" s="217">
        <v>76972104</v>
      </c>
      <c r="M24" s="217">
        <v>64094976</v>
      </c>
      <c r="N24" s="217">
        <v>35913438</v>
      </c>
      <c r="O24" s="217">
        <v>23630310</v>
      </c>
      <c r="P24" s="217">
        <v>32919921</v>
      </c>
      <c r="Q24" s="217">
        <v>24664338</v>
      </c>
      <c r="R24" s="217">
        <v>19375893</v>
      </c>
      <c r="S24" s="217">
        <v>14186205</v>
      </c>
      <c r="T24" s="217">
        <v>10950228</v>
      </c>
      <c r="U24" s="217">
        <v>33371291</v>
      </c>
      <c r="V24" s="217">
        <v>19579036</v>
      </c>
      <c r="W24" s="217">
        <f t="shared" si="2"/>
        <v>355657740</v>
      </c>
    </row>
    <row r="25" spans="2:23" x14ac:dyDescent="0.45">
      <c r="B25" s="48" t="s">
        <v>175</v>
      </c>
      <c r="C25" s="50" t="s">
        <v>196</v>
      </c>
      <c r="D25" s="102">
        <v>4667176</v>
      </c>
      <c r="E25" s="102" t="s">
        <v>24</v>
      </c>
      <c r="F25" s="103">
        <v>42692</v>
      </c>
      <c r="G25" s="104">
        <v>42690</v>
      </c>
      <c r="H25" s="105">
        <v>42747</v>
      </c>
      <c r="I25" s="106">
        <f t="shared" si="0"/>
        <v>55</v>
      </c>
      <c r="J25" s="89">
        <f t="shared" si="1"/>
        <v>57</v>
      </c>
      <c r="K25" s="22" t="s">
        <v>70</v>
      </c>
      <c r="L25" s="217">
        <v>288212364</v>
      </c>
      <c r="M25" s="217">
        <v>229302216</v>
      </c>
      <c r="N25" s="217">
        <v>190256022</v>
      </c>
      <c r="O25" s="217">
        <v>114733377</v>
      </c>
      <c r="P25" s="217">
        <v>90856080</v>
      </c>
      <c r="Q25" s="217">
        <v>63589581</v>
      </c>
      <c r="R25" s="217">
        <v>45486297</v>
      </c>
      <c r="S25" s="217">
        <v>36670149</v>
      </c>
      <c r="T25" s="217">
        <v>17787762</v>
      </c>
      <c r="U25" s="217">
        <v>11875401</v>
      </c>
      <c r="V25" s="217">
        <v>9012774</v>
      </c>
      <c r="W25" s="217">
        <f t="shared" si="2"/>
        <v>1097782023</v>
      </c>
    </row>
    <row r="26" spans="2:23" x14ac:dyDescent="0.45">
      <c r="B26" s="48" t="s">
        <v>175</v>
      </c>
      <c r="C26" s="50" t="s">
        <v>197</v>
      </c>
      <c r="D26" s="102">
        <v>323730</v>
      </c>
      <c r="E26" s="102" t="s">
        <v>16</v>
      </c>
      <c r="F26" s="103">
        <v>42636</v>
      </c>
      <c r="G26" s="104">
        <v>42711</v>
      </c>
      <c r="H26" s="105">
        <v>42759</v>
      </c>
      <c r="I26" s="106">
        <f t="shared" si="0"/>
        <v>123</v>
      </c>
      <c r="J26" s="107">
        <f t="shared" si="1"/>
        <v>48</v>
      </c>
      <c r="K26" s="22" t="s">
        <v>70</v>
      </c>
      <c r="L26" s="217">
        <v>69092100</v>
      </c>
      <c r="M26" s="217">
        <v>73529280</v>
      </c>
      <c r="N26" s="217">
        <v>30409236</v>
      </c>
      <c r="O26" s="217">
        <v>23093829</v>
      </c>
      <c r="P26" s="217">
        <v>27425430</v>
      </c>
      <c r="Q26" s="217">
        <v>21881757</v>
      </c>
      <c r="R26" s="217">
        <v>8255799</v>
      </c>
      <c r="S26" s="217">
        <v>5829633</v>
      </c>
      <c r="T26" s="217">
        <v>4909374</v>
      </c>
      <c r="U26" s="217">
        <v>5806467</v>
      </c>
      <c r="V26" s="217">
        <v>5684886</v>
      </c>
      <c r="W26" s="217">
        <f t="shared" si="2"/>
        <v>275917791</v>
      </c>
    </row>
    <row r="27" spans="2:23" x14ac:dyDescent="0.45">
      <c r="B27" s="48" t="s">
        <v>175</v>
      </c>
      <c r="C27" s="50" t="s">
        <v>198</v>
      </c>
      <c r="D27" s="102">
        <v>351276</v>
      </c>
      <c r="E27" s="102" t="s">
        <v>16</v>
      </c>
      <c r="F27" s="10" t="s">
        <v>102</v>
      </c>
      <c r="G27" s="104">
        <v>42788</v>
      </c>
      <c r="H27" s="105">
        <v>42803</v>
      </c>
      <c r="I27" s="106" t="s">
        <v>103</v>
      </c>
      <c r="J27" s="107">
        <f t="shared" si="1"/>
        <v>15</v>
      </c>
      <c r="K27" s="49" t="s">
        <v>17</v>
      </c>
      <c r="L27" s="217">
        <v>83289430</v>
      </c>
      <c r="M27" s="217">
        <v>89422410</v>
      </c>
      <c r="N27" s="217">
        <v>52383940</v>
      </c>
      <c r="O27" s="217">
        <v>50253595</v>
      </c>
      <c r="P27" s="217">
        <v>29972106</v>
      </c>
      <c r="Q27" s="217">
        <v>15077700</v>
      </c>
      <c r="R27" s="217">
        <v>8945145</v>
      </c>
      <c r="S27" s="217">
        <v>10430526</v>
      </c>
      <c r="T27" s="217">
        <v>18562607</v>
      </c>
      <c r="U27" s="217">
        <v>7532147</v>
      </c>
      <c r="V27" s="217">
        <v>2859903</v>
      </c>
      <c r="W27" s="217">
        <f t="shared" si="2"/>
        <v>368729509</v>
      </c>
    </row>
    <row r="28" spans="2:23" x14ac:dyDescent="0.45">
      <c r="B28" s="48" t="s">
        <v>175</v>
      </c>
      <c r="C28" s="50" t="s">
        <v>199</v>
      </c>
      <c r="D28" s="102">
        <v>148760</v>
      </c>
      <c r="E28" s="102" t="s">
        <v>16</v>
      </c>
      <c r="F28" s="103">
        <v>42776</v>
      </c>
      <c r="G28" s="104">
        <v>42775</v>
      </c>
      <c r="H28" s="105">
        <v>42817</v>
      </c>
      <c r="I28" s="106">
        <f t="shared" si="0"/>
        <v>41</v>
      </c>
      <c r="J28" s="107">
        <f t="shared" si="1"/>
        <v>42</v>
      </c>
      <c r="K28" s="22" t="s">
        <v>70</v>
      </c>
      <c r="L28" s="217">
        <v>23669811</v>
      </c>
      <c r="M28" s="217">
        <v>22016808</v>
      </c>
      <c r="N28" s="217">
        <v>12241647</v>
      </c>
      <c r="O28" s="217">
        <v>7680519</v>
      </c>
      <c r="P28" s="217">
        <v>8469873</v>
      </c>
      <c r="Q28" s="217">
        <v>8267571</v>
      </c>
      <c r="R28" s="217">
        <v>11148975</v>
      </c>
      <c r="S28" s="217">
        <v>5765832</v>
      </c>
      <c r="T28" s="217">
        <v>2945925</v>
      </c>
      <c r="U28" s="217">
        <v>2270124</v>
      </c>
      <c r="V28" s="217">
        <v>2640069</v>
      </c>
      <c r="W28" s="217">
        <f t="shared" si="2"/>
        <v>107117154</v>
      </c>
    </row>
    <row r="29" spans="2:23" x14ac:dyDescent="0.45">
      <c r="B29" s="48" t="s">
        <v>175</v>
      </c>
      <c r="C29" s="50" t="s">
        <v>200</v>
      </c>
      <c r="D29" s="102">
        <v>1689079</v>
      </c>
      <c r="E29" s="102" t="s">
        <v>31</v>
      </c>
      <c r="F29" s="103">
        <v>42804</v>
      </c>
      <c r="G29" s="104">
        <v>42802</v>
      </c>
      <c r="H29" s="105">
        <v>42832</v>
      </c>
      <c r="I29" s="106">
        <f t="shared" si="0"/>
        <v>28</v>
      </c>
      <c r="J29" s="107">
        <f t="shared" si="1"/>
        <v>30</v>
      </c>
      <c r="K29" s="49" t="s">
        <v>17</v>
      </c>
      <c r="L29" s="217">
        <v>225980701</v>
      </c>
      <c r="M29" s="217">
        <v>199256359</v>
      </c>
      <c r="N29" s="217">
        <v>140447307</v>
      </c>
      <c r="O29" s="217">
        <v>94530531</v>
      </c>
      <c r="P29" s="217">
        <v>112340448</v>
      </c>
      <c r="Q29" s="217">
        <v>47067174</v>
      </c>
      <c r="R29" s="217">
        <v>60940080</v>
      </c>
      <c r="S29" s="217">
        <v>49852421.999999993</v>
      </c>
      <c r="T29" s="217">
        <v>33879420</v>
      </c>
      <c r="U29" s="217">
        <v>29398032</v>
      </c>
      <c r="V29" s="217">
        <v>17064640</v>
      </c>
      <c r="W29" s="217">
        <f t="shared" si="2"/>
        <v>1010757114</v>
      </c>
    </row>
    <row r="30" spans="2:23" x14ac:dyDescent="0.45">
      <c r="B30" s="48" t="s">
        <v>175</v>
      </c>
      <c r="C30" s="50" t="s">
        <v>201</v>
      </c>
      <c r="D30" s="102">
        <v>415714</v>
      </c>
      <c r="E30" s="102" t="s">
        <v>16</v>
      </c>
      <c r="F30" s="103">
        <v>42867</v>
      </c>
      <c r="G30" s="104">
        <v>42872</v>
      </c>
      <c r="H30" s="105">
        <v>42908</v>
      </c>
      <c r="I30" s="106">
        <f t="shared" si="0"/>
        <v>41</v>
      </c>
      <c r="J30" s="107">
        <f t="shared" si="1"/>
        <v>36</v>
      </c>
      <c r="K30" s="22" t="s">
        <v>70</v>
      </c>
      <c r="L30" s="217">
        <v>126828801</v>
      </c>
      <c r="M30" s="217">
        <v>111855348</v>
      </c>
      <c r="N30" s="217">
        <v>77711931</v>
      </c>
      <c r="O30" s="217">
        <v>37191231</v>
      </c>
      <c r="P30" s="217">
        <v>68777613</v>
      </c>
      <c r="Q30" s="217">
        <v>45100134</v>
      </c>
      <c r="R30" s="217">
        <v>30667401</v>
      </c>
      <c r="S30" s="217">
        <v>14399154</v>
      </c>
      <c r="T30" s="217">
        <v>13314564</v>
      </c>
      <c r="U30" s="217">
        <v>1910160</v>
      </c>
      <c r="V30" s="217">
        <v>1789200</v>
      </c>
      <c r="W30" s="217">
        <f t="shared" si="2"/>
        <v>529545537</v>
      </c>
    </row>
    <row r="31" spans="2:23" x14ac:dyDescent="0.45">
      <c r="B31" s="48" t="s">
        <v>175</v>
      </c>
      <c r="C31" s="50" t="s">
        <v>202</v>
      </c>
      <c r="D31" s="102">
        <v>2165407</v>
      </c>
      <c r="E31" s="102" t="s">
        <v>22</v>
      </c>
      <c r="F31" s="103">
        <v>42888</v>
      </c>
      <c r="G31" s="104">
        <v>42886</v>
      </c>
      <c r="H31" s="105">
        <v>42914</v>
      </c>
      <c r="I31" s="106">
        <f t="shared" si="0"/>
        <v>26</v>
      </c>
      <c r="J31" s="107">
        <f t="shared" si="1"/>
        <v>28</v>
      </c>
      <c r="K31" s="49" t="s">
        <v>17</v>
      </c>
      <c r="L31" s="217">
        <v>323565569</v>
      </c>
      <c r="M31" s="217">
        <v>200721327</v>
      </c>
      <c r="N31" s="217">
        <v>130466037.99999999</v>
      </c>
      <c r="O31" s="217">
        <v>87713406</v>
      </c>
      <c r="P31" s="217">
        <v>63326538</v>
      </c>
      <c r="Q31" s="217">
        <v>62259516</v>
      </c>
      <c r="R31" s="217">
        <v>87233742</v>
      </c>
      <c r="S31" s="217">
        <v>76371831</v>
      </c>
      <c r="T31" s="217">
        <v>14447160</v>
      </c>
      <c r="U31" s="217">
        <v>11689650</v>
      </c>
      <c r="V31" s="217">
        <v>8549730</v>
      </c>
      <c r="W31" s="217">
        <f t="shared" si="2"/>
        <v>1066344507</v>
      </c>
    </row>
    <row r="32" spans="2:23" x14ac:dyDescent="0.45">
      <c r="B32" s="48" t="s">
        <v>175</v>
      </c>
      <c r="C32" s="50" t="s">
        <v>203</v>
      </c>
      <c r="D32" s="102">
        <v>1934312</v>
      </c>
      <c r="E32" s="102" t="s">
        <v>31</v>
      </c>
      <c r="F32" s="103">
        <v>42958</v>
      </c>
      <c r="G32" s="104">
        <v>42957</v>
      </c>
      <c r="H32" s="105">
        <v>42990</v>
      </c>
      <c r="I32" s="106">
        <f>H32-F32</f>
        <v>32</v>
      </c>
      <c r="J32" s="107">
        <f t="shared" si="1"/>
        <v>33</v>
      </c>
      <c r="K32" s="49" t="s">
        <v>17</v>
      </c>
      <c r="L32" s="217">
        <v>40414990</v>
      </c>
      <c r="M32" s="217">
        <v>18191600</v>
      </c>
      <c r="N32" s="217">
        <v>16013549.999999998</v>
      </c>
      <c r="O32" s="217">
        <v>27254850</v>
      </c>
      <c r="P32" s="217">
        <v>5837370</v>
      </c>
      <c r="Q32" s="217">
        <v>4983720</v>
      </c>
      <c r="R32" s="217">
        <v>4364640</v>
      </c>
      <c r="S32" s="217">
        <v>3075030</v>
      </c>
      <c r="T32" s="217">
        <v>2807910</v>
      </c>
      <c r="U32" s="217">
        <v>2114910</v>
      </c>
      <c r="V32" s="217">
        <v>1800540</v>
      </c>
      <c r="W32" s="217">
        <f t="shared" si="2"/>
        <v>126859110</v>
      </c>
    </row>
    <row r="33" spans="2:23" x14ac:dyDescent="0.45">
      <c r="B33" s="46" t="s">
        <v>175</v>
      </c>
      <c r="C33" s="98" t="s">
        <v>204</v>
      </c>
      <c r="D33" s="99">
        <v>1373342</v>
      </c>
      <c r="E33" s="99" t="s">
        <v>31</v>
      </c>
      <c r="F33" s="100" t="s">
        <v>103</v>
      </c>
      <c r="G33" s="101">
        <v>42970</v>
      </c>
      <c r="H33" s="87">
        <v>42997</v>
      </c>
      <c r="I33" s="88" t="s">
        <v>103</v>
      </c>
      <c r="J33" s="89">
        <f>H33-G33</f>
        <v>27</v>
      </c>
      <c r="K33" s="108" t="s">
        <v>17</v>
      </c>
      <c r="L33" s="217">
        <v>51701300</v>
      </c>
      <c r="M33" s="217">
        <v>27202980</v>
      </c>
      <c r="N33" s="217">
        <v>31659039.999999996</v>
      </c>
      <c r="O33" s="217">
        <v>13732110</v>
      </c>
      <c r="P33" s="217">
        <v>11374020</v>
      </c>
      <c r="Q33" s="217">
        <v>7990289.9999999991</v>
      </c>
      <c r="R33" s="217">
        <v>4982040</v>
      </c>
      <c r="S33" s="217">
        <v>3495240</v>
      </c>
      <c r="T33" s="217">
        <v>2077740</v>
      </c>
      <c r="U33" s="217">
        <v>1895039.9999999998</v>
      </c>
      <c r="V33" s="217">
        <v>1354500</v>
      </c>
      <c r="W33" s="217">
        <f t="shared" si="2"/>
        <v>157464300</v>
      </c>
    </row>
    <row r="34" spans="2:23" x14ac:dyDescent="0.45">
      <c r="B34" s="46" t="s">
        <v>175</v>
      </c>
      <c r="C34" s="98" t="s">
        <v>205</v>
      </c>
      <c r="D34" s="99">
        <v>888826</v>
      </c>
      <c r="E34" s="99" t="s">
        <v>31</v>
      </c>
      <c r="F34" s="100">
        <v>42986</v>
      </c>
      <c r="G34" s="101">
        <v>42984</v>
      </c>
      <c r="H34" s="87">
        <v>43010</v>
      </c>
      <c r="I34" s="106">
        <f t="shared" ref="I34:I49" si="3">H34-F34</f>
        <v>24</v>
      </c>
      <c r="J34" s="89">
        <f t="shared" ref="J34:J49" si="4">H34-G34</f>
        <v>26</v>
      </c>
      <c r="K34" s="108" t="s">
        <v>17</v>
      </c>
      <c r="L34" s="217">
        <v>24052280</v>
      </c>
      <c r="M34" s="217">
        <v>18940530</v>
      </c>
      <c r="N34" s="217">
        <v>12664610</v>
      </c>
      <c r="O34" s="217">
        <v>6874560</v>
      </c>
      <c r="P34" s="217">
        <v>3520440</v>
      </c>
      <c r="Q34" s="217">
        <v>3167010</v>
      </c>
      <c r="R34" s="217">
        <v>4999680</v>
      </c>
      <c r="S34" s="217">
        <v>4763430</v>
      </c>
      <c r="T34" s="217">
        <v>3345930</v>
      </c>
      <c r="U34" s="217">
        <v>3726450</v>
      </c>
      <c r="V34" s="217">
        <v>3788190</v>
      </c>
      <c r="W34" s="217">
        <f t="shared" si="2"/>
        <v>89843110</v>
      </c>
    </row>
    <row r="35" spans="2:23" x14ac:dyDescent="0.45">
      <c r="B35" s="46" t="s">
        <v>175</v>
      </c>
      <c r="C35" s="98" t="s">
        <v>206</v>
      </c>
      <c r="D35" s="99">
        <v>154497</v>
      </c>
      <c r="E35" s="99" t="s">
        <v>31</v>
      </c>
      <c r="F35" s="100">
        <v>43000</v>
      </c>
      <c r="G35" s="101">
        <v>43006</v>
      </c>
      <c r="H35" s="87">
        <v>43034</v>
      </c>
      <c r="I35" s="106">
        <f t="shared" si="3"/>
        <v>34</v>
      </c>
      <c r="J35" s="89">
        <f t="shared" si="4"/>
        <v>28</v>
      </c>
      <c r="K35" s="22" t="s">
        <v>70</v>
      </c>
      <c r="L35" s="217">
        <v>19133100</v>
      </c>
      <c r="M35" s="217">
        <v>11461590</v>
      </c>
      <c r="N35" s="217">
        <v>5804190</v>
      </c>
      <c r="O35" s="217">
        <v>3805830</v>
      </c>
      <c r="P35" s="217">
        <v>2206890</v>
      </c>
      <c r="Q35" s="217">
        <v>1808100</v>
      </c>
      <c r="R35" s="217">
        <v>5738670</v>
      </c>
      <c r="S35" s="217">
        <v>6425370</v>
      </c>
      <c r="T35" s="217">
        <v>3359790</v>
      </c>
      <c r="U35" s="217">
        <v>3035970</v>
      </c>
      <c r="V35" s="217">
        <v>1883070</v>
      </c>
      <c r="W35" s="217">
        <f t="shared" si="2"/>
        <v>64662570</v>
      </c>
    </row>
    <row r="36" spans="2:23" x14ac:dyDescent="0.45">
      <c r="B36" s="46" t="s">
        <v>175</v>
      </c>
      <c r="C36" s="98" t="s">
        <v>207</v>
      </c>
      <c r="D36" s="99">
        <v>1028386</v>
      </c>
      <c r="E36" s="99" t="s">
        <v>31</v>
      </c>
      <c r="F36" s="100">
        <v>43028</v>
      </c>
      <c r="G36" s="101">
        <v>43027</v>
      </c>
      <c r="H36" s="87">
        <v>43053</v>
      </c>
      <c r="I36" s="106">
        <f t="shared" si="3"/>
        <v>25</v>
      </c>
      <c r="J36" s="89">
        <f t="shared" si="4"/>
        <v>26</v>
      </c>
      <c r="K36" s="108" t="s">
        <v>17</v>
      </c>
      <c r="L36" s="217">
        <v>90970460</v>
      </c>
      <c r="M36" s="217">
        <v>49529690</v>
      </c>
      <c r="N36" s="217">
        <v>32716529.999999996</v>
      </c>
      <c r="O36" s="217">
        <v>27408150</v>
      </c>
      <c r="P36" s="217">
        <v>20200950</v>
      </c>
      <c r="Q36" s="217">
        <v>26047980</v>
      </c>
      <c r="R36" s="217">
        <v>35441280</v>
      </c>
      <c r="S36" s="217">
        <v>23802660</v>
      </c>
      <c r="T36" s="217">
        <v>13922370</v>
      </c>
      <c r="U36" s="217">
        <v>7983359.9999999991</v>
      </c>
      <c r="V36" s="217">
        <v>168373620</v>
      </c>
      <c r="W36" s="217">
        <f t="shared" si="2"/>
        <v>496397050</v>
      </c>
    </row>
    <row r="37" spans="2:23" x14ac:dyDescent="0.45">
      <c r="B37" s="46" t="s">
        <v>175</v>
      </c>
      <c r="C37" s="50" t="s">
        <v>208</v>
      </c>
      <c r="D37" s="102">
        <v>2788682</v>
      </c>
      <c r="E37" s="102" t="s">
        <v>22</v>
      </c>
      <c r="F37" s="103">
        <v>42937</v>
      </c>
      <c r="G37" s="101">
        <v>42936</v>
      </c>
      <c r="H37" s="87">
        <v>43082</v>
      </c>
      <c r="I37" s="106">
        <f>H37-F37</f>
        <v>145</v>
      </c>
      <c r="J37" s="107">
        <f t="shared" si="4"/>
        <v>146</v>
      </c>
      <c r="K37" s="22" t="s">
        <v>70</v>
      </c>
      <c r="L37" s="217">
        <v>60491970</v>
      </c>
      <c r="M37" s="217">
        <v>28198170</v>
      </c>
      <c r="N37" s="217">
        <v>24767820</v>
      </c>
      <c r="O37" s="217">
        <v>15786539.999999998</v>
      </c>
      <c r="P37" s="217">
        <v>14685300</v>
      </c>
      <c r="Q37" s="217">
        <v>85683762</v>
      </c>
      <c r="R37" s="217">
        <v>61811847</v>
      </c>
      <c r="S37" s="217">
        <v>37354824</v>
      </c>
      <c r="T37" s="217">
        <v>17784306</v>
      </c>
      <c r="U37" s="217">
        <v>21518376</v>
      </c>
      <c r="V37" s="217">
        <v>7420685</v>
      </c>
      <c r="W37" s="217">
        <f t="shared" si="2"/>
        <v>375503600</v>
      </c>
    </row>
    <row r="38" spans="2:23" x14ac:dyDescent="0.45">
      <c r="B38" s="46" t="s">
        <v>175</v>
      </c>
      <c r="C38" s="50" t="s">
        <v>209</v>
      </c>
      <c r="D38" s="102">
        <v>1786316</v>
      </c>
      <c r="E38" s="102" t="s">
        <v>31</v>
      </c>
      <c r="F38" s="103">
        <v>43056</v>
      </c>
      <c r="G38" s="101">
        <v>43054</v>
      </c>
      <c r="H38" s="87">
        <v>43088</v>
      </c>
      <c r="I38" s="106">
        <f t="shared" si="3"/>
        <v>32</v>
      </c>
      <c r="J38" s="107">
        <f t="shared" si="4"/>
        <v>34</v>
      </c>
      <c r="K38" s="22" t="s">
        <v>17</v>
      </c>
      <c r="L38" s="217">
        <v>147594930</v>
      </c>
      <c r="M38" s="217">
        <v>67648980</v>
      </c>
      <c r="N38" s="217">
        <v>43284290</v>
      </c>
      <c r="O38" s="217">
        <v>154782441</v>
      </c>
      <c r="P38" s="217">
        <v>121999779</v>
      </c>
      <c r="Q38" s="217">
        <v>67666698</v>
      </c>
      <c r="R38" s="217">
        <v>68955138</v>
      </c>
      <c r="S38" s="217">
        <v>50958180</v>
      </c>
      <c r="T38" s="217">
        <v>40100310</v>
      </c>
      <c r="U38" s="217">
        <v>16785917</v>
      </c>
      <c r="V38" s="217">
        <v>18928305</v>
      </c>
      <c r="W38" s="217">
        <f>SUM(L38:V38)</f>
        <v>798704968</v>
      </c>
    </row>
    <row r="39" spans="2:23" x14ac:dyDescent="0.45">
      <c r="B39" s="46" t="s">
        <v>175</v>
      </c>
      <c r="C39" s="98" t="s">
        <v>210</v>
      </c>
      <c r="D39" s="99">
        <v>2254430</v>
      </c>
      <c r="E39" s="99"/>
      <c r="F39" s="100">
        <v>43188</v>
      </c>
      <c r="G39" s="101">
        <v>43187</v>
      </c>
      <c r="H39" s="87">
        <v>43222</v>
      </c>
      <c r="I39" s="19">
        <f t="shared" si="3"/>
        <v>34</v>
      </c>
      <c r="J39" s="20">
        <f t="shared" si="4"/>
        <v>35</v>
      </c>
      <c r="K39" s="15" t="s">
        <v>211</v>
      </c>
      <c r="L39" s="217">
        <v>258746844</v>
      </c>
      <c r="M39" s="217">
        <v>193559046</v>
      </c>
      <c r="N39" s="217">
        <v>121487353</v>
      </c>
      <c r="O39" s="217">
        <v>104235829</v>
      </c>
      <c r="P39" s="217">
        <v>59100228</v>
      </c>
      <c r="Q39" s="217">
        <v>56885895</v>
      </c>
      <c r="R39" s="217">
        <v>66374995</v>
      </c>
      <c r="S39" s="217">
        <v>42528603</v>
      </c>
      <c r="T39" s="217">
        <v>45518587</v>
      </c>
      <c r="U39" s="217">
        <v>31213858</v>
      </c>
      <c r="V39" s="217">
        <v>28061119</v>
      </c>
      <c r="W39" s="217">
        <f>SUM(L39:V39)</f>
        <v>1007712357</v>
      </c>
    </row>
    <row r="40" spans="2:23" x14ac:dyDescent="0.45">
      <c r="B40" s="38" t="s">
        <v>175</v>
      </c>
      <c r="C40" s="109" t="s">
        <v>212</v>
      </c>
      <c r="D40" s="110">
        <v>1385511</v>
      </c>
      <c r="E40" s="110"/>
      <c r="F40" s="111">
        <v>43203</v>
      </c>
      <c r="G40" s="112">
        <v>43202</v>
      </c>
      <c r="H40" s="113">
        <v>43230</v>
      </c>
      <c r="I40" s="19">
        <f t="shared" si="3"/>
        <v>27</v>
      </c>
      <c r="J40" s="20">
        <f t="shared" si="4"/>
        <v>28</v>
      </c>
      <c r="K40" s="26" t="s">
        <v>211</v>
      </c>
      <c r="L40" s="217">
        <v>274072835</v>
      </c>
      <c r="M40" s="217">
        <v>233632447</v>
      </c>
      <c r="N40" s="217">
        <v>228638591</v>
      </c>
      <c r="O40" s="217">
        <v>161138142</v>
      </c>
      <c r="P40" s="217">
        <v>157751352</v>
      </c>
      <c r="Q40" s="217">
        <v>97260174</v>
      </c>
      <c r="R40" s="217">
        <v>101871962</v>
      </c>
      <c r="S40" s="217">
        <v>101878311</v>
      </c>
      <c r="T40" s="217">
        <v>63202332</v>
      </c>
      <c r="U40" s="217">
        <v>45449393</v>
      </c>
      <c r="V40" s="217">
        <v>32784542</v>
      </c>
      <c r="W40" s="217">
        <f>SUM(L40:V40)</f>
        <v>1497680081</v>
      </c>
    </row>
    <row r="41" spans="2:23" x14ac:dyDescent="0.45">
      <c r="B41" s="46" t="s">
        <v>175</v>
      </c>
      <c r="C41" s="50" t="s">
        <v>296</v>
      </c>
      <c r="D41" s="102">
        <v>1128774</v>
      </c>
      <c r="E41" s="102"/>
      <c r="F41" s="103" t="s">
        <v>102</v>
      </c>
      <c r="G41" s="101">
        <v>43221</v>
      </c>
      <c r="H41" s="87">
        <v>43244</v>
      </c>
      <c r="I41" s="106" t="s">
        <v>102</v>
      </c>
      <c r="J41" s="20">
        <f t="shared" si="4"/>
        <v>23</v>
      </c>
      <c r="K41" s="22" t="s">
        <v>211</v>
      </c>
      <c r="L41" s="217">
        <v>362748041</v>
      </c>
      <c r="M41" s="217">
        <v>363349138</v>
      </c>
      <c r="N41" s="217">
        <v>263144229</v>
      </c>
      <c r="O41" s="217">
        <v>183213599</v>
      </c>
      <c r="P41" s="217">
        <v>91212128</v>
      </c>
      <c r="Q41" s="217">
        <v>87626658</v>
      </c>
      <c r="R41" s="217">
        <v>56986080</v>
      </c>
      <c r="S41" s="217">
        <v>48103503</v>
      </c>
      <c r="T41" s="217">
        <v>32368828</v>
      </c>
      <c r="U41" s="217">
        <v>27140421</v>
      </c>
      <c r="V41" s="217">
        <v>35872063</v>
      </c>
      <c r="W41" s="217">
        <f t="shared" ref="W41:W50" si="5">SUM(L41:V41)</f>
        <v>1551764688</v>
      </c>
    </row>
    <row r="42" spans="2:23" x14ac:dyDescent="0.45">
      <c r="B42" s="46" t="s">
        <v>175</v>
      </c>
      <c r="C42" s="50" t="s">
        <v>213</v>
      </c>
      <c r="D42" s="102">
        <v>1335829</v>
      </c>
      <c r="E42" s="102"/>
      <c r="F42" s="103">
        <v>43259</v>
      </c>
      <c r="G42" s="101">
        <v>43264</v>
      </c>
      <c r="H42" s="87">
        <v>43299</v>
      </c>
      <c r="I42" s="106">
        <f t="shared" si="3"/>
        <v>40</v>
      </c>
      <c r="J42" s="20">
        <f t="shared" si="4"/>
        <v>35</v>
      </c>
      <c r="K42" s="22" t="s">
        <v>211</v>
      </c>
      <c r="L42" s="217">
        <v>192206573</v>
      </c>
      <c r="M42" s="217">
        <v>146748014</v>
      </c>
      <c r="N42" s="217">
        <v>150450083</v>
      </c>
      <c r="O42" s="217">
        <v>102481857</v>
      </c>
      <c r="P42" s="217">
        <v>86563692</v>
      </c>
      <c r="Q42" s="217">
        <v>73580112</v>
      </c>
      <c r="R42" s="217">
        <v>85231631</v>
      </c>
      <c r="S42" s="217">
        <v>72740054</v>
      </c>
      <c r="T42" s="217">
        <v>37337815</v>
      </c>
      <c r="U42" s="217">
        <v>29656409</v>
      </c>
      <c r="V42" s="217">
        <v>41870579</v>
      </c>
      <c r="W42" s="217">
        <f t="shared" si="5"/>
        <v>1018866819</v>
      </c>
    </row>
    <row r="43" spans="2:23" x14ac:dyDescent="0.45">
      <c r="B43" s="46" t="s">
        <v>175</v>
      </c>
      <c r="C43" s="50" t="s">
        <v>214</v>
      </c>
      <c r="D43" s="102">
        <v>3189091</v>
      </c>
      <c r="E43" s="102"/>
      <c r="F43" s="103" t="s">
        <v>102</v>
      </c>
      <c r="G43" s="101">
        <v>43278</v>
      </c>
      <c r="H43" s="87">
        <v>43306</v>
      </c>
      <c r="I43" s="106" t="s">
        <v>102</v>
      </c>
      <c r="J43" s="20">
        <f t="shared" si="4"/>
        <v>28</v>
      </c>
      <c r="K43" s="22" t="s">
        <v>211</v>
      </c>
      <c r="L43" s="217">
        <v>718733968</v>
      </c>
      <c r="M43" s="217">
        <v>883279411</v>
      </c>
      <c r="N43" s="217">
        <v>399860222</v>
      </c>
      <c r="O43" s="217">
        <v>325898793</v>
      </c>
      <c r="P43" s="217">
        <v>234830180</v>
      </c>
      <c r="Q43" s="217">
        <v>148087790</v>
      </c>
      <c r="R43" s="217">
        <v>100379175</v>
      </c>
      <c r="S43" s="217">
        <v>63363753</v>
      </c>
      <c r="T43" s="217">
        <v>51678365</v>
      </c>
      <c r="U43" s="217">
        <v>70429788</v>
      </c>
      <c r="V43" s="217">
        <v>31206035</v>
      </c>
      <c r="W43" s="217">
        <f t="shared" si="5"/>
        <v>3027747480</v>
      </c>
    </row>
    <row r="44" spans="2:23" x14ac:dyDescent="0.45">
      <c r="B44" s="46" t="s">
        <v>175</v>
      </c>
      <c r="C44" s="50" t="s">
        <v>215</v>
      </c>
      <c r="D44" s="102">
        <v>897548</v>
      </c>
      <c r="E44" s="102"/>
      <c r="F44" s="103" t="s">
        <v>102</v>
      </c>
      <c r="G44" s="101">
        <v>43306</v>
      </c>
      <c r="H44" s="87">
        <v>43326</v>
      </c>
      <c r="I44" s="106" t="s">
        <v>102</v>
      </c>
      <c r="J44" s="20">
        <f t="shared" si="4"/>
        <v>20</v>
      </c>
      <c r="K44" s="22" t="s">
        <v>211</v>
      </c>
      <c r="L44" s="217">
        <v>333996433</v>
      </c>
      <c r="M44" s="217">
        <v>166759640</v>
      </c>
      <c r="N44" s="217">
        <v>113140221</v>
      </c>
      <c r="O44" s="217">
        <v>60724030</v>
      </c>
      <c r="P44" s="217">
        <v>26598575</v>
      </c>
      <c r="Q44" s="217">
        <v>21189445</v>
      </c>
      <c r="R44" s="217">
        <v>22740478</v>
      </c>
      <c r="S44" s="217">
        <v>7046638</v>
      </c>
      <c r="T44" s="217">
        <v>4293583</v>
      </c>
      <c r="U44" s="217">
        <v>2299755</v>
      </c>
      <c r="V44" s="217">
        <v>1905613</v>
      </c>
      <c r="W44" s="217">
        <f t="shared" si="5"/>
        <v>760694411</v>
      </c>
    </row>
    <row r="45" spans="2:23" x14ac:dyDescent="0.45">
      <c r="B45" s="46" t="s">
        <v>175</v>
      </c>
      <c r="C45" s="50" t="s">
        <v>216</v>
      </c>
      <c r="D45" s="102">
        <v>527331</v>
      </c>
      <c r="E45" s="102"/>
      <c r="F45" s="103">
        <v>43322</v>
      </c>
      <c r="G45" s="101">
        <v>43327</v>
      </c>
      <c r="H45" s="87">
        <v>43355</v>
      </c>
      <c r="I45" s="106">
        <f t="shared" si="3"/>
        <v>33</v>
      </c>
      <c r="J45" s="20">
        <f t="shared" si="4"/>
        <v>28</v>
      </c>
      <c r="K45" s="22" t="s">
        <v>70</v>
      </c>
      <c r="L45" s="217">
        <v>255839760</v>
      </c>
      <c r="M45" s="217">
        <v>216375192</v>
      </c>
      <c r="N45" s="217">
        <v>225886221</v>
      </c>
      <c r="O45" s="217">
        <v>80777268</v>
      </c>
      <c r="P45" s="217">
        <v>78698688</v>
      </c>
      <c r="Q45" s="217">
        <v>43187133</v>
      </c>
      <c r="R45" s="217">
        <v>27673533</v>
      </c>
      <c r="S45" s="217">
        <v>18861938</v>
      </c>
      <c r="T45" s="217">
        <v>13724603</v>
      </c>
      <c r="U45" s="217">
        <v>11126083</v>
      </c>
      <c r="V45" s="217">
        <v>10052169</v>
      </c>
      <c r="W45" s="217">
        <f t="shared" si="5"/>
        <v>982202588</v>
      </c>
    </row>
    <row r="46" spans="2:23" x14ac:dyDescent="0.45">
      <c r="B46" s="46" t="s">
        <v>175</v>
      </c>
      <c r="C46" s="50" t="s">
        <v>217</v>
      </c>
      <c r="D46" s="102">
        <v>1011580</v>
      </c>
      <c r="E46" s="102"/>
      <c r="F46" s="103">
        <v>43350</v>
      </c>
      <c r="G46" s="101">
        <v>43362</v>
      </c>
      <c r="H46" s="87">
        <v>43390</v>
      </c>
      <c r="I46" s="19">
        <f t="shared" si="3"/>
        <v>40</v>
      </c>
      <c r="J46" s="20">
        <f t="shared" si="4"/>
        <v>28</v>
      </c>
      <c r="K46" s="22" t="s">
        <v>211</v>
      </c>
      <c r="L46" s="217">
        <v>90621419</v>
      </c>
      <c r="M46" s="217">
        <v>62384681</v>
      </c>
      <c r="N46" s="217">
        <v>31898084</v>
      </c>
      <c r="O46" s="217">
        <v>18310149</v>
      </c>
      <c r="P46" s="217">
        <v>12075624</v>
      </c>
      <c r="Q46" s="217">
        <v>8095923</v>
      </c>
      <c r="R46" s="217">
        <v>10149860</v>
      </c>
      <c r="S46" s="217">
        <v>10158809</v>
      </c>
      <c r="T46" s="217">
        <v>7090487</v>
      </c>
      <c r="U46" s="217">
        <v>5466260</v>
      </c>
      <c r="V46" s="217">
        <v>6114535</v>
      </c>
      <c r="W46" s="217">
        <f t="shared" si="5"/>
        <v>262365831</v>
      </c>
    </row>
    <row r="47" spans="2:23" x14ac:dyDescent="0.45">
      <c r="B47" s="46" t="s">
        <v>175</v>
      </c>
      <c r="C47" s="50" t="s">
        <v>218</v>
      </c>
      <c r="D47" s="102">
        <v>485001</v>
      </c>
      <c r="E47" s="102"/>
      <c r="F47" s="103">
        <v>43378</v>
      </c>
      <c r="G47" s="101">
        <v>43382</v>
      </c>
      <c r="H47" s="87">
        <v>43410</v>
      </c>
      <c r="I47" s="19">
        <f t="shared" si="3"/>
        <v>32</v>
      </c>
      <c r="J47" s="20">
        <f t="shared" si="4"/>
        <v>28</v>
      </c>
      <c r="K47" s="22" t="s">
        <v>211</v>
      </c>
      <c r="L47" s="217">
        <v>91031150</v>
      </c>
      <c r="M47" s="217">
        <v>86050987</v>
      </c>
      <c r="N47" s="217">
        <v>64243977</v>
      </c>
      <c r="O47" s="217">
        <v>53267911</v>
      </c>
      <c r="P47" s="217">
        <v>46707577</v>
      </c>
      <c r="Q47" s="217">
        <v>27983043</v>
      </c>
      <c r="R47" s="217">
        <v>22607441</v>
      </c>
      <c r="S47" s="217">
        <v>35687569</v>
      </c>
      <c r="T47" s="217">
        <v>24867955</v>
      </c>
      <c r="U47" s="217">
        <v>13521671</v>
      </c>
      <c r="V47" s="217">
        <v>11089423</v>
      </c>
      <c r="W47" s="217">
        <f t="shared" si="5"/>
        <v>477058704</v>
      </c>
    </row>
    <row r="48" spans="2:23" x14ac:dyDescent="0.45">
      <c r="B48" s="46" t="s">
        <v>175</v>
      </c>
      <c r="C48" s="50" t="s">
        <v>219</v>
      </c>
      <c r="D48" s="102">
        <v>154297</v>
      </c>
      <c r="E48" s="102"/>
      <c r="F48" s="103">
        <v>43327</v>
      </c>
      <c r="G48" s="101">
        <v>43398</v>
      </c>
      <c r="H48" s="87">
        <v>43426</v>
      </c>
      <c r="I48" s="19">
        <f t="shared" si="3"/>
        <v>99</v>
      </c>
      <c r="J48" s="20">
        <f t="shared" si="4"/>
        <v>28</v>
      </c>
      <c r="K48" s="22" t="s">
        <v>211</v>
      </c>
      <c r="L48" s="217">
        <v>63818580</v>
      </c>
      <c r="M48" s="217">
        <v>64228360</v>
      </c>
      <c r="N48" s="217">
        <v>34995356</v>
      </c>
      <c r="O48" s="217">
        <v>20881872</v>
      </c>
      <c r="P48" s="217">
        <v>12933756</v>
      </c>
      <c r="Q48" s="217">
        <v>12733746</v>
      </c>
      <c r="R48" s="217">
        <v>15432807</v>
      </c>
      <c r="S48" s="217">
        <v>12250956</v>
      </c>
      <c r="T48" s="217">
        <v>7906296</v>
      </c>
      <c r="U48" s="217">
        <v>5658941</v>
      </c>
      <c r="V48" s="217">
        <v>7194043</v>
      </c>
      <c r="W48" s="217">
        <f t="shared" si="5"/>
        <v>258034713</v>
      </c>
    </row>
    <row r="49" spans="2:23" ht="15" thickBot="1" x14ac:dyDescent="0.5">
      <c r="B49" s="53" t="s">
        <v>175</v>
      </c>
      <c r="C49" s="114" t="s">
        <v>220</v>
      </c>
      <c r="D49" s="115">
        <v>2414062</v>
      </c>
      <c r="E49" s="115"/>
      <c r="F49" s="116">
        <v>43420</v>
      </c>
      <c r="G49" s="117">
        <v>43418</v>
      </c>
      <c r="H49" s="118">
        <v>43446</v>
      </c>
      <c r="I49" s="35">
        <f t="shared" si="3"/>
        <v>26</v>
      </c>
      <c r="J49" s="119">
        <f t="shared" si="4"/>
        <v>28</v>
      </c>
      <c r="K49" s="37" t="s">
        <v>211</v>
      </c>
      <c r="L49" s="217">
        <v>289223834</v>
      </c>
      <c r="M49" s="217">
        <v>220857046</v>
      </c>
      <c r="N49" s="217">
        <v>205683198</v>
      </c>
      <c r="O49" s="217">
        <v>143160367</v>
      </c>
      <c r="P49" s="217">
        <v>67195458</v>
      </c>
      <c r="Q49" s="217">
        <v>41014314</v>
      </c>
      <c r="R49" s="217">
        <v>27729603</v>
      </c>
      <c r="S49" s="217">
        <v>55101406</v>
      </c>
      <c r="T49" s="217">
        <v>61893968</v>
      </c>
      <c r="U49" s="217">
        <v>22403581</v>
      </c>
      <c r="V49" s="217">
        <v>18045168</v>
      </c>
      <c r="W49" s="217">
        <f t="shared" si="5"/>
        <v>1152307943</v>
      </c>
    </row>
    <row r="50" spans="2:23" ht="15" thickBot="1" x14ac:dyDescent="0.5">
      <c r="B50" s="53" t="s">
        <v>175</v>
      </c>
      <c r="C50" s="114" t="s">
        <v>297</v>
      </c>
      <c r="D50" s="115">
        <v>5038134</v>
      </c>
      <c r="E50" s="115"/>
      <c r="F50" s="116">
        <v>43455</v>
      </c>
      <c r="G50" s="117">
        <v>43453</v>
      </c>
      <c r="H50" s="118">
        <v>43488</v>
      </c>
      <c r="I50" s="35">
        <f t="shared" ref="I50" si="6">H50-F50</f>
        <v>33</v>
      </c>
      <c r="J50" s="119">
        <f t="shared" ref="J50" si="7">H50-G50</f>
        <v>35</v>
      </c>
      <c r="K50" s="37" t="s">
        <v>211</v>
      </c>
      <c r="L50" s="217">
        <v>656334719</v>
      </c>
      <c r="M50" s="217">
        <v>454482035</v>
      </c>
      <c r="N50" s="217">
        <v>478385424</v>
      </c>
      <c r="O50" s="217">
        <v>189082971</v>
      </c>
      <c r="P50" s="217">
        <v>129672576</v>
      </c>
      <c r="Q50" s="217">
        <v>118384002</v>
      </c>
      <c r="R50" s="217">
        <v>123885530</v>
      </c>
      <c r="S50" s="217">
        <v>103247184</v>
      </c>
      <c r="T50" s="217">
        <v>71129281</v>
      </c>
      <c r="U50" s="217">
        <v>54748570</v>
      </c>
      <c r="V50" s="217">
        <v>39526635</v>
      </c>
      <c r="W50" s="217">
        <f t="shared" si="5"/>
        <v>2418878927</v>
      </c>
    </row>
    <row r="52" spans="2:23" x14ac:dyDescent="0.45">
      <c r="B52" s="299" t="s">
        <v>416</v>
      </c>
    </row>
    <row r="53" spans="2:23" x14ac:dyDescent="0.45">
      <c r="B53" s="2" t="s">
        <v>417</v>
      </c>
    </row>
    <row r="54" spans="2:23" x14ac:dyDescent="0.45">
      <c r="B54" s="2" t="s">
        <v>418</v>
      </c>
    </row>
  </sheetData>
  <mergeCells count="12">
    <mergeCell ref="K4:K5"/>
    <mergeCell ref="B3:B5"/>
    <mergeCell ref="C3:C5"/>
    <mergeCell ref="D3:D5"/>
    <mergeCell ref="E3:E5"/>
    <mergeCell ref="G3:H3"/>
    <mergeCell ref="I3:J3"/>
    <mergeCell ref="F4:F5"/>
    <mergeCell ref="G4:G5"/>
    <mergeCell ref="H4:H5"/>
    <mergeCell ref="I4:I5"/>
    <mergeCell ref="J4:J5"/>
  </mergeCells>
  <phoneticPr fontId="29" type="noConversion"/>
  <pageMargins left="0.70866141732283472" right="0.70866141732283472" top="0.74803149606299213" bottom="0.74803149606299213" header="0.31496062992125984" footer="0.31496062992125984"/>
  <pageSetup paperSize="9" scale="47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3E47C-A63B-4453-BDEC-DC2640CB6D9D}">
  <sheetPr>
    <tabColor rgb="FFFFC000"/>
    <pageSetUpPr fitToPage="1"/>
  </sheetPr>
  <dimension ref="B1:K192"/>
  <sheetViews>
    <sheetView showGridLines="0" zoomScaleNormal="100" workbookViewId="0">
      <pane xSplit="5" ySplit="5" topLeftCell="F120" activePane="bottomRight" state="frozen"/>
      <selection activeCell="B2" sqref="B2"/>
      <selection pane="topRight" activeCell="B2" sqref="B2"/>
      <selection pane="bottomLeft" activeCell="B2" sqref="B2"/>
      <selection pane="bottomRight" activeCell="A106" sqref="A106:XFD106"/>
    </sheetView>
  </sheetViews>
  <sheetFormatPr defaultRowHeight="14.5" x14ac:dyDescent="0.45"/>
  <cols>
    <col min="1" max="1" width="1.4140625" style="2" customWidth="1"/>
    <col min="2" max="2" width="15.4140625" style="2" customWidth="1"/>
    <col min="3" max="3" width="46.83203125" style="2" bestFit="1" customWidth="1"/>
    <col min="4" max="4" width="10.25" style="3" bestFit="1" customWidth="1"/>
    <col min="5" max="5" width="9.4140625" style="3" hidden="1" customWidth="1"/>
    <col min="6" max="6" width="18.58203125" style="2" customWidth="1"/>
    <col min="7" max="7" width="14.83203125" style="3" customWidth="1"/>
    <col min="8" max="8" width="16.25" style="3" customWidth="1"/>
    <col min="9" max="9" width="12.25" style="2" customWidth="1"/>
    <col min="10" max="10" width="12" style="2" customWidth="1"/>
    <col min="11" max="11" width="9.83203125" style="2" customWidth="1"/>
    <col min="12" max="251" width="9.1640625" style="2"/>
    <col min="252" max="252" width="19.4140625" style="2" bestFit="1" customWidth="1"/>
    <col min="253" max="253" width="39.75" style="2" customWidth="1"/>
    <col min="254" max="254" width="20.58203125" style="2" customWidth="1"/>
    <col min="255" max="255" width="9.4140625" style="2" customWidth="1"/>
    <col min="256" max="256" width="21.83203125" style="2" customWidth="1"/>
    <col min="257" max="258" width="19.83203125" style="2" customWidth="1"/>
    <col min="259" max="259" width="23" style="2" customWidth="1"/>
    <col min="260" max="261" width="24" style="2" customWidth="1"/>
    <col min="262" max="507" width="9.1640625" style="2"/>
    <col min="508" max="508" width="19.4140625" style="2" bestFit="1" customWidth="1"/>
    <col min="509" max="509" width="39.75" style="2" customWidth="1"/>
    <col min="510" max="510" width="20.58203125" style="2" customWidth="1"/>
    <col min="511" max="511" width="9.4140625" style="2" customWidth="1"/>
    <col min="512" max="512" width="21.83203125" style="2" customWidth="1"/>
    <col min="513" max="514" width="19.83203125" style="2" customWidth="1"/>
    <col min="515" max="515" width="23" style="2" customWidth="1"/>
    <col min="516" max="517" width="24" style="2" customWidth="1"/>
    <col min="518" max="763" width="9.1640625" style="2"/>
    <col min="764" max="764" width="19.4140625" style="2" bestFit="1" customWidth="1"/>
    <col min="765" max="765" width="39.75" style="2" customWidth="1"/>
    <col min="766" max="766" width="20.58203125" style="2" customWidth="1"/>
    <col min="767" max="767" width="9.4140625" style="2" customWidth="1"/>
    <col min="768" max="768" width="21.83203125" style="2" customWidth="1"/>
    <col min="769" max="770" width="19.83203125" style="2" customWidth="1"/>
    <col min="771" max="771" width="23" style="2" customWidth="1"/>
    <col min="772" max="773" width="24" style="2" customWidth="1"/>
    <col min="774" max="1019" width="9.1640625" style="2"/>
    <col min="1020" max="1020" width="19.4140625" style="2" bestFit="1" customWidth="1"/>
    <col min="1021" max="1021" width="39.75" style="2" customWidth="1"/>
    <col min="1022" max="1022" width="20.58203125" style="2" customWidth="1"/>
    <col min="1023" max="1023" width="9.4140625" style="2" customWidth="1"/>
    <col min="1024" max="1024" width="21.83203125" style="2" customWidth="1"/>
    <col min="1025" max="1026" width="19.83203125" style="2" customWidth="1"/>
    <col min="1027" max="1027" width="23" style="2" customWidth="1"/>
    <col min="1028" max="1029" width="24" style="2" customWidth="1"/>
    <col min="1030" max="1275" width="9.1640625" style="2"/>
    <col min="1276" max="1276" width="19.4140625" style="2" bestFit="1" customWidth="1"/>
    <col min="1277" max="1277" width="39.75" style="2" customWidth="1"/>
    <col min="1278" max="1278" width="20.58203125" style="2" customWidth="1"/>
    <col min="1279" max="1279" width="9.4140625" style="2" customWidth="1"/>
    <col min="1280" max="1280" width="21.83203125" style="2" customWidth="1"/>
    <col min="1281" max="1282" width="19.83203125" style="2" customWidth="1"/>
    <col min="1283" max="1283" width="23" style="2" customWidth="1"/>
    <col min="1284" max="1285" width="24" style="2" customWidth="1"/>
    <col min="1286" max="1531" width="9.1640625" style="2"/>
    <col min="1532" max="1532" width="19.4140625" style="2" bestFit="1" customWidth="1"/>
    <col min="1533" max="1533" width="39.75" style="2" customWidth="1"/>
    <col min="1534" max="1534" width="20.58203125" style="2" customWidth="1"/>
    <col min="1535" max="1535" width="9.4140625" style="2" customWidth="1"/>
    <col min="1536" max="1536" width="21.83203125" style="2" customWidth="1"/>
    <col min="1537" max="1538" width="19.83203125" style="2" customWidth="1"/>
    <col min="1539" max="1539" width="23" style="2" customWidth="1"/>
    <col min="1540" max="1541" width="24" style="2" customWidth="1"/>
    <col min="1542" max="1787" width="9.1640625" style="2"/>
    <col min="1788" max="1788" width="19.4140625" style="2" bestFit="1" customWidth="1"/>
    <col min="1789" max="1789" width="39.75" style="2" customWidth="1"/>
    <col min="1790" max="1790" width="20.58203125" style="2" customWidth="1"/>
    <col min="1791" max="1791" width="9.4140625" style="2" customWidth="1"/>
    <col min="1792" max="1792" width="21.83203125" style="2" customWidth="1"/>
    <col min="1793" max="1794" width="19.83203125" style="2" customWidth="1"/>
    <col min="1795" max="1795" width="23" style="2" customWidth="1"/>
    <col min="1796" max="1797" width="24" style="2" customWidth="1"/>
    <col min="1798" max="2043" width="9.1640625" style="2"/>
    <col min="2044" max="2044" width="19.4140625" style="2" bestFit="1" customWidth="1"/>
    <col min="2045" max="2045" width="39.75" style="2" customWidth="1"/>
    <col min="2046" max="2046" width="20.58203125" style="2" customWidth="1"/>
    <col min="2047" max="2047" width="9.4140625" style="2" customWidth="1"/>
    <col min="2048" max="2048" width="21.83203125" style="2" customWidth="1"/>
    <col min="2049" max="2050" width="19.83203125" style="2" customWidth="1"/>
    <col min="2051" max="2051" width="23" style="2" customWidth="1"/>
    <col min="2052" max="2053" width="24" style="2" customWidth="1"/>
    <col min="2054" max="2299" width="9.1640625" style="2"/>
    <col min="2300" max="2300" width="19.4140625" style="2" bestFit="1" customWidth="1"/>
    <col min="2301" max="2301" width="39.75" style="2" customWidth="1"/>
    <col min="2302" max="2302" width="20.58203125" style="2" customWidth="1"/>
    <col min="2303" max="2303" width="9.4140625" style="2" customWidth="1"/>
    <col min="2304" max="2304" width="21.83203125" style="2" customWidth="1"/>
    <col min="2305" max="2306" width="19.83203125" style="2" customWidth="1"/>
    <col min="2307" max="2307" width="23" style="2" customWidth="1"/>
    <col min="2308" max="2309" width="24" style="2" customWidth="1"/>
    <col min="2310" max="2555" width="9.1640625" style="2"/>
    <col min="2556" max="2556" width="19.4140625" style="2" bestFit="1" customWidth="1"/>
    <col min="2557" max="2557" width="39.75" style="2" customWidth="1"/>
    <col min="2558" max="2558" width="20.58203125" style="2" customWidth="1"/>
    <col min="2559" max="2559" width="9.4140625" style="2" customWidth="1"/>
    <col min="2560" max="2560" width="21.83203125" style="2" customWidth="1"/>
    <col min="2561" max="2562" width="19.83203125" style="2" customWidth="1"/>
    <col min="2563" max="2563" width="23" style="2" customWidth="1"/>
    <col min="2564" max="2565" width="24" style="2" customWidth="1"/>
    <col min="2566" max="2811" width="9.1640625" style="2"/>
    <col min="2812" max="2812" width="19.4140625" style="2" bestFit="1" customWidth="1"/>
    <col min="2813" max="2813" width="39.75" style="2" customWidth="1"/>
    <col min="2814" max="2814" width="20.58203125" style="2" customWidth="1"/>
    <col min="2815" max="2815" width="9.4140625" style="2" customWidth="1"/>
    <col min="2816" max="2816" width="21.83203125" style="2" customWidth="1"/>
    <col min="2817" max="2818" width="19.83203125" style="2" customWidth="1"/>
    <col min="2819" max="2819" width="23" style="2" customWidth="1"/>
    <col min="2820" max="2821" width="24" style="2" customWidth="1"/>
    <col min="2822" max="3067" width="9.1640625" style="2"/>
    <col min="3068" max="3068" width="19.4140625" style="2" bestFit="1" customWidth="1"/>
    <col min="3069" max="3069" width="39.75" style="2" customWidth="1"/>
    <col min="3070" max="3070" width="20.58203125" style="2" customWidth="1"/>
    <col min="3071" max="3071" width="9.4140625" style="2" customWidth="1"/>
    <col min="3072" max="3072" width="21.83203125" style="2" customWidth="1"/>
    <col min="3073" max="3074" width="19.83203125" style="2" customWidth="1"/>
    <col min="3075" max="3075" width="23" style="2" customWidth="1"/>
    <col min="3076" max="3077" width="24" style="2" customWidth="1"/>
    <col min="3078" max="3323" width="9.1640625" style="2"/>
    <col min="3324" max="3324" width="19.4140625" style="2" bestFit="1" customWidth="1"/>
    <col min="3325" max="3325" width="39.75" style="2" customWidth="1"/>
    <col min="3326" max="3326" width="20.58203125" style="2" customWidth="1"/>
    <col min="3327" max="3327" width="9.4140625" style="2" customWidth="1"/>
    <col min="3328" max="3328" width="21.83203125" style="2" customWidth="1"/>
    <col min="3329" max="3330" width="19.83203125" style="2" customWidth="1"/>
    <col min="3331" max="3331" width="23" style="2" customWidth="1"/>
    <col min="3332" max="3333" width="24" style="2" customWidth="1"/>
    <col min="3334" max="3579" width="9.1640625" style="2"/>
    <col min="3580" max="3580" width="19.4140625" style="2" bestFit="1" customWidth="1"/>
    <col min="3581" max="3581" width="39.75" style="2" customWidth="1"/>
    <col min="3582" max="3582" width="20.58203125" style="2" customWidth="1"/>
    <col min="3583" max="3583" width="9.4140625" style="2" customWidth="1"/>
    <col min="3584" max="3584" width="21.83203125" style="2" customWidth="1"/>
    <col min="3585" max="3586" width="19.83203125" style="2" customWidth="1"/>
    <col min="3587" max="3587" width="23" style="2" customWidth="1"/>
    <col min="3588" max="3589" width="24" style="2" customWidth="1"/>
    <col min="3590" max="3835" width="9.1640625" style="2"/>
    <col min="3836" max="3836" width="19.4140625" style="2" bestFit="1" customWidth="1"/>
    <col min="3837" max="3837" width="39.75" style="2" customWidth="1"/>
    <col min="3838" max="3838" width="20.58203125" style="2" customWidth="1"/>
    <col min="3839" max="3839" width="9.4140625" style="2" customWidth="1"/>
    <col min="3840" max="3840" width="21.83203125" style="2" customWidth="1"/>
    <col min="3841" max="3842" width="19.83203125" style="2" customWidth="1"/>
    <col min="3843" max="3843" width="23" style="2" customWidth="1"/>
    <col min="3844" max="3845" width="24" style="2" customWidth="1"/>
    <col min="3846" max="4091" width="9.1640625" style="2"/>
    <col min="4092" max="4092" width="19.4140625" style="2" bestFit="1" customWidth="1"/>
    <col min="4093" max="4093" width="39.75" style="2" customWidth="1"/>
    <col min="4094" max="4094" width="20.58203125" style="2" customWidth="1"/>
    <col min="4095" max="4095" width="9.4140625" style="2" customWidth="1"/>
    <col min="4096" max="4096" width="21.83203125" style="2" customWidth="1"/>
    <col min="4097" max="4098" width="19.83203125" style="2" customWidth="1"/>
    <col min="4099" max="4099" width="23" style="2" customWidth="1"/>
    <col min="4100" max="4101" width="24" style="2" customWidth="1"/>
    <col min="4102" max="4347" width="9.1640625" style="2"/>
    <col min="4348" max="4348" width="19.4140625" style="2" bestFit="1" customWidth="1"/>
    <col min="4349" max="4349" width="39.75" style="2" customWidth="1"/>
    <col min="4350" max="4350" width="20.58203125" style="2" customWidth="1"/>
    <col min="4351" max="4351" width="9.4140625" style="2" customWidth="1"/>
    <col min="4352" max="4352" width="21.83203125" style="2" customWidth="1"/>
    <col min="4353" max="4354" width="19.83203125" style="2" customWidth="1"/>
    <col min="4355" max="4355" width="23" style="2" customWidth="1"/>
    <col min="4356" max="4357" width="24" style="2" customWidth="1"/>
    <col min="4358" max="4603" width="9.1640625" style="2"/>
    <col min="4604" max="4604" width="19.4140625" style="2" bestFit="1" customWidth="1"/>
    <col min="4605" max="4605" width="39.75" style="2" customWidth="1"/>
    <col min="4606" max="4606" width="20.58203125" style="2" customWidth="1"/>
    <col min="4607" max="4607" width="9.4140625" style="2" customWidth="1"/>
    <col min="4608" max="4608" width="21.83203125" style="2" customWidth="1"/>
    <col min="4609" max="4610" width="19.83203125" style="2" customWidth="1"/>
    <col min="4611" max="4611" width="23" style="2" customWidth="1"/>
    <col min="4612" max="4613" width="24" style="2" customWidth="1"/>
    <col min="4614" max="4859" width="9.1640625" style="2"/>
    <col min="4860" max="4860" width="19.4140625" style="2" bestFit="1" customWidth="1"/>
    <col min="4861" max="4861" width="39.75" style="2" customWidth="1"/>
    <col min="4862" max="4862" width="20.58203125" style="2" customWidth="1"/>
    <col min="4863" max="4863" width="9.4140625" style="2" customWidth="1"/>
    <col min="4864" max="4864" width="21.83203125" style="2" customWidth="1"/>
    <col min="4865" max="4866" width="19.83203125" style="2" customWidth="1"/>
    <col min="4867" max="4867" width="23" style="2" customWidth="1"/>
    <col min="4868" max="4869" width="24" style="2" customWidth="1"/>
    <col min="4870" max="5115" width="9.1640625" style="2"/>
    <col min="5116" max="5116" width="19.4140625" style="2" bestFit="1" customWidth="1"/>
    <col min="5117" max="5117" width="39.75" style="2" customWidth="1"/>
    <col min="5118" max="5118" width="20.58203125" style="2" customWidth="1"/>
    <col min="5119" max="5119" width="9.4140625" style="2" customWidth="1"/>
    <col min="5120" max="5120" width="21.83203125" style="2" customWidth="1"/>
    <col min="5121" max="5122" width="19.83203125" style="2" customWidth="1"/>
    <col min="5123" max="5123" width="23" style="2" customWidth="1"/>
    <col min="5124" max="5125" width="24" style="2" customWidth="1"/>
    <col min="5126" max="5371" width="9.1640625" style="2"/>
    <col min="5372" max="5372" width="19.4140625" style="2" bestFit="1" customWidth="1"/>
    <col min="5373" max="5373" width="39.75" style="2" customWidth="1"/>
    <col min="5374" max="5374" width="20.58203125" style="2" customWidth="1"/>
    <col min="5375" max="5375" width="9.4140625" style="2" customWidth="1"/>
    <col min="5376" max="5376" width="21.83203125" style="2" customWidth="1"/>
    <col min="5377" max="5378" width="19.83203125" style="2" customWidth="1"/>
    <col min="5379" max="5379" width="23" style="2" customWidth="1"/>
    <col min="5380" max="5381" width="24" style="2" customWidth="1"/>
    <col min="5382" max="5627" width="9.1640625" style="2"/>
    <col min="5628" max="5628" width="19.4140625" style="2" bestFit="1" customWidth="1"/>
    <col min="5629" max="5629" width="39.75" style="2" customWidth="1"/>
    <col min="5630" max="5630" width="20.58203125" style="2" customWidth="1"/>
    <col min="5631" max="5631" width="9.4140625" style="2" customWidth="1"/>
    <col min="5632" max="5632" width="21.83203125" style="2" customWidth="1"/>
    <col min="5633" max="5634" width="19.83203125" style="2" customWidth="1"/>
    <col min="5635" max="5635" width="23" style="2" customWidth="1"/>
    <col min="5636" max="5637" width="24" style="2" customWidth="1"/>
    <col min="5638" max="5883" width="9.1640625" style="2"/>
    <col min="5884" max="5884" width="19.4140625" style="2" bestFit="1" customWidth="1"/>
    <col min="5885" max="5885" width="39.75" style="2" customWidth="1"/>
    <col min="5886" max="5886" width="20.58203125" style="2" customWidth="1"/>
    <col min="5887" max="5887" width="9.4140625" style="2" customWidth="1"/>
    <col min="5888" max="5888" width="21.83203125" style="2" customWidth="1"/>
    <col min="5889" max="5890" width="19.83203125" style="2" customWidth="1"/>
    <col min="5891" max="5891" width="23" style="2" customWidth="1"/>
    <col min="5892" max="5893" width="24" style="2" customWidth="1"/>
    <col min="5894" max="6139" width="9.1640625" style="2"/>
    <col min="6140" max="6140" width="19.4140625" style="2" bestFit="1" customWidth="1"/>
    <col min="6141" max="6141" width="39.75" style="2" customWidth="1"/>
    <col min="6142" max="6142" width="20.58203125" style="2" customWidth="1"/>
    <col min="6143" max="6143" width="9.4140625" style="2" customWidth="1"/>
    <col min="6144" max="6144" width="21.83203125" style="2" customWidth="1"/>
    <col min="6145" max="6146" width="19.83203125" style="2" customWidth="1"/>
    <col min="6147" max="6147" width="23" style="2" customWidth="1"/>
    <col min="6148" max="6149" width="24" style="2" customWidth="1"/>
    <col min="6150" max="6395" width="9.1640625" style="2"/>
    <col min="6396" max="6396" width="19.4140625" style="2" bestFit="1" customWidth="1"/>
    <col min="6397" max="6397" width="39.75" style="2" customWidth="1"/>
    <col min="6398" max="6398" width="20.58203125" style="2" customWidth="1"/>
    <col min="6399" max="6399" width="9.4140625" style="2" customWidth="1"/>
    <col min="6400" max="6400" width="21.83203125" style="2" customWidth="1"/>
    <col min="6401" max="6402" width="19.83203125" style="2" customWidth="1"/>
    <col min="6403" max="6403" width="23" style="2" customWidth="1"/>
    <col min="6404" max="6405" width="24" style="2" customWidth="1"/>
    <col min="6406" max="6651" width="9.1640625" style="2"/>
    <col min="6652" max="6652" width="19.4140625" style="2" bestFit="1" customWidth="1"/>
    <col min="6653" max="6653" width="39.75" style="2" customWidth="1"/>
    <col min="6654" max="6654" width="20.58203125" style="2" customWidth="1"/>
    <col min="6655" max="6655" width="9.4140625" style="2" customWidth="1"/>
    <col min="6656" max="6656" width="21.83203125" style="2" customWidth="1"/>
    <col min="6657" max="6658" width="19.83203125" style="2" customWidth="1"/>
    <col min="6659" max="6659" width="23" style="2" customWidth="1"/>
    <col min="6660" max="6661" width="24" style="2" customWidth="1"/>
    <col min="6662" max="6907" width="9.1640625" style="2"/>
    <col min="6908" max="6908" width="19.4140625" style="2" bestFit="1" customWidth="1"/>
    <col min="6909" max="6909" width="39.75" style="2" customWidth="1"/>
    <col min="6910" max="6910" width="20.58203125" style="2" customWidth="1"/>
    <col min="6911" max="6911" width="9.4140625" style="2" customWidth="1"/>
    <col min="6912" max="6912" width="21.83203125" style="2" customWidth="1"/>
    <col min="6913" max="6914" width="19.83203125" style="2" customWidth="1"/>
    <col min="6915" max="6915" width="23" style="2" customWidth="1"/>
    <col min="6916" max="6917" width="24" style="2" customWidth="1"/>
    <col min="6918" max="7163" width="9.1640625" style="2"/>
    <col min="7164" max="7164" width="19.4140625" style="2" bestFit="1" customWidth="1"/>
    <col min="7165" max="7165" width="39.75" style="2" customWidth="1"/>
    <col min="7166" max="7166" width="20.58203125" style="2" customWidth="1"/>
    <col min="7167" max="7167" width="9.4140625" style="2" customWidth="1"/>
    <col min="7168" max="7168" width="21.83203125" style="2" customWidth="1"/>
    <col min="7169" max="7170" width="19.83203125" style="2" customWidth="1"/>
    <col min="7171" max="7171" width="23" style="2" customWidth="1"/>
    <col min="7172" max="7173" width="24" style="2" customWidth="1"/>
    <col min="7174" max="7419" width="9.1640625" style="2"/>
    <col min="7420" max="7420" width="19.4140625" style="2" bestFit="1" customWidth="1"/>
    <col min="7421" max="7421" width="39.75" style="2" customWidth="1"/>
    <col min="7422" max="7422" width="20.58203125" style="2" customWidth="1"/>
    <col min="7423" max="7423" width="9.4140625" style="2" customWidth="1"/>
    <col min="7424" max="7424" width="21.83203125" style="2" customWidth="1"/>
    <col min="7425" max="7426" width="19.83203125" style="2" customWidth="1"/>
    <col min="7427" max="7427" width="23" style="2" customWidth="1"/>
    <col min="7428" max="7429" width="24" style="2" customWidth="1"/>
    <col min="7430" max="7675" width="9.1640625" style="2"/>
    <col min="7676" max="7676" width="19.4140625" style="2" bestFit="1" customWidth="1"/>
    <col min="7677" max="7677" width="39.75" style="2" customWidth="1"/>
    <col min="7678" max="7678" width="20.58203125" style="2" customWidth="1"/>
    <col min="7679" max="7679" width="9.4140625" style="2" customWidth="1"/>
    <col min="7680" max="7680" width="21.83203125" style="2" customWidth="1"/>
    <col min="7681" max="7682" width="19.83203125" style="2" customWidth="1"/>
    <col min="7683" max="7683" width="23" style="2" customWidth="1"/>
    <col min="7684" max="7685" width="24" style="2" customWidth="1"/>
    <col min="7686" max="7931" width="9.1640625" style="2"/>
    <col min="7932" max="7932" width="19.4140625" style="2" bestFit="1" customWidth="1"/>
    <col min="7933" max="7933" width="39.75" style="2" customWidth="1"/>
    <col min="7934" max="7934" width="20.58203125" style="2" customWidth="1"/>
    <col min="7935" max="7935" width="9.4140625" style="2" customWidth="1"/>
    <col min="7936" max="7936" width="21.83203125" style="2" customWidth="1"/>
    <col min="7937" max="7938" width="19.83203125" style="2" customWidth="1"/>
    <col min="7939" max="7939" width="23" style="2" customWidth="1"/>
    <col min="7940" max="7941" width="24" style="2" customWidth="1"/>
    <col min="7942" max="8187" width="9.1640625" style="2"/>
    <col min="8188" max="8188" width="19.4140625" style="2" bestFit="1" customWidth="1"/>
    <col min="8189" max="8189" width="39.75" style="2" customWidth="1"/>
    <col min="8190" max="8190" width="20.58203125" style="2" customWidth="1"/>
    <col min="8191" max="8191" width="9.4140625" style="2" customWidth="1"/>
    <col min="8192" max="8192" width="21.83203125" style="2" customWidth="1"/>
    <col min="8193" max="8194" width="19.83203125" style="2" customWidth="1"/>
    <col min="8195" max="8195" width="23" style="2" customWidth="1"/>
    <col min="8196" max="8197" width="24" style="2" customWidth="1"/>
    <col min="8198" max="8443" width="9.1640625" style="2"/>
    <col min="8444" max="8444" width="19.4140625" style="2" bestFit="1" customWidth="1"/>
    <col min="8445" max="8445" width="39.75" style="2" customWidth="1"/>
    <col min="8446" max="8446" width="20.58203125" style="2" customWidth="1"/>
    <col min="8447" max="8447" width="9.4140625" style="2" customWidth="1"/>
    <col min="8448" max="8448" width="21.83203125" style="2" customWidth="1"/>
    <col min="8449" max="8450" width="19.83203125" style="2" customWidth="1"/>
    <col min="8451" max="8451" width="23" style="2" customWidth="1"/>
    <col min="8452" max="8453" width="24" style="2" customWidth="1"/>
    <col min="8454" max="8699" width="9.1640625" style="2"/>
    <col min="8700" max="8700" width="19.4140625" style="2" bestFit="1" customWidth="1"/>
    <col min="8701" max="8701" width="39.75" style="2" customWidth="1"/>
    <col min="8702" max="8702" width="20.58203125" style="2" customWidth="1"/>
    <col min="8703" max="8703" width="9.4140625" style="2" customWidth="1"/>
    <col min="8704" max="8704" width="21.83203125" style="2" customWidth="1"/>
    <col min="8705" max="8706" width="19.83203125" style="2" customWidth="1"/>
    <col min="8707" max="8707" width="23" style="2" customWidth="1"/>
    <col min="8708" max="8709" width="24" style="2" customWidth="1"/>
    <col min="8710" max="8955" width="9.1640625" style="2"/>
    <col min="8956" max="8956" width="19.4140625" style="2" bestFit="1" customWidth="1"/>
    <col min="8957" max="8957" width="39.75" style="2" customWidth="1"/>
    <col min="8958" max="8958" width="20.58203125" style="2" customWidth="1"/>
    <col min="8959" max="8959" width="9.4140625" style="2" customWidth="1"/>
    <col min="8960" max="8960" width="21.83203125" style="2" customWidth="1"/>
    <col min="8961" max="8962" width="19.83203125" style="2" customWidth="1"/>
    <col min="8963" max="8963" width="23" style="2" customWidth="1"/>
    <col min="8964" max="8965" width="24" style="2" customWidth="1"/>
    <col min="8966" max="9211" width="9.1640625" style="2"/>
    <col min="9212" max="9212" width="19.4140625" style="2" bestFit="1" customWidth="1"/>
    <col min="9213" max="9213" width="39.75" style="2" customWidth="1"/>
    <col min="9214" max="9214" width="20.58203125" style="2" customWidth="1"/>
    <col min="9215" max="9215" width="9.4140625" style="2" customWidth="1"/>
    <col min="9216" max="9216" width="21.83203125" style="2" customWidth="1"/>
    <col min="9217" max="9218" width="19.83203125" style="2" customWidth="1"/>
    <col min="9219" max="9219" width="23" style="2" customWidth="1"/>
    <col min="9220" max="9221" width="24" style="2" customWidth="1"/>
    <col min="9222" max="9467" width="9.1640625" style="2"/>
    <col min="9468" max="9468" width="19.4140625" style="2" bestFit="1" customWidth="1"/>
    <col min="9469" max="9469" width="39.75" style="2" customWidth="1"/>
    <col min="9470" max="9470" width="20.58203125" style="2" customWidth="1"/>
    <col min="9471" max="9471" width="9.4140625" style="2" customWidth="1"/>
    <col min="9472" max="9472" width="21.83203125" style="2" customWidth="1"/>
    <col min="9473" max="9474" width="19.83203125" style="2" customWidth="1"/>
    <col min="9475" max="9475" width="23" style="2" customWidth="1"/>
    <col min="9476" max="9477" width="24" style="2" customWidth="1"/>
    <col min="9478" max="9723" width="9.1640625" style="2"/>
    <col min="9724" max="9724" width="19.4140625" style="2" bestFit="1" customWidth="1"/>
    <col min="9725" max="9725" width="39.75" style="2" customWidth="1"/>
    <col min="9726" max="9726" width="20.58203125" style="2" customWidth="1"/>
    <col min="9727" max="9727" width="9.4140625" style="2" customWidth="1"/>
    <col min="9728" max="9728" width="21.83203125" style="2" customWidth="1"/>
    <col min="9729" max="9730" width="19.83203125" style="2" customWidth="1"/>
    <col min="9731" max="9731" width="23" style="2" customWidth="1"/>
    <col min="9732" max="9733" width="24" style="2" customWidth="1"/>
    <col min="9734" max="9979" width="9.1640625" style="2"/>
    <col min="9980" max="9980" width="19.4140625" style="2" bestFit="1" customWidth="1"/>
    <col min="9981" max="9981" width="39.75" style="2" customWidth="1"/>
    <col min="9982" max="9982" width="20.58203125" style="2" customWidth="1"/>
    <col min="9983" max="9983" width="9.4140625" style="2" customWidth="1"/>
    <col min="9984" max="9984" width="21.83203125" style="2" customWidth="1"/>
    <col min="9985" max="9986" width="19.83203125" style="2" customWidth="1"/>
    <col min="9987" max="9987" width="23" style="2" customWidth="1"/>
    <col min="9988" max="9989" width="24" style="2" customWidth="1"/>
    <col min="9990" max="10235" width="9.1640625" style="2"/>
    <col min="10236" max="10236" width="19.4140625" style="2" bestFit="1" customWidth="1"/>
    <col min="10237" max="10237" width="39.75" style="2" customWidth="1"/>
    <col min="10238" max="10238" width="20.58203125" style="2" customWidth="1"/>
    <col min="10239" max="10239" width="9.4140625" style="2" customWidth="1"/>
    <col min="10240" max="10240" width="21.83203125" style="2" customWidth="1"/>
    <col min="10241" max="10242" width="19.83203125" style="2" customWidth="1"/>
    <col min="10243" max="10243" width="23" style="2" customWidth="1"/>
    <col min="10244" max="10245" width="24" style="2" customWidth="1"/>
    <col min="10246" max="10491" width="9.1640625" style="2"/>
    <col min="10492" max="10492" width="19.4140625" style="2" bestFit="1" customWidth="1"/>
    <col min="10493" max="10493" width="39.75" style="2" customWidth="1"/>
    <col min="10494" max="10494" width="20.58203125" style="2" customWidth="1"/>
    <col min="10495" max="10495" width="9.4140625" style="2" customWidth="1"/>
    <col min="10496" max="10496" width="21.83203125" style="2" customWidth="1"/>
    <col min="10497" max="10498" width="19.83203125" style="2" customWidth="1"/>
    <col min="10499" max="10499" width="23" style="2" customWidth="1"/>
    <col min="10500" max="10501" width="24" style="2" customWidth="1"/>
    <col min="10502" max="10747" width="9.1640625" style="2"/>
    <col min="10748" max="10748" width="19.4140625" style="2" bestFit="1" customWidth="1"/>
    <col min="10749" max="10749" width="39.75" style="2" customWidth="1"/>
    <col min="10750" max="10750" width="20.58203125" style="2" customWidth="1"/>
    <col min="10751" max="10751" width="9.4140625" style="2" customWidth="1"/>
    <col min="10752" max="10752" width="21.83203125" style="2" customWidth="1"/>
    <col min="10753" max="10754" width="19.83203125" style="2" customWidth="1"/>
    <col min="10755" max="10755" width="23" style="2" customWidth="1"/>
    <col min="10756" max="10757" width="24" style="2" customWidth="1"/>
    <col min="10758" max="11003" width="9.1640625" style="2"/>
    <col min="11004" max="11004" width="19.4140625" style="2" bestFit="1" customWidth="1"/>
    <col min="11005" max="11005" width="39.75" style="2" customWidth="1"/>
    <col min="11006" max="11006" width="20.58203125" style="2" customWidth="1"/>
    <col min="11007" max="11007" width="9.4140625" style="2" customWidth="1"/>
    <col min="11008" max="11008" width="21.83203125" style="2" customWidth="1"/>
    <col min="11009" max="11010" width="19.83203125" style="2" customWidth="1"/>
    <col min="11011" max="11011" width="23" style="2" customWidth="1"/>
    <col min="11012" max="11013" width="24" style="2" customWidth="1"/>
    <col min="11014" max="11259" width="9.1640625" style="2"/>
    <col min="11260" max="11260" width="19.4140625" style="2" bestFit="1" customWidth="1"/>
    <col min="11261" max="11261" width="39.75" style="2" customWidth="1"/>
    <col min="11262" max="11262" width="20.58203125" style="2" customWidth="1"/>
    <col min="11263" max="11263" width="9.4140625" style="2" customWidth="1"/>
    <col min="11264" max="11264" width="21.83203125" style="2" customWidth="1"/>
    <col min="11265" max="11266" width="19.83203125" style="2" customWidth="1"/>
    <col min="11267" max="11267" width="23" style="2" customWidth="1"/>
    <col min="11268" max="11269" width="24" style="2" customWidth="1"/>
    <col min="11270" max="11515" width="9.1640625" style="2"/>
    <col min="11516" max="11516" width="19.4140625" style="2" bestFit="1" customWidth="1"/>
    <col min="11517" max="11517" width="39.75" style="2" customWidth="1"/>
    <col min="11518" max="11518" width="20.58203125" style="2" customWidth="1"/>
    <col min="11519" max="11519" width="9.4140625" style="2" customWidth="1"/>
    <col min="11520" max="11520" width="21.83203125" style="2" customWidth="1"/>
    <col min="11521" max="11522" width="19.83203125" style="2" customWidth="1"/>
    <col min="11523" max="11523" width="23" style="2" customWidth="1"/>
    <col min="11524" max="11525" width="24" style="2" customWidth="1"/>
    <col min="11526" max="11771" width="9.1640625" style="2"/>
    <col min="11772" max="11772" width="19.4140625" style="2" bestFit="1" customWidth="1"/>
    <col min="11773" max="11773" width="39.75" style="2" customWidth="1"/>
    <col min="11774" max="11774" width="20.58203125" style="2" customWidth="1"/>
    <col min="11775" max="11775" width="9.4140625" style="2" customWidth="1"/>
    <col min="11776" max="11776" width="21.83203125" style="2" customWidth="1"/>
    <col min="11777" max="11778" width="19.83203125" style="2" customWidth="1"/>
    <col min="11779" max="11779" width="23" style="2" customWidth="1"/>
    <col min="11780" max="11781" width="24" style="2" customWidth="1"/>
    <col min="11782" max="12027" width="9.1640625" style="2"/>
    <col min="12028" max="12028" width="19.4140625" style="2" bestFit="1" customWidth="1"/>
    <col min="12029" max="12029" width="39.75" style="2" customWidth="1"/>
    <col min="12030" max="12030" width="20.58203125" style="2" customWidth="1"/>
    <col min="12031" max="12031" width="9.4140625" style="2" customWidth="1"/>
    <col min="12032" max="12032" width="21.83203125" style="2" customWidth="1"/>
    <col min="12033" max="12034" width="19.83203125" style="2" customWidth="1"/>
    <col min="12035" max="12035" width="23" style="2" customWidth="1"/>
    <col min="12036" max="12037" width="24" style="2" customWidth="1"/>
    <col min="12038" max="12283" width="9.1640625" style="2"/>
    <col min="12284" max="12284" width="19.4140625" style="2" bestFit="1" customWidth="1"/>
    <col min="12285" max="12285" width="39.75" style="2" customWidth="1"/>
    <col min="12286" max="12286" width="20.58203125" style="2" customWidth="1"/>
    <col min="12287" max="12287" width="9.4140625" style="2" customWidth="1"/>
    <col min="12288" max="12288" width="21.83203125" style="2" customWidth="1"/>
    <col min="12289" max="12290" width="19.83203125" style="2" customWidth="1"/>
    <col min="12291" max="12291" width="23" style="2" customWidth="1"/>
    <col min="12292" max="12293" width="24" style="2" customWidth="1"/>
    <col min="12294" max="12539" width="9.1640625" style="2"/>
    <col min="12540" max="12540" width="19.4140625" style="2" bestFit="1" customWidth="1"/>
    <col min="12541" max="12541" width="39.75" style="2" customWidth="1"/>
    <col min="12542" max="12542" width="20.58203125" style="2" customWidth="1"/>
    <col min="12543" max="12543" width="9.4140625" style="2" customWidth="1"/>
    <col min="12544" max="12544" width="21.83203125" style="2" customWidth="1"/>
    <col min="12545" max="12546" width="19.83203125" style="2" customWidth="1"/>
    <col min="12547" max="12547" width="23" style="2" customWidth="1"/>
    <col min="12548" max="12549" width="24" style="2" customWidth="1"/>
    <col min="12550" max="12795" width="9.1640625" style="2"/>
    <col min="12796" max="12796" width="19.4140625" style="2" bestFit="1" customWidth="1"/>
    <col min="12797" max="12797" width="39.75" style="2" customWidth="1"/>
    <col min="12798" max="12798" width="20.58203125" style="2" customWidth="1"/>
    <col min="12799" max="12799" width="9.4140625" style="2" customWidth="1"/>
    <col min="12800" max="12800" width="21.83203125" style="2" customWidth="1"/>
    <col min="12801" max="12802" width="19.83203125" style="2" customWidth="1"/>
    <col min="12803" max="12803" width="23" style="2" customWidth="1"/>
    <col min="12804" max="12805" width="24" style="2" customWidth="1"/>
    <col min="12806" max="13051" width="9.1640625" style="2"/>
    <col min="13052" max="13052" width="19.4140625" style="2" bestFit="1" customWidth="1"/>
    <col min="13053" max="13053" width="39.75" style="2" customWidth="1"/>
    <col min="13054" max="13054" width="20.58203125" style="2" customWidth="1"/>
    <col min="13055" max="13055" width="9.4140625" style="2" customWidth="1"/>
    <col min="13056" max="13056" width="21.83203125" style="2" customWidth="1"/>
    <col min="13057" max="13058" width="19.83203125" style="2" customWidth="1"/>
    <col min="13059" max="13059" width="23" style="2" customWidth="1"/>
    <col min="13060" max="13061" width="24" style="2" customWidth="1"/>
    <col min="13062" max="13307" width="9.1640625" style="2"/>
    <col min="13308" max="13308" width="19.4140625" style="2" bestFit="1" customWidth="1"/>
    <col min="13309" max="13309" width="39.75" style="2" customWidth="1"/>
    <col min="13310" max="13310" width="20.58203125" style="2" customWidth="1"/>
    <col min="13311" max="13311" width="9.4140625" style="2" customWidth="1"/>
    <col min="13312" max="13312" width="21.83203125" style="2" customWidth="1"/>
    <col min="13313" max="13314" width="19.83203125" style="2" customWidth="1"/>
    <col min="13315" max="13315" width="23" style="2" customWidth="1"/>
    <col min="13316" max="13317" width="24" style="2" customWidth="1"/>
    <col min="13318" max="13563" width="9.1640625" style="2"/>
    <col min="13564" max="13564" width="19.4140625" style="2" bestFit="1" customWidth="1"/>
    <col min="13565" max="13565" width="39.75" style="2" customWidth="1"/>
    <col min="13566" max="13566" width="20.58203125" style="2" customWidth="1"/>
    <col min="13567" max="13567" width="9.4140625" style="2" customWidth="1"/>
    <col min="13568" max="13568" width="21.83203125" style="2" customWidth="1"/>
    <col min="13569" max="13570" width="19.83203125" style="2" customWidth="1"/>
    <col min="13571" max="13571" width="23" style="2" customWidth="1"/>
    <col min="13572" max="13573" width="24" style="2" customWidth="1"/>
    <col min="13574" max="13819" width="9.1640625" style="2"/>
    <col min="13820" max="13820" width="19.4140625" style="2" bestFit="1" customWidth="1"/>
    <col min="13821" max="13821" width="39.75" style="2" customWidth="1"/>
    <col min="13822" max="13822" width="20.58203125" style="2" customWidth="1"/>
    <col min="13823" max="13823" width="9.4140625" style="2" customWidth="1"/>
    <col min="13824" max="13824" width="21.83203125" style="2" customWidth="1"/>
    <col min="13825" max="13826" width="19.83203125" style="2" customWidth="1"/>
    <col min="13827" max="13827" width="23" style="2" customWidth="1"/>
    <col min="13828" max="13829" width="24" style="2" customWidth="1"/>
    <col min="13830" max="14075" width="9.1640625" style="2"/>
    <col min="14076" max="14076" width="19.4140625" style="2" bestFit="1" customWidth="1"/>
    <col min="14077" max="14077" width="39.75" style="2" customWidth="1"/>
    <col min="14078" max="14078" width="20.58203125" style="2" customWidth="1"/>
    <col min="14079" max="14079" width="9.4140625" style="2" customWidth="1"/>
    <col min="14080" max="14080" width="21.83203125" style="2" customWidth="1"/>
    <col min="14081" max="14082" width="19.83203125" style="2" customWidth="1"/>
    <col min="14083" max="14083" width="23" style="2" customWidth="1"/>
    <col min="14084" max="14085" width="24" style="2" customWidth="1"/>
    <col min="14086" max="14331" width="9.1640625" style="2"/>
    <col min="14332" max="14332" width="19.4140625" style="2" bestFit="1" customWidth="1"/>
    <col min="14333" max="14333" width="39.75" style="2" customWidth="1"/>
    <col min="14334" max="14334" width="20.58203125" style="2" customWidth="1"/>
    <col min="14335" max="14335" width="9.4140625" style="2" customWidth="1"/>
    <col min="14336" max="14336" width="21.83203125" style="2" customWidth="1"/>
    <col min="14337" max="14338" width="19.83203125" style="2" customWidth="1"/>
    <col min="14339" max="14339" width="23" style="2" customWidth="1"/>
    <col min="14340" max="14341" width="24" style="2" customWidth="1"/>
    <col min="14342" max="14587" width="9.1640625" style="2"/>
    <col min="14588" max="14588" width="19.4140625" style="2" bestFit="1" customWidth="1"/>
    <col min="14589" max="14589" width="39.75" style="2" customWidth="1"/>
    <col min="14590" max="14590" width="20.58203125" style="2" customWidth="1"/>
    <col min="14591" max="14591" width="9.4140625" style="2" customWidth="1"/>
    <col min="14592" max="14592" width="21.83203125" style="2" customWidth="1"/>
    <col min="14593" max="14594" width="19.83203125" style="2" customWidth="1"/>
    <col min="14595" max="14595" width="23" style="2" customWidth="1"/>
    <col min="14596" max="14597" width="24" style="2" customWidth="1"/>
    <col min="14598" max="14843" width="9.1640625" style="2"/>
    <col min="14844" max="14844" width="19.4140625" style="2" bestFit="1" customWidth="1"/>
    <col min="14845" max="14845" width="39.75" style="2" customWidth="1"/>
    <col min="14846" max="14846" width="20.58203125" style="2" customWidth="1"/>
    <col min="14847" max="14847" width="9.4140625" style="2" customWidth="1"/>
    <col min="14848" max="14848" width="21.83203125" style="2" customWidth="1"/>
    <col min="14849" max="14850" width="19.83203125" style="2" customWidth="1"/>
    <col min="14851" max="14851" width="23" style="2" customWidth="1"/>
    <col min="14852" max="14853" width="24" style="2" customWidth="1"/>
    <col min="14854" max="15099" width="9.1640625" style="2"/>
    <col min="15100" max="15100" width="19.4140625" style="2" bestFit="1" customWidth="1"/>
    <col min="15101" max="15101" width="39.75" style="2" customWidth="1"/>
    <col min="15102" max="15102" width="20.58203125" style="2" customWidth="1"/>
    <col min="15103" max="15103" width="9.4140625" style="2" customWidth="1"/>
    <col min="15104" max="15104" width="21.83203125" style="2" customWidth="1"/>
    <col min="15105" max="15106" width="19.83203125" style="2" customWidth="1"/>
    <col min="15107" max="15107" width="23" style="2" customWidth="1"/>
    <col min="15108" max="15109" width="24" style="2" customWidth="1"/>
    <col min="15110" max="15355" width="9.1640625" style="2"/>
    <col min="15356" max="15356" width="19.4140625" style="2" bestFit="1" customWidth="1"/>
    <col min="15357" max="15357" width="39.75" style="2" customWidth="1"/>
    <col min="15358" max="15358" width="20.58203125" style="2" customWidth="1"/>
    <col min="15359" max="15359" width="9.4140625" style="2" customWidth="1"/>
    <col min="15360" max="15360" width="21.83203125" style="2" customWidth="1"/>
    <col min="15361" max="15362" width="19.83203125" style="2" customWidth="1"/>
    <col min="15363" max="15363" width="23" style="2" customWidth="1"/>
    <col min="15364" max="15365" width="24" style="2" customWidth="1"/>
    <col min="15366" max="15611" width="9.1640625" style="2"/>
    <col min="15612" max="15612" width="19.4140625" style="2" bestFit="1" customWidth="1"/>
    <col min="15613" max="15613" width="39.75" style="2" customWidth="1"/>
    <col min="15614" max="15614" width="20.58203125" style="2" customWidth="1"/>
    <col min="15615" max="15615" width="9.4140625" style="2" customWidth="1"/>
    <col min="15616" max="15616" width="21.83203125" style="2" customWidth="1"/>
    <col min="15617" max="15618" width="19.83203125" style="2" customWidth="1"/>
    <col min="15619" max="15619" width="23" style="2" customWidth="1"/>
    <col min="15620" max="15621" width="24" style="2" customWidth="1"/>
    <col min="15622" max="15867" width="9.1640625" style="2"/>
    <col min="15868" max="15868" width="19.4140625" style="2" bestFit="1" customWidth="1"/>
    <col min="15869" max="15869" width="39.75" style="2" customWidth="1"/>
    <col min="15870" max="15870" width="20.58203125" style="2" customWidth="1"/>
    <col min="15871" max="15871" width="9.4140625" style="2" customWidth="1"/>
    <col min="15872" max="15872" width="21.83203125" style="2" customWidth="1"/>
    <col min="15873" max="15874" width="19.83203125" style="2" customWidth="1"/>
    <col min="15875" max="15875" width="23" style="2" customWidth="1"/>
    <col min="15876" max="15877" width="24" style="2" customWidth="1"/>
    <col min="15878" max="16123" width="9.1640625" style="2"/>
    <col min="16124" max="16124" width="19.4140625" style="2" bestFit="1" customWidth="1"/>
    <col min="16125" max="16125" width="39.75" style="2" customWidth="1"/>
    <col min="16126" max="16126" width="20.58203125" style="2" customWidth="1"/>
    <col min="16127" max="16127" width="9.4140625" style="2" customWidth="1"/>
    <col min="16128" max="16128" width="21.83203125" style="2" customWidth="1"/>
    <col min="16129" max="16130" width="19.83203125" style="2" customWidth="1"/>
    <col min="16131" max="16131" width="23" style="2" customWidth="1"/>
    <col min="16132" max="16133" width="24" style="2" customWidth="1"/>
    <col min="16134" max="16384" width="9.1640625" style="2"/>
  </cols>
  <sheetData>
    <row r="1" spans="2:11" ht="18.5" x14ac:dyDescent="0.45">
      <c r="B1" s="1" t="s">
        <v>0</v>
      </c>
    </row>
    <row r="2" spans="2:11" ht="15" thickBot="1" x14ac:dyDescent="0.5">
      <c r="J2" s="4" t="s">
        <v>1</v>
      </c>
    </row>
    <row r="3" spans="2:11" x14ac:dyDescent="0.45">
      <c r="B3" s="303" t="s">
        <v>2</v>
      </c>
      <c r="C3" s="303" t="s">
        <v>3</v>
      </c>
      <c r="D3" s="303" t="s">
        <v>4</v>
      </c>
      <c r="E3" s="303" t="s">
        <v>5</v>
      </c>
      <c r="F3" s="5" t="s">
        <v>6</v>
      </c>
      <c r="G3" s="306" t="s">
        <v>7</v>
      </c>
      <c r="H3" s="307"/>
      <c r="I3" s="308" t="s">
        <v>8</v>
      </c>
      <c r="J3" s="308"/>
      <c r="K3" s="6"/>
    </row>
    <row r="4" spans="2:11" x14ac:dyDescent="0.45">
      <c r="B4" s="304"/>
      <c r="C4" s="304"/>
      <c r="D4" s="304"/>
      <c r="E4" s="304"/>
      <c r="F4" s="309" t="s">
        <v>9</v>
      </c>
      <c r="G4" s="311" t="s">
        <v>9</v>
      </c>
      <c r="H4" s="311" t="s">
        <v>10</v>
      </c>
      <c r="I4" s="313" t="s">
        <v>11</v>
      </c>
      <c r="J4" s="315" t="s">
        <v>12</v>
      </c>
      <c r="K4" s="301" t="s">
        <v>13</v>
      </c>
    </row>
    <row r="5" spans="2:11" ht="15" thickBot="1" x14ac:dyDescent="0.5">
      <c r="B5" s="305"/>
      <c r="C5" s="305"/>
      <c r="D5" s="305"/>
      <c r="E5" s="305"/>
      <c r="F5" s="310"/>
      <c r="G5" s="312"/>
      <c r="H5" s="312"/>
      <c r="I5" s="314"/>
      <c r="J5" s="316"/>
      <c r="K5" s="302"/>
    </row>
    <row r="6" spans="2:11" ht="15" thickTop="1" x14ac:dyDescent="0.45">
      <c r="B6" s="7" t="s">
        <v>14</v>
      </c>
      <c r="C6" s="8" t="s">
        <v>15</v>
      </c>
      <c r="D6" s="9">
        <v>92598</v>
      </c>
      <c r="E6" s="9" t="s">
        <v>16</v>
      </c>
      <c r="F6" s="10">
        <v>42041</v>
      </c>
      <c r="G6" s="11">
        <v>42046</v>
      </c>
      <c r="H6" s="12">
        <f t="shared" ref="H6:H11" si="0">G6+28</f>
        <v>42074</v>
      </c>
      <c r="I6" s="13">
        <f t="shared" ref="I6:I121" si="1">H6-F6</f>
        <v>33</v>
      </c>
      <c r="J6" s="14">
        <f t="shared" ref="J6:J121" si="2">H6-G6</f>
        <v>28</v>
      </c>
      <c r="K6" s="15" t="s">
        <v>17</v>
      </c>
    </row>
    <row r="7" spans="2:11" x14ac:dyDescent="0.45">
      <c r="B7" s="16" t="s">
        <v>18</v>
      </c>
      <c r="C7" s="17" t="s">
        <v>19</v>
      </c>
      <c r="D7" s="18">
        <v>364415</v>
      </c>
      <c r="E7" s="18" t="s">
        <v>20</v>
      </c>
      <c r="F7" s="10">
        <v>42048</v>
      </c>
      <c r="G7" s="11">
        <v>42061</v>
      </c>
      <c r="H7" s="12">
        <f t="shared" si="0"/>
        <v>42089</v>
      </c>
      <c r="I7" s="19">
        <f t="shared" si="1"/>
        <v>41</v>
      </c>
      <c r="J7" s="20">
        <f t="shared" si="2"/>
        <v>28</v>
      </c>
      <c r="K7" s="15" t="s">
        <v>17</v>
      </c>
    </row>
    <row r="8" spans="2:11" x14ac:dyDescent="0.45">
      <c r="B8" s="16" t="s">
        <v>18</v>
      </c>
      <c r="C8" s="17" t="s">
        <v>21</v>
      </c>
      <c r="D8" s="18">
        <v>3248904</v>
      </c>
      <c r="E8" s="18" t="s">
        <v>22</v>
      </c>
      <c r="F8" s="21">
        <v>42097</v>
      </c>
      <c r="G8" s="11">
        <v>42095</v>
      </c>
      <c r="H8" s="12">
        <f t="shared" si="0"/>
        <v>42123</v>
      </c>
      <c r="I8" s="19">
        <f t="shared" si="1"/>
        <v>26</v>
      </c>
      <c r="J8" s="20">
        <f t="shared" si="2"/>
        <v>28</v>
      </c>
      <c r="K8" s="22" t="s">
        <v>17</v>
      </c>
    </row>
    <row r="9" spans="2:11" x14ac:dyDescent="0.45">
      <c r="B9" s="16" t="s">
        <v>18</v>
      </c>
      <c r="C9" s="17" t="s">
        <v>23</v>
      </c>
      <c r="D9" s="18">
        <v>5546792</v>
      </c>
      <c r="E9" s="18" t="s">
        <v>24</v>
      </c>
      <c r="F9" s="21">
        <v>42167</v>
      </c>
      <c r="G9" s="11">
        <v>42166</v>
      </c>
      <c r="H9" s="12">
        <f t="shared" si="0"/>
        <v>42194</v>
      </c>
      <c r="I9" s="19">
        <f t="shared" si="1"/>
        <v>27</v>
      </c>
      <c r="J9" s="20">
        <f t="shared" si="2"/>
        <v>28</v>
      </c>
      <c r="K9" s="22" t="s">
        <v>17</v>
      </c>
    </row>
    <row r="10" spans="2:11" x14ac:dyDescent="0.45">
      <c r="B10" s="16" t="s">
        <v>18</v>
      </c>
      <c r="C10" s="17" t="s">
        <v>25</v>
      </c>
      <c r="D10" s="18">
        <v>170649</v>
      </c>
      <c r="E10" s="18" t="s">
        <v>16</v>
      </c>
      <c r="F10" s="21">
        <v>42181</v>
      </c>
      <c r="G10" s="11">
        <v>42180</v>
      </c>
      <c r="H10" s="12">
        <f t="shared" si="0"/>
        <v>42208</v>
      </c>
      <c r="I10" s="19">
        <f t="shared" si="1"/>
        <v>27</v>
      </c>
      <c r="J10" s="20">
        <f t="shared" si="2"/>
        <v>28</v>
      </c>
      <c r="K10" s="22" t="s">
        <v>17</v>
      </c>
    </row>
    <row r="11" spans="2:11" x14ac:dyDescent="0.45">
      <c r="B11" s="16" t="s">
        <v>18</v>
      </c>
      <c r="C11" s="17" t="s">
        <v>26</v>
      </c>
      <c r="D11" s="18">
        <v>2625636</v>
      </c>
      <c r="E11" s="18" t="s">
        <v>22</v>
      </c>
      <c r="F11" s="21">
        <v>42195</v>
      </c>
      <c r="G11" s="11">
        <v>42214</v>
      </c>
      <c r="H11" s="12">
        <f t="shared" si="0"/>
        <v>42242</v>
      </c>
      <c r="I11" s="19">
        <f t="shared" si="1"/>
        <v>47</v>
      </c>
      <c r="J11" s="20">
        <f t="shared" si="2"/>
        <v>28</v>
      </c>
      <c r="K11" s="22" t="s">
        <v>17</v>
      </c>
    </row>
    <row r="12" spans="2:11" x14ac:dyDescent="0.45">
      <c r="B12" s="16" t="s">
        <v>18</v>
      </c>
      <c r="C12" s="17" t="s">
        <v>27</v>
      </c>
      <c r="D12" s="18">
        <v>333038</v>
      </c>
      <c r="E12" s="18" t="s">
        <v>16</v>
      </c>
      <c r="F12" s="21">
        <v>42272</v>
      </c>
      <c r="G12" s="11">
        <v>42271</v>
      </c>
      <c r="H12" s="12">
        <f>G12+28</f>
        <v>42299</v>
      </c>
      <c r="I12" s="19">
        <f t="shared" si="1"/>
        <v>27</v>
      </c>
      <c r="J12" s="20">
        <f t="shared" si="2"/>
        <v>28</v>
      </c>
      <c r="K12" s="22" t="s">
        <v>17</v>
      </c>
    </row>
    <row r="13" spans="2:11" x14ac:dyDescent="0.45">
      <c r="B13" s="16" t="s">
        <v>18</v>
      </c>
      <c r="C13" s="17" t="s">
        <v>28</v>
      </c>
      <c r="D13" s="18">
        <v>46782</v>
      </c>
      <c r="E13" s="18" t="s">
        <v>16</v>
      </c>
      <c r="F13" s="21">
        <v>42293</v>
      </c>
      <c r="G13" s="11">
        <v>42333</v>
      </c>
      <c r="H13" s="12">
        <v>42362</v>
      </c>
      <c r="I13" s="19">
        <f t="shared" si="1"/>
        <v>69</v>
      </c>
      <c r="J13" s="20">
        <f t="shared" si="2"/>
        <v>29</v>
      </c>
      <c r="K13" s="22" t="s">
        <v>17</v>
      </c>
    </row>
    <row r="14" spans="2:11" x14ac:dyDescent="0.45">
      <c r="B14" s="16" t="s">
        <v>18</v>
      </c>
      <c r="C14" s="17" t="s">
        <v>29</v>
      </c>
      <c r="D14" s="18">
        <v>68809</v>
      </c>
      <c r="E14" s="18" t="s">
        <v>16</v>
      </c>
      <c r="F14" s="21">
        <v>42300</v>
      </c>
      <c r="G14" s="11">
        <v>42390</v>
      </c>
      <c r="H14" s="12">
        <v>42418</v>
      </c>
      <c r="I14" s="19">
        <f t="shared" si="1"/>
        <v>118</v>
      </c>
      <c r="J14" s="20">
        <f t="shared" si="2"/>
        <v>28</v>
      </c>
      <c r="K14" s="22" t="s">
        <v>17</v>
      </c>
    </row>
    <row r="15" spans="2:11" x14ac:dyDescent="0.45">
      <c r="B15" s="16" t="s">
        <v>18</v>
      </c>
      <c r="C15" s="17" t="s">
        <v>30</v>
      </c>
      <c r="D15" s="18">
        <v>1515097</v>
      </c>
      <c r="E15" s="18" t="s">
        <v>31</v>
      </c>
      <c r="F15" s="21">
        <v>42272</v>
      </c>
      <c r="G15" s="11">
        <v>42362</v>
      </c>
      <c r="H15" s="12">
        <v>42390</v>
      </c>
      <c r="I15" s="19">
        <f t="shared" si="1"/>
        <v>118</v>
      </c>
      <c r="J15" s="20">
        <f t="shared" si="2"/>
        <v>28</v>
      </c>
      <c r="K15" s="22" t="s">
        <v>17</v>
      </c>
    </row>
    <row r="16" spans="2:11" x14ac:dyDescent="0.45">
      <c r="B16" s="16" t="s">
        <v>18</v>
      </c>
      <c r="C16" s="17" t="s">
        <v>32</v>
      </c>
      <c r="D16" s="18">
        <v>134077</v>
      </c>
      <c r="E16" s="18" t="s">
        <v>16</v>
      </c>
      <c r="F16" s="21">
        <v>42391</v>
      </c>
      <c r="G16" s="11">
        <v>42418</v>
      </c>
      <c r="H16" s="12">
        <v>42445</v>
      </c>
      <c r="I16" s="19">
        <f t="shared" si="1"/>
        <v>54</v>
      </c>
      <c r="J16" s="20">
        <f t="shared" si="2"/>
        <v>27</v>
      </c>
      <c r="K16" s="22" t="s">
        <v>17</v>
      </c>
    </row>
    <row r="17" spans="2:11" x14ac:dyDescent="0.45">
      <c r="B17" s="16" t="s">
        <v>18</v>
      </c>
      <c r="C17" s="17" t="s">
        <v>33</v>
      </c>
      <c r="D17" s="18">
        <v>34330</v>
      </c>
      <c r="E17" s="18" t="s">
        <v>16</v>
      </c>
      <c r="F17" s="10">
        <v>42405</v>
      </c>
      <c r="G17" s="11">
        <v>42453</v>
      </c>
      <c r="H17" s="12">
        <v>42481</v>
      </c>
      <c r="I17" s="19">
        <f t="shared" si="1"/>
        <v>76</v>
      </c>
      <c r="J17" s="20">
        <f t="shared" si="2"/>
        <v>28</v>
      </c>
      <c r="K17" s="22" t="s">
        <v>17</v>
      </c>
    </row>
    <row r="18" spans="2:11" x14ac:dyDescent="0.45">
      <c r="B18" s="16" t="s">
        <v>18</v>
      </c>
      <c r="C18" s="17" t="s">
        <v>34</v>
      </c>
      <c r="D18" s="18">
        <v>444927</v>
      </c>
      <c r="E18" s="18" t="s">
        <v>16</v>
      </c>
      <c r="F18" s="10">
        <v>42482</v>
      </c>
      <c r="G18" s="11">
        <v>42473</v>
      </c>
      <c r="H18" s="12">
        <v>42501</v>
      </c>
      <c r="I18" s="19">
        <f t="shared" si="1"/>
        <v>19</v>
      </c>
      <c r="J18" s="20">
        <f t="shared" si="2"/>
        <v>28</v>
      </c>
      <c r="K18" s="22" t="s">
        <v>17</v>
      </c>
    </row>
    <row r="19" spans="2:11" x14ac:dyDescent="0.45">
      <c r="B19" s="16" t="s">
        <v>18</v>
      </c>
      <c r="C19" s="17" t="s">
        <v>35</v>
      </c>
      <c r="D19" s="18">
        <v>1163223</v>
      </c>
      <c r="E19" s="18" t="s">
        <v>31</v>
      </c>
      <c r="F19" s="10">
        <v>42531</v>
      </c>
      <c r="G19" s="11">
        <v>42530</v>
      </c>
      <c r="H19" s="12">
        <v>42558</v>
      </c>
      <c r="I19" s="19">
        <f t="shared" si="1"/>
        <v>27</v>
      </c>
      <c r="J19" s="20">
        <f t="shared" si="2"/>
        <v>28</v>
      </c>
      <c r="K19" s="22" t="s">
        <v>17</v>
      </c>
    </row>
    <row r="20" spans="2:11" x14ac:dyDescent="0.45">
      <c r="B20" s="16" t="s">
        <v>18</v>
      </c>
      <c r="C20" s="17" t="s">
        <v>36</v>
      </c>
      <c r="D20" s="18">
        <v>2611967</v>
      </c>
      <c r="E20" s="18" t="s">
        <v>22</v>
      </c>
      <c r="F20" s="10">
        <v>42580</v>
      </c>
      <c r="G20" s="11">
        <v>42578</v>
      </c>
      <c r="H20" s="12">
        <v>42613</v>
      </c>
      <c r="I20" s="19">
        <f t="shared" si="1"/>
        <v>33</v>
      </c>
      <c r="J20" s="20">
        <f t="shared" si="2"/>
        <v>35</v>
      </c>
      <c r="K20" s="22" t="s">
        <v>17</v>
      </c>
    </row>
    <row r="21" spans="2:11" x14ac:dyDescent="0.45">
      <c r="B21" s="16" t="s">
        <v>18</v>
      </c>
      <c r="C21" s="17" t="s">
        <v>37</v>
      </c>
      <c r="D21" s="18">
        <v>2520700</v>
      </c>
      <c r="E21" s="18" t="s">
        <v>22</v>
      </c>
      <c r="F21" s="10">
        <v>42559</v>
      </c>
      <c r="G21" s="11">
        <v>42585</v>
      </c>
      <c r="H21" s="12">
        <v>42627</v>
      </c>
      <c r="I21" s="19">
        <f t="shared" si="1"/>
        <v>68</v>
      </c>
      <c r="J21" s="20">
        <f t="shared" si="2"/>
        <v>42</v>
      </c>
      <c r="K21" s="22" t="s">
        <v>17</v>
      </c>
    </row>
    <row r="22" spans="2:11" x14ac:dyDescent="0.45">
      <c r="B22" s="16" t="s">
        <v>18</v>
      </c>
      <c r="C22" s="17" t="s">
        <v>38</v>
      </c>
      <c r="D22" s="18">
        <v>515553</v>
      </c>
      <c r="E22" s="18" t="s">
        <v>39</v>
      </c>
      <c r="F22" s="10">
        <v>42566</v>
      </c>
      <c r="G22" s="11">
        <v>42607</v>
      </c>
      <c r="H22" s="12">
        <v>42635</v>
      </c>
      <c r="I22" s="19">
        <f t="shared" si="1"/>
        <v>69</v>
      </c>
      <c r="J22" s="20">
        <f t="shared" si="2"/>
        <v>28</v>
      </c>
      <c r="K22" s="22" t="s">
        <v>17</v>
      </c>
    </row>
    <row r="23" spans="2:11" x14ac:dyDescent="0.45">
      <c r="B23" s="16" t="s">
        <v>18</v>
      </c>
      <c r="C23" s="17" t="s">
        <v>40</v>
      </c>
      <c r="D23" s="18">
        <v>820995</v>
      </c>
      <c r="E23" s="18" t="s">
        <v>39</v>
      </c>
      <c r="F23" s="10">
        <v>42629</v>
      </c>
      <c r="G23" s="11">
        <v>42641</v>
      </c>
      <c r="H23" s="12">
        <v>42677</v>
      </c>
      <c r="I23" s="19">
        <f t="shared" si="1"/>
        <v>48</v>
      </c>
      <c r="J23" s="20">
        <f t="shared" si="2"/>
        <v>36</v>
      </c>
      <c r="K23" s="22" t="s">
        <v>17</v>
      </c>
    </row>
    <row r="24" spans="2:11" x14ac:dyDescent="0.45">
      <c r="B24" s="7" t="s">
        <v>18</v>
      </c>
      <c r="C24" s="8" t="s">
        <v>41</v>
      </c>
      <c r="D24" s="9">
        <v>331886</v>
      </c>
      <c r="E24" s="9" t="s">
        <v>16</v>
      </c>
      <c r="F24" s="21">
        <v>42664</v>
      </c>
      <c r="G24" s="23">
        <v>42683</v>
      </c>
      <c r="H24" s="24">
        <v>42711</v>
      </c>
      <c r="I24" s="13">
        <f t="shared" si="1"/>
        <v>47</v>
      </c>
      <c r="J24" s="14">
        <f t="shared" si="2"/>
        <v>28</v>
      </c>
      <c r="K24" s="22" t="s">
        <v>17</v>
      </c>
    </row>
    <row r="25" spans="2:11" x14ac:dyDescent="0.45">
      <c r="B25" s="16" t="s">
        <v>18</v>
      </c>
      <c r="C25" s="17" t="s">
        <v>42</v>
      </c>
      <c r="D25" s="18">
        <v>1730771</v>
      </c>
      <c r="E25" s="18" t="s">
        <v>31</v>
      </c>
      <c r="F25" s="10">
        <v>42730</v>
      </c>
      <c r="G25" s="11">
        <v>42725</v>
      </c>
      <c r="H25" s="12">
        <v>42797</v>
      </c>
      <c r="I25" s="19">
        <f t="shared" si="1"/>
        <v>67</v>
      </c>
      <c r="J25" s="20">
        <f t="shared" si="2"/>
        <v>72</v>
      </c>
      <c r="K25" s="15" t="s">
        <v>43</v>
      </c>
    </row>
    <row r="26" spans="2:11" x14ac:dyDescent="0.45">
      <c r="B26" s="16" t="s">
        <v>18</v>
      </c>
      <c r="C26" s="17" t="s">
        <v>44</v>
      </c>
      <c r="D26" s="18">
        <v>501486</v>
      </c>
      <c r="E26" s="18" t="s">
        <v>39</v>
      </c>
      <c r="F26" s="10">
        <v>42783</v>
      </c>
      <c r="G26" s="11">
        <v>42781</v>
      </c>
      <c r="H26" s="12">
        <v>42809</v>
      </c>
      <c r="I26" s="19">
        <f t="shared" si="1"/>
        <v>26</v>
      </c>
      <c r="J26" s="20">
        <f t="shared" si="2"/>
        <v>28</v>
      </c>
      <c r="K26" s="22" t="s">
        <v>45</v>
      </c>
    </row>
    <row r="27" spans="2:11" x14ac:dyDescent="0.45">
      <c r="B27" s="16" t="s">
        <v>18</v>
      </c>
      <c r="C27" s="17" t="s">
        <v>46</v>
      </c>
      <c r="D27" s="18">
        <v>1675819</v>
      </c>
      <c r="E27" s="18" t="s">
        <v>31</v>
      </c>
      <c r="F27" s="10">
        <v>42755</v>
      </c>
      <c r="G27" s="11">
        <v>42788</v>
      </c>
      <c r="H27" s="12">
        <v>42816</v>
      </c>
      <c r="I27" s="19">
        <f t="shared" si="1"/>
        <v>61</v>
      </c>
      <c r="J27" s="20">
        <f t="shared" si="2"/>
        <v>28</v>
      </c>
      <c r="K27" s="22" t="s">
        <v>17</v>
      </c>
    </row>
    <row r="28" spans="2:11" x14ac:dyDescent="0.45">
      <c r="B28" s="16" t="s">
        <v>18</v>
      </c>
      <c r="C28" s="17" t="s">
        <v>47</v>
      </c>
      <c r="D28" s="18">
        <v>189620</v>
      </c>
      <c r="E28" s="18" t="s">
        <v>16</v>
      </c>
      <c r="F28" s="10">
        <v>42776</v>
      </c>
      <c r="G28" s="11">
        <v>42775</v>
      </c>
      <c r="H28" s="12">
        <v>42800</v>
      </c>
      <c r="I28" s="19">
        <f t="shared" si="1"/>
        <v>24</v>
      </c>
      <c r="J28" s="20">
        <f t="shared" si="2"/>
        <v>25</v>
      </c>
      <c r="K28" s="22" t="s">
        <v>17</v>
      </c>
    </row>
    <row r="29" spans="2:11" x14ac:dyDescent="0.45">
      <c r="B29" s="16" t="s">
        <v>18</v>
      </c>
      <c r="C29" s="17" t="s">
        <v>48</v>
      </c>
      <c r="D29" s="18">
        <v>3653238</v>
      </c>
      <c r="E29" s="18" t="s">
        <v>22</v>
      </c>
      <c r="F29" s="10">
        <v>42839</v>
      </c>
      <c r="G29" s="11">
        <v>42837</v>
      </c>
      <c r="H29" s="12">
        <v>42872</v>
      </c>
      <c r="I29" s="19">
        <f t="shared" si="1"/>
        <v>33</v>
      </c>
      <c r="J29" s="20">
        <f t="shared" si="2"/>
        <v>35</v>
      </c>
      <c r="K29" s="22" t="s">
        <v>17</v>
      </c>
    </row>
    <row r="30" spans="2:11" x14ac:dyDescent="0.45">
      <c r="B30" s="16" t="s">
        <v>18</v>
      </c>
      <c r="C30" s="17" t="s">
        <v>49</v>
      </c>
      <c r="D30" s="18">
        <v>2138176</v>
      </c>
      <c r="E30" s="18" t="s">
        <v>22</v>
      </c>
      <c r="F30" s="10">
        <v>42790</v>
      </c>
      <c r="G30" s="11">
        <v>42872</v>
      </c>
      <c r="H30" s="12">
        <v>42900</v>
      </c>
      <c r="I30" s="19">
        <f t="shared" si="1"/>
        <v>110</v>
      </c>
      <c r="J30" s="20">
        <f t="shared" si="2"/>
        <v>28</v>
      </c>
      <c r="K30" s="22" t="s">
        <v>17</v>
      </c>
    </row>
    <row r="31" spans="2:11" x14ac:dyDescent="0.45">
      <c r="B31" s="16" t="s">
        <v>18</v>
      </c>
      <c r="C31" s="17" t="s">
        <v>50</v>
      </c>
      <c r="D31" s="18">
        <v>3689325</v>
      </c>
      <c r="E31" s="18" t="s">
        <v>22</v>
      </c>
      <c r="F31" s="10">
        <v>42895</v>
      </c>
      <c r="G31" s="11">
        <v>42892</v>
      </c>
      <c r="H31" s="12">
        <v>42927</v>
      </c>
      <c r="I31" s="19">
        <f t="shared" si="1"/>
        <v>32</v>
      </c>
      <c r="J31" s="20">
        <f t="shared" si="2"/>
        <v>35</v>
      </c>
      <c r="K31" s="22" t="s">
        <v>17</v>
      </c>
    </row>
    <row r="32" spans="2:11" x14ac:dyDescent="0.45">
      <c r="B32" s="16" t="s">
        <v>18</v>
      </c>
      <c r="C32" s="17" t="s">
        <v>51</v>
      </c>
      <c r="D32" s="18">
        <v>3324874</v>
      </c>
      <c r="E32" s="18" t="s">
        <v>52</v>
      </c>
      <c r="F32" s="10">
        <v>42916</v>
      </c>
      <c r="G32" s="11">
        <v>42942</v>
      </c>
      <c r="H32" s="12">
        <v>42977</v>
      </c>
      <c r="I32" s="19">
        <f>H32-F32</f>
        <v>61</v>
      </c>
      <c r="J32" s="20">
        <f>H32-G32</f>
        <v>35</v>
      </c>
      <c r="K32" s="22" t="s">
        <v>17</v>
      </c>
    </row>
    <row r="33" spans="2:11" x14ac:dyDescent="0.45">
      <c r="B33" s="7" t="s">
        <v>18</v>
      </c>
      <c r="C33" s="8" t="s">
        <v>53</v>
      </c>
      <c r="D33" s="9">
        <v>401550</v>
      </c>
      <c r="E33" s="9" t="s">
        <v>52</v>
      </c>
      <c r="F33" s="21">
        <v>43007</v>
      </c>
      <c r="G33" s="23">
        <v>42992</v>
      </c>
      <c r="H33" s="24">
        <v>43020</v>
      </c>
      <c r="I33" s="19">
        <f>H33-F33</f>
        <v>13</v>
      </c>
      <c r="J33" s="20">
        <f>H33-G33</f>
        <v>28</v>
      </c>
      <c r="K33" s="15" t="s">
        <v>17</v>
      </c>
    </row>
    <row r="34" spans="2:11" x14ac:dyDescent="0.45">
      <c r="B34" s="7" t="s">
        <v>18</v>
      </c>
      <c r="C34" s="8" t="s">
        <v>54</v>
      </c>
      <c r="D34" s="9">
        <v>1382512</v>
      </c>
      <c r="E34" s="9" t="s">
        <v>52</v>
      </c>
      <c r="F34" s="21">
        <v>43021</v>
      </c>
      <c r="G34" s="23">
        <v>43047</v>
      </c>
      <c r="H34" s="24">
        <v>43075</v>
      </c>
      <c r="I34" s="13">
        <f>H34-F34</f>
        <v>54</v>
      </c>
      <c r="J34" s="25">
        <f t="shared" ref="J34:J41" si="3">H34-G34</f>
        <v>28</v>
      </c>
      <c r="K34" s="26" t="s">
        <v>17</v>
      </c>
    </row>
    <row r="35" spans="2:11" x14ac:dyDescent="0.45">
      <c r="B35" s="7" t="s">
        <v>18</v>
      </c>
      <c r="C35" s="8" t="s">
        <v>55</v>
      </c>
      <c r="D35" s="9">
        <v>37520</v>
      </c>
      <c r="E35" s="9" t="s">
        <v>31</v>
      </c>
      <c r="F35" s="21">
        <v>43061</v>
      </c>
      <c r="G35" s="23">
        <v>43117</v>
      </c>
      <c r="H35" s="24">
        <v>43146</v>
      </c>
      <c r="I35" s="13">
        <f t="shared" ref="I35" si="4">H35-F35</f>
        <v>85</v>
      </c>
      <c r="J35" s="14">
        <f t="shared" si="3"/>
        <v>29</v>
      </c>
      <c r="K35" s="15" t="s">
        <v>17</v>
      </c>
    </row>
    <row r="36" spans="2:11" x14ac:dyDescent="0.45">
      <c r="B36" s="7" t="s">
        <v>18</v>
      </c>
      <c r="C36" s="8" t="s">
        <v>56</v>
      </c>
      <c r="D36" s="9">
        <v>554521</v>
      </c>
      <c r="E36" s="9" t="s">
        <v>31</v>
      </c>
      <c r="F36" s="10">
        <v>43105</v>
      </c>
      <c r="G36" s="23">
        <v>43131</v>
      </c>
      <c r="H36" s="24">
        <v>43164</v>
      </c>
      <c r="I36" s="13">
        <f>H36-F36</f>
        <v>59</v>
      </c>
      <c r="J36" s="14">
        <f>H36-G36</f>
        <v>33</v>
      </c>
      <c r="K36" s="15" t="s">
        <v>17</v>
      </c>
    </row>
    <row r="37" spans="2:11" x14ac:dyDescent="0.45">
      <c r="B37" s="16" t="s">
        <v>18</v>
      </c>
      <c r="C37" s="28" t="s">
        <v>57</v>
      </c>
      <c r="D37" s="18">
        <v>217785</v>
      </c>
      <c r="E37" s="18" t="s">
        <v>16</v>
      </c>
      <c r="F37" s="10">
        <v>43140</v>
      </c>
      <c r="G37" s="11">
        <v>43152</v>
      </c>
      <c r="H37" s="12">
        <v>43180</v>
      </c>
      <c r="I37" s="19">
        <f t="shared" ref="I37:I41" si="5">H37-F37</f>
        <v>40</v>
      </c>
      <c r="J37" s="20">
        <f t="shared" si="3"/>
        <v>28</v>
      </c>
      <c r="K37" s="22" t="s">
        <v>17</v>
      </c>
    </row>
    <row r="38" spans="2:11" x14ac:dyDescent="0.45">
      <c r="B38" s="7" t="s">
        <v>18</v>
      </c>
      <c r="C38" s="8" t="s">
        <v>58</v>
      </c>
      <c r="D38" s="9">
        <v>28872</v>
      </c>
      <c r="E38" s="9" t="s">
        <v>31</v>
      </c>
      <c r="F38" s="10">
        <v>43119</v>
      </c>
      <c r="G38" s="23">
        <v>43167</v>
      </c>
      <c r="H38" s="24">
        <v>43195</v>
      </c>
      <c r="I38" s="13">
        <f>H38-F38</f>
        <v>76</v>
      </c>
      <c r="J38" s="14">
        <f t="shared" si="3"/>
        <v>28</v>
      </c>
      <c r="K38" s="15" t="s">
        <v>17</v>
      </c>
    </row>
    <row r="39" spans="2:11" x14ac:dyDescent="0.45">
      <c r="B39" s="16" t="s">
        <v>18</v>
      </c>
      <c r="C39" s="17" t="s">
        <v>59</v>
      </c>
      <c r="D39" s="18">
        <v>1077235</v>
      </c>
      <c r="E39" s="18" t="s">
        <v>22</v>
      </c>
      <c r="F39" s="21">
        <v>43182</v>
      </c>
      <c r="G39" s="11">
        <v>43180</v>
      </c>
      <c r="H39" s="12">
        <v>43208</v>
      </c>
      <c r="I39" s="19">
        <f t="shared" si="5"/>
        <v>26</v>
      </c>
      <c r="J39" s="20">
        <f t="shared" si="3"/>
        <v>28</v>
      </c>
      <c r="K39" s="22" t="s">
        <v>17</v>
      </c>
    </row>
    <row r="40" spans="2:11" x14ac:dyDescent="0.45">
      <c r="B40" s="16" t="s">
        <v>18</v>
      </c>
      <c r="C40" s="17" t="s">
        <v>60</v>
      </c>
      <c r="D40" s="18">
        <v>310956</v>
      </c>
      <c r="E40" s="18" t="s">
        <v>22</v>
      </c>
      <c r="F40" s="10">
        <v>43203</v>
      </c>
      <c r="G40" s="11">
        <v>43242</v>
      </c>
      <c r="H40" s="12">
        <v>43270</v>
      </c>
      <c r="I40" s="19">
        <f t="shared" si="5"/>
        <v>67</v>
      </c>
      <c r="J40" s="20">
        <f t="shared" si="3"/>
        <v>28</v>
      </c>
      <c r="K40" s="22" t="s">
        <v>17</v>
      </c>
    </row>
    <row r="41" spans="2:11" x14ac:dyDescent="0.45">
      <c r="B41" s="16" t="s">
        <v>18</v>
      </c>
      <c r="C41" s="17" t="s">
        <v>61</v>
      </c>
      <c r="D41" s="18">
        <v>5661128</v>
      </c>
      <c r="E41" s="18" t="s">
        <v>22</v>
      </c>
      <c r="F41" s="10">
        <v>43273</v>
      </c>
      <c r="G41" s="11">
        <v>43257</v>
      </c>
      <c r="H41" s="12">
        <v>43292</v>
      </c>
      <c r="I41" s="19">
        <f t="shared" si="5"/>
        <v>19</v>
      </c>
      <c r="J41" s="20">
        <f t="shared" si="3"/>
        <v>35</v>
      </c>
      <c r="K41" s="22" t="s">
        <v>17</v>
      </c>
    </row>
    <row r="42" spans="2:11" x14ac:dyDescent="0.45">
      <c r="B42" s="16" t="s">
        <v>18</v>
      </c>
      <c r="C42" s="17" t="s">
        <v>62</v>
      </c>
      <c r="D42" s="18">
        <v>1002858</v>
      </c>
      <c r="E42" s="18" t="s">
        <v>52</v>
      </c>
      <c r="F42" s="10">
        <v>43294</v>
      </c>
      <c r="G42" s="11">
        <v>43292</v>
      </c>
      <c r="H42" s="12">
        <v>43320</v>
      </c>
      <c r="I42" s="19">
        <f>H42-F42</f>
        <v>26</v>
      </c>
      <c r="J42" s="20">
        <f>H42-G42</f>
        <v>28</v>
      </c>
      <c r="K42" s="22" t="s">
        <v>17</v>
      </c>
    </row>
    <row r="43" spans="2:11" x14ac:dyDescent="0.45">
      <c r="B43" s="7" t="s">
        <v>18</v>
      </c>
      <c r="C43" s="8" t="s">
        <v>63</v>
      </c>
      <c r="D43" s="9">
        <v>2293836</v>
      </c>
      <c r="E43" s="9" t="s">
        <v>52</v>
      </c>
      <c r="F43" s="21">
        <v>43301</v>
      </c>
      <c r="G43" s="23">
        <v>43320</v>
      </c>
      <c r="H43" s="24">
        <v>43362</v>
      </c>
      <c r="I43" s="19">
        <f>H43-F43</f>
        <v>61</v>
      </c>
      <c r="J43" s="20">
        <f>H43-G43</f>
        <v>42</v>
      </c>
      <c r="K43" s="15" t="s">
        <v>17</v>
      </c>
    </row>
    <row r="44" spans="2:11" x14ac:dyDescent="0.45">
      <c r="B44" s="7" t="s">
        <v>18</v>
      </c>
      <c r="C44" s="8" t="s">
        <v>64</v>
      </c>
      <c r="D44" s="9">
        <v>665364</v>
      </c>
      <c r="E44" s="9" t="s">
        <v>52</v>
      </c>
      <c r="F44" s="21">
        <v>43385</v>
      </c>
      <c r="G44" s="23">
        <v>43391</v>
      </c>
      <c r="H44" s="24">
        <v>43419</v>
      </c>
      <c r="I44" s="19">
        <f>H44-F44</f>
        <v>34</v>
      </c>
      <c r="J44" s="20">
        <f>H44-G44</f>
        <v>28</v>
      </c>
      <c r="K44" s="15" t="s">
        <v>17</v>
      </c>
    </row>
    <row r="45" spans="2:11" ht="15" thickBot="1" x14ac:dyDescent="0.5">
      <c r="B45" s="29" t="s">
        <v>18</v>
      </c>
      <c r="C45" s="30" t="s">
        <v>65</v>
      </c>
      <c r="D45" s="31">
        <v>108780</v>
      </c>
      <c r="E45" s="31" t="s">
        <v>52</v>
      </c>
      <c r="F45" s="32">
        <v>43392</v>
      </c>
      <c r="G45" s="33">
        <v>43404</v>
      </c>
      <c r="H45" s="34">
        <v>43432</v>
      </c>
      <c r="I45" s="35">
        <f>H45-F45</f>
        <v>40</v>
      </c>
      <c r="J45" s="36">
        <f t="shared" ref="J45" si="6">H45-G45</f>
        <v>28</v>
      </c>
      <c r="K45" s="37" t="s">
        <v>17</v>
      </c>
    </row>
    <row r="46" spans="2:11" x14ac:dyDescent="0.45">
      <c r="B46" s="38" t="s">
        <v>66</v>
      </c>
      <c r="C46" s="28" t="s">
        <v>67</v>
      </c>
      <c r="D46" s="39">
        <v>573661</v>
      </c>
      <c r="E46" s="40" t="s">
        <v>39</v>
      </c>
      <c r="F46" s="41">
        <v>42069</v>
      </c>
      <c r="G46" s="42">
        <v>42075</v>
      </c>
      <c r="H46" s="43">
        <f>G46+28</f>
        <v>42103</v>
      </c>
      <c r="I46" s="27">
        <f t="shared" si="1"/>
        <v>34</v>
      </c>
      <c r="J46" s="44">
        <f t="shared" si="2"/>
        <v>28</v>
      </c>
      <c r="K46" s="26" t="s">
        <v>17</v>
      </c>
    </row>
    <row r="47" spans="2:11" x14ac:dyDescent="0.45">
      <c r="B47" s="46" t="s">
        <v>66</v>
      </c>
      <c r="C47" s="17" t="s">
        <v>68</v>
      </c>
      <c r="D47" s="18">
        <v>681920</v>
      </c>
      <c r="E47" s="18" t="s">
        <v>39</v>
      </c>
      <c r="F47" s="21">
        <v>42209</v>
      </c>
      <c r="G47" s="11">
        <v>42201</v>
      </c>
      <c r="H47" s="47">
        <f>G47+28</f>
        <v>42229</v>
      </c>
      <c r="I47" s="19">
        <f t="shared" si="1"/>
        <v>20</v>
      </c>
      <c r="J47" s="20">
        <f t="shared" si="2"/>
        <v>28</v>
      </c>
      <c r="K47" s="15" t="s">
        <v>17</v>
      </c>
    </row>
    <row r="48" spans="2:11" x14ac:dyDescent="0.45">
      <c r="B48" s="46" t="s">
        <v>66</v>
      </c>
      <c r="C48" s="17" t="s">
        <v>69</v>
      </c>
      <c r="D48" s="18">
        <v>16536</v>
      </c>
      <c r="E48" s="18" t="s">
        <v>16</v>
      </c>
      <c r="F48" s="21">
        <v>42223</v>
      </c>
      <c r="G48" s="11">
        <v>42250</v>
      </c>
      <c r="H48" s="47">
        <f>G48+28</f>
        <v>42278</v>
      </c>
      <c r="I48" s="19">
        <f t="shared" si="1"/>
        <v>55</v>
      </c>
      <c r="J48" s="20">
        <f t="shared" si="2"/>
        <v>28</v>
      </c>
      <c r="K48" s="22" t="s">
        <v>70</v>
      </c>
    </row>
    <row r="49" spans="2:11" x14ac:dyDescent="0.45">
      <c r="B49" s="48" t="s">
        <v>66</v>
      </c>
      <c r="C49" s="17" t="s">
        <v>71</v>
      </c>
      <c r="D49" s="18">
        <v>238439</v>
      </c>
      <c r="E49" s="18" t="s">
        <v>16</v>
      </c>
      <c r="F49" s="10">
        <v>42286</v>
      </c>
      <c r="G49" s="11">
        <v>42305</v>
      </c>
      <c r="H49" s="12">
        <v>42334</v>
      </c>
      <c r="I49" s="19">
        <f t="shared" si="1"/>
        <v>48</v>
      </c>
      <c r="J49" s="20">
        <f t="shared" si="2"/>
        <v>29</v>
      </c>
      <c r="K49" s="22" t="s">
        <v>70</v>
      </c>
    </row>
    <row r="50" spans="2:11" x14ac:dyDescent="0.45">
      <c r="B50" s="46" t="s">
        <v>66</v>
      </c>
      <c r="C50" s="17" t="s">
        <v>72</v>
      </c>
      <c r="D50" s="18">
        <v>135874</v>
      </c>
      <c r="E50" s="18" t="s">
        <v>16</v>
      </c>
      <c r="F50" s="21">
        <v>42391</v>
      </c>
      <c r="G50" s="11">
        <v>42425</v>
      </c>
      <c r="H50" s="47">
        <v>42446</v>
      </c>
      <c r="I50" s="19">
        <f t="shared" si="1"/>
        <v>55</v>
      </c>
      <c r="J50" s="20">
        <f t="shared" si="2"/>
        <v>21</v>
      </c>
      <c r="K50" s="15" t="s">
        <v>17</v>
      </c>
    </row>
    <row r="51" spans="2:11" x14ac:dyDescent="0.45">
      <c r="B51" s="46" t="s">
        <v>66</v>
      </c>
      <c r="C51" s="17" t="s">
        <v>73</v>
      </c>
      <c r="D51" s="18">
        <v>680387</v>
      </c>
      <c r="E51" s="18" t="s">
        <v>39</v>
      </c>
      <c r="F51" s="21">
        <v>42510</v>
      </c>
      <c r="G51" s="11">
        <v>42509</v>
      </c>
      <c r="H51" s="47">
        <v>42537</v>
      </c>
      <c r="I51" s="19">
        <f t="shared" si="1"/>
        <v>27</v>
      </c>
      <c r="J51" s="20">
        <f t="shared" si="2"/>
        <v>28</v>
      </c>
      <c r="K51" s="15" t="s">
        <v>17</v>
      </c>
    </row>
    <row r="52" spans="2:11" x14ac:dyDescent="0.45">
      <c r="B52" s="46" t="s">
        <v>66</v>
      </c>
      <c r="C52" s="17" t="s">
        <v>74</v>
      </c>
      <c r="D52" s="18">
        <v>384791</v>
      </c>
      <c r="E52" s="18" t="s">
        <v>16</v>
      </c>
      <c r="F52" s="21">
        <v>42545</v>
      </c>
      <c r="G52" s="11">
        <v>42564</v>
      </c>
      <c r="H52" s="47">
        <v>42621</v>
      </c>
      <c r="I52" s="19">
        <f t="shared" si="1"/>
        <v>76</v>
      </c>
      <c r="J52" s="20">
        <f t="shared" si="2"/>
        <v>57</v>
      </c>
      <c r="K52" s="15" t="s">
        <v>17</v>
      </c>
    </row>
    <row r="53" spans="2:11" x14ac:dyDescent="0.45">
      <c r="B53" s="46" t="s">
        <v>66</v>
      </c>
      <c r="C53" s="17" t="s">
        <v>75</v>
      </c>
      <c r="D53" s="18">
        <v>1003406</v>
      </c>
      <c r="E53" s="18" t="s">
        <v>31</v>
      </c>
      <c r="F53" s="10">
        <v>42608</v>
      </c>
      <c r="G53" s="11">
        <v>42648</v>
      </c>
      <c r="H53" s="12">
        <v>42684</v>
      </c>
      <c r="I53" s="19">
        <f>H53-F53</f>
        <v>76</v>
      </c>
      <c r="J53" s="20">
        <f>H53-G53</f>
        <v>36</v>
      </c>
      <c r="K53" s="22" t="s">
        <v>45</v>
      </c>
    </row>
    <row r="54" spans="2:11" x14ac:dyDescent="0.45">
      <c r="B54" s="46" t="s">
        <v>66</v>
      </c>
      <c r="C54" s="17" t="s">
        <v>76</v>
      </c>
      <c r="D54" s="18">
        <v>921317</v>
      </c>
      <c r="E54" s="18" t="s">
        <v>39</v>
      </c>
      <c r="F54" s="10">
        <v>42636</v>
      </c>
      <c r="G54" s="11">
        <v>42627</v>
      </c>
      <c r="H54" s="12">
        <v>42717</v>
      </c>
      <c r="I54" s="19">
        <f>H54-F54</f>
        <v>81</v>
      </c>
      <c r="J54" s="20">
        <f>H54-G54</f>
        <v>90</v>
      </c>
      <c r="K54" s="22" t="s">
        <v>43</v>
      </c>
    </row>
    <row r="55" spans="2:11" x14ac:dyDescent="0.45">
      <c r="B55" s="46" t="s">
        <v>66</v>
      </c>
      <c r="C55" s="17" t="s">
        <v>77</v>
      </c>
      <c r="D55" s="18">
        <v>689071</v>
      </c>
      <c r="E55" s="18" t="s">
        <v>39</v>
      </c>
      <c r="F55" s="21">
        <v>42671</v>
      </c>
      <c r="G55" s="11">
        <v>42662</v>
      </c>
      <c r="H55" s="47">
        <v>42698</v>
      </c>
      <c r="I55" s="19">
        <f t="shared" si="1"/>
        <v>27</v>
      </c>
      <c r="J55" s="20">
        <f t="shared" si="2"/>
        <v>36</v>
      </c>
      <c r="K55" s="15" t="s">
        <v>17</v>
      </c>
    </row>
    <row r="56" spans="2:11" x14ac:dyDescent="0.45">
      <c r="B56" s="46" t="s">
        <v>66</v>
      </c>
      <c r="C56" s="17" t="s">
        <v>78</v>
      </c>
      <c r="D56" s="18">
        <v>668977</v>
      </c>
      <c r="E56" s="18" t="s">
        <v>39</v>
      </c>
      <c r="F56" s="21">
        <v>42725</v>
      </c>
      <c r="G56" s="11">
        <v>42739</v>
      </c>
      <c r="H56" s="47">
        <v>42768</v>
      </c>
      <c r="I56" s="19">
        <f>H56-F56</f>
        <v>43</v>
      </c>
      <c r="J56" s="20">
        <f>H56-G56</f>
        <v>29</v>
      </c>
      <c r="K56" s="15" t="s">
        <v>17</v>
      </c>
    </row>
    <row r="57" spans="2:11" x14ac:dyDescent="0.45">
      <c r="B57" s="46" t="s">
        <v>66</v>
      </c>
      <c r="C57" s="17" t="s">
        <v>79</v>
      </c>
      <c r="D57" s="18">
        <v>459986</v>
      </c>
      <c r="E57" s="18" t="s">
        <v>16</v>
      </c>
      <c r="F57" s="21">
        <v>42818</v>
      </c>
      <c r="G57" s="11">
        <v>42830</v>
      </c>
      <c r="H57" s="47">
        <v>42857</v>
      </c>
      <c r="I57" s="19">
        <f t="shared" ref="I57:I68" si="7">H57-F57</f>
        <v>39</v>
      </c>
      <c r="J57" s="20">
        <f t="shared" ref="J57:J68" si="8">H57-G57</f>
        <v>27</v>
      </c>
      <c r="K57" s="22" t="s">
        <v>17</v>
      </c>
    </row>
    <row r="58" spans="2:11" x14ac:dyDescent="0.45">
      <c r="B58" s="46" t="s">
        <v>66</v>
      </c>
      <c r="C58" s="17" t="s">
        <v>80</v>
      </c>
      <c r="D58" s="18">
        <v>427764</v>
      </c>
      <c r="E58" s="18" t="s">
        <v>16</v>
      </c>
      <c r="F58" s="21">
        <v>42832</v>
      </c>
      <c r="G58" s="11">
        <v>42853</v>
      </c>
      <c r="H58" s="47">
        <v>42915</v>
      </c>
      <c r="I58" s="19">
        <f t="shared" si="7"/>
        <v>83</v>
      </c>
      <c r="J58" s="20">
        <f t="shared" si="8"/>
        <v>62</v>
      </c>
      <c r="K58" s="49" t="s">
        <v>70</v>
      </c>
    </row>
    <row r="59" spans="2:11" x14ac:dyDescent="0.45">
      <c r="B59" s="46" t="s">
        <v>66</v>
      </c>
      <c r="C59" s="17" t="s">
        <v>81</v>
      </c>
      <c r="D59" s="18">
        <v>7258678</v>
      </c>
      <c r="E59" s="18" t="s">
        <v>24</v>
      </c>
      <c r="F59" s="21">
        <v>42923</v>
      </c>
      <c r="G59" s="11">
        <v>42921</v>
      </c>
      <c r="H59" s="47">
        <v>42991</v>
      </c>
      <c r="I59" s="19">
        <f t="shared" si="7"/>
        <v>68</v>
      </c>
      <c r="J59" s="20">
        <f t="shared" si="8"/>
        <v>70</v>
      </c>
      <c r="K59" s="22" t="s">
        <v>70</v>
      </c>
    </row>
    <row r="60" spans="2:11" x14ac:dyDescent="0.45">
      <c r="B60" s="46" t="s">
        <v>66</v>
      </c>
      <c r="C60" s="50" t="s">
        <v>82</v>
      </c>
      <c r="D60" s="18">
        <v>40375</v>
      </c>
      <c r="E60" s="18" t="s">
        <v>16</v>
      </c>
      <c r="F60" s="21">
        <v>42944</v>
      </c>
      <c r="G60" s="11">
        <v>42949</v>
      </c>
      <c r="H60" s="47">
        <v>42979</v>
      </c>
      <c r="I60" s="19">
        <f t="shared" si="7"/>
        <v>35</v>
      </c>
      <c r="J60" s="20">
        <f t="shared" si="8"/>
        <v>30</v>
      </c>
      <c r="K60" s="22" t="s">
        <v>17</v>
      </c>
    </row>
    <row r="61" spans="2:11" x14ac:dyDescent="0.45">
      <c r="B61" s="46" t="s">
        <v>66</v>
      </c>
      <c r="C61" s="8" t="s">
        <v>83</v>
      </c>
      <c r="D61" s="9">
        <v>97022</v>
      </c>
      <c r="E61" s="9" t="s">
        <v>20</v>
      </c>
      <c r="F61" s="21">
        <v>42951</v>
      </c>
      <c r="G61" s="23">
        <v>42970</v>
      </c>
      <c r="H61" s="51">
        <v>42984</v>
      </c>
      <c r="I61" s="13">
        <f t="shared" si="7"/>
        <v>33</v>
      </c>
      <c r="J61" s="14">
        <f t="shared" si="8"/>
        <v>14</v>
      </c>
      <c r="K61" s="15" t="s">
        <v>17</v>
      </c>
    </row>
    <row r="62" spans="2:11" x14ac:dyDescent="0.45">
      <c r="B62" s="46" t="s">
        <v>66</v>
      </c>
      <c r="C62" s="8" t="s">
        <v>84</v>
      </c>
      <c r="D62" s="9">
        <v>822711</v>
      </c>
      <c r="E62" s="9"/>
      <c r="F62" s="21">
        <v>42914</v>
      </c>
      <c r="G62" s="23">
        <v>42991</v>
      </c>
      <c r="H62" s="51">
        <v>43020</v>
      </c>
      <c r="I62" s="13">
        <f t="shared" si="7"/>
        <v>106</v>
      </c>
      <c r="J62" s="14">
        <f t="shared" si="8"/>
        <v>29</v>
      </c>
      <c r="K62" s="15" t="s">
        <v>17</v>
      </c>
    </row>
    <row r="63" spans="2:11" x14ac:dyDescent="0.45">
      <c r="B63" s="46" t="s">
        <v>66</v>
      </c>
      <c r="C63" s="8" t="s">
        <v>85</v>
      </c>
      <c r="D63" s="9">
        <v>1711246</v>
      </c>
      <c r="E63" s="9" t="s">
        <v>24</v>
      </c>
      <c r="F63" s="21">
        <v>43089</v>
      </c>
      <c r="G63" s="23">
        <v>43103</v>
      </c>
      <c r="H63" s="51">
        <v>43132</v>
      </c>
      <c r="I63" s="13">
        <f t="shared" si="7"/>
        <v>43</v>
      </c>
      <c r="J63" s="14">
        <f t="shared" si="8"/>
        <v>29</v>
      </c>
      <c r="K63" s="52" t="s">
        <v>45</v>
      </c>
    </row>
    <row r="64" spans="2:11" x14ac:dyDescent="0.45">
      <c r="B64" s="46" t="s">
        <v>66</v>
      </c>
      <c r="C64" s="50" t="s">
        <v>86</v>
      </c>
      <c r="D64" s="18">
        <v>388300</v>
      </c>
      <c r="E64" s="18" t="s">
        <v>16</v>
      </c>
      <c r="F64" s="21">
        <v>43140</v>
      </c>
      <c r="G64" s="11">
        <v>43236</v>
      </c>
      <c r="H64" s="47">
        <v>43263</v>
      </c>
      <c r="I64" s="19">
        <f t="shared" si="7"/>
        <v>123</v>
      </c>
      <c r="J64" s="20">
        <f t="shared" si="8"/>
        <v>27</v>
      </c>
      <c r="K64" s="52" t="s">
        <v>45</v>
      </c>
    </row>
    <row r="65" spans="2:11" x14ac:dyDescent="0.45">
      <c r="B65" s="46" t="s">
        <v>66</v>
      </c>
      <c r="C65" s="8" t="s">
        <v>87</v>
      </c>
      <c r="D65" s="9">
        <v>1072220</v>
      </c>
      <c r="E65" s="9" t="s">
        <v>20</v>
      </c>
      <c r="F65" s="21">
        <v>43264</v>
      </c>
      <c r="G65" s="23">
        <v>43320</v>
      </c>
      <c r="H65" s="51">
        <v>43348</v>
      </c>
      <c r="I65" s="13">
        <f t="shared" si="7"/>
        <v>84</v>
      </c>
      <c r="J65" s="14">
        <f t="shared" si="8"/>
        <v>28</v>
      </c>
      <c r="K65" s="52" t="s">
        <v>45</v>
      </c>
    </row>
    <row r="66" spans="2:11" x14ac:dyDescent="0.45">
      <c r="B66" s="46" t="s">
        <v>66</v>
      </c>
      <c r="C66" s="17" t="s">
        <v>88</v>
      </c>
      <c r="D66" s="18">
        <v>2949944</v>
      </c>
      <c r="E66" s="18"/>
      <c r="F66" s="10">
        <v>43336</v>
      </c>
      <c r="G66" s="11">
        <v>43341</v>
      </c>
      <c r="H66" s="47">
        <v>43375</v>
      </c>
      <c r="I66" s="13">
        <f t="shared" si="7"/>
        <v>39</v>
      </c>
      <c r="J66" s="14">
        <f t="shared" si="8"/>
        <v>34</v>
      </c>
      <c r="K66" s="52" t="s">
        <v>45</v>
      </c>
    </row>
    <row r="67" spans="2:11" ht="14.25" customHeight="1" x14ac:dyDescent="0.45">
      <c r="B67" s="46" t="s">
        <v>66</v>
      </c>
      <c r="C67" s="17" t="s">
        <v>89</v>
      </c>
      <c r="D67" s="18">
        <v>25857</v>
      </c>
      <c r="E67" s="18" t="s">
        <v>16</v>
      </c>
      <c r="F67" s="21">
        <v>43385</v>
      </c>
      <c r="G67" s="11">
        <v>43411</v>
      </c>
      <c r="H67" s="47">
        <v>43432</v>
      </c>
      <c r="I67" s="13">
        <f t="shared" si="7"/>
        <v>47</v>
      </c>
      <c r="J67" s="20">
        <f t="shared" si="8"/>
        <v>21</v>
      </c>
      <c r="K67" s="52" t="s">
        <v>45</v>
      </c>
    </row>
    <row r="68" spans="2:11" ht="15" thickBot="1" x14ac:dyDescent="0.5">
      <c r="B68" s="53" t="s">
        <v>66</v>
      </c>
      <c r="C68" s="30" t="s">
        <v>90</v>
      </c>
      <c r="D68" s="31">
        <v>3888096</v>
      </c>
      <c r="E68" s="31"/>
      <c r="F68" s="32">
        <v>43378</v>
      </c>
      <c r="G68" s="33">
        <v>43376</v>
      </c>
      <c r="H68" s="54">
        <v>43439</v>
      </c>
      <c r="I68" s="35">
        <f t="shared" si="7"/>
        <v>61</v>
      </c>
      <c r="J68" s="36">
        <f t="shared" si="8"/>
        <v>63</v>
      </c>
      <c r="K68" s="55" t="s">
        <v>43</v>
      </c>
    </row>
    <row r="69" spans="2:11" x14ac:dyDescent="0.45">
      <c r="B69" s="56" t="s">
        <v>91</v>
      </c>
      <c r="C69" s="28" t="s">
        <v>92</v>
      </c>
      <c r="D69" s="40">
        <v>2318748</v>
      </c>
      <c r="E69" s="40" t="s">
        <v>20</v>
      </c>
      <c r="F69" s="57">
        <v>42160</v>
      </c>
      <c r="G69" s="42">
        <v>42145</v>
      </c>
      <c r="H69" s="58">
        <v>42179</v>
      </c>
      <c r="I69" s="27">
        <f t="shared" si="1"/>
        <v>19</v>
      </c>
      <c r="J69" s="44">
        <f t="shared" si="2"/>
        <v>34</v>
      </c>
      <c r="K69" s="59" t="s">
        <v>17</v>
      </c>
    </row>
    <row r="70" spans="2:11" x14ac:dyDescent="0.45">
      <c r="B70" s="7" t="s">
        <v>91</v>
      </c>
      <c r="C70" s="17" t="s">
        <v>93</v>
      </c>
      <c r="D70" s="18">
        <v>399610</v>
      </c>
      <c r="E70" s="18" t="s">
        <v>16</v>
      </c>
      <c r="F70" s="21">
        <v>42223</v>
      </c>
      <c r="G70" s="11">
        <v>42236</v>
      </c>
      <c r="H70" s="12">
        <f>G70+20</f>
        <v>42256</v>
      </c>
      <c r="I70" s="19">
        <f t="shared" si="1"/>
        <v>33</v>
      </c>
      <c r="J70" s="20">
        <f t="shared" si="2"/>
        <v>20</v>
      </c>
      <c r="K70" s="26" t="s">
        <v>17</v>
      </c>
    </row>
    <row r="71" spans="2:11" x14ac:dyDescent="0.45">
      <c r="B71" s="7" t="s">
        <v>91</v>
      </c>
      <c r="C71" s="17" t="s">
        <v>94</v>
      </c>
      <c r="D71" s="18">
        <v>64160</v>
      </c>
      <c r="E71" s="18" t="s">
        <v>16</v>
      </c>
      <c r="F71" s="21">
        <v>42237</v>
      </c>
      <c r="G71" s="11">
        <v>42250</v>
      </c>
      <c r="H71" s="12">
        <v>42278</v>
      </c>
      <c r="I71" s="19">
        <f t="shared" si="1"/>
        <v>41</v>
      </c>
      <c r="J71" s="20">
        <f t="shared" si="2"/>
        <v>28</v>
      </c>
      <c r="K71" s="22" t="s">
        <v>17</v>
      </c>
    </row>
    <row r="72" spans="2:11" x14ac:dyDescent="0.45">
      <c r="B72" s="7" t="s">
        <v>91</v>
      </c>
      <c r="C72" s="17" t="s">
        <v>95</v>
      </c>
      <c r="D72" s="18">
        <v>2744422</v>
      </c>
      <c r="E72" s="18" t="s">
        <v>22</v>
      </c>
      <c r="F72" s="21">
        <v>42265</v>
      </c>
      <c r="G72" s="11">
        <v>42263</v>
      </c>
      <c r="H72" s="12">
        <f>G72+34</f>
        <v>42297</v>
      </c>
      <c r="I72" s="19">
        <f t="shared" si="1"/>
        <v>32</v>
      </c>
      <c r="J72" s="20">
        <f t="shared" si="2"/>
        <v>34</v>
      </c>
      <c r="K72" s="22" t="s">
        <v>17</v>
      </c>
    </row>
    <row r="73" spans="2:11" x14ac:dyDescent="0.45">
      <c r="B73" s="16" t="s">
        <v>91</v>
      </c>
      <c r="C73" s="17" t="s">
        <v>96</v>
      </c>
      <c r="D73" s="18">
        <v>4881865</v>
      </c>
      <c r="E73" s="18" t="s">
        <v>24</v>
      </c>
      <c r="F73" s="10">
        <v>42279</v>
      </c>
      <c r="G73" s="11">
        <v>42285</v>
      </c>
      <c r="H73" s="12">
        <f>G73+45</f>
        <v>42330</v>
      </c>
      <c r="I73" s="19">
        <f t="shared" si="1"/>
        <v>51</v>
      </c>
      <c r="J73" s="20">
        <f t="shared" si="2"/>
        <v>45</v>
      </c>
      <c r="K73" s="22" t="s">
        <v>17</v>
      </c>
    </row>
    <row r="74" spans="2:11" x14ac:dyDescent="0.45">
      <c r="B74" s="16" t="s">
        <v>91</v>
      </c>
      <c r="C74" s="17" t="s">
        <v>97</v>
      </c>
      <c r="D74" s="18">
        <v>2007649</v>
      </c>
      <c r="E74" s="18" t="s">
        <v>22</v>
      </c>
      <c r="F74" s="21">
        <v>42377</v>
      </c>
      <c r="G74" s="11">
        <v>42383</v>
      </c>
      <c r="H74" s="12">
        <v>42432</v>
      </c>
      <c r="I74" s="19">
        <f t="shared" si="1"/>
        <v>55</v>
      </c>
      <c r="J74" s="20">
        <f t="shared" si="2"/>
        <v>49</v>
      </c>
      <c r="K74" s="22" t="s">
        <v>17</v>
      </c>
    </row>
    <row r="75" spans="2:11" x14ac:dyDescent="0.45">
      <c r="B75" s="16" t="s">
        <v>91</v>
      </c>
      <c r="C75" s="17" t="s">
        <v>98</v>
      </c>
      <c r="D75" s="18">
        <v>3317196</v>
      </c>
      <c r="E75" s="18" t="s">
        <v>22</v>
      </c>
      <c r="F75" s="10">
        <v>42412</v>
      </c>
      <c r="G75" s="11">
        <v>42417</v>
      </c>
      <c r="H75" s="12">
        <v>42453</v>
      </c>
      <c r="I75" s="19">
        <f t="shared" si="1"/>
        <v>41</v>
      </c>
      <c r="J75" s="20">
        <f t="shared" si="2"/>
        <v>36</v>
      </c>
      <c r="K75" s="22" t="s">
        <v>17</v>
      </c>
    </row>
    <row r="76" spans="2:11" x14ac:dyDescent="0.45">
      <c r="B76" s="16" t="s">
        <v>91</v>
      </c>
      <c r="C76" s="17" t="s">
        <v>99</v>
      </c>
      <c r="D76" s="18">
        <v>172199</v>
      </c>
      <c r="E76" s="18" t="s">
        <v>16</v>
      </c>
      <c r="F76" s="10">
        <v>42363</v>
      </c>
      <c r="G76" s="11">
        <v>42439</v>
      </c>
      <c r="H76" s="12">
        <v>42467</v>
      </c>
      <c r="I76" s="19">
        <f t="shared" si="1"/>
        <v>104</v>
      </c>
      <c r="J76" s="20">
        <f t="shared" si="2"/>
        <v>28</v>
      </c>
      <c r="K76" s="22" t="s">
        <v>17</v>
      </c>
    </row>
    <row r="77" spans="2:11" x14ac:dyDescent="0.45">
      <c r="B77" s="16" t="s">
        <v>91</v>
      </c>
      <c r="C77" s="17" t="s">
        <v>100</v>
      </c>
      <c r="D77" s="18">
        <v>226318</v>
      </c>
      <c r="E77" s="18" t="s">
        <v>16</v>
      </c>
      <c r="F77" s="10">
        <v>42426</v>
      </c>
      <c r="G77" s="11">
        <v>42467</v>
      </c>
      <c r="H77" s="12">
        <v>42488</v>
      </c>
      <c r="I77" s="19">
        <f t="shared" si="1"/>
        <v>62</v>
      </c>
      <c r="J77" s="20">
        <f t="shared" si="2"/>
        <v>21</v>
      </c>
      <c r="K77" s="22" t="s">
        <v>17</v>
      </c>
    </row>
    <row r="78" spans="2:11" x14ac:dyDescent="0.45">
      <c r="B78" s="16" t="s">
        <v>91</v>
      </c>
      <c r="C78" s="17" t="s">
        <v>101</v>
      </c>
      <c r="D78" s="18">
        <v>6879989</v>
      </c>
      <c r="E78" s="18" t="s">
        <v>24</v>
      </c>
      <c r="F78" s="10" t="s">
        <v>102</v>
      </c>
      <c r="G78" s="11">
        <v>42501</v>
      </c>
      <c r="H78" s="12">
        <v>42544</v>
      </c>
      <c r="I78" s="19" t="s">
        <v>103</v>
      </c>
      <c r="J78" s="20">
        <f t="shared" si="2"/>
        <v>43</v>
      </c>
      <c r="K78" s="22" t="s">
        <v>17</v>
      </c>
    </row>
    <row r="79" spans="2:11" x14ac:dyDescent="0.45">
      <c r="B79" s="16" t="s">
        <v>91</v>
      </c>
      <c r="C79" s="17" t="s">
        <v>104</v>
      </c>
      <c r="D79" s="18">
        <v>2938818</v>
      </c>
      <c r="E79" s="18" t="s">
        <v>22</v>
      </c>
      <c r="F79" s="10">
        <v>42517</v>
      </c>
      <c r="G79" s="11">
        <v>42515</v>
      </c>
      <c r="H79" s="12">
        <v>42565</v>
      </c>
      <c r="I79" s="19">
        <f t="shared" si="1"/>
        <v>48</v>
      </c>
      <c r="J79" s="20">
        <f t="shared" si="2"/>
        <v>50</v>
      </c>
      <c r="K79" s="22" t="s">
        <v>17</v>
      </c>
    </row>
    <row r="80" spans="2:11" x14ac:dyDescent="0.45">
      <c r="B80" s="16" t="s">
        <v>105</v>
      </c>
      <c r="C80" s="17" t="s">
        <v>106</v>
      </c>
      <c r="D80" s="18">
        <v>1500744</v>
      </c>
      <c r="E80" s="18" t="s">
        <v>31</v>
      </c>
      <c r="F80" s="10">
        <v>42545</v>
      </c>
      <c r="G80" s="11">
        <v>42543</v>
      </c>
      <c r="H80" s="12">
        <v>42579</v>
      </c>
      <c r="I80" s="19">
        <f t="shared" si="1"/>
        <v>34</v>
      </c>
      <c r="J80" s="20">
        <f t="shared" si="2"/>
        <v>36</v>
      </c>
      <c r="K80" s="22" t="s">
        <v>17</v>
      </c>
    </row>
    <row r="81" spans="2:11" x14ac:dyDescent="0.45">
      <c r="B81" s="16" t="s">
        <v>105</v>
      </c>
      <c r="C81" s="17" t="s">
        <v>107</v>
      </c>
      <c r="D81" s="18">
        <v>553760</v>
      </c>
      <c r="E81" s="18" t="s">
        <v>39</v>
      </c>
      <c r="F81" s="10">
        <v>42573</v>
      </c>
      <c r="G81" s="11">
        <v>42571</v>
      </c>
      <c r="H81" s="12">
        <v>42600</v>
      </c>
      <c r="I81" s="19">
        <f t="shared" si="1"/>
        <v>27</v>
      </c>
      <c r="J81" s="20">
        <f t="shared" si="2"/>
        <v>29</v>
      </c>
      <c r="K81" s="22" t="s">
        <v>17</v>
      </c>
    </row>
    <row r="82" spans="2:11" x14ac:dyDescent="0.45">
      <c r="B82" s="16" t="s">
        <v>105</v>
      </c>
      <c r="C82" s="17" t="s">
        <v>108</v>
      </c>
      <c r="D82" s="18">
        <v>2718160</v>
      </c>
      <c r="E82" s="18" t="s">
        <v>22</v>
      </c>
      <c r="F82" s="10">
        <v>42643</v>
      </c>
      <c r="G82" s="11">
        <v>42641</v>
      </c>
      <c r="H82" s="12">
        <v>42676</v>
      </c>
      <c r="I82" s="19">
        <f>H82-F82</f>
        <v>33</v>
      </c>
      <c r="J82" s="20">
        <f t="shared" si="2"/>
        <v>35</v>
      </c>
      <c r="K82" s="22" t="s">
        <v>17</v>
      </c>
    </row>
    <row r="83" spans="2:11" x14ac:dyDescent="0.45">
      <c r="B83" s="16" t="s">
        <v>105</v>
      </c>
      <c r="C83" s="17" t="s">
        <v>109</v>
      </c>
      <c r="D83" s="18">
        <v>355813</v>
      </c>
      <c r="E83" s="18" t="s">
        <v>16</v>
      </c>
      <c r="F83" s="10">
        <v>42725</v>
      </c>
      <c r="G83" s="11">
        <v>42746</v>
      </c>
      <c r="H83" s="12">
        <v>42782</v>
      </c>
      <c r="I83" s="19">
        <f t="shared" si="1"/>
        <v>57</v>
      </c>
      <c r="J83" s="20">
        <f t="shared" si="2"/>
        <v>36</v>
      </c>
      <c r="K83" s="22" t="s">
        <v>17</v>
      </c>
    </row>
    <row r="84" spans="2:11" x14ac:dyDescent="0.45">
      <c r="B84" s="16" t="s">
        <v>105</v>
      </c>
      <c r="C84" s="17" t="s">
        <v>110</v>
      </c>
      <c r="D84" s="18">
        <v>159948</v>
      </c>
      <c r="E84" s="18" t="s">
        <v>16</v>
      </c>
      <c r="F84" s="10">
        <v>42783</v>
      </c>
      <c r="G84" s="11">
        <v>42781</v>
      </c>
      <c r="H84" s="12">
        <v>42878</v>
      </c>
      <c r="I84" s="19">
        <f t="shared" si="1"/>
        <v>95</v>
      </c>
      <c r="J84" s="20">
        <f t="shared" si="2"/>
        <v>97</v>
      </c>
      <c r="K84" s="22" t="s">
        <v>70</v>
      </c>
    </row>
    <row r="85" spans="2:11" x14ac:dyDescent="0.45">
      <c r="B85" s="16" t="s">
        <v>105</v>
      </c>
      <c r="C85" s="17" t="s">
        <v>111</v>
      </c>
      <c r="D85" s="18">
        <v>449518</v>
      </c>
      <c r="E85" s="18" t="s">
        <v>16</v>
      </c>
      <c r="F85" s="10">
        <v>42729</v>
      </c>
      <c r="G85" s="11">
        <v>42817</v>
      </c>
      <c r="H85" s="12">
        <v>42852</v>
      </c>
      <c r="I85" s="19">
        <f t="shared" si="1"/>
        <v>123</v>
      </c>
      <c r="J85" s="20">
        <f t="shared" si="2"/>
        <v>35</v>
      </c>
      <c r="K85" s="22" t="s">
        <v>17</v>
      </c>
    </row>
    <row r="86" spans="2:11" x14ac:dyDescent="0.45">
      <c r="B86" s="16" t="s">
        <v>105</v>
      </c>
      <c r="C86" s="17" t="s">
        <v>112</v>
      </c>
      <c r="D86" s="18">
        <v>2169109</v>
      </c>
      <c r="E86" s="18" t="s">
        <v>22</v>
      </c>
      <c r="F86" s="10">
        <v>42797</v>
      </c>
      <c r="G86" s="11">
        <v>42795</v>
      </c>
      <c r="H86" s="12">
        <v>42837</v>
      </c>
      <c r="I86" s="19">
        <f t="shared" si="1"/>
        <v>40</v>
      </c>
      <c r="J86" s="20">
        <f t="shared" si="2"/>
        <v>42</v>
      </c>
      <c r="K86" s="22" t="s">
        <v>17</v>
      </c>
    </row>
    <row r="87" spans="2:11" x14ac:dyDescent="0.45">
      <c r="B87" s="16" t="s">
        <v>105</v>
      </c>
      <c r="C87" s="17" t="s">
        <v>113</v>
      </c>
      <c r="D87" s="18">
        <v>1307226</v>
      </c>
      <c r="E87" s="18" t="s">
        <v>31</v>
      </c>
      <c r="F87" s="10">
        <v>42874</v>
      </c>
      <c r="G87" s="11">
        <v>42864</v>
      </c>
      <c r="H87" s="12">
        <v>42914</v>
      </c>
      <c r="I87" s="19">
        <f t="shared" si="1"/>
        <v>40</v>
      </c>
      <c r="J87" s="20">
        <f t="shared" si="2"/>
        <v>50</v>
      </c>
      <c r="K87" s="22" t="s">
        <v>17</v>
      </c>
    </row>
    <row r="88" spans="2:11" x14ac:dyDescent="0.45">
      <c r="B88" s="16" t="s">
        <v>105</v>
      </c>
      <c r="C88" s="17" t="s">
        <v>114</v>
      </c>
      <c r="D88" s="18">
        <v>837475</v>
      </c>
      <c r="E88" s="18" t="s">
        <v>39</v>
      </c>
      <c r="F88" s="10" t="s">
        <v>102</v>
      </c>
      <c r="G88" s="11">
        <v>42886</v>
      </c>
      <c r="H88" s="12">
        <v>42908</v>
      </c>
      <c r="I88" s="19" t="s">
        <v>103</v>
      </c>
      <c r="J88" s="20">
        <f t="shared" si="2"/>
        <v>22</v>
      </c>
      <c r="K88" s="22" t="s">
        <v>17</v>
      </c>
    </row>
    <row r="89" spans="2:11" x14ac:dyDescent="0.45">
      <c r="B89" s="16" t="s">
        <v>105</v>
      </c>
      <c r="C89" s="17" t="s">
        <v>115</v>
      </c>
      <c r="D89" s="18">
        <v>2051351</v>
      </c>
      <c r="E89" s="18" t="s">
        <v>52</v>
      </c>
      <c r="F89" s="10">
        <v>42930</v>
      </c>
      <c r="G89" s="11">
        <v>42962</v>
      </c>
      <c r="H89" s="12">
        <v>43004</v>
      </c>
      <c r="I89" s="19">
        <f t="shared" ref="I89:I99" si="9">H89-F89</f>
        <v>74</v>
      </c>
      <c r="J89" s="20">
        <f t="shared" si="2"/>
        <v>42</v>
      </c>
      <c r="K89" s="22" t="s">
        <v>17</v>
      </c>
    </row>
    <row r="90" spans="2:11" x14ac:dyDescent="0.45">
      <c r="B90" s="16" t="s">
        <v>105</v>
      </c>
      <c r="C90" s="17" t="s">
        <v>116</v>
      </c>
      <c r="D90" s="18">
        <v>4945486</v>
      </c>
      <c r="E90" s="18"/>
      <c r="F90" s="10">
        <v>43000</v>
      </c>
      <c r="G90" s="11">
        <v>43005</v>
      </c>
      <c r="H90" s="12">
        <v>43041</v>
      </c>
      <c r="I90" s="19">
        <f t="shared" si="9"/>
        <v>41</v>
      </c>
      <c r="J90" s="20">
        <f t="shared" si="2"/>
        <v>36</v>
      </c>
      <c r="K90" s="22" t="s">
        <v>45</v>
      </c>
    </row>
    <row r="91" spans="2:11" x14ac:dyDescent="0.45">
      <c r="B91" s="16" t="s">
        <v>105</v>
      </c>
      <c r="C91" s="17" t="s">
        <v>117</v>
      </c>
      <c r="D91" s="18">
        <v>1402809</v>
      </c>
      <c r="E91" s="18"/>
      <c r="F91" s="10">
        <v>43089</v>
      </c>
      <c r="G91" s="11">
        <v>43089</v>
      </c>
      <c r="H91" s="12">
        <v>43131</v>
      </c>
      <c r="I91" s="19">
        <f t="shared" si="9"/>
        <v>42</v>
      </c>
      <c r="J91" s="20">
        <f t="shared" si="2"/>
        <v>42</v>
      </c>
      <c r="K91" s="22" t="s">
        <v>45</v>
      </c>
    </row>
    <row r="92" spans="2:11" x14ac:dyDescent="0.45">
      <c r="B92" s="16" t="s">
        <v>105</v>
      </c>
      <c r="C92" s="17" t="s">
        <v>118</v>
      </c>
      <c r="D92" s="18">
        <v>535434</v>
      </c>
      <c r="E92" s="18"/>
      <c r="F92" s="10">
        <v>43084</v>
      </c>
      <c r="G92" s="11">
        <v>43103</v>
      </c>
      <c r="H92" s="12">
        <v>43137</v>
      </c>
      <c r="I92" s="19">
        <f t="shared" si="9"/>
        <v>53</v>
      </c>
      <c r="J92" s="20">
        <f t="shared" si="2"/>
        <v>34</v>
      </c>
      <c r="K92" s="22" t="s">
        <v>45</v>
      </c>
    </row>
    <row r="93" spans="2:11" x14ac:dyDescent="0.45">
      <c r="B93" s="16" t="s">
        <v>105</v>
      </c>
      <c r="C93" s="17" t="s">
        <v>119</v>
      </c>
      <c r="D93" s="18">
        <v>2299732</v>
      </c>
      <c r="E93" s="18"/>
      <c r="F93" s="10">
        <v>43126</v>
      </c>
      <c r="G93" s="11">
        <v>43117</v>
      </c>
      <c r="H93" s="12">
        <v>43157</v>
      </c>
      <c r="I93" s="19">
        <f t="shared" si="9"/>
        <v>31</v>
      </c>
      <c r="J93" s="20">
        <f t="shared" si="2"/>
        <v>40</v>
      </c>
      <c r="K93" s="22" t="s">
        <v>45</v>
      </c>
    </row>
    <row r="94" spans="2:11" x14ac:dyDescent="0.45">
      <c r="B94" s="16" t="s">
        <v>105</v>
      </c>
      <c r="C94" s="17" t="s">
        <v>120</v>
      </c>
      <c r="D94" s="18">
        <v>108344</v>
      </c>
      <c r="E94" s="18"/>
      <c r="F94" s="10">
        <v>43161</v>
      </c>
      <c r="G94" s="11">
        <v>43159</v>
      </c>
      <c r="H94" s="12">
        <v>43188</v>
      </c>
      <c r="I94" s="19">
        <f t="shared" si="9"/>
        <v>27</v>
      </c>
      <c r="J94" s="20">
        <f t="shared" si="2"/>
        <v>29</v>
      </c>
      <c r="K94" s="22" t="s">
        <v>45</v>
      </c>
    </row>
    <row r="95" spans="2:11" x14ac:dyDescent="0.45">
      <c r="B95" s="16" t="s">
        <v>105</v>
      </c>
      <c r="C95" s="17" t="s">
        <v>121</v>
      </c>
      <c r="D95" s="18">
        <v>506487</v>
      </c>
      <c r="E95" s="18"/>
      <c r="F95" s="10">
        <v>43070</v>
      </c>
      <c r="G95" s="11">
        <v>43153</v>
      </c>
      <c r="H95" s="12">
        <v>43195</v>
      </c>
      <c r="I95" s="19">
        <f t="shared" si="9"/>
        <v>125</v>
      </c>
      <c r="J95" s="20">
        <f t="shared" si="2"/>
        <v>42</v>
      </c>
      <c r="K95" s="22" t="s">
        <v>45</v>
      </c>
    </row>
    <row r="96" spans="2:11" x14ac:dyDescent="0.45">
      <c r="B96" s="16" t="s">
        <v>105</v>
      </c>
      <c r="C96" s="17" t="s">
        <v>122</v>
      </c>
      <c r="D96" s="18">
        <v>97480</v>
      </c>
      <c r="E96" s="18"/>
      <c r="F96" s="10">
        <v>43049</v>
      </c>
      <c r="G96" s="11">
        <v>43174</v>
      </c>
      <c r="H96" s="12">
        <v>43209</v>
      </c>
      <c r="I96" s="19">
        <f t="shared" si="9"/>
        <v>160</v>
      </c>
      <c r="J96" s="20">
        <f t="shared" si="2"/>
        <v>35</v>
      </c>
      <c r="K96" s="22" t="s">
        <v>45</v>
      </c>
    </row>
    <row r="97" spans="2:11" x14ac:dyDescent="0.45">
      <c r="B97" s="16" t="s">
        <v>105</v>
      </c>
      <c r="C97" s="17" t="s">
        <v>123</v>
      </c>
      <c r="D97" s="18">
        <v>3784602</v>
      </c>
      <c r="E97" s="18"/>
      <c r="F97" s="10">
        <v>43238</v>
      </c>
      <c r="G97" s="11">
        <v>43236</v>
      </c>
      <c r="H97" s="12">
        <v>43271</v>
      </c>
      <c r="I97" s="19">
        <f t="shared" si="9"/>
        <v>33</v>
      </c>
      <c r="J97" s="20">
        <f t="shared" si="2"/>
        <v>35</v>
      </c>
      <c r="K97" s="22" t="s">
        <v>45</v>
      </c>
    </row>
    <row r="98" spans="2:11" x14ac:dyDescent="0.45">
      <c r="B98" s="16" t="s">
        <v>105</v>
      </c>
      <c r="C98" s="17" t="s">
        <v>124</v>
      </c>
      <c r="D98" s="18">
        <v>33229</v>
      </c>
      <c r="E98" s="18"/>
      <c r="F98" s="10">
        <v>43182</v>
      </c>
      <c r="G98" s="11">
        <v>43272</v>
      </c>
      <c r="H98" s="12">
        <v>43293</v>
      </c>
      <c r="I98" s="19">
        <f t="shared" si="9"/>
        <v>111</v>
      </c>
      <c r="J98" s="20">
        <f t="shared" si="2"/>
        <v>21</v>
      </c>
      <c r="K98" s="22" t="s">
        <v>45</v>
      </c>
    </row>
    <row r="99" spans="2:11" ht="15" thickBot="1" x14ac:dyDescent="0.5">
      <c r="B99" s="29" t="s">
        <v>105</v>
      </c>
      <c r="C99" s="30" t="s">
        <v>125</v>
      </c>
      <c r="D99" s="31">
        <v>170878</v>
      </c>
      <c r="E99" s="31"/>
      <c r="F99" s="32">
        <v>43357</v>
      </c>
      <c r="G99" s="33">
        <v>43355</v>
      </c>
      <c r="H99" s="34">
        <v>43412</v>
      </c>
      <c r="I99" s="35">
        <f t="shared" si="9"/>
        <v>55</v>
      </c>
      <c r="J99" s="36">
        <f t="shared" si="2"/>
        <v>57</v>
      </c>
      <c r="K99" s="37" t="s">
        <v>43</v>
      </c>
    </row>
    <row r="100" spans="2:11" x14ac:dyDescent="0.45">
      <c r="B100" s="61" t="s">
        <v>126</v>
      </c>
      <c r="C100" s="62" t="s">
        <v>127</v>
      </c>
      <c r="D100" s="63">
        <v>3240385</v>
      </c>
      <c r="E100" s="62" t="s">
        <v>22</v>
      </c>
      <c r="F100" s="64">
        <v>42186</v>
      </c>
      <c r="G100" s="65">
        <v>42187</v>
      </c>
      <c r="H100" s="66">
        <v>42222</v>
      </c>
      <c r="I100" s="60">
        <f t="shared" si="1"/>
        <v>36</v>
      </c>
      <c r="J100" s="67">
        <f t="shared" si="2"/>
        <v>35</v>
      </c>
      <c r="K100" s="59" t="s">
        <v>17</v>
      </c>
    </row>
    <row r="101" spans="2:11" x14ac:dyDescent="0.45">
      <c r="B101" s="68" t="s">
        <v>126</v>
      </c>
      <c r="C101" s="69" t="s">
        <v>128</v>
      </c>
      <c r="D101" s="70">
        <v>6126522</v>
      </c>
      <c r="E101" s="69" t="s">
        <v>24</v>
      </c>
      <c r="F101" s="21">
        <v>42216</v>
      </c>
      <c r="G101" s="23">
        <v>42215</v>
      </c>
      <c r="H101" s="24">
        <v>42271</v>
      </c>
      <c r="I101" s="13">
        <f t="shared" si="1"/>
        <v>55</v>
      </c>
      <c r="J101" s="14">
        <f t="shared" si="2"/>
        <v>56</v>
      </c>
      <c r="K101" s="52" t="s">
        <v>17</v>
      </c>
    </row>
    <row r="102" spans="2:11" x14ac:dyDescent="0.45">
      <c r="B102" s="68" t="s">
        <v>126</v>
      </c>
      <c r="C102" s="69" t="s">
        <v>129</v>
      </c>
      <c r="D102" s="70" t="s">
        <v>130</v>
      </c>
      <c r="E102" s="69" t="s">
        <v>16</v>
      </c>
      <c r="F102" s="21">
        <v>42349</v>
      </c>
      <c r="G102" s="23">
        <v>42390</v>
      </c>
      <c r="H102" s="24">
        <v>42418</v>
      </c>
      <c r="I102" s="13">
        <f>H102-F102</f>
        <v>69</v>
      </c>
      <c r="J102" s="14">
        <f t="shared" si="2"/>
        <v>28</v>
      </c>
      <c r="K102" s="15" t="s">
        <v>17</v>
      </c>
    </row>
    <row r="103" spans="2:11" x14ac:dyDescent="0.45">
      <c r="B103" s="68" t="s">
        <v>126</v>
      </c>
      <c r="C103" s="69" t="s">
        <v>131</v>
      </c>
      <c r="D103" s="70">
        <v>357736</v>
      </c>
      <c r="E103" s="69" t="s">
        <v>16</v>
      </c>
      <c r="F103" s="21">
        <v>42440</v>
      </c>
      <c r="G103" s="23">
        <v>42467</v>
      </c>
      <c r="H103" s="24">
        <v>42494</v>
      </c>
      <c r="I103" s="13">
        <f t="shared" si="1"/>
        <v>54</v>
      </c>
      <c r="J103" s="14">
        <f t="shared" si="2"/>
        <v>27</v>
      </c>
      <c r="K103" s="15" t="s">
        <v>17</v>
      </c>
    </row>
    <row r="104" spans="2:11" x14ac:dyDescent="0.45">
      <c r="B104" s="68" t="s">
        <v>126</v>
      </c>
      <c r="C104" s="69" t="s">
        <v>132</v>
      </c>
      <c r="D104" s="70">
        <v>235211</v>
      </c>
      <c r="E104" s="69" t="s">
        <v>16</v>
      </c>
      <c r="F104" s="21">
        <v>42524</v>
      </c>
      <c r="G104" s="23">
        <v>42537</v>
      </c>
      <c r="H104" s="24">
        <v>42614</v>
      </c>
      <c r="I104" s="13">
        <f t="shared" si="1"/>
        <v>90</v>
      </c>
      <c r="J104" s="14">
        <f t="shared" si="2"/>
        <v>77</v>
      </c>
      <c r="K104" s="15" t="s">
        <v>70</v>
      </c>
    </row>
    <row r="105" spans="2:11" x14ac:dyDescent="0.45">
      <c r="B105" s="68" t="s">
        <v>126</v>
      </c>
      <c r="C105" s="69" t="s">
        <v>133</v>
      </c>
      <c r="D105" s="70">
        <v>1157472</v>
      </c>
      <c r="E105" s="69" t="s">
        <v>31</v>
      </c>
      <c r="F105" s="21">
        <v>42573</v>
      </c>
      <c r="G105" s="23">
        <v>42600</v>
      </c>
      <c r="H105" s="24">
        <v>42642</v>
      </c>
      <c r="I105" s="13">
        <f t="shared" si="1"/>
        <v>69</v>
      </c>
      <c r="J105" s="14">
        <f t="shared" si="2"/>
        <v>42</v>
      </c>
      <c r="K105" s="15" t="s">
        <v>17</v>
      </c>
    </row>
    <row r="106" spans="2:11" x14ac:dyDescent="0.45">
      <c r="B106" s="68" t="s">
        <v>126</v>
      </c>
      <c r="C106" s="69" t="s">
        <v>134</v>
      </c>
      <c r="D106" s="70">
        <v>1400301</v>
      </c>
      <c r="E106" s="69" t="s">
        <v>31</v>
      </c>
      <c r="F106" s="21">
        <v>42601</v>
      </c>
      <c r="G106" s="23">
        <v>42627</v>
      </c>
      <c r="H106" s="24">
        <v>42704</v>
      </c>
      <c r="I106" s="13">
        <f t="shared" si="1"/>
        <v>103</v>
      </c>
      <c r="J106" s="14">
        <f t="shared" si="2"/>
        <v>77</v>
      </c>
      <c r="K106" s="15" t="s">
        <v>17</v>
      </c>
    </row>
    <row r="107" spans="2:11" x14ac:dyDescent="0.45">
      <c r="B107" s="71" t="s">
        <v>126</v>
      </c>
      <c r="C107" s="72" t="s">
        <v>135</v>
      </c>
      <c r="D107" s="73">
        <v>612328</v>
      </c>
      <c r="E107" s="72" t="s">
        <v>39</v>
      </c>
      <c r="F107" s="10">
        <v>42664</v>
      </c>
      <c r="G107" s="11">
        <v>42704</v>
      </c>
      <c r="H107" s="12">
        <v>42733</v>
      </c>
      <c r="I107" s="19">
        <f t="shared" si="1"/>
        <v>69</v>
      </c>
      <c r="J107" s="20">
        <f t="shared" si="2"/>
        <v>29</v>
      </c>
      <c r="K107" s="22" t="s">
        <v>17</v>
      </c>
    </row>
    <row r="108" spans="2:11" x14ac:dyDescent="0.45">
      <c r="B108" s="68" t="s">
        <v>126</v>
      </c>
      <c r="C108" s="69" t="s">
        <v>136</v>
      </c>
      <c r="D108" s="70">
        <v>520478</v>
      </c>
      <c r="E108" s="69" t="s">
        <v>39</v>
      </c>
      <c r="F108" s="21">
        <v>42697</v>
      </c>
      <c r="G108" s="23">
        <v>42746</v>
      </c>
      <c r="H108" s="24">
        <v>42775</v>
      </c>
      <c r="I108" s="13">
        <f t="shared" si="1"/>
        <v>78</v>
      </c>
      <c r="J108" s="14">
        <f t="shared" si="2"/>
        <v>29</v>
      </c>
      <c r="K108" s="15" t="s">
        <v>17</v>
      </c>
    </row>
    <row r="109" spans="2:11" x14ac:dyDescent="0.45">
      <c r="B109" s="71" t="s">
        <v>126</v>
      </c>
      <c r="C109" s="74" t="s">
        <v>137</v>
      </c>
      <c r="D109" s="75">
        <v>475309</v>
      </c>
      <c r="E109" s="72" t="s">
        <v>16</v>
      </c>
      <c r="F109" s="57">
        <v>42755</v>
      </c>
      <c r="G109" s="42">
        <v>42774</v>
      </c>
      <c r="H109" s="58">
        <v>42803</v>
      </c>
      <c r="I109" s="27">
        <f t="shared" si="1"/>
        <v>48</v>
      </c>
      <c r="J109" s="44">
        <f t="shared" si="2"/>
        <v>29</v>
      </c>
      <c r="K109" s="22" t="s">
        <v>17</v>
      </c>
    </row>
    <row r="110" spans="2:11" x14ac:dyDescent="0.45">
      <c r="B110" s="68" t="s">
        <v>126</v>
      </c>
      <c r="C110" s="72" t="s">
        <v>138</v>
      </c>
      <c r="D110" s="73">
        <v>634150</v>
      </c>
      <c r="E110" s="69" t="s">
        <v>39</v>
      </c>
      <c r="F110" s="10">
        <v>42685</v>
      </c>
      <c r="G110" s="11">
        <v>42768</v>
      </c>
      <c r="H110" s="12">
        <v>42796</v>
      </c>
      <c r="I110" s="19">
        <f t="shared" si="1"/>
        <v>111</v>
      </c>
      <c r="J110" s="20">
        <f t="shared" si="2"/>
        <v>28</v>
      </c>
      <c r="K110" s="15" t="s">
        <v>17</v>
      </c>
    </row>
    <row r="111" spans="2:11" x14ac:dyDescent="0.45">
      <c r="B111" s="68" t="s">
        <v>126</v>
      </c>
      <c r="C111" s="69" t="s">
        <v>139</v>
      </c>
      <c r="D111" s="73">
        <v>764072</v>
      </c>
      <c r="E111" s="69" t="s">
        <v>39</v>
      </c>
      <c r="F111" s="10">
        <v>42825</v>
      </c>
      <c r="G111" s="11">
        <v>42823</v>
      </c>
      <c r="H111" s="12">
        <v>42853</v>
      </c>
      <c r="I111" s="19">
        <f t="shared" si="1"/>
        <v>28</v>
      </c>
      <c r="J111" s="20">
        <f t="shared" si="2"/>
        <v>30</v>
      </c>
      <c r="K111" s="15" t="s">
        <v>17</v>
      </c>
    </row>
    <row r="112" spans="2:11" x14ac:dyDescent="0.45">
      <c r="B112" s="68" t="s">
        <v>126</v>
      </c>
      <c r="C112" s="69" t="s">
        <v>140</v>
      </c>
      <c r="D112" s="70">
        <v>2614234</v>
      </c>
      <c r="E112" s="69" t="s">
        <v>52</v>
      </c>
      <c r="F112" s="21">
        <v>42907</v>
      </c>
      <c r="G112" s="23">
        <v>42907</v>
      </c>
      <c r="H112" s="24">
        <v>42983</v>
      </c>
      <c r="I112" s="13">
        <f t="shared" si="1"/>
        <v>76</v>
      </c>
      <c r="J112" s="14">
        <f t="shared" si="2"/>
        <v>76</v>
      </c>
      <c r="K112" s="15" t="s">
        <v>70</v>
      </c>
    </row>
    <row r="113" spans="2:11" x14ac:dyDescent="0.45">
      <c r="B113" s="68" t="s">
        <v>126</v>
      </c>
      <c r="C113" s="69" t="s">
        <v>141</v>
      </c>
      <c r="D113" s="70">
        <v>46677</v>
      </c>
      <c r="E113" s="69" t="s">
        <v>52</v>
      </c>
      <c r="F113" s="21">
        <v>42993</v>
      </c>
      <c r="G113" s="23">
        <v>43027</v>
      </c>
      <c r="H113" s="24">
        <v>43048</v>
      </c>
      <c r="I113" s="13">
        <f t="shared" si="1"/>
        <v>55</v>
      </c>
      <c r="J113" s="14">
        <f t="shared" si="2"/>
        <v>21</v>
      </c>
      <c r="K113" s="15" t="s">
        <v>17</v>
      </c>
    </row>
    <row r="114" spans="2:11" x14ac:dyDescent="0.45">
      <c r="B114" s="76" t="s">
        <v>126</v>
      </c>
      <c r="C114" s="77" t="s">
        <v>142</v>
      </c>
      <c r="D114" s="78">
        <v>150339</v>
      </c>
      <c r="E114" s="77"/>
      <c r="F114" s="41">
        <v>43091</v>
      </c>
      <c r="G114" s="79">
        <v>43111</v>
      </c>
      <c r="H114" s="80">
        <v>43125</v>
      </c>
      <c r="I114" s="45">
        <f t="shared" si="1"/>
        <v>34</v>
      </c>
      <c r="J114" s="81">
        <f t="shared" si="2"/>
        <v>14</v>
      </c>
      <c r="K114" s="15" t="s">
        <v>17</v>
      </c>
    </row>
    <row r="115" spans="2:11" x14ac:dyDescent="0.45">
      <c r="B115" s="68" t="s">
        <v>126</v>
      </c>
      <c r="C115" s="69" t="s">
        <v>143</v>
      </c>
      <c r="D115" s="70">
        <v>526073</v>
      </c>
      <c r="E115" s="69"/>
      <c r="F115" s="21">
        <v>43196</v>
      </c>
      <c r="G115" s="23">
        <v>43202</v>
      </c>
      <c r="H115" s="24">
        <v>43237</v>
      </c>
      <c r="I115" s="13">
        <f t="shared" si="1"/>
        <v>41</v>
      </c>
      <c r="J115" s="14">
        <f t="shared" si="2"/>
        <v>35</v>
      </c>
      <c r="K115" s="15" t="s">
        <v>17</v>
      </c>
    </row>
    <row r="116" spans="2:11" ht="15" thickBot="1" x14ac:dyDescent="0.5">
      <c r="B116" s="82" t="s">
        <v>126</v>
      </c>
      <c r="C116" s="83" t="s">
        <v>144</v>
      </c>
      <c r="D116" s="84">
        <v>6584915</v>
      </c>
      <c r="E116" s="83"/>
      <c r="F116" s="32">
        <v>43308</v>
      </c>
      <c r="G116" s="33">
        <v>43306</v>
      </c>
      <c r="H116" s="34">
        <v>43355</v>
      </c>
      <c r="I116" s="35">
        <f t="shared" si="1"/>
        <v>47</v>
      </c>
      <c r="J116" s="36">
        <f t="shared" si="2"/>
        <v>49</v>
      </c>
      <c r="K116" s="37" t="s">
        <v>17</v>
      </c>
    </row>
    <row r="117" spans="2:11" x14ac:dyDescent="0.45">
      <c r="B117" s="85" t="s">
        <v>145</v>
      </c>
      <c r="C117" s="86" t="s">
        <v>146</v>
      </c>
      <c r="D117" s="39">
        <v>716491</v>
      </c>
      <c r="E117" s="39" t="s">
        <v>39</v>
      </c>
      <c r="F117" s="41">
        <v>42076</v>
      </c>
      <c r="G117" s="79">
        <v>42082</v>
      </c>
      <c r="H117" s="80">
        <v>42180</v>
      </c>
      <c r="I117" s="45">
        <f t="shared" si="1"/>
        <v>104</v>
      </c>
      <c r="J117" s="81">
        <f t="shared" si="2"/>
        <v>98</v>
      </c>
      <c r="K117" s="52" t="s">
        <v>70</v>
      </c>
    </row>
    <row r="118" spans="2:11" x14ac:dyDescent="0.45">
      <c r="B118" s="16" t="s">
        <v>145</v>
      </c>
      <c r="C118" s="8" t="s">
        <v>147</v>
      </c>
      <c r="D118" s="9">
        <v>10494499</v>
      </c>
      <c r="E118" s="9" t="s">
        <v>24</v>
      </c>
      <c r="F118" s="21">
        <v>42125</v>
      </c>
      <c r="G118" s="23">
        <v>42117</v>
      </c>
      <c r="H118" s="24">
        <v>42264</v>
      </c>
      <c r="I118" s="13">
        <f t="shared" si="1"/>
        <v>139</v>
      </c>
      <c r="J118" s="14">
        <f t="shared" si="2"/>
        <v>147</v>
      </c>
      <c r="K118" s="15" t="s">
        <v>70</v>
      </c>
    </row>
    <row r="119" spans="2:11" x14ac:dyDescent="0.45">
      <c r="B119" s="16" t="s">
        <v>145</v>
      </c>
      <c r="C119" s="8" t="s">
        <v>148</v>
      </c>
      <c r="D119" s="9">
        <v>4969735</v>
      </c>
      <c r="E119" s="9" t="s">
        <v>24</v>
      </c>
      <c r="F119" s="21">
        <v>42174</v>
      </c>
      <c r="G119" s="23">
        <v>42194</v>
      </c>
      <c r="H119" s="24">
        <v>42292</v>
      </c>
      <c r="I119" s="13">
        <f t="shared" si="1"/>
        <v>118</v>
      </c>
      <c r="J119" s="14">
        <f t="shared" si="2"/>
        <v>98</v>
      </c>
      <c r="K119" s="15" t="s">
        <v>70</v>
      </c>
    </row>
    <row r="120" spans="2:11" x14ac:dyDescent="0.45">
      <c r="B120" s="16" t="s">
        <v>145</v>
      </c>
      <c r="C120" s="17" t="s">
        <v>149</v>
      </c>
      <c r="D120" s="18">
        <v>2841795</v>
      </c>
      <c r="E120" s="18" t="s">
        <v>22</v>
      </c>
      <c r="F120" s="10">
        <v>42202</v>
      </c>
      <c r="G120" s="11">
        <v>42250</v>
      </c>
      <c r="H120" s="12">
        <v>42325</v>
      </c>
      <c r="I120" s="19">
        <f t="shared" si="1"/>
        <v>123</v>
      </c>
      <c r="J120" s="20">
        <f t="shared" si="2"/>
        <v>75</v>
      </c>
      <c r="K120" s="15" t="s">
        <v>70</v>
      </c>
    </row>
    <row r="121" spans="2:11" x14ac:dyDescent="0.45">
      <c r="B121" s="16" t="s">
        <v>145</v>
      </c>
      <c r="C121" s="8" t="s">
        <v>150</v>
      </c>
      <c r="D121" s="9">
        <v>1330181</v>
      </c>
      <c r="E121" s="9" t="s">
        <v>31</v>
      </c>
      <c r="F121" s="21">
        <v>42333</v>
      </c>
      <c r="G121" s="23">
        <v>42376</v>
      </c>
      <c r="H121" s="24">
        <v>42402</v>
      </c>
      <c r="I121" s="13">
        <f t="shared" si="1"/>
        <v>69</v>
      </c>
      <c r="J121" s="14">
        <f t="shared" si="2"/>
        <v>26</v>
      </c>
      <c r="K121" s="22" t="s">
        <v>17</v>
      </c>
    </row>
    <row r="122" spans="2:11" x14ac:dyDescent="0.45">
      <c r="B122" s="16" t="s">
        <v>145</v>
      </c>
      <c r="C122" s="8" t="s">
        <v>151</v>
      </c>
      <c r="D122" s="9">
        <v>3273879</v>
      </c>
      <c r="E122" s="18" t="s">
        <v>22</v>
      </c>
      <c r="F122" s="21">
        <v>42356</v>
      </c>
      <c r="G122" s="23">
        <v>42355</v>
      </c>
      <c r="H122" s="24">
        <v>42467</v>
      </c>
      <c r="I122" s="13">
        <f t="shared" ref="I122:I134" si="10">H122-F122</f>
        <v>111</v>
      </c>
      <c r="J122" s="14">
        <f t="shared" ref="J122:J134" si="11">H122-G122</f>
        <v>112</v>
      </c>
      <c r="K122" s="15" t="s">
        <v>70</v>
      </c>
    </row>
    <row r="123" spans="2:11" x14ac:dyDescent="0.45">
      <c r="B123" s="16" t="s">
        <v>145</v>
      </c>
      <c r="C123" s="8" t="s">
        <v>152</v>
      </c>
      <c r="D123" s="9">
        <v>4706158</v>
      </c>
      <c r="E123" s="9" t="s">
        <v>24</v>
      </c>
      <c r="F123" s="21">
        <v>42433</v>
      </c>
      <c r="G123" s="23">
        <v>42417</v>
      </c>
      <c r="H123" s="24">
        <v>42509</v>
      </c>
      <c r="I123" s="13">
        <f t="shared" si="10"/>
        <v>76</v>
      </c>
      <c r="J123" s="14">
        <f t="shared" si="11"/>
        <v>92</v>
      </c>
      <c r="K123" s="15" t="s">
        <v>17</v>
      </c>
    </row>
    <row r="124" spans="2:11" x14ac:dyDescent="0.45">
      <c r="B124" s="16" t="s">
        <v>145</v>
      </c>
      <c r="C124" s="8" t="s">
        <v>153</v>
      </c>
      <c r="D124" s="9">
        <v>2537438</v>
      </c>
      <c r="E124" s="18" t="s">
        <v>22</v>
      </c>
      <c r="F124" s="21">
        <v>42485</v>
      </c>
      <c r="G124" s="23">
        <v>42530</v>
      </c>
      <c r="H124" s="24">
        <v>42635</v>
      </c>
      <c r="I124" s="13">
        <f t="shared" si="10"/>
        <v>150</v>
      </c>
      <c r="J124" s="14">
        <f t="shared" si="11"/>
        <v>105</v>
      </c>
      <c r="K124" s="15" t="s">
        <v>70</v>
      </c>
    </row>
    <row r="125" spans="2:11" x14ac:dyDescent="0.45">
      <c r="B125" s="16" t="s">
        <v>145</v>
      </c>
      <c r="C125" s="8" t="s">
        <v>154</v>
      </c>
      <c r="D125" s="9">
        <v>8677249</v>
      </c>
      <c r="E125" s="9" t="s">
        <v>24</v>
      </c>
      <c r="F125" s="21">
        <v>42496</v>
      </c>
      <c r="G125" s="23">
        <v>42487</v>
      </c>
      <c r="H125" s="24">
        <v>42642</v>
      </c>
      <c r="I125" s="13">
        <f t="shared" si="10"/>
        <v>146</v>
      </c>
      <c r="J125" s="14">
        <f t="shared" si="11"/>
        <v>155</v>
      </c>
      <c r="K125" s="15" t="s">
        <v>70</v>
      </c>
    </row>
    <row r="126" spans="2:11" x14ac:dyDescent="0.45">
      <c r="B126" s="16" t="s">
        <v>145</v>
      </c>
      <c r="C126" s="8" t="s">
        <v>155</v>
      </c>
      <c r="D126" s="9">
        <v>513202</v>
      </c>
      <c r="E126" s="18" t="s">
        <v>39</v>
      </c>
      <c r="F126" s="21">
        <v>42517</v>
      </c>
      <c r="G126" s="23">
        <v>42620</v>
      </c>
      <c r="H126" s="24">
        <v>42649</v>
      </c>
      <c r="I126" s="13">
        <f t="shared" si="10"/>
        <v>132</v>
      </c>
      <c r="J126" s="14">
        <f t="shared" si="11"/>
        <v>29</v>
      </c>
      <c r="K126" s="15" t="s">
        <v>70</v>
      </c>
    </row>
    <row r="127" spans="2:11" x14ac:dyDescent="0.45">
      <c r="B127" s="16" t="s">
        <v>145</v>
      </c>
      <c r="C127" s="8" t="s">
        <v>156</v>
      </c>
      <c r="D127" s="9">
        <v>2601761</v>
      </c>
      <c r="E127" s="9" t="s">
        <v>22</v>
      </c>
      <c r="F127" s="21">
        <v>42538</v>
      </c>
      <c r="G127" s="23">
        <v>42557</v>
      </c>
      <c r="H127" s="24">
        <v>42668</v>
      </c>
      <c r="I127" s="13">
        <f t="shared" si="10"/>
        <v>130</v>
      </c>
      <c r="J127" s="14">
        <f t="shared" si="11"/>
        <v>111</v>
      </c>
      <c r="K127" s="15" t="s">
        <v>70</v>
      </c>
    </row>
    <row r="128" spans="2:11" x14ac:dyDescent="0.45">
      <c r="B128" s="16" t="s">
        <v>145</v>
      </c>
      <c r="C128" s="8" t="s">
        <v>157</v>
      </c>
      <c r="D128" s="9">
        <v>109137</v>
      </c>
      <c r="E128" s="9" t="s">
        <v>16</v>
      </c>
      <c r="F128" s="21">
        <v>42594</v>
      </c>
      <c r="G128" s="23">
        <v>42641</v>
      </c>
      <c r="H128" s="24">
        <v>42719</v>
      </c>
      <c r="I128" s="13">
        <f t="shared" si="10"/>
        <v>125</v>
      </c>
      <c r="J128" s="14">
        <f t="shared" si="11"/>
        <v>78</v>
      </c>
      <c r="K128" s="15" t="s">
        <v>70</v>
      </c>
    </row>
    <row r="129" spans="2:11" x14ac:dyDescent="0.45">
      <c r="B129" s="16" t="s">
        <v>145</v>
      </c>
      <c r="C129" s="8" t="s">
        <v>158</v>
      </c>
      <c r="D129" s="9">
        <v>5446379</v>
      </c>
      <c r="E129" s="9" t="s">
        <v>24</v>
      </c>
      <c r="F129" s="21">
        <v>42678</v>
      </c>
      <c r="G129" s="23">
        <v>42669</v>
      </c>
      <c r="H129" s="24">
        <v>42761</v>
      </c>
      <c r="I129" s="13">
        <f t="shared" si="10"/>
        <v>83</v>
      </c>
      <c r="J129" s="14">
        <f t="shared" si="11"/>
        <v>92</v>
      </c>
      <c r="K129" s="15" t="s">
        <v>70</v>
      </c>
    </row>
    <row r="130" spans="2:11" x14ac:dyDescent="0.45">
      <c r="B130" s="7" t="s">
        <v>145</v>
      </c>
      <c r="C130" s="8" t="s">
        <v>159</v>
      </c>
      <c r="D130" s="9">
        <v>2310206</v>
      </c>
      <c r="E130" s="9" t="s">
        <v>22</v>
      </c>
      <c r="F130" s="21">
        <v>42697</v>
      </c>
      <c r="G130" s="23">
        <v>42747</v>
      </c>
      <c r="H130" s="24">
        <v>42775</v>
      </c>
      <c r="I130" s="13">
        <f t="shared" si="10"/>
        <v>78</v>
      </c>
      <c r="J130" s="14">
        <f t="shared" si="11"/>
        <v>28</v>
      </c>
      <c r="K130" s="15" t="s">
        <v>17</v>
      </c>
    </row>
    <row r="131" spans="2:11" x14ac:dyDescent="0.45">
      <c r="B131" s="85" t="s">
        <v>160</v>
      </c>
      <c r="C131" s="28" t="s">
        <v>161</v>
      </c>
      <c r="D131" s="40">
        <v>1019285</v>
      </c>
      <c r="E131" s="9" t="s">
        <v>31</v>
      </c>
      <c r="F131" s="57">
        <v>42720</v>
      </c>
      <c r="G131" s="42">
        <v>42732</v>
      </c>
      <c r="H131" s="58">
        <v>42818</v>
      </c>
      <c r="I131" s="27">
        <f t="shared" si="10"/>
        <v>98</v>
      </c>
      <c r="J131" s="44">
        <f t="shared" si="11"/>
        <v>86</v>
      </c>
      <c r="K131" s="15" t="s">
        <v>70</v>
      </c>
    </row>
    <row r="132" spans="2:11" x14ac:dyDescent="0.45">
      <c r="B132" s="16" t="s">
        <v>160</v>
      </c>
      <c r="C132" s="17" t="s">
        <v>162</v>
      </c>
      <c r="D132" s="18">
        <v>5138330</v>
      </c>
      <c r="E132" s="9" t="s">
        <v>24</v>
      </c>
      <c r="F132" s="10">
        <v>42811</v>
      </c>
      <c r="G132" s="11">
        <v>42810</v>
      </c>
      <c r="H132" s="12">
        <v>42872</v>
      </c>
      <c r="I132" s="19">
        <f t="shared" si="10"/>
        <v>61</v>
      </c>
      <c r="J132" s="20">
        <f t="shared" si="11"/>
        <v>62</v>
      </c>
      <c r="K132" s="26" t="s">
        <v>17</v>
      </c>
    </row>
    <row r="133" spans="2:11" x14ac:dyDescent="0.45">
      <c r="B133" s="16" t="s">
        <v>160</v>
      </c>
      <c r="C133" s="17" t="s">
        <v>163</v>
      </c>
      <c r="D133" s="18">
        <v>2735724</v>
      </c>
      <c r="E133" s="9" t="s">
        <v>22</v>
      </c>
      <c r="F133" s="10">
        <v>42860</v>
      </c>
      <c r="G133" s="11">
        <v>42858</v>
      </c>
      <c r="H133" s="12">
        <v>42955</v>
      </c>
      <c r="I133" s="19">
        <f t="shared" si="10"/>
        <v>95</v>
      </c>
      <c r="J133" s="20">
        <f t="shared" si="11"/>
        <v>97</v>
      </c>
      <c r="K133" s="22" t="s">
        <v>70</v>
      </c>
    </row>
    <row r="134" spans="2:11" x14ac:dyDescent="0.45">
      <c r="B134" s="16" t="s">
        <v>160</v>
      </c>
      <c r="C134" s="17" t="s">
        <v>164</v>
      </c>
      <c r="D134" s="18">
        <v>3049894</v>
      </c>
      <c r="E134" s="9" t="s">
        <v>22</v>
      </c>
      <c r="F134" s="10">
        <v>42881</v>
      </c>
      <c r="G134" s="11">
        <v>42879</v>
      </c>
      <c r="H134" s="12">
        <v>43006</v>
      </c>
      <c r="I134" s="19">
        <f t="shared" si="10"/>
        <v>125</v>
      </c>
      <c r="J134" s="20">
        <f t="shared" si="11"/>
        <v>127</v>
      </c>
      <c r="K134" s="22" t="s">
        <v>70</v>
      </c>
    </row>
    <row r="135" spans="2:11" x14ac:dyDescent="0.45">
      <c r="B135" s="7" t="s">
        <v>160</v>
      </c>
      <c r="C135" s="8" t="s">
        <v>165</v>
      </c>
      <c r="D135" s="9">
        <v>487916</v>
      </c>
      <c r="E135" s="9" t="s">
        <v>20</v>
      </c>
      <c r="F135" s="21">
        <v>42902</v>
      </c>
      <c r="G135" s="23">
        <v>42929</v>
      </c>
      <c r="H135" s="87">
        <v>43053</v>
      </c>
      <c r="I135" s="88">
        <f>H135-F135</f>
        <v>151</v>
      </c>
      <c r="J135" s="89">
        <f>H135-G135</f>
        <v>124</v>
      </c>
      <c r="K135" s="15" t="s">
        <v>70</v>
      </c>
    </row>
    <row r="136" spans="2:11" x14ac:dyDescent="0.45">
      <c r="B136" s="7" t="s">
        <v>160</v>
      </c>
      <c r="C136" s="28" t="s">
        <v>166</v>
      </c>
      <c r="D136" s="40">
        <v>4857152</v>
      </c>
      <c r="E136" s="39" t="s">
        <v>16</v>
      </c>
      <c r="F136" s="10">
        <v>43042</v>
      </c>
      <c r="G136" s="42">
        <v>43033</v>
      </c>
      <c r="H136" s="58">
        <v>43126</v>
      </c>
      <c r="I136" s="27">
        <f t="shared" ref="I136:I170" si="12">H136-F136</f>
        <v>84</v>
      </c>
      <c r="J136" s="44">
        <f t="shared" ref="J136:J171" si="13">H136-G136</f>
        <v>93</v>
      </c>
      <c r="K136" s="26" t="s">
        <v>43</v>
      </c>
    </row>
    <row r="137" spans="2:11" x14ac:dyDescent="0.45">
      <c r="B137" s="7" t="s">
        <v>160</v>
      </c>
      <c r="C137" s="17" t="s">
        <v>167</v>
      </c>
      <c r="D137" s="18">
        <v>3513114</v>
      </c>
      <c r="E137" s="9" t="s">
        <v>16</v>
      </c>
      <c r="F137" s="10">
        <v>43061</v>
      </c>
      <c r="G137" s="11">
        <v>43111</v>
      </c>
      <c r="H137" s="12">
        <v>43144</v>
      </c>
      <c r="I137" s="19">
        <f t="shared" si="12"/>
        <v>83</v>
      </c>
      <c r="J137" s="20">
        <f t="shared" si="13"/>
        <v>33</v>
      </c>
      <c r="K137" s="22" t="s">
        <v>45</v>
      </c>
    </row>
    <row r="138" spans="2:11" x14ac:dyDescent="0.45">
      <c r="B138" s="7" t="s">
        <v>160</v>
      </c>
      <c r="C138" s="17" t="s">
        <v>168</v>
      </c>
      <c r="D138" s="18">
        <v>959577</v>
      </c>
      <c r="E138" s="9" t="s">
        <v>16</v>
      </c>
      <c r="F138" s="10">
        <v>43084</v>
      </c>
      <c r="G138" s="11">
        <v>43083</v>
      </c>
      <c r="H138" s="12">
        <v>43172</v>
      </c>
      <c r="I138" s="19">
        <f t="shared" si="12"/>
        <v>88</v>
      </c>
      <c r="J138" s="20">
        <f t="shared" si="13"/>
        <v>89</v>
      </c>
      <c r="K138" s="22" t="s">
        <v>43</v>
      </c>
    </row>
    <row r="139" spans="2:11" x14ac:dyDescent="0.45">
      <c r="B139" s="7" t="s">
        <v>160</v>
      </c>
      <c r="C139" s="17" t="s">
        <v>169</v>
      </c>
      <c r="D139" s="18">
        <v>5398994</v>
      </c>
      <c r="E139" s="9" t="s">
        <v>16</v>
      </c>
      <c r="F139" s="10">
        <v>43147</v>
      </c>
      <c r="G139" s="11">
        <v>43145</v>
      </c>
      <c r="H139" s="12">
        <v>43224</v>
      </c>
      <c r="I139" s="19">
        <f t="shared" si="12"/>
        <v>77</v>
      </c>
      <c r="J139" s="20">
        <f t="shared" si="13"/>
        <v>79</v>
      </c>
      <c r="K139" s="22" t="s">
        <v>43</v>
      </c>
    </row>
    <row r="140" spans="2:11" x14ac:dyDescent="0.45">
      <c r="B140" s="7" t="s">
        <v>160</v>
      </c>
      <c r="C140" s="17" t="s">
        <v>170</v>
      </c>
      <c r="D140" s="18">
        <v>11211880</v>
      </c>
      <c r="E140" s="9" t="s">
        <v>16</v>
      </c>
      <c r="F140" s="10">
        <v>43217</v>
      </c>
      <c r="G140" s="11">
        <v>43215</v>
      </c>
      <c r="H140" s="12">
        <v>43312</v>
      </c>
      <c r="I140" s="19">
        <f t="shared" si="12"/>
        <v>95</v>
      </c>
      <c r="J140" s="20">
        <f t="shared" si="13"/>
        <v>97</v>
      </c>
      <c r="K140" s="22" t="s">
        <v>43</v>
      </c>
    </row>
    <row r="141" spans="2:11" x14ac:dyDescent="0.45">
      <c r="B141" s="7" t="s">
        <v>160</v>
      </c>
      <c r="C141" s="17" t="s">
        <v>171</v>
      </c>
      <c r="D141" s="18">
        <v>5447826</v>
      </c>
      <c r="E141" s="9" t="s">
        <v>16</v>
      </c>
      <c r="F141" s="10">
        <v>43287</v>
      </c>
      <c r="G141" s="11">
        <v>43285</v>
      </c>
      <c r="H141" s="12">
        <v>43375</v>
      </c>
      <c r="I141" s="19">
        <f t="shared" si="12"/>
        <v>88</v>
      </c>
      <c r="J141" s="20">
        <f t="shared" si="13"/>
        <v>90</v>
      </c>
      <c r="K141" s="22" t="s">
        <v>43</v>
      </c>
    </row>
    <row r="142" spans="2:11" x14ac:dyDescent="0.45">
      <c r="B142" s="7" t="s">
        <v>160</v>
      </c>
      <c r="C142" s="17" t="s">
        <v>172</v>
      </c>
      <c r="D142" s="18">
        <v>213980</v>
      </c>
      <c r="E142" s="9" t="s">
        <v>16</v>
      </c>
      <c r="F142" s="10">
        <v>43245</v>
      </c>
      <c r="G142" s="11">
        <v>43244</v>
      </c>
      <c r="H142" s="12">
        <v>43384</v>
      </c>
      <c r="I142" s="19">
        <f t="shared" si="12"/>
        <v>139</v>
      </c>
      <c r="J142" s="20">
        <f t="shared" si="13"/>
        <v>140</v>
      </c>
      <c r="K142" s="22" t="s">
        <v>43</v>
      </c>
    </row>
    <row r="143" spans="2:11" x14ac:dyDescent="0.45">
      <c r="B143" s="7" t="s">
        <v>160</v>
      </c>
      <c r="C143" s="17" t="s">
        <v>173</v>
      </c>
      <c r="D143" s="18">
        <v>3033052</v>
      </c>
      <c r="E143" s="9" t="s">
        <v>16</v>
      </c>
      <c r="F143" s="10">
        <v>43266</v>
      </c>
      <c r="G143" s="11">
        <v>43299</v>
      </c>
      <c r="H143" s="12">
        <v>43396</v>
      </c>
      <c r="I143" s="19">
        <f t="shared" si="12"/>
        <v>130</v>
      </c>
      <c r="J143" s="20">
        <f t="shared" si="13"/>
        <v>97</v>
      </c>
      <c r="K143" s="22" t="s">
        <v>43</v>
      </c>
    </row>
    <row r="144" spans="2:11" ht="15" thickBot="1" x14ac:dyDescent="0.5">
      <c r="B144" s="29" t="s">
        <v>160</v>
      </c>
      <c r="C144" s="30" t="s">
        <v>174</v>
      </c>
      <c r="D144" s="31">
        <v>492201</v>
      </c>
      <c r="E144" s="31" t="s">
        <v>16</v>
      </c>
      <c r="F144" s="32">
        <v>43315</v>
      </c>
      <c r="G144" s="33">
        <v>43376</v>
      </c>
      <c r="H144" s="34">
        <v>43405</v>
      </c>
      <c r="I144" s="35">
        <f t="shared" si="12"/>
        <v>90</v>
      </c>
      <c r="J144" s="36">
        <f t="shared" si="13"/>
        <v>29</v>
      </c>
      <c r="K144" s="37" t="s">
        <v>45</v>
      </c>
    </row>
    <row r="145" spans="2:11" x14ac:dyDescent="0.45">
      <c r="B145" s="90" t="s">
        <v>175</v>
      </c>
      <c r="C145" s="91" t="s">
        <v>176</v>
      </c>
      <c r="D145" s="92">
        <v>345782</v>
      </c>
      <c r="E145" s="92" t="s">
        <v>16</v>
      </c>
      <c r="F145" s="93">
        <v>42018</v>
      </c>
      <c r="G145" s="94">
        <v>42018</v>
      </c>
      <c r="H145" s="95">
        <v>42110</v>
      </c>
      <c r="I145" s="96">
        <f t="shared" si="12"/>
        <v>92</v>
      </c>
      <c r="J145" s="97">
        <f t="shared" si="13"/>
        <v>92</v>
      </c>
      <c r="K145" s="22" t="s">
        <v>70</v>
      </c>
    </row>
    <row r="146" spans="2:11" x14ac:dyDescent="0.45">
      <c r="B146" s="46" t="s">
        <v>175</v>
      </c>
      <c r="C146" s="98" t="s">
        <v>177</v>
      </c>
      <c r="D146" s="99">
        <v>309842</v>
      </c>
      <c r="E146" s="99" t="s">
        <v>16</v>
      </c>
      <c r="F146" s="100">
        <v>42041</v>
      </c>
      <c r="G146" s="101">
        <v>42040</v>
      </c>
      <c r="H146" s="87">
        <v>42131</v>
      </c>
      <c r="I146" s="88">
        <f t="shared" si="12"/>
        <v>90</v>
      </c>
      <c r="J146" s="89">
        <f t="shared" si="13"/>
        <v>91</v>
      </c>
      <c r="K146" s="22" t="s">
        <v>70</v>
      </c>
    </row>
    <row r="147" spans="2:11" x14ac:dyDescent="0.45">
      <c r="B147" s="46" t="s">
        <v>175</v>
      </c>
      <c r="C147" s="98" t="s">
        <v>178</v>
      </c>
      <c r="D147" s="99">
        <v>289534</v>
      </c>
      <c r="E147" s="99" t="s">
        <v>16</v>
      </c>
      <c r="F147" s="100">
        <v>42076</v>
      </c>
      <c r="G147" s="101">
        <v>42082</v>
      </c>
      <c r="H147" s="87">
        <v>42173</v>
      </c>
      <c r="I147" s="88">
        <f t="shared" si="12"/>
        <v>97</v>
      </c>
      <c r="J147" s="89">
        <f t="shared" si="13"/>
        <v>91</v>
      </c>
      <c r="K147" s="22" t="s">
        <v>70</v>
      </c>
    </row>
    <row r="148" spans="2:11" x14ac:dyDescent="0.45">
      <c r="B148" s="46" t="s">
        <v>175</v>
      </c>
      <c r="C148" s="98" t="s">
        <v>179</v>
      </c>
      <c r="D148" s="99">
        <v>3884129</v>
      </c>
      <c r="E148" s="99" t="s">
        <v>22</v>
      </c>
      <c r="F148" s="100">
        <v>42139</v>
      </c>
      <c r="G148" s="101">
        <v>42138</v>
      </c>
      <c r="H148" s="87">
        <v>42229</v>
      </c>
      <c r="I148" s="88">
        <f t="shared" si="12"/>
        <v>90</v>
      </c>
      <c r="J148" s="89">
        <f t="shared" si="13"/>
        <v>91</v>
      </c>
      <c r="K148" s="22" t="s">
        <v>70</v>
      </c>
    </row>
    <row r="149" spans="2:11" x14ac:dyDescent="0.45">
      <c r="B149" s="46" t="s">
        <v>175</v>
      </c>
      <c r="C149" s="98" t="s">
        <v>180</v>
      </c>
      <c r="D149" s="99">
        <v>1716455</v>
      </c>
      <c r="E149" s="99" t="s">
        <v>181</v>
      </c>
      <c r="F149" s="100">
        <v>42153</v>
      </c>
      <c r="G149" s="101">
        <v>42158</v>
      </c>
      <c r="H149" s="87">
        <v>42250</v>
      </c>
      <c r="I149" s="88">
        <f t="shared" si="12"/>
        <v>97</v>
      </c>
      <c r="J149" s="89">
        <f t="shared" si="13"/>
        <v>92</v>
      </c>
      <c r="K149" s="22" t="s">
        <v>70</v>
      </c>
    </row>
    <row r="150" spans="2:11" x14ac:dyDescent="0.45">
      <c r="B150" s="46" t="s">
        <v>175</v>
      </c>
      <c r="C150" s="98" t="s">
        <v>182</v>
      </c>
      <c r="D150" s="99">
        <v>88777</v>
      </c>
      <c r="E150" s="99" t="s">
        <v>16</v>
      </c>
      <c r="F150" s="100">
        <v>42195</v>
      </c>
      <c r="G150" s="101">
        <v>42250</v>
      </c>
      <c r="H150" s="87">
        <v>42341</v>
      </c>
      <c r="I150" s="88">
        <f t="shared" si="12"/>
        <v>146</v>
      </c>
      <c r="J150" s="89">
        <f t="shared" si="13"/>
        <v>91</v>
      </c>
      <c r="K150" s="22" t="s">
        <v>70</v>
      </c>
    </row>
    <row r="151" spans="2:11" x14ac:dyDescent="0.45">
      <c r="B151" s="46" t="s">
        <v>175</v>
      </c>
      <c r="C151" s="98" t="s">
        <v>183</v>
      </c>
      <c r="D151" s="99">
        <v>3611166</v>
      </c>
      <c r="E151" s="99" t="s">
        <v>22</v>
      </c>
      <c r="F151" s="100">
        <v>42272</v>
      </c>
      <c r="G151" s="101">
        <v>42271</v>
      </c>
      <c r="H151" s="87">
        <v>42355</v>
      </c>
      <c r="I151" s="88">
        <f t="shared" si="12"/>
        <v>83</v>
      </c>
      <c r="J151" s="89">
        <f t="shared" si="13"/>
        <v>84</v>
      </c>
      <c r="K151" s="22" t="s">
        <v>70</v>
      </c>
    </row>
    <row r="152" spans="2:11" x14ac:dyDescent="0.45">
      <c r="B152" s="46" t="s">
        <v>175</v>
      </c>
      <c r="C152" s="98" t="s">
        <v>184</v>
      </c>
      <c r="D152" s="99">
        <v>186174</v>
      </c>
      <c r="E152" s="99" t="s">
        <v>16</v>
      </c>
      <c r="F152" s="100">
        <v>42286</v>
      </c>
      <c r="G152" s="101">
        <v>42285</v>
      </c>
      <c r="H152" s="87">
        <v>42376</v>
      </c>
      <c r="I152" s="88">
        <f t="shared" si="12"/>
        <v>90</v>
      </c>
      <c r="J152" s="89">
        <f t="shared" si="13"/>
        <v>91</v>
      </c>
      <c r="K152" s="22" t="s">
        <v>70</v>
      </c>
    </row>
    <row r="153" spans="2:11" x14ac:dyDescent="0.45">
      <c r="B153" s="46" t="s">
        <v>175</v>
      </c>
      <c r="C153" s="98" t="s">
        <v>185</v>
      </c>
      <c r="D153" s="99">
        <v>108552</v>
      </c>
      <c r="E153" s="99" t="s">
        <v>16</v>
      </c>
      <c r="F153" s="100">
        <v>42230</v>
      </c>
      <c r="G153" s="101">
        <v>42305</v>
      </c>
      <c r="H153" s="87">
        <v>42397</v>
      </c>
      <c r="I153" s="88">
        <f t="shared" si="12"/>
        <v>167</v>
      </c>
      <c r="J153" s="89">
        <f t="shared" si="13"/>
        <v>92</v>
      </c>
      <c r="K153" s="22" t="s">
        <v>70</v>
      </c>
    </row>
    <row r="154" spans="2:11" x14ac:dyDescent="0.45">
      <c r="B154" s="48" t="s">
        <v>175</v>
      </c>
      <c r="C154" s="50" t="s">
        <v>186</v>
      </c>
      <c r="D154" s="102">
        <v>809841</v>
      </c>
      <c r="E154" s="99" t="s">
        <v>39</v>
      </c>
      <c r="F154" s="103">
        <v>42341</v>
      </c>
      <c r="G154" s="104">
        <v>42341</v>
      </c>
      <c r="H154" s="105">
        <v>42432</v>
      </c>
      <c r="I154" s="106">
        <f t="shared" si="12"/>
        <v>91</v>
      </c>
      <c r="J154" s="107">
        <f t="shared" si="13"/>
        <v>91</v>
      </c>
      <c r="K154" s="22" t="s">
        <v>70</v>
      </c>
    </row>
    <row r="155" spans="2:11" x14ac:dyDescent="0.45">
      <c r="B155" s="48" t="s">
        <v>175</v>
      </c>
      <c r="C155" s="50" t="s">
        <v>187</v>
      </c>
      <c r="D155" s="102">
        <v>2256691</v>
      </c>
      <c r="E155" s="102" t="s">
        <v>22</v>
      </c>
      <c r="F155" s="103">
        <v>42454</v>
      </c>
      <c r="G155" s="104">
        <v>42453</v>
      </c>
      <c r="H155" s="105">
        <v>42550</v>
      </c>
      <c r="I155" s="106">
        <f t="shared" si="12"/>
        <v>96</v>
      </c>
      <c r="J155" s="89">
        <f t="shared" si="13"/>
        <v>97</v>
      </c>
      <c r="K155" s="22" t="s">
        <v>70</v>
      </c>
    </row>
    <row r="156" spans="2:11" x14ac:dyDescent="0.45">
      <c r="B156" s="48" t="s">
        <v>175</v>
      </c>
      <c r="C156" s="50" t="s">
        <v>188</v>
      </c>
      <c r="D156" s="102">
        <v>858406</v>
      </c>
      <c r="E156" s="102" t="s">
        <v>39</v>
      </c>
      <c r="F156" s="103">
        <v>42552</v>
      </c>
      <c r="G156" s="104">
        <v>42550</v>
      </c>
      <c r="H156" s="105">
        <v>42584</v>
      </c>
      <c r="I156" s="106">
        <f t="shared" si="12"/>
        <v>32</v>
      </c>
      <c r="J156" s="89">
        <f t="shared" si="13"/>
        <v>34</v>
      </c>
      <c r="K156" s="49" t="s">
        <v>17</v>
      </c>
    </row>
    <row r="157" spans="2:11" x14ac:dyDescent="0.45">
      <c r="B157" s="48" t="s">
        <v>175</v>
      </c>
      <c r="C157" s="50" t="s">
        <v>189</v>
      </c>
      <c r="D157" s="102">
        <v>945172</v>
      </c>
      <c r="E157" s="102" t="s">
        <v>39</v>
      </c>
      <c r="F157" s="103">
        <v>42433</v>
      </c>
      <c r="G157" s="104">
        <v>42522</v>
      </c>
      <c r="H157" s="105">
        <v>42593</v>
      </c>
      <c r="I157" s="106">
        <f t="shared" si="12"/>
        <v>160</v>
      </c>
      <c r="J157" s="107">
        <f t="shared" si="13"/>
        <v>71</v>
      </c>
      <c r="K157" s="22" t="s">
        <v>70</v>
      </c>
    </row>
    <row r="158" spans="2:11" x14ac:dyDescent="0.45">
      <c r="B158" s="48" t="s">
        <v>175</v>
      </c>
      <c r="C158" s="50" t="s">
        <v>190</v>
      </c>
      <c r="D158" s="102">
        <v>1928605</v>
      </c>
      <c r="E158" s="102" t="s">
        <v>31</v>
      </c>
      <c r="F158" s="103">
        <v>42531</v>
      </c>
      <c r="G158" s="104">
        <v>42530</v>
      </c>
      <c r="H158" s="105">
        <v>42613</v>
      </c>
      <c r="I158" s="106">
        <f t="shared" si="12"/>
        <v>82</v>
      </c>
      <c r="J158" s="89">
        <f t="shared" si="13"/>
        <v>83</v>
      </c>
      <c r="K158" s="22" t="s">
        <v>70</v>
      </c>
    </row>
    <row r="159" spans="2:11" x14ac:dyDescent="0.45">
      <c r="B159" s="48" t="s">
        <v>175</v>
      </c>
      <c r="C159" s="50" t="s">
        <v>191</v>
      </c>
      <c r="D159" s="102">
        <v>1898220</v>
      </c>
      <c r="E159" s="102" t="s">
        <v>31</v>
      </c>
      <c r="F159" s="103">
        <v>42587</v>
      </c>
      <c r="G159" s="104">
        <v>42585</v>
      </c>
      <c r="H159" s="105">
        <v>42650</v>
      </c>
      <c r="I159" s="106">
        <f t="shared" si="12"/>
        <v>63</v>
      </c>
      <c r="J159" s="89">
        <f t="shared" si="13"/>
        <v>65</v>
      </c>
      <c r="K159" s="22" t="s">
        <v>70</v>
      </c>
    </row>
    <row r="160" spans="2:11" x14ac:dyDescent="0.45">
      <c r="B160" s="48" t="s">
        <v>175</v>
      </c>
      <c r="C160" s="50" t="s">
        <v>192</v>
      </c>
      <c r="D160" s="102">
        <v>1111284</v>
      </c>
      <c r="E160" s="102" t="s">
        <v>31</v>
      </c>
      <c r="F160" s="103">
        <v>42573</v>
      </c>
      <c r="G160" s="104">
        <v>42606</v>
      </c>
      <c r="H160" s="105">
        <v>42655</v>
      </c>
      <c r="I160" s="106">
        <f t="shared" si="12"/>
        <v>82</v>
      </c>
      <c r="J160" s="107">
        <f t="shared" si="13"/>
        <v>49</v>
      </c>
      <c r="K160" s="22" t="s">
        <v>70</v>
      </c>
    </row>
    <row r="161" spans="2:11" x14ac:dyDescent="0.45">
      <c r="B161" s="48" t="s">
        <v>175</v>
      </c>
      <c r="C161" s="50" t="s">
        <v>193</v>
      </c>
      <c r="D161" s="102">
        <v>7500457</v>
      </c>
      <c r="E161" s="102" t="s">
        <v>24</v>
      </c>
      <c r="F161" s="103" t="s">
        <v>103</v>
      </c>
      <c r="G161" s="104">
        <v>42620</v>
      </c>
      <c r="H161" s="105">
        <v>42661</v>
      </c>
      <c r="I161" s="106" t="s">
        <v>103</v>
      </c>
      <c r="J161" s="89">
        <f t="shared" si="13"/>
        <v>41</v>
      </c>
      <c r="K161" s="49" t="s">
        <v>17</v>
      </c>
    </row>
    <row r="162" spans="2:11" x14ac:dyDescent="0.45">
      <c r="B162" s="48" t="s">
        <v>175</v>
      </c>
      <c r="C162" s="50" t="s">
        <v>194</v>
      </c>
      <c r="D162" s="102">
        <v>627424</v>
      </c>
      <c r="E162" s="102" t="s">
        <v>39</v>
      </c>
      <c r="F162" s="103">
        <v>42622</v>
      </c>
      <c r="G162" s="104">
        <v>42641</v>
      </c>
      <c r="H162" s="105">
        <v>42684</v>
      </c>
      <c r="I162" s="106">
        <f t="shared" si="12"/>
        <v>62</v>
      </c>
      <c r="J162" s="89">
        <f t="shared" si="13"/>
        <v>43</v>
      </c>
      <c r="K162" s="22" t="s">
        <v>70</v>
      </c>
    </row>
    <row r="163" spans="2:11" x14ac:dyDescent="0.45">
      <c r="B163" s="48" t="s">
        <v>175</v>
      </c>
      <c r="C163" s="50" t="s">
        <v>195</v>
      </c>
      <c r="D163" s="102">
        <v>69529</v>
      </c>
      <c r="E163" s="102" t="s">
        <v>16</v>
      </c>
      <c r="F163" s="103">
        <v>42657</v>
      </c>
      <c r="G163" s="104">
        <v>42656</v>
      </c>
      <c r="H163" s="105">
        <v>42698</v>
      </c>
      <c r="I163" s="106">
        <f t="shared" si="12"/>
        <v>41</v>
      </c>
      <c r="J163" s="107">
        <f t="shared" si="13"/>
        <v>42</v>
      </c>
      <c r="K163" s="22" t="s">
        <v>70</v>
      </c>
    </row>
    <row r="164" spans="2:11" x14ac:dyDescent="0.45">
      <c r="B164" s="48" t="s">
        <v>175</v>
      </c>
      <c r="C164" s="50" t="s">
        <v>196</v>
      </c>
      <c r="D164" s="102">
        <v>4667176</v>
      </c>
      <c r="E164" s="102" t="s">
        <v>24</v>
      </c>
      <c r="F164" s="103">
        <v>42692</v>
      </c>
      <c r="G164" s="104">
        <v>42690</v>
      </c>
      <c r="H164" s="105">
        <v>42747</v>
      </c>
      <c r="I164" s="106">
        <f t="shared" si="12"/>
        <v>55</v>
      </c>
      <c r="J164" s="89">
        <f t="shared" si="13"/>
        <v>57</v>
      </c>
      <c r="K164" s="22" t="s">
        <v>70</v>
      </c>
    </row>
    <row r="165" spans="2:11" x14ac:dyDescent="0.45">
      <c r="B165" s="48" t="s">
        <v>175</v>
      </c>
      <c r="C165" s="50" t="s">
        <v>197</v>
      </c>
      <c r="D165" s="102">
        <v>323730</v>
      </c>
      <c r="E165" s="102" t="s">
        <v>16</v>
      </c>
      <c r="F165" s="103">
        <v>42636</v>
      </c>
      <c r="G165" s="104">
        <v>42711</v>
      </c>
      <c r="H165" s="105">
        <v>42759</v>
      </c>
      <c r="I165" s="106">
        <f t="shared" si="12"/>
        <v>123</v>
      </c>
      <c r="J165" s="107">
        <f t="shared" si="13"/>
        <v>48</v>
      </c>
      <c r="K165" s="22" t="s">
        <v>70</v>
      </c>
    </row>
    <row r="166" spans="2:11" x14ac:dyDescent="0.45">
      <c r="B166" s="48" t="s">
        <v>175</v>
      </c>
      <c r="C166" s="50" t="s">
        <v>198</v>
      </c>
      <c r="D166" s="102">
        <v>351276</v>
      </c>
      <c r="E166" s="102" t="s">
        <v>16</v>
      </c>
      <c r="F166" s="10" t="s">
        <v>102</v>
      </c>
      <c r="G166" s="104">
        <v>42788</v>
      </c>
      <c r="H166" s="105">
        <v>42803</v>
      </c>
      <c r="I166" s="106" t="s">
        <v>103</v>
      </c>
      <c r="J166" s="107">
        <f t="shared" si="13"/>
        <v>15</v>
      </c>
      <c r="K166" s="49" t="s">
        <v>17</v>
      </c>
    </row>
    <row r="167" spans="2:11" x14ac:dyDescent="0.45">
      <c r="B167" s="48" t="s">
        <v>175</v>
      </c>
      <c r="C167" s="50" t="s">
        <v>199</v>
      </c>
      <c r="D167" s="102">
        <v>148760</v>
      </c>
      <c r="E167" s="102" t="s">
        <v>16</v>
      </c>
      <c r="F167" s="103">
        <v>42776</v>
      </c>
      <c r="G167" s="104">
        <v>42775</v>
      </c>
      <c r="H167" s="105">
        <v>42817</v>
      </c>
      <c r="I167" s="106">
        <f t="shared" si="12"/>
        <v>41</v>
      </c>
      <c r="J167" s="107">
        <f t="shared" si="13"/>
        <v>42</v>
      </c>
      <c r="K167" s="22" t="s">
        <v>70</v>
      </c>
    </row>
    <row r="168" spans="2:11" x14ac:dyDescent="0.45">
      <c r="B168" s="48" t="s">
        <v>175</v>
      </c>
      <c r="C168" s="50" t="s">
        <v>200</v>
      </c>
      <c r="D168" s="102">
        <v>1689079</v>
      </c>
      <c r="E168" s="102" t="s">
        <v>31</v>
      </c>
      <c r="F168" s="103">
        <v>42804</v>
      </c>
      <c r="G168" s="104">
        <v>42802</v>
      </c>
      <c r="H168" s="105">
        <v>42832</v>
      </c>
      <c r="I168" s="106">
        <f t="shared" si="12"/>
        <v>28</v>
      </c>
      <c r="J168" s="107">
        <f t="shared" si="13"/>
        <v>30</v>
      </c>
      <c r="K168" s="49" t="s">
        <v>17</v>
      </c>
    </row>
    <row r="169" spans="2:11" x14ac:dyDescent="0.45">
      <c r="B169" s="48" t="s">
        <v>175</v>
      </c>
      <c r="C169" s="50" t="s">
        <v>201</v>
      </c>
      <c r="D169" s="102">
        <v>415714</v>
      </c>
      <c r="E169" s="102" t="s">
        <v>16</v>
      </c>
      <c r="F169" s="103">
        <v>42867</v>
      </c>
      <c r="G169" s="104">
        <v>42872</v>
      </c>
      <c r="H169" s="105">
        <v>42908</v>
      </c>
      <c r="I169" s="106">
        <f t="shared" si="12"/>
        <v>41</v>
      </c>
      <c r="J169" s="107">
        <f t="shared" si="13"/>
        <v>36</v>
      </c>
      <c r="K169" s="22" t="s">
        <v>70</v>
      </c>
    </row>
    <row r="170" spans="2:11" x14ac:dyDescent="0.45">
      <c r="B170" s="48" t="s">
        <v>175</v>
      </c>
      <c r="C170" s="50" t="s">
        <v>202</v>
      </c>
      <c r="D170" s="102">
        <v>2165407</v>
      </c>
      <c r="E170" s="102" t="s">
        <v>22</v>
      </c>
      <c r="F170" s="103">
        <v>42888</v>
      </c>
      <c r="G170" s="104">
        <v>42886</v>
      </c>
      <c r="H170" s="105">
        <v>42914</v>
      </c>
      <c r="I170" s="106">
        <f t="shared" si="12"/>
        <v>26</v>
      </c>
      <c r="J170" s="107">
        <f t="shared" si="13"/>
        <v>28</v>
      </c>
      <c r="K170" s="49" t="s">
        <v>17</v>
      </c>
    </row>
    <row r="171" spans="2:11" x14ac:dyDescent="0.45">
      <c r="B171" s="48" t="s">
        <v>175</v>
      </c>
      <c r="C171" s="50" t="s">
        <v>203</v>
      </c>
      <c r="D171" s="102">
        <v>1934312</v>
      </c>
      <c r="E171" s="102" t="s">
        <v>31</v>
      </c>
      <c r="F171" s="103">
        <v>42958</v>
      </c>
      <c r="G171" s="104">
        <v>42957</v>
      </c>
      <c r="H171" s="105">
        <v>42990</v>
      </c>
      <c r="I171" s="106">
        <f>H171-F171</f>
        <v>32</v>
      </c>
      <c r="J171" s="107">
        <f t="shared" si="13"/>
        <v>33</v>
      </c>
      <c r="K171" s="49" t="s">
        <v>17</v>
      </c>
    </row>
    <row r="172" spans="2:11" x14ac:dyDescent="0.45">
      <c r="B172" s="46" t="s">
        <v>175</v>
      </c>
      <c r="C172" s="98" t="s">
        <v>204</v>
      </c>
      <c r="D172" s="99">
        <v>1373342</v>
      </c>
      <c r="E172" s="99" t="s">
        <v>31</v>
      </c>
      <c r="F172" s="100" t="s">
        <v>103</v>
      </c>
      <c r="G172" s="101">
        <v>42970</v>
      </c>
      <c r="H172" s="87">
        <v>42997</v>
      </c>
      <c r="I172" s="88" t="s">
        <v>103</v>
      </c>
      <c r="J172" s="89">
        <f>H172-G172</f>
        <v>27</v>
      </c>
      <c r="K172" s="108" t="s">
        <v>17</v>
      </c>
    </row>
    <row r="173" spans="2:11" x14ac:dyDescent="0.45">
      <c r="B173" s="46" t="s">
        <v>175</v>
      </c>
      <c r="C173" s="98" t="s">
        <v>205</v>
      </c>
      <c r="D173" s="99">
        <v>888826</v>
      </c>
      <c r="E173" s="99" t="s">
        <v>31</v>
      </c>
      <c r="F173" s="100">
        <v>42986</v>
      </c>
      <c r="G173" s="101">
        <v>42984</v>
      </c>
      <c r="H173" s="87">
        <v>43010</v>
      </c>
      <c r="I173" s="106">
        <f t="shared" ref="I173:I189" si="14">H173-F173</f>
        <v>24</v>
      </c>
      <c r="J173" s="89">
        <f t="shared" ref="J173:J189" si="15">H173-G173</f>
        <v>26</v>
      </c>
      <c r="K173" s="108" t="s">
        <v>17</v>
      </c>
    </row>
    <row r="174" spans="2:11" x14ac:dyDescent="0.45">
      <c r="B174" s="46" t="s">
        <v>175</v>
      </c>
      <c r="C174" s="98" t="s">
        <v>206</v>
      </c>
      <c r="D174" s="99">
        <v>154497</v>
      </c>
      <c r="E174" s="99" t="s">
        <v>31</v>
      </c>
      <c r="F174" s="100">
        <v>43000</v>
      </c>
      <c r="G174" s="101">
        <v>43006</v>
      </c>
      <c r="H174" s="87">
        <v>43034</v>
      </c>
      <c r="I174" s="106">
        <f t="shared" si="14"/>
        <v>34</v>
      </c>
      <c r="J174" s="89">
        <f t="shared" si="15"/>
        <v>28</v>
      </c>
      <c r="K174" s="22" t="s">
        <v>70</v>
      </c>
    </row>
    <row r="175" spans="2:11" x14ac:dyDescent="0.45">
      <c r="B175" s="46" t="s">
        <v>175</v>
      </c>
      <c r="C175" s="98" t="s">
        <v>207</v>
      </c>
      <c r="D175" s="99">
        <v>1028386</v>
      </c>
      <c r="E175" s="99" t="s">
        <v>31</v>
      </c>
      <c r="F175" s="100">
        <v>43028</v>
      </c>
      <c r="G175" s="101">
        <v>43027</v>
      </c>
      <c r="H175" s="87">
        <v>43053</v>
      </c>
      <c r="I175" s="106">
        <f t="shared" si="14"/>
        <v>25</v>
      </c>
      <c r="J175" s="89">
        <f t="shared" si="15"/>
        <v>26</v>
      </c>
      <c r="K175" s="108" t="s">
        <v>17</v>
      </c>
    </row>
    <row r="176" spans="2:11" x14ac:dyDescent="0.45">
      <c r="B176" s="46" t="s">
        <v>175</v>
      </c>
      <c r="C176" s="50" t="s">
        <v>208</v>
      </c>
      <c r="D176" s="102">
        <v>2788682</v>
      </c>
      <c r="E176" s="102" t="s">
        <v>22</v>
      </c>
      <c r="F176" s="103">
        <v>42937</v>
      </c>
      <c r="G176" s="101">
        <v>42936</v>
      </c>
      <c r="H176" s="87">
        <v>43082</v>
      </c>
      <c r="I176" s="106">
        <f>H176-F176</f>
        <v>145</v>
      </c>
      <c r="J176" s="107">
        <f t="shared" si="15"/>
        <v>146</v>
      </c>
      <c r="K176" s="22" t="s">
        <v>70</v>
      </c>
    </row>
    <row r="177" spans="2:11" x14ac:dyDescent="0.45">
      <c r="B177" s="46" t="s">
        <v>175</v>
      </c>
      <c r="C177" s="50" t="s">
        <v>209</v>
      </c>
      <c r="D177" s="102">
        <v>1786316</v>
      </c>
      <c r="E177" s="102" t="s">
        <v>31</v>
      </c>
      <c r="F177" s="103">
        <v>43056</v>
      </c>
      <c r="G177" s="101">
        <v>43054</v>
      </c>
      <c r="H177" s="87">
        <v>43088</v>
      </c>
      <c r="I177" s="106">
        <f t="shared" si="14"/>
        <v>32</v>
      </c>
      <c r="J177" s="107">
        <f t="shared" si="15"/>
        <v>34</v>
      </c>
      <c r="K177" s="22" t="s">
        <v>17</v>
      </c>
    </row>
    <row r="178" spans="2:11" x14ac:dyDescent="0.45">
      <c r="B178" s="46" t="s">
        <v>175</v>
      </c>
      <c r="C178" s="98" t="s">
        <v>210</v>
      </c>
      <c r="D178" s="99">
        <v>2254430</v>
      </c>
      <c r="E178" s="99"/>
      <c r="F178" s="100">
        <v>43188</v>
      </c>
      <c r="G178" s="101">
        <v>43187</v>
      </c>
      <c r="H178" s="87">
        <v>43222</v>
      </c>
      <c r="I178" s="19">
        <f t="shared" si="14"/>
        <v>34</v>
      </c>
      <c r="J178" s="20">
        <f t="shared" si="15"/>
        <v>35</v>
      </c>
      <c r="K178" s="15" t="s">
        <v>45</v>
      </c>
    </row>
    <row r="179" spans="2:11" x14ac:dyDescent="0.45">
      <c r="B179" s="38" t="s">
        <v>175</v>
      </c>
      <c r="C179" s="109" t="s">
        <v>212</v>
      </c>
      <c r="D179" s="110">
        <v>1385511</v>
      </c>
      <c r="E179" s="110"/>
      <c r="F179" s="111">
        <v>43203</v>
      </c>
      <c r="G179" s="112">
        <v>43202</v>
      </c>
      <c r="H179" s="113">
        <v>43230</v>
      </c>
      <c r="I179" s="19">
        <f t="shared" si="14"/>
        <v>27</v>
      </c>
      <c r="J179" s="20">
        <f t="shared" si="15"/>
        <v>28</v>
      </c>
      <c r="K179" s="26" t="s">
        <v>45</v>
      </c>
    </row>
    <row r="180" spans="2:11" x14ac:dyDescent="0.45">
      <c r="B180" s="46" t="s">
        <v>175</v>
      </c>
      <c r="C180" s="50" t="s">
        <v>296</v>
      </c>
      <c r="D180" s="102">
        <v>1128774</v>
      </c>
      <c r="E180" s="102"/>
      <c r="F180" s="103" t="s">
        <v>102</v>
      </c>
      <c r="G180" s="101">
        <v>43221</v>
      </c>
      <c r="H180" s="87">
        <v>43244</v>
      </c>
      <c r="I180" s="106" t="s">
        <v>102</v>
      </c>
      <c r="J180" s="20">
        <f t="shared" si="15"/>
        <v>23</v>
      </c>
      <c r="K180" s="22" t="s">
        <v>45</v>
      </c>
    </row>
    <row r="181" spans="2:11" x14ac:dyDescent="0.45">
      <c r="B181" s="46" t="s">
        <v>175</v>
      </c>
      <c r="C181" s="50" t="s">
        <v>213</v>
      </c>
      <c r="D181" s="102">
        <v>1335829</v>
      </c>
      <c r="E181" s="102"/>
      <c r="F181" s="103">
        <v>43259</v>
      </c>
      <c r="G181" s="101">
        <v>43264</v>
      </c>
      <c r="H181" s="87">
        <v>43299</v>
      </c>
      <c r="I181" s="106">
        <f t="shared" si="14"/>
        <v>40</v>
      </c>
      <c r="J181" s="20">
        <f t="shared" si="15"/>
        <v>35</v>
      </c>
      <c r="K181" s="22" t="s">
        <v>45</v>
      </c>
    </row>
    <row r="182" spans="2:11" x14ac:dyDescent="0.45">
      <c r="B182" s="46" t="s">
        <v>175</v>
      </c>
      <c r="C182" s="50" t="s">
        <v>214</v>
      </c>
      <c r="D182" s="102">
        <v>3189091</v>
      </c>
      <c r="E182" s="102"/>
      <c r="F182" s="103" t="s">
        <v>102</v>
      </c>
      <c r="G182" s="101">
        <v>43278</v>
      </c>
      <c r="H182" s="87">
        <v>43306</v>
      </c>
      <c r="I182" s="106" t="s">
        <v>102</v>
      </c>
      <c r="J182" s="20">
        <f t="shared" si="15"/>
        <v>28</v>
      </c>
      <c r="K182" s="22" t="s">
        <v>45</v>
      </c>
    </row>
    <row r="183" spans="2:11" x14ac:dyDescent="0.45">
      <c r="B183" s="46" t="s">
        <v>175</v>
      </c>
      <c r="C183" s="50" t="s">
        <v>215</v>
      </c>
      <c r="D183" s="102">
        <v>897548</v>
      </c>
      <c r="E183" s="102"/>
      <c r="F183" s="103" t="s">
        <v>102</v>
      </c>
      <c r="G183" s="101">
        <v>43306</v>
      </c>
      <c r="H183" s="87">
        <v>43326</v>
      </c>
      <c r="I183" s="106" t="s">
        <v>102</v>
      </c>
      <c r="J183" s="20">
        <f t="shared" si="15"/>
        <v>20</v>
      </c>
      <c r="K183" s="22" t="s">
        <v>45</v>
      </c>
    </row>
    <row r="184" spans="2:11" x14ac:dyDescent="0.45">
      <c r="B184" s="46" t="s">
        <v>175</v>
      </c>
      <c r="C184" s="50" t="s">
        <v>216</v>
      </c>
      <c r="D184" s="102">
        <v>527331</v>
      </c>
      <c r="E184" s="102"/>
      <c r="F184" s="103">
        <v>43322</v>
      </c>
      <c r="G184" s="101">
        <v>43327</v>
      </c>
      <c r="H184" s="87">
        <v>43355</v>
      </c>
      <c r="I184" s="106">
        <f t="shared" si="14"/>
        <v>33</v>
      </c>
      <c r="J184" s="20">
        <f t="shared" si="15"/>
        <v>28</v>
      </c>
      <c r="K184" s="22" t="s">
        <v>70</v>
      </c>
    </row>
    <row r="185" spans="2:11" x14ac:dyDescent="0.45">
      <c r="B185" s="46" t="s">
        <v>175</v>
      </c>
      <c r="C185" s="50" t="s">
        <v>217</v>
      </c>
      <c r="D185" s="102">
        <v>1011580</v>
      </c>
      <c r="E185" s="102"/>
      <c r="F185" s="103">
        <v>43350</v>
      </c>
      <c r="G185" s="101">
        <v>43362</v>
      </c>
      <c r="H185" s="87">
        <v>43390</v>
      </c>
      <c r="I185" s="19">
        <f t="shared" si="14"/>
        <v>40</v>
      </c>
      <c r="J185" s="20">
        <f t="shared" si="15"/>
        <v>28</v>
      </c>
      <c r="K185" s="22" t="s">
        <v>45</v>
      </c>
    </row>
    <row r="186" spans="2:11" x14ac:dyDescent="0.45">
      <c r="B186" s="46" t="s">
        <v>175</v>
      </c>
      <c r="C186" s="50" t="s">
        <v>218</v>
      </c>
      <c r="D186" s="102">
        <v>485001</v>
      </c>
      <c r="E186" s="102"/>
      <c r="F186" s="103">
        <v>43378</v>
      </c>
      <c r="G186" s="101">
        <v>43382</v>
      </c>
      <c r="H186" s="87">
        <v>43410</v>
      </c>
      <c r="I186" s="19">
        <f t="shared" si="14"/>
        <v>32</v>
      </c>
      <c r="J186" s="20">
        <f t="shared" si="15"/>
        <v>28</v>
      </c>
      <c r="K186" s="22" t="s">
        <v>45</v>
      </c>
    </row>
    <row r="187" spans="2:11" x14ac:dyDescent="0.45">
      <c r="B187" s="46" t="s">
        <v>175</v>
      </c>
      <c r="C187" s="50" t="s">
        <v>219</v>
      </c>
      <c r="D187" s="102">
        <v>154297</v>
      </c>
      <c r="E187" s="102"/>
      <c r="F187" s="103">
        <v>43327</v>
      </c>
      <c r="G187" s="101">
        <v>43398</v>
      </c>
      <c r="H187" s="87">
        <v>43426</v>
      </c>
      <c r="I187" s="19">
        <f t="shared" si="14"/>
        <v>99</v>
      </c>
      <c r="J187" s="20">
        <f t="shared" si="15"/>
        <v>28</v>
      </c>
      <c r="K187" s="22" t="s">
        <v>45</v>
      </c>
    </row>
    <row r="188" spans="2:11" ht="15" thickBot="1" x14ac:dyDescent="0.5">
      <c r="B188" s="53" t="s">
        <v>175</v>
      </c>
      <c r="C188" s="114" t="s">
        <v>220</v>
      </c>
      <c r="D188" s="115">
        <v>2414062</v>
      </c>
      <c r="E188" s="115"/>
      <c r="F188" s="116">
        <v>43420</v>
      </c>
      <c r="G188" s="117">
        <v>43418</v>
      </c>
      <c r="H188" s="118">
        <v>43446</v>
      </c>
      <c r="I188" s="35">
        <f t="shared" si="14"/>
        <v>26</v>
      </c>
      <c r="J188" s="119">
        <f t="shared" si="15"/>
        <v>28</v>
      </c>
      <c r="K188" s="37" t="s">
        <v>45</v>
      </c>
    </row>
    <row r="189" spans="2:11" ht="15" thickBot="1" x14ac:dyDescent="0.5">
      <c r="B189" s="53" t="s">
        <v>175</v>
      </c>
      <c r="C189" s="114" t="s">
        <v>297</v>
      </c>
      <c r="D189" s="115">
        <v>5038134</v>
      </c>
      <c r="E189" s="115"/>
      <c r="F189" s="116">
        <v>43455</v>
      </c>
      <c r="G189" s="117">
        <v>43453</v>
      </c>
      <c r="H189" s="118">
        <v>43488</v>
      </c>
      <c r="I189" s="35">
        <f t="shared" si="14"/>
        <v>33</v>
      </c>
      <c r="J189" s="119">
        <f t="shared" si="15"/>
        <v>35</v>
      </c>
      <c r="K189" s="37" t="s">
        <v>45</v>
      </c>
    </row>
    <row r="191" spans="2:11" x14ac:dyDescent="0.45">
      <c r="B191" s="299" t="s">
        <v>416</v>
      </c>
    </row>
    <row r="192" spans="2:11" x14ac:dyDescent="0.45">
      <c r="B192" s="2" t="s">
        <v>417</v>
      </c>
    </row>
  </sheetData>
  <mergeCells count="12">
    <mergeCell ref="K4:K5"/>
    <mergeCell ref="B3:B5"/>
    <mergeCell ref="C3:C5"/>
    <mergeCell ref="D3:D5"/>
    <mergeCell ref="E3:E5"/>
    <mergeCell ref="G3:H3"/>
    <mergeCell ref="I3:J3"/>
    <mergeCell ref="F4:F5"/>
    <mergeCell ref="G4:G5"/>
    <mergeCell ref="H4:H5"/>
    <mergeCell ref="I4:I5"/>
    <mergeCell ref="J4:J5"/>
  </mergeCells>
  <phoneticPr fontId="29" type="noConversion"/>
  <pageMargins left="0.70866141732283472" right="0.70866141732283472" top="0.74803149606299213" bottom="0.74803149606299213" header="0.31496062992125984" footer="0.31496062992125984"/>
  <pageSetup paperSize="9" scale="47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98EC2C-4754-4FA6-AC08-23BDAB0D1B65}">
  <sheetPr>
    <tabColor rgb="FF0000FF"/>
    <pageSetUpPr fitToPage="1"/>
  </sheetPr>
  <dimension ref="A1:X159"/>
  <sheetViews>
    <sheetView showGridLines="0" workbookViewId="0">
      <pane xSplit="6" ySplit="2" topLeftCell="G111" activePane="bottomRight" state="frozen"/>
      <selection pane="topRight" activeCell="G1" sqref="G1"/>
      <selection pane="bottomLeft" activeCell="A3" sqref="A3"/>
      <selection pane="bottomRight" activeCell="J141" sqref="J141:T141"/>
    </sheetView>
  </sheetViews>
  <sheetFormatPr defaultColWidth="9" defaultRowHeight="12.5" x14ac:dyDescent="0.45"/>
  <cols>
    <col min="1" max="1" width="25.83203125" style="124" customWidth="1"/>
    <col min="2" max="2" width="11.58203125" style="124" bestFit="1" customWidth="1"/>
    <col min="3" max="4" width="10.4140625" style="124" customWidth="1"/>
    <col min="5" max="5" width="9.4140625" style="124" bestFit="1" customWidth="1"/>
    <col min="6" max="6" width="11.4140625" style="124" customWidth="1"/>
    <col min="7" max="7" width="10" style="124" bestFit="1" customWidth="1"/>
    <col min="8" max="9" width="7.75" style="124" bestFit="1" customWidth="1"/>
    <col min="10" max="11" width="12.25" style="124" bestFit="1" customWidth="1"/>
    <col min="12" max="12" width="12.1640625" style="124" customWidth="1"/>
    <col min="13" max="14" width="11.4140625" style="124" bestFit="1" customWidth="1"/>
    <col min="15" max="15" width="11.4140625" style="125" bestFit="1" customWidth="1"/>
    <col min="16" max="16" width="11.1640625" style="124" bestFit="1" customWidth="1"/>
    <col min="17" max="17" width="11.4140625" style="124" bestFit="1" customWidth="1"/>
    <col min="18" max="19" width="11.1640625" style="124" customWidth="1"/>
    <col min="20" max="20" width="11.4140625" style="124" bestFit="1" customWidth="1"/>
    <col min="21" max="21" width="13" style="124" bestFit="1" customWidth="1"/>
    <col min="22" max="22" width="16.1640625" style="124" bestFit="1" customWidth="1"/>
    <col min="23" max="23" width="9" style="124"/>
    <col min="24" max="24" width="9.4140625" style="124" bestFit="1" customWidth="1"/>
    <col min="25" max="16384" width="9" style="124"/>
  </cols>
  <sheetData>
    <row r="1" spans="1:22" ht="33.75" customHeight="1" x14ac:dyDescent="0.45">
      <c r="A1" s="123" t="s">
        <v>234</v>
      </c>
      <c r="Q1" s="345">
        <f ca="1">TODAY()</f>
        <v>43638</v>
      </c>
      <c r="R1" s="345"/>
      <c r="S1" s="345"/>
      <c r="T1" s="345"/>
      <c r="U1" s="345"/>
    </row>
    <row r="2" spans="1:22" s="130" customFormat="1" ht="39.5" thickBot="1" x14ac:dyDescent="0.5">
      <c r="A2" s="126" t="s">
        <v>235</v>
      </c>
      <c r="B2" s="127" t="s">
        <v>236</v>
      </c>
      <c r="C2" s="128" t="s">
        <v>237</v>
      </c>
      <c r="D2" s="128" t="s">
        <v>238</v>
      </c>
      <c r="E2" s="120" t="s">
        <v>239</v>
      </c>
      <c r="F2" s="129" t="s">
        <v>240</v>
      </c>
      <c r="G2" s="129" t="s">
        <v>241</v>
      </c>
      <c r="H2" s="129" t="s">
        <v>242</v>
      </c>
      <c r="I2" s="129" t="s">
        <v>243</v>
      </c>
      <c r="J2" s="120" t="s">
        <v>244</v>
      </c>
      <c r="K2" s="120" t="s">
        <v>223</v>
      </c>
      <c r="L2" s="120" t="s">
        <v>224</v>
      </c>
      <c r="M2" s="120" t="s">
        <v>225</v>
      </c>
      <c r="N2" s="120" t="s">
        <v>226</v>
      </c>
      <c r="O2" s="120" t="s">
        <v>227</v>
      </c>
      <c r="P2" s="120" t="s">
        <v>228</v>
      </c>
      <c r="Q2" s="120" t="s">
        <v>229</v>
      </c>
      <c r="R2" s="120" t="s">
        <v>230</v>
      </c>
      <c r="S2" s="120" t="s">
        <v>231</v>
      </c>
      <c r="T2" s="120" t="s">
        <v>232</v>
      </c>
      <c r="U2" s="121" t="s">
        <v>245</v>
      </c>
    </row>
    <row r="3" spans="1:22" ht="17.5" customHeight="1" thickTop="1" x14ac:dyDescent="0.45">
      <c r="A3" s="346" t="s">
        <v>246</v>
      </c>
      <c r="B3" s="347">
        <v>2256913</v>
      </c>
      <c r="C3" s="348">
        <v>42453</v>
      </c>
      <c r="D3" s="348">
        <v>42550</v>
      </c>
      <c r="E3" s="349">
        <f>D3-C3</f>
        <v>97</v>
      </c>
      <c r="F3" s="131" t="s">
        <v>247</v>
      </c>
      <c r="G3" s="132">
        <v>42550</v>
      </c>
      <c r="H3" s="133">
        <v>9900</v>
      </c>
      <c r="I3" s="133">
        <v>6830.9999999999991</v>
      </c>
      <c r="J3" s="134">
        <v>226216000</v>
      </c>
      <c r="K3" s="134">
        <v>79002000</v>
      </c>
      <c r="L3" s="134">
        <v>74257000</v>
      </c>
      <c r="M3" s="134">
        <v>97631000</v>
      </c>
      <c r="N3" s="134">
        <v>9100866</v>
      </c>
      <c r="O3" s="134">
        <v>6878178</v>
      </c>
      <c r="P3" s="134">
        <v>3615039</v>
      </c>
      <c r="Q3" s="134">
        <v>3125682</v>
      </c>
      <c r="R3" s="134">
        <v>1885752</v>
      </c>
      <c r="S3" s="134">
        <v>796059</v>
      </c>
      <c r="T3" s="134">
        <v>914166</v>
      </c>
      <c r="U3" s="135">
        <f t="shared" ref="U3:U34" si="0">SUM(J3:T3)</f>
        <v>503421742</v>
      </c>
    </row>
    <row r="4" spans="1:22" s="130" customFormat="1" ht="13" x14ac:dyDescent="0.45">
      <c r="A4" s="317"/>
      <c r="B4" s="328"/>
      <c r="C4" s="321"/>
      <c r="D4" s="321"/>
      <c r="E4" s="323"/>
      <c r="F4" s="136" t="s">
        <v>248</v>
      </c>
      <c r="G4" s="137">
        <v>42572</v>
      </c>
      <c r="H4" s="133">
        <v>4500</v>
      </c>
      <c r="I4" s="133">
        <v>3150</v>
      </c>
      <c r="J4" s="134"/>
      <c r="K4" s="134"/>
      <c r="L4" s="134"/>
      <c r="M4" s="134">
        <v>28967400</v>
      </c>
      <c r="N4" s="134">
        <v>35509950</v>
      </c>
      <c r="O4" s="134">
        <v>26998650</v>
      </c>
      <c r="P4" s="134">
        <v>15286950</v>
      </c>
      <c r="Q4" s="134">
        <v>11857500</v>
      </c>
      <c r="R4" s="134">
        <v>7852950</v>
      </c>
      <c r="S4" s="134">
        <v>3367350</v>
      </c>
      <c r="T4" s="134">
        <v>2340450</v>
      </c>
      <c r="U4" s="138">
        <f t="shared" si="0"/>
        <v>132181200</v>
      </c>
    </row>
    <row r="5" spans="1:22" s="130" customFormat="1" ht="13" x14ac:dyDescent="0.45">
      <c r="A5" s="318"/>
      <c r="B5" s="329"/>
      <c r="C5" s="322"/>
      <c r="D5" s="322"/>
      <c r="E5" s="324"/>
      <c r="F5" s="139" t="s">
        <v>249</v>
      </c>
      <c r="G5" s="139"/>
      <c r="H5" s="139"/>
      <c r="I5" s="139"/>
      <c r="J5" s="140">
        <f>SUM(J3:J4)</f>
        <v>226216000</v>
      </c>
      <c r="K5" s="140">
        <f t="shared" ref="K5:T5" si="1">SUM(K3:K4)</f>
        <v>79002000</v>
      </c>
      <c r="L5" s="140">
        <f t="shared" si="1"/>
        <v>74257000</v>
      </c>
      <c r="M5" s="140">
        <f t="shared" si="1"/>
        <v>126598400</v>
      </c>
      <c r="N5" s="140">
        <f t="shared" si="1"/>
        <v>44610816</v>
      </c>
      <c r="O5" s="140">
        <f t="shared" si="1"/>
        <v>33876828</v>
      </c>
      <c r="P5" s="140">
        <f t="shared" si="1"/>
        <v>18901989</v>
      </c>
      <c r="Q5" s="140">
        <f t="shared" si="1"/>
        <v>14983182</v>
      </c>
      <c r="R5" s="140">
        <f t="shared" si="1"/>
        <v>9738702</v>
      </c>
      <c r="S5" s="140">
        <f t="shared" si="1"/>
        <v>4163409</v>
      </c>
      <c r="T5" s="140">
        <f t="shared" si="1"/>
        <v>3254616</v>
      </c>
      <c r="U5" s="141">
        <f t="shared" si="0"/>
        <v>635602942</v>
      </c>
    </row>
    <row r="6" spans="1:22" s="130" customFormat="1" ht="13" x14ac:dyDescent="0.45">
      <c r="A6" s="326" t="s">
        <v>250</v>
      </c>
      <c r="B6" s="327">
        <v>945172</v>
      </c>
      <c r="C6" s="330">
        <v>42522</v>
      </c>
      <c r="D6" s="330">
        <v>42593</v>
      </c>
      <c r="E6" s="325">
        <f>D6-C6</f>
        <v>71</v>
      </c>
      <c r="F6" s="142" t="s">
        <v>251</v>
      </c>
      <c r="G6" s="143">
        <v>42593</v>
      </c>
      <c r="H6" s="144">
        <v>9900</v>
      </c>
      <c r="I6" s="144">
        <v>6830.9999999999991</v>
      </c>
      <c r="J6" s="145">
        <v>63204570</v>
      </c>
      <c r="K6" s="145">
        <v>83584695</v>
      </c>
      <c r="L6" s="145">
        <v>41317353</v>
      </c>
      <c r="M6" s="145">
        <v>26538767</v>
      </c>
      <c r="N6" s="145">
        <v>11199177</v>
      </c>
      <c r="O6" s="145">
        <v>5109291</v>
      </c>
      <c r="P6" s="145">
        <v>2003235</v>
      </c>
      <c r="Q6" s="145">
        <v>1118007</v>
      </c>
      <c r="R6" s="145">
        <v>688575</v>
      </c>
      <c r="S6" s="145">
        <v>440847</v>
      </c>
      <c r="T6" s="145">
        <v>398574</v>
      </c>
      <c r="U6" s="146">
        <f t="shared" si="0"/>
        <v>235603091</v>
      </c>
    </row>
    <row r="7" spans="1:22" s="130" customFormat="1" ht="13" x14ac:dyDescent="0.45">
      <c r="A7" s="317"/>
      <c r="B7" s="328"/>
      <c r="C7" s="321"/>
      <c r="D7" s="321"/>
      <c r="E7" s="323"/>
      <c r="F7" s="136" t="s">
        <v>252</v>
      </c>
      <c r="G7" s="137">
        <v>42621</v>
      </c>
      <c r="H7" s="133">
        <v>4500</v>
      </c>
      <c r="I7" s="133">
        <v>3150</v>
      </c>
      <c r="J7" s="134">
        <v>0</v>
      </c>
      <c r="K7" s="134">
        <v>0</v>
      </c>
      <c r="L7" s="134">
        <v>0</v>
      </c>
      <c r="M7" s="134">
        <v>0</v>
      </c>
      <c r="N7" s="134">
        <v>15677550</v>
      </c>
      <c r="O7" s="134">
        <v>31890600</v>
      </c>
      <c r="P7" s="134">
        <v>14833350</v>
      </c>
      <c r="Q7" s="134">
        <v>11349450</v>
      </c>
      <c r="R7" s="134">
        <v>14728350</v>
      </c>
      <c r="S7" s="134">
        <v>10646650</v>
      </c>
      <c r="T7" s="134">
        <v>8316000</v>
      </c>
      <c r="U7" s="138">
        <f t="shared" si="0"/>
        <v>107441950</v>
      </c>
    </row>
    <row r="8" spans="1:22" s="130" customFormat="1" ht="13" x14ac:dyDescent="0.45">
      <c r="A8" s="318"/>
      <c r="B8" s="329"/>
      <c r="C8" s="322"/>
      <c r="D8" s="322"/>
      <c r="E8" s="324"/>
      <c r="F8" s="147" t="s">
        <v>253</v>
      </c>
      <c r="G8" s="147"/>
      <c r="H8" s="147"/>
      <c r="I8" s="147"/>
      <c r="J8" s="148">
        <f>SUM(J6:J7)</f>
        <v>63204570</v>
      </c>
      <c r="K8" s="148">
        <f t="shared" ref="K8:T8" si="2">SUM(K6:K7)</f>
        <v>83584695</v>
      </c>
      <c r="L8" s="148">
        <f t="shared" si="2"/>
        <v>41317353</v>
      </c>
      <c r="M8" s="148">
        <f t="shared" si="2"/>
        <v>26538767</v>
      </c>
      <c r="N8" s="148">
        <f t="shared" si="2"/>
        <v>26876727</v>
      </c>
      <c r="O8" s="148">
        <f t="shared" si="2"/>
        <v>36999891</v>
      </c>
      <c r="P8" s="148">
        <f t="shared" si="2"/>
        <v>16836585</v>
      </c>
      <c r="Q8" s="148">
        <f t="shared" si="2"/>
        <v>12467457</v>
      </c>
      <c r="R8" s="148">
        <f t="shared" si="2"/>
        <v>15416925</v>
      </c>
      <c r="S8" s="148">
        <f t="shared" si="2"/>
        <v>11087497</v>
      </c>
      <c r="T8" s="148">
        <f t="shared" si="2"/>
        <v>8714574</v>
      </c>
      <c r="U8" s="149">
        <f t="shared" si="0"/>
        <v>343045041</v>
      </c>
    </row>
    <row r="9" spans="1:22" s="130" customFormat="1" ht="13" x14ac:dyDescent="0.45">
      <c r="A9" s="326" t="s">
        <v>254</v>
      </c>
      <c r="B9" s="327">
        <v>1928605</v>
      </c>
      <c r="C9" s="330">
        <v>42530</v>
      </c>
      <c r="D9" s="330">
        <v>42613</v>
      </c>
      <c r="E9" s="325">
        <f>D9-C9</f>
        <v>83</v>
      </c>
      <c r="F9" s="142" t="s">
        <v>251</v>
      </c>
      <c r="G9" s="143">
        <v>42613</v>
      </c>
      <c r="H9" s="144">
        <v>9900</v>
      </c>
      <c r="I9" s="144">
        <v>6830.9999999999991</v>
      </c>
      <c r="J9" s="145">
        <v>74915478</v>
      </c>
      <c r="K9" s="145">
        <v>49652346</v>
      </c>
      <c r="L9" s="145">
        <v>54217723</v>
      </c>
      <c r="M9" s="145">
        <v>14722598</v>
      </c>
      <c r="N9" s="145">
        <v>5284422</v>
      </c>
      <c r="O9" s="145">
        <v>3071574</v>
      </c>
      <c r="P9" s="145">
        <v>979308</v>
      </c>
      <c r="Q9" s="145">
        <v>689535</v>
      </c>
      <c r="R9" s="145">
        <v>488763</v>
      </c>
      <c r="S9" s="145">
        <v>405900</v>
      </c>
      <c r="T9" s="145">
        <v>288189</v>
      </c>
      <c r="U9" s="146">
        <f t="shared" si="0"/>
        <v>204715836</v>
      </c>
    </row>
    <row r="10" spans="1:22" s="130" customFormat="1" ht="13" x14ac:dyDescent="0.45">
      <c r="A10" s="317"/>
      <c r="B10" s="328"/>
      <c r="C10" s="321"/>
      <c r="D10" s="321"/>
      <c r="E10" s="323"/>
      <c r="F10" s="136" t="s">
        <v>252</v>
      </c>
      <c r="G10" s="137">
        <v>42642</v>
      </c>
      <c r="H10" s="133">
        <v>4500</v>
      </c>
      <c r="I10" s="133">
        <v>3150</v>
      </c>
      <c r="J10" s="134">
        <v>0</v>
      </c>
      <c r="K10" s="134">
        <v>0</v>
      </c>
      <c r="L10" s="134">
        <v>0</v>
      </c>
      <c r="M10" s="134">
        <v>0</v>
      </c>
      <c r="N10" s="134">
        <v>11881800</v>
      </c>
      <c r="O10" s="134">
        <v>13923000</v>
      </c>
      <c r="P10" s="134">
        <v>10545150</v>
      </c>
      <c r="Q10" s="134">
        <v>7873250</v>
      </c>
      <c r="R10" s="134">
        <v>4769100</v>
      </c>
      <c r="S10" s="134">
        <v>3789450</v>
      </c>
      <c r="T10" s="134">
        <v>2724750</v>
      </c>
      <c r="U10" s="138">
        <f t="shared" si="0"/>
        <v>55506500</v>
      </c>
    </row>
    <row r="11" spans="1:22" s="130" customFormat="1" ht="13" x14ac:dyDescent="0.45">
      <c r="A11" s="318"/>
      <c r="B11" s="329"/>
      <c r="C11" s="322"/>
      <c r="D11" s="322"/>
      <c r="E11" s="324"/>
      <c r="F11" s="147" t="s">
        <v>253</v>
      </c>
      <c r="G11" s="147"/>
      <c r="H11" s="147"/>
      <c r="I11" s="147"/>
      <c r="J11" s="148">
        <f>SUM(J9:J10)</f>
        <v>74915478</v>
      </c>
      <c r="K11" s="148">
        <f t="shared" ref="K11:T11" si="3">SUM(K9:K10)</f>
        <v>49652346</v>
      </c>
      <c r="L11" s="148">
        <f t="shared" si="3"/>
        <v>54217723</v>
      </c>
      <c r="M11" s="148">
        <f t="shared" si="3"/>
        <v>14722598</v>
      </c>
      <c r="N11" s="148">
        <f t="shared" si="3"/>
        <v>17166222</v>
      </c>
      <c r="O11" s="148">
        <f t="shared" si="3"/>
        <v>16994574</v>
      </c>
      <c r="P11" s="148">
        <f t="shared" si="3"/>
        <v>11524458</v>
      </c>
      <c r="Q11" s="148">
        <f t="shared" si="3"/>
        <v>8562785</v>
      </c>
      <c r="R11" s="148">
        <f t="shared" si="3"/>
        <v>5257863</v>
      </c>
      <c r="S11" s="148">
        <f t="shared" si="3"/>
        <v>4195350</v>
      </c>
      <c r="T11" s="148">
        <f t="shared" si="3"/>
        <v>3012939</v>
      </c>
      <c r="U11" s="149">
        <f t="shared" si="0"/>
        <v>260222336</v>
      </c>
    </row>
    <row r="12" spans="1:22" ht="16.5" customHeight="1" x14ac:dyDescent="0.45">
      <c r="A12" s="326" t="s">
        <v>255</v>
      </c>
      <c r="B12" s="327">
        <v>7498958</v>
      </c>
      <c r="C12" s="330">
        <v>42620</v>
      </c>
      <c r="D12" s="330">
        <v>42661</v>
      </c>
      <c r="E12" s="325">
        <f>D12-C12</f>
        <v>41</v>
      </c>
      <c r="F12" s="142" t="s">
        <v>256</v>
      </c>
      <c r="G12" s="143">
        <f>+D12</f>
        <v>42661</v>
      </c>
      <c r="H12" s="144">
        <v>10000</v>
      </c>
      <c r="I12" s="144">
        <f>H12*0.7</f>
        <v>7000</v>
      </c>
      <c r="J12" s="145">
        <v>359065000</v>
      </c>
      <c r="K12" s="145">
        <f>66536000+178605000</f>
        <v>245141000</v>
      </c>
      <c r="L12" s="145">
        <v>101570000</v>
      </c>
      <c r="M12" s="145">
        <v>18277000</v>
      </c>
      <c r="N12" s="145"/>
      <c r="O12" s="145"/>
      <c r="P12" s="145"/>
      <c r="Q12" s="145"/>
      <c r="R12" s="145"/>
      <c r="S12" s="145"/>
      <c r="T12" s="145"/>
      <c r="U12" s="146">
        <f t="shared" si="0"/>
        <v>724053000</v>
      </c>
    </row>
    <row r="13" spans="1:22" ht="13" x14ac:dyDescent="0.45">
      <c r="A13" s="317"/>
      <c r="B13" s="328"/>
      <c r="C13" s="321"/>
      <c r="D13" s="321"/>
      <c r="E13" s="323"/>
      <c r="F13" s="136" t="s">
        <v>257</v>
      </c>
      <c r="G13" s="137">
        <f>+D12</f>
        <v>42661</v>
      </c>
      <c r="H13" s="133">
        <v>14900</v>
      </c>
      <c r="I13" s="133">
        <f>H13*0.69</f>
        <v>10281</v>
      </c>
      <c r="J13" s="134">
        <v>24012989</v>
      </c>
      <c r="K13" s="134">
        <f>9540768+3598350</f>
        <v>13139118</v>
      </c>
      <c r="L13" s="134">
        <v>2851860</v>
      </c>
      <c r="M13" s="134">
        <v>373394</v>
      </c>
      <c r="N13" s="134"/>
      <c r="O13" s="134"/>
      <c r="P13" s="134"/>
      <c r="Q13" s="134"/>
      <c r="R13" s="134"/>
      <c r="S13" s="134"/>
      <c r="T13" s="134"/>
      <c r="U13" s="135">
        <f t="shared" si="0"/>
        <v>40377361</v>
      </c>
    </row>
    <row r="14" spans="1:22" ht="13" x14ac:dyDescent="0.45">
      <c r="A14" s="317"/>
      <c r="B14" s="328"/>
      <c r="C14" s="321"/>
      <c r="D14" s="321"/>
      <c r="E14" s="323"/>
      <c r="F14" s="136" t="s">
        <v>247</v>
      </c>
      <c r="G14" s="137">
        <v>42684</v>
      </c>
      <c r="H14" s="133">
        <v>9900</v>
      </c>
      <c r="I14" s="133">
        <v>6830.9999999999991</v>
      </c>
      <c r="J14" s="134"/>
      <c r="K14" s="134"/>
      <c r="L14" s="134"/>
      <c r="M14" s="134">
        <v>3428172</v>
      </c>
      <c r="N14" s="134">
        <v>2860803</v>
      </c>
      <c r="O14" s="134">
        <v>1842489</v>
      </c>
      <c r="P14" s="134">
        <v>1698345</v>
      </c>
      <c r="Q14" s="134">
        <v>916047</v>
      </c>
      <c r="R14" s="134">
        <v>2317288</v>
      </c>
      <c r="S14" s="134">
        <v>2662967</v>
      </c>
      <c r="T14" s="134">
        <v>2202390</v>
      </c>
      <c r="U14" s="135">
        <f t="shared" si="0"/>
        <v>17928501</v>
      </c>
    </row>
    <row r="15" spans="1:22" ht="13" x14ac:dyDescent="0.45">
      <c r="A15" s="317"/>
      <c r="B15" s="328"/>
      <c r="C15" s="321"/>
      <c r="D15" s="321"/>
      <c r="E15" s="323"/>
      <c r="F15" s="131" t="s">
        <v>248</v>
      </c>
      <c r="G15" s="137">
        <v>42684</v>
      </c>
      <c r="H15" s="133">
        <v>4500</v>
      </c>
      <c r="I15" s="133">
        <v>3150</v>
      </c>
      <c r="J15" s="134"/>
      <c r="K15" s="134"/>
      <c r="L15" s="134"/>
      <c r="M15" s="134">
        <v>88212600</v>
      </c>
      <c r="N15" s="134">
        <v>76022100</v>
      </c>
      <c r="O15" s="134">
        <v>65938950</v>
      </c>
      <c r="P15" s="134">
        <v>54879300</v>
      </c>
      <c r="Q15" s="134">
        <v>44027900</v>
      </c>
      <c r="R15" s="134">
        <v>32220300</v>
      </c>
      <c r="S15" s="134">
        <v>39197900</v>
      </c>
      <c r="T15" s="134">
        <v>56228200</v>
      </c>
      <c r="U15" s="135">
        <f t="shared" si="0"/>
        <v>456727250</v>
      </c>
    </row>
    <row r="16" spans="1:22" s="123" customFormat="1" ht="13" x14ac:dyDescent="0.45">
      <c r="A16" s="318"/>
      <c r="B16" s="329"/>
      <c r="C16" s="322"/>
      <c r="D16" s="322"/>
      <c r="E16" s="324"/>
      <c r="F16" s="147" t="s">
        <v>245</v>
      </c>
      <c r="G16" s="147"/>
      <c r="H16" s="147"/>
      <c r="I16" s="147"/>
      <c r="J16" s="148">
        <f>SUM(J12:J15)</f>
        <v>383077989</v>
      </c>
      <c r="K16" s="148">
        <f t="shared" ref="K16:T16" si="4">SUM(K12:K15)</f>
        <v>258280118</v>
      </c>
      <c r="L16" s="148">
        <f t="shared" si="4"/>
        <v>104421860</v>
      </c>
      <c r="M16" s="148">
        <f t="shared" si="4"/>
        <v>110291166</v>
      </c>
      <c r="N16" s="148">
        <f t="shared" si="4"/>
        <v>78882903</v>
      </c>
      <c r="O16" s="148">
        <f t="shared" si="4"/>
        <v>67781439</v>
      </c>
      <c r="P16" s="148">
        <f t="shared" si="4"/>
        <v>56577645</v>
      </c>
      <c r="Q16" s="148">
        <f t="shared" si="4"/>
        <v>44943947</v>
      </c>
      <c r="R16" s="148">
        <f t="shared" si="4"/>
        <v>34537588</v>
      </c>
      <c r="S16" s="148">
        <f t="shared" si="4"/>
        <v>41860867</v>
      </c>
      <c r="T16" s="148">
        <f t="shared" si="4"/>
        <v>58430590</v>
      </c>
      <c r="U16" s="149">
        <f t="shared" si="0"/>
        <v>1239086112</v>
      </c>
      <c r="V16" s="150"/>
    </row>
    <row r="17" spans="1:22" s="160" customFormat="1" ht="17.5" customHeight="1" x14ac:dyDescent="0.45">
      <c r="A17" s="335" t="s">
        <v>258</v>
      </c>
      <c r="B17" s="151"/>
      <c r="C17" s="152"/>
      <c r="D17" s="152"/>
      <c r="E17" s="341">
        <f>D18-C18</f>
        <v>131</v>
      </c>
      <c r="F17" s="153" t="s">
        <v>259</v>
      </c>
      <c r="G17" s="154">
        <v>42080</v>
      </c>
      <c r="H17" s="152">
        <v>9900</v>
      </c>
      <c r="I17" s="152">
        <f>H17*0.69</f>
        <v>6830.9999999999991</v>
      </c>
      <c r="J17" s="155">
        <v>276903000</v>
      </c>
      <c r="K17" s="155">
        <v>190710000</v>
      </c>
      <c r="L17" s="155">
        <v>68215851</v>
      </c>
      <c r="M17" s="156">
        <v>39117474</v>
      </c>
      <c r="N17" s="157">
        <v>11787607.289999999</v>
      </c>
      <c r="O17" s="158">
        <v>5452128</v>
      </c>
      <c r="P17" s="157">
        <v>6962326.709999999</v>
      </c>
      <c r="Q17" s="157">
        <v>7624880</v>
      </c>
      <c r="R17" s="157"/>
      <c r="S17" s="157"/>
      <c r="T17" s="157"/>
      <c r="U17" s="159">
        <f t="shared" si="0"/>
        <v>606773267</v>
      </c>
      <c r="V17" s="134"/>
    </row>
    <row r="18" spans="1:22" s="160" customFormat="1" ht="13" x14ac:dyDescent="0.45">
      <c r="A18" s="336"/>
      <c r="B18" s="161">
        <v>10304503</v>
      </c>
      <c r="C18" s="162">
        <v>41949</v>
      </c>
      <c r="D18" s="163">
        <v>42080</v>
      </c>
      <c r="E18" s="342"/>
      <c r="F18" s="164" t="s">
        <v>260</v>
      </c>
      <c r="G18" s="163">
        <v>42108</v>
      </c>
      <c r="H18" s="165">
        <v>4500</v>
      </c>
      <c r="I18" s="165">
        <f>H18*0.7</f>
        <v>3150</v>
      </c>
      <c r="J18" s="166"/>
      <c r="K18" s="166"/>
      <c r="L18" s="166"/>
      <c r="M18" s="167"/>
      <c r="N18" s="157">
        <v>58776050.779999994</v>
      </c>
      <c r="O18" s="158">
        <v>44518600</v>
      </c>
      <c r="P18" s="157">
        <v>41177834.600000001</v>
      </c>
      <c r="Q18" s="157">
        <v>34055660</v>
      </c>
      <c r="R18" s="157"/>
      <c r="S18" s="157"/>
      <c r="T18" s="157"/>
      <c r="U18" s="159">
        <f t="shared" si="0"/>
        <v>178528145.38</v>
      </c>
    </row>
    <row r="19" spans="1:22" s="172" customFormat="1" ht="13" x14ac:dyDescent="0.45">
      <c r="A19" s="337"/>
      <c r="B19" s="168"/>
      <c r="C19" s="168"/>
      <c r="D19" s="168"/>
      <c r="E19" s="343"/>
      <c r="F19" s="169" t="s">
        <v>245</v>
      </c>
      <c r="G19" s="169"/>
      <c r="H19" s="169"/>
      <c r="I19" s="169"/>
      <c r="J19" s="170">
        <f>SUM(J17:J18)</f>
        <v>276903000</v>
      </c>
      <c r="K19" s="170">
        <f t="shared" ref="K19:Q19" si="5">SUM(K17:K18)</f>
        <v>190710000</v>
      </c>
      <c r="L19" s="170">
        <f t="shared" si="5"/>
        <v>68215851</v>
      </c>
      <c r="M19" s="170">
        <f t="shared" si="5"/>
        <v>39117474</v>
      </c>
      <c r="N19" s="170">
        <f t="shared" si="5"/>
        <v>70563658.069999993</v>
      </c>
      <c r="O19" s="170">
        <f t="shared" si="5"/>
        <v>49970728</v>
      </c>
      <c r="P19" s="170">
        <f t="shared" si="5"/>
        <v>48140161.310000002</v>
      </c>
      <c r="Q19" s="170">
        <f t="shared" si="5"/>
        <v>41680540</v>
      </c>
      <c r="R19" s="170"/>
      <c r="S19" s="170"/>
      <c r="T19" s="170"/>
      <c r="U19" s="171">
        <f t="shared" si="0"/>
        <v>785301412.37999988</v>
      </c>
    </row>
    <row r="20" spans="1:22" s="160" customFormat="1" ht="17.5" customHeight="1" x14ac:dyDescent="0.45">
      <c r="A20" s="335" t="s">
        <v>261</v>
      </c>
      <c r="B20" s="151"/>
      <c r="C20" s="338">
        <v>42550</v>
      </c>
      <c r="D20" s="338">
        <v>42584</v>
      </c>
      <c r="E20" s="341">
        <f>D20-C20</f>
        <v>34</v>
      </c>
      <c r="F20" s="173" t="s">
        <v>257</v>
      </c>
      <c r="G20" s="154">
        <v>42584</v>
      </c>
      <c r="H20" s="152">
        <v>14900</v>
      </c>
      <c r="I20" s="152">
        <f>H20*0.69</f>
        <v>10281</v>
      </c>
      <c r="J20" s="156">
        <v>254680060</v>
      </c>
      <c r="K20" s="156">
        <v>166689340</v>
      </c>
      <c r="L20" s="156">
        <v>80550238</v>
      </c>
      <c r="M20" s="156">
        <v>65694385</v>
      </c>
      <c r="N20" s="157"/>
      <c r="O20" s="158"/>
      <c r="P20" s="157"/>
      <c r="Q20" s="157"/>
      <c r="R20" s="157"/>
      <c r="S20" s="157"/>
      <c r="T20" s="157"/>
      <c r="U20" s="159">
        <f t="shared" si="0"/>
        <v>567614023</v>
      </c>
    </row>
    <row r="21" spans="1:22" s="160" customFormat="1" ht="13" x14ac:dyDescent="0.45">
      <c r="A21" s="336"/>
      <c r="B21" s="344">
        <v>858402</v>
      </c>
      <c r="C21" s="339"/>
      <c r="D21" s="339"/>
      <c r="E21" s="342"/>
      <c r="F21" s="174" t="s">
        <v>259</v>
      </c>
      <c r="G21" s="175">
        <v>42614</v>
      </c>
      <c r="H21" s="165">
        <v>9900</v>
      </c>
      <c r="I21" s="165">
        <f>H21*0.69</f>
        <v>6830.9999999999991</v>
      </c>
      <c r="J21" s="156"/>
      <c r="K21" s="156"/>
      <c r="L21" s="156"/>
      <c r="M21" s="156"/>
      <c r="N21" s="157">
        <v>50092317</v>
      </c>
      <c r="O21" s="158">
        <v>34012242</v>
      </c>
      <c r="P21" s="157">
        <v>61728282</v>
      </c>
      <c r="Q21" s="157">
        <v>10683750</v>
      </c>
      <c r="R21" s="157">
        <v>2935320</v>
      </c>
      <c r="S21" s="157">
        <v>1550129.9999999998</v>
      </c>
      <c r="T21" s="157">
        <v>633105</v>
      </c>
      <c r="U21" s="159">
        <f t="shared" si="0"/>
        <v>161635146</v>
      </c>
    </row>
    <row r="22" spans="1:22" s="160" customFormat="1" ht="13" x14ac:dyDescent="0.45">
      <c r="A22" s="336"/>
      <c r="B22" s="344"/>
      <c r="C22" s="339"/>
      <c r="D22" s="339"/>
      <c r="E22" s="342"/>
      <c r="F22" s="164" t="s">
        <v>260</v>
      </c>
      <c r="G22" s="163">
        <v>42635</v>
      </c>
      <c r="H22" s="165">
        <v>4500</v>
      </c>
      <c r="I22" s="165">
        <f>H22*0.7</f>
        <v>3150</v>
      </c>
      <c r="J22" s="176"/>
      <c r="K22" s="166"/>
      <c r="L22" s="166"/>
      <c r="M22" s="166"/>
      <c r="N22" s="157"/>
      <c r="O22" s="158"/>
      <c r="P22" s="157"/>
      <c r="Q22" s="157">
        <v>30425750</v>
      </c>
      <c r="R22" s="157">
        <v>44930550</v>
      </c>
      <c r="S22" s="157">
        <v>27038200</v>
      </c>
      <c r="T22" s="157">
        <v>14301980</v>
      </c>
      <c r="U22" s="177">
        <f t="shared" si="0"/>
        <v>116696480</v>
      </c>
    </row>
    <row r="23" spans="1:22" s="172" customFormat="1" ht="13" x14ac:dyDescent="0.45">
      <c r="A23" s="337"/>
      <c r="B23" s="168"/>
      <c r="C23" s="340"/>
      <c r="D23" s="340"/>
      <c r="E23" s="343"/>
      <c r="F23" s="169" t="s">
        <v>245</v>
      </c>
      <c r="G23" s="169"/>
      <c r="H23" s="169"/>
      <c r="I23" s="169"/>
      <c r="J23" s="170">
        <f>SUM(J20:J22)</f>
        <v>254680060</v>
      </c>
      <c r="K23" s="170">
        <f t="shared" ref="K23:T23" si="6">SUM(K20:K22)</f>
        <v>166689340</v>
      </c>
      <c r="L23" s="170">
        <f t="shared" si="6"/>
        <v>80550238</v>
      </c>
      <c r="M23" s="170">
        <f t="shared" si="6"/>
        <v>65694385</v>
      </c>
      <c r="N23" s="170">
        <f t="shared" si="6"/>
        <v>50092317</v>
      </c>
      <c r="O23" s="170">
        <f t="shared" si="6"/>
        <v>34012242</v>
      </c>
      <c r="P23" s="170">
        <f t="shared" si="6"/>
        <v>61728282</v>
      </c>
      <c r="Q23" s="170">
        <f t="shared" si="6"/>
        <v>41109500</v>
      </c>
      <c r="R23" s="170">
        <f t="shared" si="6"/>
        <v>47865870</v>
      </c>
      <c r="S23" s="170">
        <f t="shared" si="6"/>
        <v>28588330</v>
      </c>
      <c r="T23" s="170">
        <f t="shared" si="6"/>
        <v>14935085</v>
      </c>
      <c r="U23" s="171">
        <f t="shared" si="0"/>
        <v>845945649</v>
      </c>
    </row>
    <row r="24" spans="1:22" ht="17.5" customHeight="1" x14ac:dyDescent="0.45">
      <c r="A24" s="317" t="s">
        <v>262</v>
      </c>
      <c r="B24" s="328">
        <v>1898220</v>
      </c>
      <c r="C24" s="321">
        <v>42585</v>
      </c>
      <c r="D24" s="330">
        <v>42650</v>
      </c>
      <c r="E24" s="325">
        <f>D24-C24</f>
        <v>65</v>
      </c>
      <c r="F24" s="131" t="s">
        <v>251</v>
      </c>
      <c r="G24" s="132">
        <f>+D24</f>
        <v>42650</v>
      </c>
      <c r="H24" s="133">
        <v>9900</v>
      </c>
      <c r="I24" s="133">
        <f>+H24*0.69</f>
        <v>6830.9999999999991</v>
      </c>
      <c r="J24" s="134">
        <v>117971567.99999999</v>
      </c>
      <c r="K24" s="134">
        <v>160441182</v>
      </c>
      <c r="L24" s="134">
        <v>95636178</v>
      </c>
      <c r="M24" s="134">
        <v>66648087</v>
      </c>
      <c r="N24" s="134">
        <v>31753260</v>
      </c>
      <c r="O24" s="134">
        <v>5341941</v>
      </c>
      <c r="P24" s="134">
        <v>6223734</v>
      </c>
      <c r="Q24" s="134">
        <v>8491725</v>
      </c>
      <c r="R24" s="134">
        <v>4560534</v>
      </c>
      <c r="S24" s="134">
        <v>5012667</v>
      </c>
      <c r="T24" s="134">
        <v>2901591</v>
      </c>
      <c r="U24" s="135">
        <f t="shared" si="0"/>
        <v>504982467</v>
      </c>
    </row>
    <row r="25" spans="1:22" ht="12.75" customHeight="1" x14ac:dyDescent="0.45">
      <c r="A25" s="317"/>
      <c r="B25" s="328"/>
      <c r="C25" s="321"/>
      <c r="D25" s="321"/>
      <c r="E25" s="323"/>
      <c r="F25" s="136" t="s">
        <v>252</v>
      </c>
      <c r="G25" s="137">
        <v>42677</v>
      </c>
      <c r="H25" s="133">
        <v>4500</v>
      </c>
      <c r="I25" s="133">
        <f>+H25*0.7</f>
        <v>3150</v>
      </c>
      <c r="J25" s="134"/>
      <c r="K25" s="134"/>
      <c r="L25" s="134"/>
      <c r="M25" s="134"/>
      <c r="N25" s="134">
        <v>35535150</v>
      </c>
      <c r="O25" s="134">
        <v>55682550</v>
      </c>
      <c r="P25" s="134">
        <v>36102150</v>
      </c>
      <c r="Q25" s="134">
        <v>30359700</v>
      </c>
      <c r="R25" s="134">
        <v>31947300</v>
      </c>
      <c r="S25" s="134">
        <v>17148600</v>
      </c>
      <c r="T25" s="134">
        <v>17874850</v>
      </c>
      <c r="U25" s="138">
        <f t="shared" si="0"/>
        <v>224650300</v>
      </c>
    </row>
    <row r="26" spans="1:22" s="123" customFormat="1" ht="12.75" customHeight="1" x14ac:dyDescent="0.45">
      <c r="A26" s="318"/>
      <c r="B26" s="329"/>
      <c r="C26" s="322"/>
      <c r="D26" s="322"/>
      <c r="E26" s="324"/>
      <c r="F26" s="147" t="s">
        <v>253</v>
      </c>
      <c r="G26" s="147"/>
      <c r="H26" s="147"/>
      <c r="I26" s="147"/>
      <c r="J26" s="148">
        <f>SUM(J24:J25)</f>
        <v>117971567.99999999</v>
      </c>
      <c r="K26" s="148">
        <f t="shared" ref="K26:T26" si="7">SUM(K24:K25)</f>
        <v>160441182</v>
      </c>
      <c r="L26" s="148">
        <f t="shared" si="7"/>
        <v>95636178</v>
      </c>
      <c r="M26" s="148">
        <f t="shared" si="7"/>
        <v>66648087</v>
      </c>
      <c r="N26" s="148">
        <f t="shared" si="7"/>
        <v>67288410</v>
      </c>
      <c r="O26" s="148">
        <f t="shared" si="7"/>
        <v>61024491</v>
      </c>
      <c r="P26" s="148">
        <f t="shared" si="7"/>
        <v>42325884</v>
      </c>
      <c r="Q26" s="148">
        <f t="shared" si="7"/>
        <v>38851425</v>
      </c>
      <c r="R26" s="148">
        <f t="shared" si="7"/>
        <v>36507834</v>
      </c>
      <c r="S26" s="148">
        <f t="shared" si="7"/>
        <v>22161267</v>
      </c>
      <c r="T26" s="148">
        <f t="shared" si="7"/>
        <v>20776441</v>
      </c>
      <c r="U26" s="149">
        <f t="shared" si="0"/>
        <v>729632767</v>
      </c>
    </row>
    <row r="27" spans="1:22" ht="17.5" customHeight="1" x14ac:dyDescent="0.45">
      <c r="A27" s="317" t="s">
        <v>263</v>
      </c>
      <c r="B27" s="178"/>
      <c r="C27" s="330">
        <v>42606</v>
      </c>
      <c r="D27" s="330">
        <v>42655</v>
      </c>
      <c r="E27" s="325">
        <f>D27-C27</f>
        <v>49</v>
      </c>
      <c r="F27" s="131" t="s">
        <v>259</v>
      </c>
      <c r="G27" s="132">
        <f>+D27</f>
        <v>42655</v>
      </c>
      <c r="H27" s="133">
        <v>9900</v>
      </c>
      <c r="I27" s="133">
        <f>+H27*0.69</f>
        <v>6830.9999999999991</v>
      </c>
      <c r="J27" s="134">
        <v>36755532</v>
      </c>
      <c r="K27" s="134">
        <v>32378742</v>
      </c>
      <c r="L27" s="134">
        <v>19635165</v>
      </c>
      <c r="M27" s="134">
        <v>7186509</v>
      </c>
      <c r="N27" s="134">
        <v>929808</v>
      </c>
      <c r="O27" s="134">
        <v>481140</v>
      </c>
      <c r="P27" s="134">
        <v>412137</v>
      </c>
      <c r="Q27" s="134">
        <v>323532</v>
      </c>
      <c r="R27" s="134">
        <v>337491</v>
      </c>
      <c r="S27" s="134">
        <v>275913</v>
      </c>
      <c r="T27" s="134">
        <v>357588</v>
      </c>
      <c r="U27" s="135">
        <f t="shared" si="0"/>
        <v>99073557</v>
      </c>
    </row>
    <row r="28" spans="1:22" ht="13" x14ac:dyDescent="0.45">
      <c r="A28" s="317"/>
      <c r="B28" s="178">
        <v>1111284</v>
      </c>
      <c r="C28" s="321"/>
      <c r="D28" s="321"/>
      <c r="E28" s="323"/>
      <c r="F28" s="136" t="s">
        <v>260</v>
      </c>
      <c r="G28" s="137">
        <v>42677</v>
      </c>
      <c r="H28" s="133">
        <v>4500</v>
      </c>
      <c r="I28" s="133">
        <f>+H28*0.7</f>
        <v>3150</v>
      </c>
      <c r="J28" s="134"/>
      <c r="K28" s="134"/>
      <c r="L28" s="134"/>
      <c r="M28" s="134">
        <v>6262200</v>
      </c>
      <c r="N28" s="134">
        <v>8098650</v>
      </c>
      <c r="O28" s="134">
        <v>5591250</v>
      </c>
      <c r="P28" s="134">
        <v>3694950</v>
      </c>
      <c r="Q28" s="134">
        <v>2872800</v>
      </c>
      <c r="R28" s="134">
        <v>1855350</v>
      </c>
      <c r="S28" s="134">
        <v>2743300</v>
      </c>
      <c r="T28" s="134">
        <v>3118150</v>
      </c>
      <c r="U28" s="135">
        <f t="shared" si="0"/>
        <v>34236650</v>
      </c>
    </row>
    <row r="29" spans="1:22" s="123" customFormat="1" ht="12.75" customHeight="1" x14ac:dyDescent="0.45">
      <c r="A29" s="318"/>
      <c r="B29" s="179"/>
      <c r="C29" s="322"/>
      <c r="D29" s="322"/>
      <c r="E29" s="324"/>
      <c r="F29" s="147" t="s">
        <v>245</v>
      </c>
      <c r="G29" s="147"/>
      <c r="H29" s="147"/>
      <c r="I29" s="147"/>
      <c r="J29" s="148">
        <f>SUM(J27:J28)</f>
        <v>36755532</v>
      </c>
      <c r="K29" s="148">
        <f t="shared" ref="K29:S29" si="8">SUM(K27:K28)</f>
        <v>32378742</v>
      </c>
      <c r="L29" s="148">
        <f t="shared" si="8"/>
        <v>19635165</v>
      </c>
      <c r="M29" s="148">
        <f t="shared" si="8"/>
        <v>13448709</v>
      </c>
      <c r="N29" s="148">
        <f t="shared" si="8"/>
        <v>9028458</v>
      </c>
      <c r="O29" s="148">
        <f t="shared" si="8"/>
        <v>6072390</v>
      </c>
      <c r="P29" s="148">
        <f t="shared" si="8"/>
        <v>4107087</v>
      </c>
      <c r="Q29" s="148">
        <f t="shared" si="8"/>
        <v>3196332</v>
      </c>
      <c r="R29" s="148">
        <f t="shared" si="8"/>
        <v>2192841</v>
      </c>
      <c r="S29" s="148">
        <f t="shared" si="8"/>
        <v>3019213</v>
      </c>
      <c r="T29" s="148">
        <f>SUM(T27:T28)</f>
        <v>3475738</v>
      </c>
      <c r="U29" s="149">
        <f t="shared" si="0"/>
        <v>133310207</v>
      </c>
    </row>
    <row r="30" spans="1:22" ht="17.5" customHeight="1" x14ac:dyDescent="0.45">
      <c r="A30" s="317" t="s">
        <v>264</v>
      </c>
      <c r="B30" s="328">
        <v>624460</v>
      </c>
      <c r="C30" s="321">
        <v>42641</v>
      </c>
      <c r="D30" s="330">
        <v>42684</v>
      </c>
      <c r="E30" s="325">
        <f>D30-C30</f>
        <v>43</v>
      </c>
      <c r="F30" s="131" t="s">
        <v>251</v>
      </c>
      <c r="G30" s="132">
        <f>+D30</f>
        <v>42684</v>
      </c>
      <c r="H30" s="133">
        <v>9900</v>
      </c>
      <c r="I30" s="133">
        <f>+H30*0.69</f>
        <v>6830.9999999999991</v>
      </c>
      <c r="J30" s="134">
        <v>99814572</v>
      </c>
      <c r="K30" s="134">
        <v>115852869</v>
      </c>
      <c r="L30" s="134">
        <v>71430282</v>
      </c>
      <c r="M30" s="134">
        <v>45765918</v>
      </c>
      <c r="N30" s="134">
        <v>13673781</v>
      </c>
      <c r="O30" s="134">
        <v>4657851</v>
      </c>
      <c r="P30" s="134">
        <v>1823778</v>
      </c>
      <c r="Q30" s="134">
        <v>639540</v>
      </c>
      <c r="R30" s="134">
        <v>269280</v>
      </c>
      <c r="S30" s="134">
        <v>316800</v>
      </c>
      <c r="T30" s="134">
        <v>220077</v>
      </c>
      <c r="U30" s="135">
        <f t="shared" si="0"/>
        <v>354464748</v>
      </c>
    </row>
    <row r="31" spans="1:22" ht="12.75" customHeight="1" x14ac:dyDescent="0.45">
      <c r="A31" s="317"/>
      <c r="B31" s="328"/>
      <c r="C31" s="321"/>
      <c r="D31" s="321"/>
      <c r="E31" s="323"/>
      <c r="F31" s="136" t="s">
        <v>252</v>
      </c>
      <c r="G31" s="137">
        <v>42712</v>
      </c>
      <c r="H31" s="133">
        <v>4500</v>
      </c>
      <c r="I31" s="133">
        <f>+H31*0.7</f>
        <v>3150</v>
      </c>
      <c r="J31" s="134"/>
      <c r="K31" s="134"/>
      <c r="L31" s="134"/>
      <c r="M31" s="134"/>
      <c r="N31" s="134">
        <v>25924500</v>
      </c>
      <c r="O31" s="134">
        <v>30444750</v>
      </c>
      <c r="P31" s="134">
        <v>22270500</v>
      </c>
      <c r="Q31" s="134">
        <v>16524900</v>
      </c>
      <c r="R31" s="134">
        <v>13689900</v>
      </c>
      <c r="S31" s="134">
        <v>12760650</v>
      </c>
      <c r="T31" s="134">
        <v>9053100</v>
      </c>
      <c r="U31" s="138">
        <f t="shared" si="0"/>
        <v>130668300</v>
      </c>
    </row>
    <row r="32" spans="1:22" s="123" customFormat="1" ht="12.75" customHeight="1" x14ac:dyDescent="0.45">
      <c r="A32" s="318"/>
      <c r="B32" s="329"/>
      <c r="C32" s="322"/>
      <c r="D32" s="322"/>
      <c r="E32" s="324"/>
      <c r="F32" s="147" t="s">
        <v>253</v>
      </c>
      <c r="G32" s="147"/>
      <c r="H32" s="147"/>
      <c r="I32" s="147"/>
      <c r="J32" s="148">
        <f>SUM(J30:J31)</f>
        <v>99814572</v>
      </c>
      <c r="K32" s="148">
        <f t="shared" ref="K32:P32" si="9">SUM(K30:K31)</f>
        <v>115852869</v>
      </c>
      <c r="L32" s="148">
        <f t="shared" si="9"/>
        <v>71430282</v>
      </c>
      <c r="M32" s="148">
        <f t="shared" si="9"/>
        <v>45765918</v>
      </c>
      <c r="N32" s="148">
        <f t="shared" si="9"/>
        <v>39598281</v>
      </c>
      <c r="O32" s="148">
        <f t="shared" si="9"/>
        <v>35102601</v>
      </c>
      <c r="P32" s="148">
        <f t="shared" si="9"/>
        <v>24094278</v>
      </c>
      <c r="Q32" s="148">
        <f>SUM(Q30:Q31)</f>
        <v>17164440</v>
      </c>
      <c r="R32" s="148">
        <f t="shared" ref="R32:T32" si="10">SUM(R30:R31)</f>
        <v>13959180</v>
      </c>
      <c r="S32" s="148">
        <f t="shared" si="10"/>
        <v>13077450</v>
      </c>
      <c r="T32" s="148">
        <f t="shared" si="10"/>
        <v>9273177</v>
      </c>
      <c r="U32" s="149">
        <f t="shared" si="0"/>
        <v>485133048</v>
      </c>
    </row>
    <row r="33" spans="1:22" ht="17.5" customHeight="1" x14ac:dyDescent="0.45">
      <c r="A33" s="317" t="s">
        <v>265</v>
      </c>
      <c r="B33" s="328">
        <v>69529</v>
      </c>
      <c r="C33" s="321">
        <v>42656</v>
      </c>
      <c r="D33" s="330">
        <v>42698</v>
      </c>
      <c r="E33" s="325">
        <f>D33-C33</f>
        <v>42</v>
      </c>
      <c r="F33" s="131" t="s">
        <v>251</v>
      </c>
      <c r="G33" s="132">
        <f>+D33</f>
        <v>42698</v>
      </c>
      <c r="H33" s="133">
        <v>9900</v>
      </c>
      <c r="I33" s="133">
        <f>+H33*0.69</f>
        <v>6830.9999999999991</v>
      </c>
      <c r="J33" s="134">
        <v>76972104</v>
      </c>
      <c r="K33" s="134">
        <v>64094976</v>
      </c>
      <c r="L33" s="134">
        <v>35913438</v>
      </c>
      <c r="M33" s="134">
        <v>23630310</v>
      </c>
      <c r="N33" s="134">
        <v>9244521</v>
      </c>
      <c r="O33" s="134">
        <v>2119788</v>
      </c>
      <c r="P33" s="134">
        <v>1238193</v>
      </c>
      <c r="Q33" s="134">
        <v>1019205</v>
      </c>
      <c r="R33" s="134">
        <v>977328</v>
      </c>
      <c r="S33" s="134">
        <v>815691</v>
      </c>
      <c r="T33" s="134">
        <v>492486</v>
      </c>
      <c r="U33" s="135">
        <f t="shared" si="0"/>
        <v>216518040</v>
      </c>
    </row>
    <row r="34" spans="1:22" ht="12.75" customHeight="1" x14ac:dyDescent="0.45">
      <c r="A34" s="317"/>
      <c r="B34" s="328"/>
      <c r="C34" s="321"/>
      <c r="D34" s="321"/>
      <c r="E34" s="323"/>
      <c r="F34" s="136" t="s">
        <v>252</v>
      </c>
      <c r="G34" s="137">
        <v>42726</v>
      </c>
      <c r="H34" s="133">
        <v>4500</v>
      </c>
      <c r="I34" s="133">
        <f>+H34*0.7</f>
        <v>3150</v>
      </c>
      <c r="J34" s="134"/>
      <c r="K34" s="134"/>
      <c r="L34" s="134"/>
      <c r="M34" s="134"/>
      <c r="N34" s="134">
        <v>23675400</v>
      </c>
      <c r="O34" s="134">
        <v>22544550</v>
      </c>
      <c r="P34" s="134">
        <v>18137700</v>
      </c>
      <c r="Q34" s="134">
        <v>13167000</v>
      </c>
      <c r="R34" s="134">
        <v>9972900</v>
      </c>
      <c r="S34" s="134">
        <v>32555600</v>
      </c>
      <c r="T34" s="134">
        <v>19086550</v>
      </c>
      <c r="U34" s="138">
        <f t="shared" si="0"/>
        <v>139139700</v>
      </c>
    </row>
    <row r="35" spans="1:22" s="123" customFormat="1" ht="12.75" customHeight="1" x14ac:dyDescent="0.45">
      <c r="A35" s="318"/>
      <c r="B35" s="329"/>
      <c r="C35" s="322"/>
      <c r="D35" s="322"/>
      <c r="E35" s="324"/>
      <c r="F35" s="147" t="s">
        <v>253</v>
      </c>
      <c r="G35" s="147"/>
      <c r="H35" s="147"/>
      <c r="I35" s="147"/>
      <c r="J35" s="148">
        <f>SUM(J33:J34)</f>
        <v>76972104</v>
      </c>
      <c r="K35" s="148">
        <v>64094976</v>
      </c>
      <c r="L35" s="148">
        <f t="shared" ref="L35:Q35" si="11">SUM(L33:L34)</f>
        <v>35913438</v>
      </c>
      <c r="M35" s="148">
        <f t="shared" si="11"/>
        <v>23630310</v>
      </c>
      <c r="N35" s="148">
        <f t="shared" si="11"/>
        <v>32919921</v>
      </c>
      <c r="O35" s="148">
        <f t="shared" si="11"/>
        <v>24664338</v>
      </c>
      <c r="P35" s="148">
        <f t="shared" si="11"/>
        <v>19375893</v>
      </c>
      <c r="Q35" s="148">
        <f t="shared" si="11"/>
        <v>14186205</v>
      </c>
      <c r="R35" s="148">
        <f>SUM(R33:R34)</f>
        <v>10950228</v>
      </c>
      <c r="S35" s="148">
        <f t="shared" ref="S35" si="12">SUM(S33:S34)</f>
        <v>33371291</v>
      </c>
      <c r="T35" s="148">
        <f>SUM(T33:T34)</f>
        <v>19579036</v>
      </c>
      <c r="U35" s="149">
        <f t="shared" ref="U35:U77" si="13">SUM(J35:T35)</f>
        <v>355657740</v>
      </c>
    </row>
    <row r="36" spans="1:22" ht="17.5" customHeight="1" x14ac:dyDescent="0.45">
      <c r="A36" s="317" t="s">
        <v>266</v>
      </c>
      <c r="B36" s="328">
        <v>4667205</v>
      </c>
      <c r="C36" s="321">
        <v>42690</v>
      </c>
      <c r="D36" s="330">
        <v>42747</v>
      </c>
      <c r="E36" s="325">
        <f>D36-C36</f>
        <v>57</v>
      </c>
      <c r="F36" s="131" t="s">
        <v>251</v>
      </c>
      <c r="G36" s="132">
        <v>42747</v>
      </c>
      <c r="H36" s="133">
        <v>9900</v>
      </c>
      <c r="I36" s="133">
        <f>+H36*0.69</f>
        <v>6830.9999999999991</v>
      </c>
      <c r="J36" s="134">
        <v>288212364</v>
      </c>
      <c r="K36" s="134">
        <v>229302216</v>
      </c>
      <c r="L36" s="134">
        <v>190256022</v>
      </c>
      <c r="M36" s="134">
        <v>114733377</v>
      </c>
      <c r="N36" s="134">
        <v>28212030</v>
      </c>
      <c r="O36" s="134">
        <v>5238981</v>
      </c>
      <c r="P36" s="134">
        <v>3985047</v>
      </c>
      <c r="Q36" s="134">
        <v>2341449</v>
      </c>
      <c r="R36" s="134">
        <v>1439262</v>
      </c>
      <c r="S36" s="134">
        <v>970101</v>
      </c>
      <c r="T36" s="134">
        <v>824274</v>
      </c>
      <c r="U36" s="135">
        <f t="shared" si="13"/>
        <v>865515123</v>
      </c>
    </row>
    <row r="37" spans="1:22" ht="12.75" customHeight="1" x14ac:dyDescent="0.45">
      <c r="A37" s="317"/>
      <c r="B37" s="328"/>
      <c r="C37" s="321"/>
      <c r="D37" s="321"/>
      <c r="E37" s="323"/>
      <c r="F37" s="136" t="s">
        <v>252</v>
      </c>
      <c r="G37" s="137">
        <v>42775</v>
      </c>
      <c r="H37" s="133">
        <v>4500</v>
      </c>
      <c r="I37" s="133">
        <f>+H37*0.7</f>
        <v>3150</v>
      </c>
      <c r="J37" s="134"/>
      <c r="K37" s="134"/>
      <c r="L37" s="134"/>
      <c r="M37" s="134"/>
      <c r="N37" s="134">
        <v>62644050</v>
      </c>
      <c r="O37" s="134">
        <v>58350600</v>
      </c>
      <c r="P37" s="134">
        <v>41501250</v>
      </c>
      <c r="Q37" s="134">
        <v>34328700</v>
      </c>
      <c r="R37" s="134">
        <v>16348500</v>
      </c>
      <c r="S37" s="134">
        <v>10905300</v>
      </c>
      <c r="T37" s="134">
        <v>8188500</v>
      </c>
      <c r="U37" s="138">
        <f t="shared" si="13"/>
        <v>232266900</v>
      </c>
    </row>
    <row r="38" spans="1:22" s="123" customFormat="1" ht="12.75" customHeight="1" x14ac:dyDescent="0.45">
      <c r="A38" s="318"/>
      <c r="B38" s="329"/>
      <c r="C38" s="322"/>
      <c r="D38" s="322"/>
      <c r="E38" s="324"/>
      <c r="F38" s="147" t="s">
        <v>253</v>
      </c>
      <c r="G38" s="147"/>
      <c r="H38" s="147"/>
      <c r="I38" s="147"/>
      <c r="J38" s="148">
        <f>SUM(J36:J37)</f>
        <v>288212364</v>
      </c>
      <c r="K38" s="148">
        <f>SUM(K36:K37)</f>
        <v>229302216</v>
      </c>
      <c r="L38" s="148">
        <f t="shared" ref="L38:T38" si="14">SUM(L36:L37)</f>
        <v>190256022</v>
      </c>
      <c r="M38" s="148">
        <f t="shared" si="14"/>
        <v>114733377</v>
      </c>
      <c r="N38" s="148">
        <f t="shared" si="14"/>
        <v>90856080</v>
      </c>
      <c r="O38" s="148">
        <f t="shared" si="14"/>
        <v>63589581</v>
      </c>
      <c r="P38" s="148">
        <f t="shared" si="14"/>
        <v>45486297</v>
      </c>
      <c r="Q38" s="148">
        <f t="shared" si="14"/>
        <v>36670149</v>
      </c>
      <c r="R38" s="148">
        <f t="shared" si="14"/>
        <v>17787762</v>
      </c>
      <c r="S38" s="148">
        <f t="shared" si="14"/>
        <v>11875401</v>
      </c>
      <c r="T38" s="148">
        <f t="shared" si="14"/>
        <v>9012774</v>
      </c>
      <c r="U38" s="149">
        <f t="shared" si="13"/>
        <v>1097782023</v>
      </c>
      <c r="V38" s="150"/>
    </row>
    <row r="39" spans="1:22" ht="17.5" customHeight="1" x14ac:dyDescent="0.45">
      <c r="A39" s="317" t="s">
        <v>267</v>
      </c>
      <c r="B39" s="328">
        <v>323205</v>
      </c>
      <c r="C39" s="321">
        <v>42711</v>
      </c>
      <c r="D39" s="330">
        <v>42759</v>
      </c>
      <c r="E39" s="325">
        <f>D39-C39</f>
        <v>48</v>
      </c>
      <c r="F39" s="131" t="s">
        <v>251</v>
      </c>
      <c r="G39" s="132">
        <f>+D39</f>
        <v>42759</v>
      </c>
      <c r="H39" s="133">
        <v>9900</v>
      </c>
      <c r="I39" s="133">
        <f>+H39*0.69</f>
        <v>6830.9999999999991</v>
      </c>
      <c r="J39" s="134">
        <v>69092100</v>
      </c>
      <c r="K39" s="134">
        <v>73529280</v>
      </c>
      <c r="L39" s="134">
        <v>30409236</v>
      </c>
      <c r="M39" s="134">
        <v>23093829</v>
      </c>
      <c r="N39" s="134">
        <v>13817430</v>
      </c>
      <c r="O39" s="134">
        <v>5526957</v>
      </c>
      <c r="P39" s="134">
        <v>2415699</v>
      </c>
      <c r="Q39" s="134">
        <v>1640133</v>
      </c>
      <c r="R39" s="134">
        <v>1195524</v>
      </c>
      <c r="S39" s="134">
        <v>1339767</v>
      </c>
      <c r="T39" s="134">
        <v>1372536</v>
      </c>
      <c r="U39" s="135">
        <f t="shared" si="13"/>
        <v>223432491</v>
      </c>
    </row>
    <row r="40" spans="1:22" ht="12.75" customHeight="1" x14ac:dyDescent="0.45">
      <c r="A40" s="317"/>
      <c r="B40" s="328"/>
      <c r="C40" s="321"/>
      <c r="D40" s="321"/>
      <c r="E40" s="323"/>
      <c r="F40" s="136" t="s">
        <v>252</v>
      </c>
      <c r="G40" s="137">
        <f>+G39+30</f>
        <v>42789</v>
      </c>
      <c r="H40" s="133">
        <v>4500</v>
      </c>
      <c r="I40" s="133">
        <f>+H40*0.7</f>
        <v>3150</v>
      </c>
      <c r="J40" s="134"/>
      <c r="K40" s="134"/>
      <c r="L40" s="134"/>
      <c r="M40" s="134"/>
      <c r="N40" s="134">
        <v>13608000</v>
      </c>
      <c r="O40" s="134">
        <v>16354800</v>
      </c>
      <c r="P40" s="134">
        <v>5840100</v>
      </c>
      <c r="Q40" s="134">
        <v>4189500</v>
      </c>
      <c r="R40" s="134">
        <v>3713850</v>
      </c>
      <c r="S40" s="134">
        <v>4466700</v>
      </c>
      <c r="T40" s="134">
        <v>4312350</v>
      </c>
      <c r="U40" s="138">
        <f t="shared" si="13"/>
        <v>52485300</v>
      </c>
    </row>
    <row r="41" spans="1:22" s="123" customFormat="1" ht="12.75" customHeight="1" x14ac:dyDescent="0.45">
      <c r="A41" s="318"/>
      <c r="B41" s="329"/>
      <c r="C41" s="322"/>
      <c r="D41" s="322"/>
      <c r="E41" s="324"/>
      <c r="F41" s="147" t="s">
        <v>253</v>
      </c>
      <c r="G41" s="147"/>
      <c r="H41" s="147"/>
      <c r="I41" s="147"/>
      <c r="J41" s="148">
        <f>SUM(J39:J40)</f>
        <v>69092100</v>
      </c>
      <c r="K41" s="148">
        <f t="shared" ref="K41:T41" si="15">SUM(K39:K40)</f>
        <v>73529280</v>
      </c>
      <c r="L41" s="148">
        <f t="shared" si="15"/>
        <v>30409236</v>
      </c>
      <c r="M41" s="148">
        <f t="shared" si="15"/>
        <v>23093829</v>
      </c>
      <c r="N41" s="148">
        <f t="shared" si="15"/>
        <v>27425430</v>
      </c>
      <c r="O41" s="148">
        <f t="shared" si="15"/>
        <v>21881757</v>
      </c>
      <c r="P41" s="148">
        <f t="shared" si="15"/>
        <v>8255799</v>
      </c>
      <c r="Q41" s="148">
        <f t="shared" si="15"/>
        <v>5829633</v>
      </c>
      <c r="R41" s="148">
        <f t="shared" si="15"/>
        <v>4909374</v>
      </c>
      <c r="S41" s="148">
        <f t="shared" si="15"/>
        <v>5806467</v>
      </c>
      <c r="T41" s="148">
        <f t="shared" si="15"/>
        <v>5684886</v>
      </c>
      <c r="U41" s="149">
        <f t="shared" si="13"/>
        <v>275917791</v>
      </c>
    </row>
    <row r="42" spans="1:22" ht="16.5" customHeight="1" x14ac:dyDescent="0.45">
      <c r="A42" s="317" t="s">
        <v>268</v>
      </c>
      <c r="B42" s="328">
        <v>349884</v>
      </c>
      <c r="C42" s="321">
        <v>42788</v>
      </c>
      <c r="D42" s="330">
        <v>42803</v>
      </c>
      <c r="E42" s="325">
        <f t="shared" ref="E42" si="16">D42-C42</f>
        <v>15</v>
      </c>
      <c r="F42" s="131" t="s">
        <v>256</v>
      </c>
      <c r="G42" s="132">
        <f>+D42</f>
        <v>42803</v>
      </c>
      <c r="H42" s="133">
        <v>10000</v>
      </c>
      <c r="I42" s="133">
        <v>7000</v>
      </c>
      <c r="J42" s="134">
        <v>82236000</v>
      </c>
      <c r="K42" s="134">
        <v>88515000</v>
      </c>
      <c r="L42" s="134">
        <v>51779000</v>
      </c>
      <c r="M42" s="134">
        <v>6841100</v>
      </c>
      <c r="N42" s="134"/>
      <c r="O42" s="134"/>
      <c r="P42" s="180"/>
      <c r="Q42" s="134"/>
      <c r="R42" s="134"/>
      <c r="S42" s="134"/>
      <c r="T42" s="134"/>
      <c r="U42" s="135">
        <f t="shared" si="13"/>
        <v>229371100</v>
      </c>
      <c r="V42" s="134"/>
    </row>
    <row r="43" spans="1:22" ht="12.75" customHeight="1" x14ac:dyDescent="0.45">
      <c r="A43" s="317"/>
      <c r="B43" s="328"/>
      <c r="C43" s="321"/>
      <c r="D43" s="321"/>
      <c r="E43" s="323"/>
      <c r="F43" s="136" t="s">
        <v>257</v>
      </c>
      <c r="G43" s="137">
        <v>42803</v>
      </c>
      <c r="H43" s="133">
        <v>14900</v>
      </c>
      <c r="I43" s="133">
        <v>10430</v>
      </c>
      <c r="J43" s="134">
        <v>1053430</v>
      </c>
      <c r="K43" s="134">
        <v>907410</v>
      </c>
      <c r="L43" s="134">
        <v>604940</v>
      </c>
      <c r="M43" s="134">
        <v>41720</v>
      </c>
      <c r="N43" s="134"/>
      <c r="O43" s="134"/>
      <c r="P43" s="180"/>
      <c r="Q43" s="134"/>
      <c r="R43" s="134"/>
      <c r="S43" s="134"/>
      <c r="T43" s="134"/>
      <c r="U43" s="135">
        <f t="shared" si="13"/>
        <v>2607500</v>
      </c>
    </row>
    <row r="44" spans="1:22" ht="12.75" customHeight="1" x14ac:dyDescent="0.45">
      <c r="A44" s="317"/>
      <c r="B44" s="328"/>
      <c r="C44" s="321"/>
      <c r="D44" s="321"/>
      <c r="E44" s="323"/>
      <c r="F44" s="136" t="s">
        <v>247</v>
      </c>
      <c r="G44" s="137">
        <v>42823</v>
      </c>
      <c r="H44" s="133">
        <v>9900</v>
      </c>
      <c r="I44" s="133">
        <f>+H44*0.69</f>
        <v>6830.9999999999991</v>
      </c>
      <c r="J44" s="134"/>
      <c r="K44" s="134"/>
      <c r="L44" s="134"/>
      <c r="M44" s="134">
        <v>398475</v>
      </c>
      <c r="N44" s="134">
        <v>459756</v>
      </c>
      <c r="O44" s="134">
        <v>247500</v>
      </c>
      <c r="P44" s="180">
        <v>178695</v>
      </c>
      <c r="Q44" s="134">
        <v>131076</v>
      </c>
      <c r="R44" s="134">
        <v>111904.79999999999</v>
      </c>
      <c r="S44" s="134">
        <v>158697</v>
      </c>
      <c r="T44" s="134">
        <v>34353</v>
      </c>
      <c r="U44" s="135">
        <f t="shared" si="13"/>
        <v>1720456.8</v>
      </c>
    </row>
    <row r="45" spans="1:22" ht="12.75" customHeight="1" x14ac:dyDescent="0.45">
      <c r="A45" s="317"/>
      <c r="B45" s="328"/>
      <c r="C45" s="321"/>
      <c r="D45" s="321"/>
      <c r="E45" s="323"/>
      <c r="F45" s="131" t="s">
        <v>248</v>
      </c>
      <c r="G45" s="137">
        <v>42823</v>
      </c>
      <c r="H45" s="133">
        <v>4500</v>
      </c>
      <c r="I45" s="133">
        <f>+H45*0.7</f>
        <v>3150</v>
      </c>
      <c r="J45" s="134"/>
      <c r="K45" s="134"/>
      <c r="L45" s="134"/>
      <c r="M45" s="134">
        <v>42972300</v>
      </c>
      <c r="N45" s="134">
        <v>29512350</v>
      </c>
      <c r="O45" s="134">
        <v>14830200</v>
      </c>
      <c r="P45" s="180">
        <v>8766450</v>
      </c>
      <c r="Q45" s="134">
        <v>10299450</v>
      </c>
      <c r="R45" s="134">
        <v>18450702.199999999</v>
      </c>
      <c r="S45" s="134">
        <v>7373450</v>
      </c>
      <c r="T45" s="134">
        <v>2825550</v>
      </c>
      <c r="U45" s="135">
        <f t="shared" si="13"/>
        <v>135030452.19999999</v>
      </c>
    </row>
    <row r="46" spans="1:22" s="123" customFormat="1" ht="12.75" customHeight="1" x14ac:dyDescent="0.45">
      <c r="A46" s="318"/>
      <c r="B46" s="329"/>
      <c r="C46" s="322"/>
      <c r="D46" s="322"/>
      <c r="E46" s="324"/>
      <c r="F46" s="147" t="s">
        <v>253</v>
      </c>
      <c r="G46" s="147"/>
      <c r="H46" s="147"/>
      <c r="I46" s="147"/>
      <c r="J46" s="148">
        <f>SUM(J42:J45)</f>
        <v>83289430</v>
      </c>
      <c r="K46" s="148">
        <f t="shared" ref="K46:T46" si="17">SUM(K42:K45)</f>
        <v>89422410</v>
      </c>
      <c r="L46" s="148">
        <f t="shared" si="17"/>
        <v>52383940</v>
      </c>
      <c r="M46" s="148">
        <f t="shared" si="17"/>
        <v>50253595</v>
      </c>
      <c r="N46" s="148">
        <f t="shared" si="17"/>
        <v>29972106</v>
      </c>
      <c r="O46" s="148">
        <f t="shared" si="17"/>
        <v>15077700</v>
      </c>
      <c r="P46" s="148">
        <f t="shared" si="17"/>
        <v>8945145</v>
      </c>
      <c r="Q46" s="148">
        <f t="shared" si="17"/>
        <v>10430526</v>
      </c>
      <c r="R46" s="148">
        <f t="shared" si="17"/>
        <v>18562607</v>
      </c>
      <c r="S46" s="148">
        <f t="shared" si="17"/>
        <v>7532147</v>
      </c>
      <c r="T46" s="148">
        <f t="shared" si="17"/>
        <v>2859903</v>
      </c>
      <c r="U46" s="149">
        <f t="shared" si="13"/>
        <v>368729509</v>
      </c>
    </row>
    <row r="47" spans="1:22" ht="17.5" customHeight="1" x14ac:dyDescent="0.45">
      <c r="A47" s="317" t="s">
        <v>269</v>
      </c>
      <c r="B47" s="328">
        <v>148676</v>
      </c>
      <c r="C47" s="321">
        <v>42775</v>
      </c>
      <c r="D47" s="330">
        <v>42817</v>
      </c>
      <c r="E47" s="325">
        <f t="shared" ref="E47" si="18">D47-C47</f>
        <v>42</v>
      </c>
      <c r="F47" s="131" t="s">
        <v>251</v>
      </c>
      <c r="G47" s="132">
        <f>+D47</f>
        <v>42817</v>
      </c>
      <c r="H47" s="133">
        <v>9900</v>
      </c>
      <c r="I47" s="133">
        <v>6831</v>
      </c>
      <c r="J47" s="134">
        <v>23669811</v>
      </c>
      <c r="K47" s="134">
        <v>22016808</v>
      </c>
      <c r="L47" s="134">
        <v>12241647</v>
      </c>
      <c r="M47" s="134">
        <v>7680519</v>
      </c>
      <c r="N47" s="180">
        <v>3329073</v>
      </c>
      <c r="O47" s="134">
        <v>1888821</v>
      </c>
      <c r="P47" s="134">
        <v>2417276.6129032257</v>
      </c>
      <c r="Q47" s="134">
        <v>1551132</v>
      </c>
      <c r="R47" s="134">
        <v>933075</v>
      </c>
      <c r="S47" s="134">
        <v>720324</v>
      </c>
      <c r="T47" s="134">
        <v>775269</v>
      </c>
      <c r="U47" s="135">
        <f t="shared" si="13"/>
        <v>77223755.612903222</v>
      </c>
    </row>
    <row r="48" spans="1:22" ht="12.75" customHeight="1" x14ac:dyDescent="0.45">
      <c r="A48" s="317"/>
      <c r="B48" s="328"/>
      <c r="C48" s="321"/>
      <c r="D48" s="321"/>
      <c r="E48" s="323"/>
      <c r="F48" s="136" t="s">
        <v>252</v>
      </c>
      <c r="G48" s="137">
        <v>42845</v>
      </c>
      <c r="H48" s="133">
        <v>4500</v>
      </c>
      <c r="I48" s="133">
        <v>3150</v>
      </c>
      <c r="J48" s="134"/>
      <c r="K48" s="134"/>
      <c r="L48" s="134"/>
      <c r="M48" s="134"/>
      <c r="N48" s="180">
        <v>5140800</v>
      </c>
      <c r="O48" s="134">
        <v>6378750</v>
      </c>
      <c r="P48" s="134">
        <v>8731698.3870967738</v>
      </c>
      <c r="Q48" s="134">
        <v>4214700</v>
      </c>
      <c r="R48" s="134">
        <v>2012850</v>
      </c>
      <c r="S48" s="134">
        <v>1549800</v>
      </c>
      <c r="T48" s="134">
        <v>1864800</v>
      </c>
      <c r="U48" s="138">
        <f t="shared" si="13"/>
        <v>29893398.387096774</v>
      </c>
    </row>
    <row r="49" spans="1:24" s="123" customFormat="1" ht="12.75" customHeight="1" x14ac:dyDescent="0.45">
      <c r="A49" s="318"/>
      <c r="B49" s="329"/>
      <c r="C49" s="322"/>
      <c r="D49" s="322"/>
      <c r="E49" s="324"/>
      <c r="F49" s="147" t="s">
        <v>253</v>
      </c>
      <c r="G49" s="147"/>
      <c r="H49" s="147"/>
      <c r="I49" s="147"/>
      <c r="J49" s="148">
        <f>SUM(J47:J48)</f>
        <v>23669811</v>
      </c>
      <c r="K49" s="148">
        <f>SUM(K47:K48)</f>
        <v>22016808</v>
      </c>
      <c r="L49" s="148">
        <f t="shared" ref="L49:T49" si="19">SUM(L47:L48)</f>
        <v>12241647</v>
      </c>
      <c r="M49" s="148">
        <f t="shared" si="19"/>
        <v>7680519</v>
      </c>
      <c r="N49" s="148">
        <f t="shared" si="19"/>
        <v>8469873</v>
      </c>
      <c r="O49" s="148">
        <f t="shared" si="19"/>
        <v>8267571</v>
      </c>
      <c r="P49" s="148">
        <f t="shared" si="19"/>
        <v>11148975</v>
      </c>
      <c r="Q49" s="148">
        <v>5765832</v>
      </c>
      <c r="R49" s="148">
        <f>SUM(R47:R48)</f>
        <v>2945925</v>
      </c>
      <c r="S49" s="148">
        <f>SUM(S47:S48)</f>
        <v>2270124</v>
      </c>
      <c r="T49" s="148">
        <f t="shared" si="19"/>
        <v>2640069</v>
      </c>
      <c r="U49" s="149">
        <f t="shared" si="13"/>
        <v>107117154</v>
      </c>
    </row>
    <row r="50" spans="1:24" ht="17.5" customHeight="1" x14ac:dyDescent="0.45">
      <c r="A50" s="317" t="s">
        <v>270</v>
      </c>
      <c r="B50" s="328">
        <v>1689070</v>
      </c>
      <c r="C50" s="321">
        <v>42802</v>
      </c>
      <c r="D50" s="330">
        <v>42832</v>
      </c>
      <c r="E50" s="325">
        <f t="shared" ref="E50" si="20">D50-C50</f>
        <v>30</v>
      </c>
      <c r="F50" s="131" t="s">
        <v>257</v>
      </c>
      <c r="G50" s="132">
        <v>42832</v>
      </c>
      <c r="H50" s="133">
        <v>14900</v>
      </c>
      <c r="I50" s="133">
        <v>10281</v>
      </c>
      <c r="J50" s="134">
        <v>225980701</v>
      </c>
      <c r="K50" s="134">
        <v>199256359</v>
      </c>
      <c r="L50" s="180">
        <v>37631812</v>
      </c>
      <c r="M50" s="134"/>
      <c r="N50" s="134"/>
      <c r="O50" s="134"/>
      <c r="P50" s="181"/>
      <c r="Q50" s="181"/>
      <c r="R50" s="181"/>
      <c r="S50" s="181"/>
      <c r="T50" s="181"/>
      <c r="U50" s="135">
        <f t="shared" si="13"/>
        <v>462868872</v>
      </c>
    </row>
    <row r="51" spans="1:24" ht="12.75" customHeight="1" x14ac:dyDescent="0.45">
      <c r="A51" s="317"/>
      <c r="B51" s="328"/>
      <c r="C51" s="321"/>
      <c r="D51" s="321"/>
      <c r="E51" s="323"/>
      <c r="F51" s="136" t="s">
        <v>247</v>
      </c>
      <c r="G51" s="137">
        <v>42845</v>
      </c>
      <c r="H51" s="133">
        <v>9900</v>
      </c>
      <c r="I51" s="133">
        <v>6831</v>
      </c>
      <c r="J51" s="134"/>
      <c r="K51" s="134"/>
      <c r="L51" s="180">
        <v>102815495</v>
      </c>
      <c r="M51" s="134">
        <v>94530531</v>
      </c>
      <c r="N51" s="180">
        <v>112340448</v>
      </c>
      <c r="O51" s="134">
        <v>47067174</v>
      </c>
      <c r="P51" s="134">
        <v>9144630</v>
      </c>
      <c r="Q51" s="134">
        <v>1027422</v>
      </c>
      <c r="R51" s="134">
        <v>587070</v>
      </c>
      <c r="S51" s="134">
        <v>496782</v>
      </c>
      <c r="T51" s="134">
        <v>421344</v>
      </c>
      <c r="U51" s="138">
        <f t="shared" si="13"/>
        <v>368430896</v>
      </c>
      <c r="V51" s="182"/>
      <c r="W51" s="182"/>
      <c r="X51" s="182"/>
    </row>
    <row r="52" spans="1:24" ht="12.75" customHeight="1" x14ac:dyDescent="0.45">
      <c r="A52" s="317"/>
      <c r="B52" s="328"/>
      <c r="C52" s="321"/>
      <c r="D52" s="321"/>
      <c r="E52" s="323"/>
      <c r="F52" s="183" t="s">
        <v>248</v>
      </c>
      <c r="G52" s="137">
        <v>42873</v>
      </c>
      <c r="H52" s="133">
        <v>4500</v>
      </c>
      <c r="I52" s="133">
        <v>3150</v>
      </c>
      <c r="J52" s="134"/>
      <c r="K52" s="134"/>
      <c r="L52" s="134"/>
      <c r="M52" s="134"/>
      <c r="N52" s="134"/>
      <c r="O52" s="134"/>
      <c r="P52" s="134">
        <v>51795450</v>
      </c>
      <c r="Q52" s="134">
        <v>48824999.999999993</v>
      </c>
      <c r="R52" s="134">
        <v>33292350</v>
      </c>
      <c r="S52" s="134">
        <v>28901250</v>
      </c>
      <c r="T52" s="134">
        <v>16643296</v>
      </c>
      <c r="U52" s="138">
        <f t="shared" si="13"/>
        <v>179457346</v>
      </c>
      <c r="V52" s="182"/>
      <c r="W52" s="182"/>
      <c r="X52" s="182"/>
    </row>
    <row r="53" spans="1:24" s="123" customFormat="1" ht="12.75" customHeight="1" x14ac:dyDescent="0.45">
      <c r="A53" s="318"/>
      <c r="B53" s="329"/>
      <c r="C53" s="322"/>
      <c r="D53" s="322"/>
      <c r="E53" s="324"/>
      <c r="F53" s="147" t="s">
        <v>253</v>
      </c>
      <c r="G53" s="147"/>
      <c r="H53" s="147"/>
      <c r="I53" s="147"/>
      <c r="J53" s="148">
        <f t="shared" ref="J53:N53" si="21">SUM(J50:J52)</f>
        <v>225980701</v>
      </c>
      <c r="K53" s="148">
        <f t="shared" si="21"/>
        <v>199256359</v>
      </c>
      <c r="L53" s="148">
        <f t="shared" si="21"/>
        <v>140447307</v>
      </c>
      <c r="M53" s="148">
        <f t="shared" si="21"/>
        <v>94530531</v>
      </c>
      <c r="N53" s="148">
        <f t="shared" si="21"/>
        <v>112340448</v>
      </c>
      <c r="O53" s="148">
        <f>SUM(O50:O52)</f>
        <v>47067174</v>
      </c>
      <c r="P53" s="148">
        <f>SUM(P50:P52)</f>
        <v>60940080</v>
      </c>
      <c r="Q53" s="148">
        <f>SUM(Q50:Q52)</f>
        <v>49852421.999999993</v>
      </c>
      <c r="R53" s="148">
        <f>SUM(R50:R52)</f>
        <v>33879420</v>
      </c>
      <c r="S53" s="148">
        <f t="shared" ref="S53:T53" si="22">SUM(S50:S52)</f>
        <v>29398032</v>
      </c>
      <c r="T53" s="148">
        <f t="shared" si="22"/>
        <v>17064640</v>
      </c>
      <c r="U53" s="149">
        <f t="shared" si="13"/>
        <v>1010757114</v>
      </c>
      <c r="V53" s="184"/>
      <c r="W53" s="184"/>
      <c r="X53" s="184"/>
    </row>
    <row r="54" spans="1:24" ht="16.5" customHeight="1" x14ac:dyDescent="0.45">
      <c r="A54" s="326" t="s">
        <v>271</v>
      </c>
      <c r="B54" s="327">
        <v>415714</v>
      </c>
      <c r="C54" s="330">
        <v>42872</v>
      </c>
      <c r="D54" s="330">
        <v>42908</v>
      </c>
      <c r="E54" s="325">
        <f>D54-C54</f>
        <v>36</v>
      </c>
      <c r="F54" s="131" t="s">
        <v>251</v>
      </c>
      <c r="G54" s="137">
        <v>42908</v>
      </c>
      <c r="H54" s="133">
        <v>9900</v>
      </c>
      <c r="I54" s="133">
        <v>6831</v>
      </c>
      <c r="J54" s="134">
        <v>126828801</v>
      </c>
      <c r="K54" s="134">
        <v>111855348</v>
      </c>
      <c r="L54" s="180">
        <v>77711931</v>
      </c>
      <c r="M54" s="134">
        <v>37191231</v>
      </c>
      <c r="N54" s="134">
        <v>11368863</v>
      </c>
      <c r="O54" s="134">
        <v>2115234</v>
      </c>
      <c r="P54" s="134">
        <v>707751</v>
      </c>
      <c r="Q54" s="134">
        <v>747054</v>
      </c>
      <c r="R54" s="185">
        <v>295614</v>
      </c>
      <c r="S54" s="186">
        <v>83160</v>
      </c>
      <c r="T54" s="186">
        <v>69300</v>
      </c>
      <c r="U54" s="138">
        <f t="shared" si="13"/>
        <v>368974287</v>
      </c>
    </row>
    <row r="55" spans="1:24" ht="12.75" customHeight="1" x14ac:dyDescent="0.45">
      <c r="A55" s="317"/>
      <c r="B55" s="328"/>
      <c r="C55" s="321"/>
      <c r="D55" s="321"/>
      <c r="E55" s="323"/>
      <c r="F55" s="136" t="s">
        <v>252</v>
      </c>
      <c r="G55" s="137">
        <v>42936</v>
      </c>
      <c r="H55" s="133">
        <v>4500</v>
      </c>
      <c r="I55" s="133">
        <v>3150</v>
      </c>
      <c r="J55" s="134"/>
      <c r="K55" s="134"/>
      <c r="L55" s="134"/>
      <c r="M55" s="134"/>
      <c r="N55" s="134">
        <v>57408750</v>
      </c>
      <c r="O55" s="134">
        <v>42984900</v>
      </c>
      <c r="P55" s="134">
        <v>29959650</v>
      </c>
      <c r="Q55" s="134">
        <v>13652100</v>
      </c>
      <c r="R55" s="185">
        <v>13018950</v>
      </c>
      <c r="S55" s="186">
        <v>1827000</v>
      </c>
      <c r="T55" s="186">
        <v>1719900</v>
      </c>
      <c r="U55" s="138">
        <f t="shared" si="13"/>
        <v>160571250</v>
      </c>
    </row>
    <row r="56" spans="1:24" s="123" customFormat="1" ht="12.75" customHeight="1" x14ac:dyDescent="0.45">
      <c r="A56" s="318"/>
      <c r="B56" s="329"/>
      <c r="C56" s="322"/>
      <c r="D56" s="322"/>
      <c r="E56" s="324"/>
      <c r="F56" s="147" t="s">
        <v>253</v>
      </c>
      <c r="G56" s="147"/>
      <c r="H56" s="147"/>
      <c r="I56" s="147"/>
      <c r="J56" s="148">
        <f t="shared" ref="J56:T56" si="23">SUM(J54:J55)</f>
        <v>126828801</v>
      </c>
      <c r="K56" s="148">
        <f t="shared" si="23"/>
        <v>111855348</v>
      </c>
      <c r="L56" s="148">
        <f t="shared" si="23"/>
        <v>77711931</v>
      </c>
      <c r="M56" s="148">
        <f t="shared" si="23"/>
        <v>37191231</v>
      </c>
      <c r="N56" s="148">
        <f t="shared" si="23"/>
        <v>68777613</v>
      </c>
      <c r="O56" s="148">
        <f t="shared" si="23"/>
        <v>45100134</v>
      </c>
      <c r="P56" s="148">
        <f t="shared" si="23"/>
        <v>30667401</v>
      </c>
      <c r="Q56" s="148">
        <f t="shared" si="23"/>
        <v>14399154</v>
      </c>
      <c r="R56" s="148">
        <f t="shared" si="23"/>
        <v>13314564</v>
      </c>
      <c r="S56" s="187">
        <f t="shared" si="23"/>
        <v>1910160</v>
      </c>
      <c r="T56" s="187">
        <f t="shared" si="23"/>
        <v>1789200</v>
      </c>
      <c r="U56" s="149">
        <f t="shared" si="13"/>
        <v>529545537</v>
      </c>
    </row>
    <row r="57" spans="1:24" ht="17.5" customHeight="1" x14ac:dyDescent="0.45">
      <c r="A57" s="317" t="s">
        <v>272</v>
      </c>
      <c r="B57" s="328">
        <v>2165401</v>
      </c>
      <c r="C57" s="321">
        <v>42886</v>
      </c>
      <c r="D57" s="330">
        <v>42914</v>
      </c>
      <c r="E57" s="325">
        <f>D57-C57</f>
        <v>28</v>
      </c>
      <c r="F57" s="131" t="s">
        <v>257</v>
      </c>
      <c r="G57" s="132">
        <v>42914</v>
      </c>
      <c r="H57" s="133">
        <v>14900</v>
      </c>
      <c r="I57" s="133">
        <v>10281</v>
      </c>
      <c r="J57" s="134">
        <v>323565569</v>
      </c>
      <c r="K57" s="134">
        <v>200721327</v>
      </c>
      <c r="L57" s="180">
        <v>18623659</v>
      </c>
      <c r="M57" s="134"/>
      <c r="N57" s="134"/>
      <c r="O57" s="134"/>
      <c r="P57" s="181"/>
      <c r="Q57" s="181"/>
      <c r="R57" s="181"/>
      <c r="S57" s="181"/>
      <c r="T57" s="181"/>
      <c r="U57" s="135">
        <f t="shared" si="13"/>
        <v>542910555</v>
      </c>
    </row>
    <row r="58" spans="1:24" ht="12.75" customHeight="1" x14ac:dyDescent="0.45">
      <c r="A58" s="317"/>
      <c r="B58" s="328"/>
      <c r="C58" s="321"/>
      <c r="D58" s="321"/>
      <c r="E58" s="323"/>
      <c r="F58" s="136" t="s">
        <v>247</v>
      </c>
      <c r="G58" s="137">
        <v>42928</v>
      </c>
      <c r="H58" s="133">
        <v>9900</v>
      </c>
      <c r="I58" s="133">
        <v>6831</v>
      </c>
      <c r="J58" s="134"/>
      <c r="K58" s="134"/>
      <c r="L58" s="180">
        <v>111842378.99999999</v>
      </c>
      <c r="M58" s="134">
        <v>87713406</v>
      </c>
      <c r="N58" s="134">
        <v>63326538</v>
      </c>
      <c r="O58" s="134">
        <v>62259516</v>
      </c>
      <c r="P58" s="134">
        <v>11539242</v>
      </c>
      <c r="Q58" s="134">
        <v>2803581</v>
      </c>
      <c r="R58" s="186">
        <v>776160</v>
      </c>
      <c r="S58" s="186">
        <v>693000</v>
      </c>
      <c r="T58" s="186">
        <v>457380</v>
      </c>
      <c r="U58" s="138">
        <f t="shared" si="13"/>
        <v>341411202</v>
      </c>
    </row>
    <row r="59" spans="1:24" ht="12.75" customHeight="1" x14ac:dyDescent="0.45">
      <c r="A59" s="317"/>
      <c r="B59" s="328"/>
      <c r="C59" s="321"/>
      <c r="D59" s="321"/>
      <c r="E59" s="323"/>
      <c r="F59" s="183" t="s">
        <v>248</v>
      </c>
      <c r="G59" s="137">
        <v>42956</v>
      </c>
      <c r="H59" s="133">
        <v>4500</v>
      </c>
      <c r="I59" s="133">
        <v>3150</v>
      </c>
      <c r="J59" s="134"/>
      <c r="K59" s="134"/>
      <c r="L59" s="134"/>
      <c r="M59" s="134"/>
      <c r="N59" s="134"/>
      <c r="O59" s="134"/>
      <c r="P59" s="134">
        <v>75694500</v>
      </c>
      <c r="Q59" s="134">
        <v>73568250</v>
      </c>
      <c r="R59" s="186">
        <v>13671000</v>
      </c>
      <c r="S59" s="186">
        <v>10996650</v>
      </c>
      <c r="T59" s="186">
        <v>8092349.9999999991</v>
      </c>
      <c r="U59" s="138">
        <f t="shared" si="13"/>
        <v>182022750</v>
      </c>
    </row>
    <row r="60" spans="1:24" s="123" customFormat="1" ht="12.75" customHeight="1" x14ac:dyDescent="0.45">
      <c r="A60" s="318"/>
      <c r="B60" s="329"/>
      <c r="C60" s="322"/>
      <c r="D60" s="322"/>
      <c r="E60" s="324"/>
      <c r="F60" s="147" t="s">
        <v>253</v>
      </c>
      <c r="G60" s="147"/>
      <c r="H60" s="147"/>
      <c r="I60" s="147"/>
      <c r="J60" s="148">
        <f>SUM(J57:J59)</f>
        <v>323565569</v>
      </c>
      <c r="K60" s="148">
        <f t="shared" ref="K60:T60" si="24">SUM(K57:K59)</f>
        <v>200721327</v>
      </c>
      <c r="L60" s="148">
        <f t="shared" si="24"/>
        <v>130466037.99999999</v>
      </c>
      <c r="M60" s="148">
        <f t="shared" si="24"/>
        <v>87713406</v>
      </c>
      <c r="N60" s="148">
        <f t="shared" si="24"/>
        <v>63326538</v>
      </c>
      <c r="O60" s="148">
        <f t="shared" si="24"/>
        <v>62259516</v>
      </c>
      <c r="P60" s="148">
        <f t="shared" si="24"/>
        <v>87233742</v>
      </c>
      <c r="Q60" s="148">
        <f t="shared" si="24"/>
        <v>76371831</v>
      </c>
      <c r="R60" s="187">
        <f t="shared" si="24"/>
        <v>14447160</v>
      </c>
      <c r="S60" s="187">
        <f t="shared" si="24"/>
        <v>11689650</v>
      </c>
      <c r="T60" s="187">
        <f t="shared" si="24"/>
        <v>8549730</v>
      </c>
      <c r="U60" s="149">
        <f t="shared" si="13"/>
        <v>1066344507</v>
      </c>
    </row>
    <row r="61" spans="1:24" ht="17.5" customHeight="1" x14ac:dyDescent="0.45">
      <c r="A61" s="317" t="s">
        <v>273</v>
      </c>
      <c r="B61" s="328">
        <v>1934270</v>
      </c>
      <c r="C61" s="321">
        <v>42957</v>
      </c>
      <c r="D61" s="330">
        <v>42990</v>
      </c>
      <c r="E61" s="325">
        <f>D61-C61</f>
        <v>33</v>
      </c>
      <c r="F61" s="131" t="s">
        <v>257</v>
      </c>
      <c r="G61" s="132">
        <v>42990</v>
      </c>
      <c r="H61" s="133">
        <v>14900</v>
      </c>
      <c r="I61" s="133">
        <v>10430</v>
      </c>
      <c r="J61" s="186">
        <v>40414990</v>
      </c>
      <c r="K61" s="186">
        <v>6615140</v>
      </c>
      <c r="L61" s="186"/>
      <c r="M61" s="186"/>
      <c r="N61" s="188"/>
      <c r="O61" s="188"/>
      <c r="P61" s="189"/>
      <c r="Q61" s="189"/>
      <c r="R61" s="189"/>
      <c r="S61" s="189"/>
      <c r="T61" s="189"/>
      <c r="U61" s="135">
        <f t="shared" si="13"/>
        <v>47030130</v>
      </c>
    </row>
    <row r="62" spans="1:24" ht="13" x14ac:dyDescent="0.45">
      <c r="A62" s="317"/>
      <c r="B62" s="328"/>
      <c r="C62" s="321"/>
      <c r="D62" s="321"/>
      <c r="E62" s="323"/>
      <c r="F62" s="136" t="s">
        <v>247</v>
      </c>
      <c r="G62" s="137">
        <v>42999</v>
      </c>
      <c r="H62" s="133">
        <v>9900</v>
      </c>
      <c r="I62" s="133">
        <v>6930</v>
      </c>
      <c r="J62" s="180"/>
      <c r="K62" s="186">
        <v>11576460</v>
      </c>
      <c r="L62" s="186">
        <v>16013549.999999998</v>
      </c>
      <c r="M62" s="186">
        <v>27254850</v>
      </c>
      <c r="N62" s="188">
        <v>5837370</v>
      </c>
      <c r="O62" s="188">
        <v>863520</v>
      </c>
      <c r="P62" s="188">
        <v>124739.99999999999</v>
      </c>
      <c r="Q62" s="188">
        <v>110880</v>
      </c>
      <c r="R62" s="188">
        <v>83160</v>
      </c>
      <c r="S62" s="188">
        <v>83160</v>
      </c>
      <c r="T62" s="188">
        <v>55440</v>
      </c>
      <c r="U62" s="138">
        <f t="shared" si="13"/>
        <v>62003130</v>
      </c>
    </row>
    <row r="63" spans="1:24" ht="13" x14ac:dyDescent="0.45">
      <c r="A63" s="317"/>
      <c r="B63" s="328"/>
      <c r="C63" s="321"/>
      <c r="D63" s="321"/>
      <c r="E63" s="323"/>
      <c r="F63" s="183" t="s">
        <v>248</v>
      </c>
      <c r="G63" s="137">
        <v>43027</v>
      </c>
      <c r="H63" s="133">
        <v>4500</v>
      </c>
      <c r="I63" s="133">
        <v>3150</v>
      </c>
      <c r="J63" s="180"/>
      <c r="K63" s="180"/>
      <c r="L63" s="134"/>
      <c r="M63" s="134"/>
      <c r="N63" s="134"/>
      <c r="O63" s="188">
        <v>4120199.9999999995</v>
      </c>
      <c r="P63" s="188">
        <v>4239900</v>
      </c>
      <c r="Q63" s="188">
        <v>2964150</v>
      </c>
      <c r="R63" s="188">
        <v>2724750</v>
      </c>
      <c r="S63" s="186">
        <v>2031749.9999999998</v>
      </c>
      <c r="T63" s="186">
        <v>1745100</v>
      </c>
      <c r="U63" s="138">
        <f t="shared" si="13"/>
        <v>17825850</v>
      </c>
    </row>
    <row r="64" spans="1:24" s="123" customFormat="1" ht="12.75" customHeight="1" x14ac:dyDescent="0.45">
      <c r="A64" s="318"/>
      <c r="B64" s="329"/>
      <c r="C64" s="322"/>
      <c r="D64" s="322"/>
      <c r="E64" s="324"/>
      <c r="F64" s="147" t="s">
        <v>253</v>
      </c>
      <c r="G64" s="147"/>
      <c r="H64" s="147"/>
      <c r="I64" s="147"/>
      <c r="J64" s="187">
        <f>SUM(J61:J63)</f>
        <v>40414990</v>
      </c>
      <c r="K64" s="187">
        <f t="shared" ref="K64:T64" si="25">SUM(K61:K63)</f>
        <v>18191600</v>
      </c>
      <c r="L64" s="187">
        <f t="shared" si="25"/>
        <v>16013549.999999998</v>
      </c>
      <c r="M64" s="187">
        <f t="shared" si="25"/>
        <v>27254850</v>
      </c>
      <c r="N64" s="187">
        <f t="shared" si="25"/>
        <v>5837370</v>
      </c>
      <c r="O64" s="187">
        <f t="shared" si="25"/>
        <v>4983720</v>
      </c>
      <c r="P64" s="187">
        <f t="shared" si="25"/>
        <v>4364640</v>
      </c>
      <c r="Q64" s="187">
        <f t="shared" si="25"/>
        <v>3075030</v>
      </c>
      <c r="R64" s="187">
        <f t="shared" si="25"/>
        <v>2807910</v>
      </c>
      <c r="S64" s="187">
        <f t="shared" si="25"/>
        <v>2114910</v>
      </c>
      <c r="T64" s="187">
        <f t="shared" si="25"/>
        <v>1800540</v>
      </c>
      <c r="U64" s="149">
        <f t="shared" si="13"/>
        <v>126859110</v>
      </c>
    </row>
    <row r="65" spans="1:21" ht="17.5" customHeight="1" x14ac:dyDescent="0.45">
      <c r="A65" s="326" t="s">
        <v>274</v>
      </c>
      <c r="B65" s="327">
        <v>1373316</v>
      </c>
      <c r="C65" s="330">
        <v>42970</v>
      </c>
      <c r="D65" s="330">
        <v>42997</v>
      </c>
      <c r="E65" s="325">
        <f>D65-C65</f>
        <v>27</v>
      </c>
      <c r="F65" s="142" t="s">
        <v>256</v>
      </c>
      <c r="G65" s="143">
        <v>42997</v>
      </c>
      <c r="H65" s="144">
        <v>10000</v>
      </c>
      <c r="I65" s="144">
        <v>7000</v>
      </c>
      <c r="J65" s="190">
        <v>47425000</v>
      </c>
      <c r="K65" s="190">
        <v>25263000</v>
      </c>
      <c r="L65" s="190">
        <v>30323999.999999996</v>
      </c>
      <c r="M65" s="191">
        <v>5166000</v>
      </c>
      <c r="N65" s="191"/>
      <c r="O65" s="191"/>
      <c r="P65" s="192"/>
      <c r="Q65" s="192"/>
      <c r="R65" s="192"/>
      <c r="S65" s="192"/>
      <c r="T65" s="192"/>
      <c r="U65" s="146">
        <f t="shared" si="13"/>
        <v>108178000</v>
      </c>
    </row>
    <row r="66" spans="1:21" ht="12.75" customHeight="1" x14ac:dyDescent="0.45">
      <c r="A66" s="317"/>
      <c r="B66" s="328"/>
      <c r="C66" s="321"/>
      <c r="D66" s="321"/>
      <c r="E66" s="323"/>
      <c r="F66" s="136" t="s">
        <v>257</v>
      </c>
      <c r="G66" s="137">
        <v>42997</v>
      </c>
      <c r="H66" s="133">
        <v>14900</v>
      </c>
      <c r="I66" s="133">
        <v>10430</v>
      </c>
      <c r="J66" s="186">
        <v>4276300</v>
      </c>
      <c r="K66" s="186">
        <v>1939979.9999999998</v>
      </c>
      <c r="L66" s="186">
        <v>1335040</v>
      </c>
      <c r="M66" s="188">
        <v>271180</v>
      </c>
      <c r="N66" s="188"/>
      <c r="O66" s="188"/>
      <c r="P66" s="188"/>
      <c r="Q66" s="188"/>
      <c r="R66" s="188"/>
      <c r="S66" s="188"/>
      <c r="T66" s="188"/>
      <c r="U66" s="138">
        <f t="shared" si="13"/>
        <v>7822500</v>
      </c>
    </row>
    <row r="67" spans="1:21" ht="13" x14ac:dyDescent="0.45">
      <c r="A67" s="317"/>
      <c r="B67" s="328"/>
      <c r="C67" s="321"/>
      <c r="D67" s="321"/>
      <c r="E67" s="323"/>
      <c r="F67" s="136" t="s">
        <v>247</v>
      </c>
      <c r="G67" s="137">
        <v>43020</v>
      </c>
      <c r="H67" s="133">
        <v>9900</v>
      </c>
      <c r="I67" s="133">
        <v>6930</v>
      </c>
      <c r="J67" s="186"/>
      <c r="K67" s="186"/>
      <c r="L67" s="186"/>
      <c r="M67" s="188">
        <v>183680</v>
      </c>
      <c r="N67" s="188">
        <v>235619.99999999997</v>
      </c>
      <c r="O67" s="188">
        <v>159390</v>
      </c>
      <c r="P67" s="188">
        <v>159390</v>
      </c>
      <c r="Q67" s="188">
        <v>124739.99999999999</v>
      </c>
      <c r="R67" s="188">
        <v>20790</v>
      </c>
      <c r="S67" s="188">
        <v>55440</v>
      </c>
      <c r="T67" s="188">
        <v>34650</v>
      </c>
      <c r="U67" s="138">
        <f t="shared" si="13"/>
        <v>973700</v>
      </c>
    </row>
    <row r="68" spans="1:21" ht="13" x14ac:dyDescent="0.45">
      <c r="A68" s="317"/>
      <c r="B68" s="328"/>
      <c r="C68" s="321"/>
      <c r="D68" s="321"/>
      <c r="E68" s="323"/>
      <c r="F68" s="183" t="s">
        <v>248</v>
      </c>
      <c r="G68" s="137">
        <v>43020</v>
      </c>
      <c r="H68" s="133">
        <v>4500</v>
      </c>
      <c r="I68" s="133">
        <f>+H68*0.7</f>
        <v>3150</v>
      </c>
      <c r="J68" s="186"/>
      <c r="K68" s="186"/>
      <c r="L68" s="186"/>
      <c r="M68" s="188">
        <v>8111249.9999999991</v>
      </c>
      <c r="N68" s="188">
        <v>11138400</v>
      </c>
      <c r="O68" s="188">
        <v>7830899.9999999991</v>
      </c>
      <c r="P68" s="188">
        <v>4822650</v>
      </c>
      <c r="Q68" s="188">
        <v>3370500</v>
      </c>
      <c r="R68" s="186">
        <v>2056950</v>
      </c>
      <c r="S68" s="186">
        <v>1839599.9999999998</v>
      </c>
      <c r="T68" s="186">
        <v>1319850</v>
      </c>
      <c r="U68" s="138">
        <f t="shared" si="13"/>
        <v>40490100</v>
      </c>
    </row>
    <row r="69" spans="1:21" ht="12.75" customHeight="1" x14ac:dyDescent="0.45">
      <c r="A69" s="318"/>
      <c r="B69" s="329"/>
      <c r="C69" s="322"/>
      <c r="D69" s="322"/>
      <c r="E69" s="324"/>
      <c r="F69" s="147" t="s">
        <v>253</v>
      </c>
      <c r="G69" s="193"/>
      <c r="H69" s="194"/>
      <c r="I69" s="194"/>
      <c r="J69" s="187">
        <f>SUM(J65:J68)</f>
        <v>51701300</v>
      </c>
      <c r="K69" s="187">
        <f t="shared" ref="K69:T69" si="26">SUM(K65:K68)</f>
        <v>27202980</v>
      </c>
      <c r="L69" s="187">
        <f t="shared" si="26"/>
        <v>31659039.999999996</v>
      </c>
      <c r="M69" s="187">
        <f t="shared" si="26"/>
        <v>13732110</v>
      </c>
      <c r="N69" s="187">
        <f t="shared" si="26"/>
        <v>11374020</v>
      </c>
      <c r="O69" s="187">
        <f t="shared" si="26"/>
        <v>7990289.9999999991</v>
      </c>
      <c r="P69" s="187">
        <f t="shared" si="26"/>
        <v>4982040</v>
      </c>
      <c r="Q69" s="187">
        <f t="shared" si="26"/>
        <v>3495240</v>
      </c>
      <c r="R69" s="187">
        <f t="shared" si="26"/>
        <v>2077740</v>
      </c>
      <c r="S69" s="187">
        <f t="shared" si="26"/>
        <v>1895039.9999999998</v>
      </c>
      <c r="T69" s="187">
        <f t="shared" si="26"/>
        <v>1354500</v>
      </c>
      <c r="U69" s="195">
        <f t="shared" si="13"/>
        <v>157464300</v>
      </c>
    </row>
    <row r="70" spans="1:21" ht="17.5" customHeight="1" x14ac:dyDescent="0.45">
      <c r="A70" s="326" t="s">
        <v>275</v>
      </c>
      <c r="B70" s="327">
        <v>888836</v>
      </c>
      <c r="C70" s="330">
        <v>42984</v>
      </c>
      <c r="D70" s="330">
        <v>43010</v>
      </c>
      <c r="E70" s="325">
        <f>D70-C70</f>
        <v>26</v>
      </c>
      <c r="F70" s="142" t="s">
        <v>256</v>
      </c>
      <c r="G70" s="143">
        <v>43010</v>
      </c>
      <c r="H70" s="144">
        <v>10000</v>
      </c>
      <c r="I70" s="144">
        <v>7000</v>
      </c>
      <c r="J70" s="190">
        <v>22008000</v>
      </c>
      <c r="K70" s="190">
        <v>17157000</v>
      </c>
      <c r="L70" s="190"/>
      <c r="M70" s="191"/>
      <c r="N70" s="191"/>
      <c r="O70" s="191"/>
      <c r="P70" s="191"/>
      <c r="Q70" s="192"/>
      <c r="R70" s="192"/>
      <c r="S70" s="192"/>
      <c r="T70" s="192"/>
      <c r="U70" s="146">
        <f t="shared" si="13"/>
        <v>39165000</v>
      </c>
    </row>
    <row r="71" spans="1:21" ht="12.75" customHeight="1" x14ac:dyDescent="0.45">
      <c r="A71" s="317"/>
      <c r="B71" s="328"/>
      <c r="C71" s="321"/>
      <c r="D71" s="321"/>
      <c r="E71" s="323"/>
      <c r="F71" s="136" t="s">
        <v>257</v>
      </c>
      <c r="G71" s="137">
        <v>43010</v>
      </c>
      <c r="H71" s="133">
        <v>14900</v>
      </c>
      <c r="I71" s="133">
        <v>10430</v>
      </c>
      <c r="J71" s="186">
        <v>2044279.9999999998</v>
      </c>
      <c r="K71" s="186">
        <v>1783530</v>
      </c>
      <c r="L71" s="186">
        <v>1042999.9999999999</v>
      </c>
      <c r="M71" s="188"/>
      <c r="N71" s="188"/>
      <c r="O71" s="188"/>
      <c r="P71" s="188"/>
      <c r="Q71" s="188"/>
      <c r="R71" s="188"/>
      <c r="S71" s="189"/>
      <c r="T71" s="189"/>
      <c r="U71" s="138">
        <f t="shared" si="13"/>
        <v>4870810</v>
      </c>
    </row>
    <row r="72" spans="1:21" ht="12.75" customHeight="1" x14ac:dyDescent="0.45">
      <c r="A72" s="317"/>
      <c r="B72" s="328"/>
      <c r="C72" s="321"/>
      <c r="D72" s="321"/>
      <c r="E72" s="323"/>
      <c r="F72" s="136" t="s">
        <v>247</v>
      </c>
      <c r="G72" s="137">
        <v>43025</v>
      </c>
      <c r="H72" s="133">
        <v>9900</v>
      </c>
      <c r="I72" s="133">
        <v>6930</v>
      </c>
      <c r="J72" s="186"/>
      <c r="K72" s="186"/>
      <c r="L72" s="186">
        <v>11621610</v>
      </c>
      <c r="M72" s="188">
        <v>6874560</v>
      </c>
      <c r="N72" s="188">
        <v>3520440</v>
      </c>
      <c r="O72" s="188">
        <v>3167010</v>
      </c>
      <c r="P72" s="188">
        <v>977130</v>
      </c>
      <c r="Q72" s="188">
        <v>145530</v>
      </c>
      <c r="R72" s="188">
        <v>145530</v>
      </c>
      <c r="S72" s="196">
        <v>381150</v>
      </c>
      <c r="T72" s="196">
        <v>228690</v>
      </c>
      <c r="U72" s="138">
        <f t="shared" si="13"/>
        <v>27061650</v>
      </c>
    </row>
    <row r="73" spans="1:21" ht="12.75" customHeight="1" x14ac:dyDescent="0.45">
      <c r="A73" s="317"/>
      <c r="B73" s="328"/>
      <c r="C73" s="321"/>
      <c r="D73" s="321"/>
      <c r="E73" s="323"/>
      <c r="F73" s="131" t="s">
        <v>248</v>
      </c>
      <c r="G73" s="137">
        <v>43055</v>
      </c>
      <c r="H73" s="133">
        <v>4500</v>
      </c>
      <c r="I73" s="133">
        <f>+H73*0.7</f>
        <v>3150</v>
      </c>
      <c r="J73" s="186"/>
      <c r="K73" s="186"/>
      <c r="L73" s="186"/>
      <c r="M73" s="188"/>
      <c r="N73" s="188"/>
      <c r="O73" s="188"/>
      <c r="P73" s="188">
        <v>4022550</v>
      </c>
      <c r="Q73" s="186">
        <v>4617900</v>
      </c>
      <c r="R73" s="186">
        <v>3200400</v>
      </c>
      <c r="S73" s="196">
        <v>3345300</v>
      </c>
      <c r="T73" s="196">
        <v>3559500</v>
      </c>
      <c r="U73" s="138">
        <f t="shared" si="13"/>
        <v>18745650</v>
      </c>
    </row>
    <row r="74" spans="1:21" ht="12.75" customHeight="1" x14ac:dyDescent="0.45">
      <c r="A74" s="318"/>
      <c r="B74" s="329"/>
      <c r="C74" s="322"/>
      <c r="D74" s="322"/>
      <c r="E74" s="324"/>
      <c r="F74" s="147" t="s">
        <v>253</v>
      </c>
      <c r="G74" s="193"/>
      <c r="H74" s="194"/>
      <c r="I74" s="194"/>
      <c r="J74" s="187">
        <f>SUM(J70:J73)</f>
        <v>24052280</v>
      </c>
      <c r="K74" s="197">
        <f t="shared" ref="K74:T74" si="27">SUM(K70:K73)</f>
        <v>18940530</v>
      </c>
      <c r="L74" s="187">
        <f>SUM(L70:L73)</f>
        <v>12664610</v>
      </c>
      <c r="M74" s="187">
        <f t="shared" si="27"/>
        <v>6874560</v>
      </c>
      <c r="N74" s="187">
        <f t="shared" si="27"/>
        <v>3520440</v>
      </c>
      <c r="O74" s="187">
        <f t="shared" si="27"/>
        <v>3167010</v>
      </c>
      <c r="P74" s="187">
        <f t="shared" si="27"/>
        <v>4999680</v>
      </c>
      <c r="Q74" s="187">
        <f t="shared" si="27"/>
        <v>4763430</v>
      </c>
      <c r="R74" s="187">
        <f>SUM(R70:R73)</f>
        <v>3345930</v>
      </c>
      <c r="S74" s="187">
        <f t="shared" si="27"/>
        <v>3726450</v>
      </c>
      <c r="T74" s="187">
        <f t="shared" si="27"/>
        <v>3788190</v>
      </c>
      <c r="U74" s="195">
        <f t="shared" si="13"/>
        <v>89843110</v>
      </c>
    </row>
    <row r="75" spans="1:21" ht="16.5" customHeight="1" x14ac:dyDescent="0.45">
      <c r="A75" s="332" t="s">
        <v>276</v>
      </c>
      <c r="B75" s="327">
        <v>154966</v>
      </c>
      <c r="C75" s="330">
        <v>43006</v>
      </c>
      <c r="D75" s="330">
        <v>43034</v>
      </c>
      <c r="E75" s="325">
        <f>D75-C75</f>
        <v>28</v>
      </c>
      <c r="F75" s="142" t="s">
        <v>251</v>
      </c>
      <c r="G75" s="143">
        <v>43034</v>
      </c>
      <c r="H75" s="133">
        <v>9900</v>
      </c>
      <c r="I75" s="133">
        <v>6930</v>
      </c>
      <c r="J75" s="191">
        <v>8316000</v>
      </c>
      <c r="K75" s="191">
        <v>4767840</v>
      </c>
      <c r="L75" s="191">
        <v>2307690</v>
      </c>
      <c r="M75" s="191">
        <v>1635480</v>
      </c>
      <c r="N75" s="191">
        <v>921690</v>
      </c>
      <c r="O75" s="191">
        <v>658350</v>
      </c>
      <c r="P75" s="191">
        <v>1171170</v>
      </c>
      <c r="Q75" s="191">
        <v>1379070</v>
      </c>
      <c r="R75" s="191">
        <v>956340</v>
      </c>
      <c r="S75" s="191">
        <v>859320</v>
      </c>
      <c r="T75" s="191">
        <v>547470</v>
      </c>
      <c r="U75" s="198">
        <f t="shared" si="13"/>
        <v>23520420</v>
      </c>
    </row>
    <row r="76" spans="1:21" ht="13" x14ac:dyDescent="0.45">
      <c r="A76" s="333"/>
      <c r="B76" s="328"/>
      <c r="C76" s="321"/>
      <c r="D76" s="321"/>
      <c r="E76" s="323"/>
      <c r="F76" s="136" t="s">
        <v>252</v>
      </c>
      <c r="G76" s="137">
        <v>43034</v>
      </c>
      <c r="H76" s="133">
        <v>4500</v>
      </c>
      <c r="I76" s="133">
        <f>+H76*0.7</f>
        <v>3150</v>
      </c>
      <c r="J76" s="188">
        <v>10817100</v>
      </c>
      <c r="K76" s="188">
        <v>6693750</v>
      </c>
      <c r="L76" s="188">
        <v>3496500</v>
      </c>
      <c r="M76" s="188">
        <v>2170350</v>
      </c>
      <c r="N76" s="188">
        <v>1285200</v>
      </c>
      <c r="O76" s="188">
        <v>1149750</v>
      </c>
      <c r="P76" s="188">
        <v>4567500</v>
      </c>
      <c r="Q76" s="188">
        <v>5046300</v>
      </c>
      <c r="R76" s="188">
        <v>2403450</v>
      </c>
      <c r="S76" s="188">
        <v>2176650</v>
      </c>
      <c r="T76" s="188">
        <v>1335600</v>
      </c>
      <c r="U76" s="199">
        <f t="shared" si="13"/>
        <v>41142150</v>
      </c>
    </row>
    <row r="77" spans="1:21" ht="13" x14ac:dyDescent="0.45">
      <c r="A77" s="334"/>
      <c r="B77" s="329"/>
      <c r="C77" s="322"/>
      <c r="D77" s="322"/>
      <c r="E77" s="324"/>
      <c r="F77" s="147" t="s">
        <v>253</v>
      </c>
      <c r="G77" s="200"/>
      <c r="H77" s="200"/>
      <c r="I77" s="200"/>
      <c r="J77" s="187">
        <f>SUM(J75:J76)</f>
        <v>19133100</v>
      </c>
      <c r="K77" s="187">
        <f t="shared" ref="K77:Q77" si="28">SUM(K75:K76)</f>
        <v>11461590</v>
      </c>
      <c r="L77" s="187">
        <f t="shared" si="28"/>
        <v>5804190</v>
      </c>
      <c r="M77" s="187">
        <f t="shared" si="28"/>
        <v>3805830</v>
      </c>
      <c r="N77" s="187">
        <f t="shared" si="28"/>
        <v>2206890</v>
      </c>
      <c r="O77" s="187">
        <f t="shared" si="28"/>
        <v>1808100</v>
      </c>
      <c r="P77" s="187">
        <f t="shared" si="28"/>
        <v>5738670</v>
      </c>
      <c r="Q77" s="187">
        <f t="shared" si="28"/>
        <v>6425370</v>
      </c>
      <c r="R77" s="187">
        <f>SUM(R75:R76)</f>
        <v>3359790</v>
      </c>
      <c r="S77" s="187">
        <f>SUM(S75:S76)</f>
        <v>3035970</v>
      </c>
      <c r="T77" s="187">
        <f>SUM(T75:T76)</f>
        <v>1883070</v>
      </c>
      <c r="U77" s="201">
        <f t="shared" si="13"/>
        <v>64662570</v>
      </c>
    </row>
    <row r="78" spans="1:21" ht="17.5" customHeight="1" x14ac:dyDescent="0.45">
      <c r="A78" s="317" t="s">
        <v>277</v>
      </c>
      <c r="B78" s="328">
        <v>1028384</v>
      </c>
      <c r="C78" s="321">
        <v>43027</v>
      </c>
      <c r="D78" s="330">
        <v>43053</v>
      </c>
      <c r="E78" s="325">
        <f>D78-C78</f>
        <v>26</v>
      </c>
      <c r="F78" s="131" t="s">
        <v>257</v>
      </c>
      <c r="G78" s="132">
        <v>43053</v>
      </c>
      <c r="H78" s="133">
        <v>14900</v>
      </c>
      <c r="I78" s="133">
        <v>10430</v>
      </c>
      <c r="J78" s="186">
        <v>90970460</v>
      </c>
      <c r="K78" s="186">
        <v>13287820</v>
      </c>
      <c r="L78" s="186"/>
      <c r="M78" s="186"/>
      <c r="N78" s="186"/>
      <c r="O78" s="186"/>
      <c r="P78" s="186"/>
      <c r="Q78" s="186"/>
      <c r="R78" s="186"/>
      <c r="S78" s="186"/>
      <c r="T78" s="202"/>
      <c r="U78" s="203">
        <f>SUM(J78:T78)</f>
        <v>104258280</v>
      </c>
    </row>
    <row r="79" spans="1:21" ht="13" x14ac:dyDescent="0.45">
      <c r="A79" s="317"/>
      <c r="B79" s="328"/>
      <c r="C79" s="321"/>
      <c r="D79" s="321"/>
      <c r="E79" s="323"/>
      <c r="F79" s="136" t="s">
        <v>247</v>
      </c>
      <c r="G79" s="137">
        <v>43062</v>
      </c>
      <c r="H79" s="133">
        <v>9900</v>
      </c>
      <c r="I79" s="133">
        <v>6930</v>
      </c>
      <c r="J79" s="186"/>
      <c r="K79" s="186">
        <v>36241870</v>
      </c>
      <c r="L79" s="186">
        <v>32716529.999999996</v>
      </c>
      <c r="M79" s="186">
        <v>27408150</v>
      </c>
      <c r="N79" s="186">
        <v>20200950</v>
      </c>
      <c r="O79" s="186">
        <v>4372830</v>
      </c>
      <c r="P79" s="186">
        <v>1115730</v>
      </c>
      <c r="Q79" s="186">
        <v>880110</v>
      </c>
      <c r="R79" s="186">
        <v>582120</v>
      </c>
      <c r="S79" s="186">
        <v>256409.99999999997</v>
      </c>
      <c r="T79" s="202">
        <f>7923960+291060</f>
        <v>8215020</v>
      </c>
      <c r="U79" s="204">
        <f t="shared" ref="U79:U84" si="29">SUM(J79:T79)</f>
        <v>131989720</v>
      </c>
    </row>
    <row r="80" spans="1:21" ht="13" x14ac:dyDescent="0.45">
      <c r="A80" s="317"/>
      <c r="B80" s="328"/>
      <c r="C80" s="321"/>
      <c r="D80" s="321"/>
      <c r="E80" s="323"/>
      <c r="F80" s="183" t="s">
        <v>248</v>
      </c>
      <c r="G80" s="137">
        <v>43090</v>
      </c>
      <c r="H80" s="133">
        <v>4500</v>
      </c>
      <c r="I80" s="133">
        <v>3150</v>
      </c>
      <c r="J80" s="186"/>
      <c r="K80" s="186"/>
      <c r="L80" s="188"/>
      <c r="M80" s="188"/>
      <c r="N80" s="188"/>
      <c r="O80" s="188">
        <v>21675150</v>
      </c>
      <c r="P80" s="188">
        <v>34325550</v>
      </c>
      <c r="Q80" s="188">
        <v>22922550</v>
      </c>
      <c r="R80" s="188">
        <v>13340250</v>
      </c>
      <c r="S80" s="188">
        <v>7726949.9999999991</v>
      </c>
      <c r="T80" s="205">
        <f>153130950+7027650</f>
        <v>160158600</v>
      </c>
      <c r="U80" s="199">
        <f t="shared" si="29"/>
        <v>260149050</v>
      </c>
    </row>
    <row r="81" spans="1:21" s="123" customFormat="1" ht="12.75" customHeight="1" x14ac:dyDescent="0.45">
      <c r="A81" s="318"/>
      <c r="B81" s="329"/>
      <c r="C81" s="322"/>
      <c r="D81" s="322"/>
      <c r="E81" s="324"/>
      <c r="F81" s="147" t="s">
        <v>253</v>
      </c>
      <c r="G81" s="147"/>
      <c r="H81" s="147"/>
      <c r="I81" s="147"/>
      <c r="J81" s="187">
        <f>SUM(J78:J80)</f>
        <v>90970460</v>
      </c>
      <c r="K81" s="187">
        <f t="shared" ref="K81:S81" si="30">SUM(K78:K80)</f>
        <v>49529690</v>
      </c>
      <c r="L81" s="187">
        <f t="shared" si="30"/>
        <v>32716529.999999996</v>
      </c>
      <c r="M81" s="187">
        <f t="shared" si="30"/>
        <v>27408150</v>
      </c>
      <c r="N81" s="187">
        <f t="shared" si="30"/>
        <v>20200950</v>
      </c>
      <c r="O81" s="187">
        <f>SUM(O78:O80)</f>
        <v>26047980</v>
      </c>
      <c r="P81" s="187">
        <f>SUM(P78:P80)</f>
        <v>35441280</v>
      </c>
      <c r="Q81" s="187">
        <f>SUM(Q78:Q80)</f>
        <v>23802660</v>
      </c>
      <c r="R81" s="187">
        <f t="shared" si="30"/>
        <v>13922370</v>
      </c>
      <c r="S81" s="187">
        <f t="shared" si="30"/>
        <v>7983359.9999999991</v>
      </c>
      <c r="T81" s="206">
        <f>SUM(T78:T80)</f>
        <v>168373620</v>
      </c>
      <c r="U81" s="201">
        <f t="shared" si="29"/>
        <v>496397050</v>
      </c>
    </row>
    <row r="82" spans="1:21" ht="13" x14ac:dyDescent="0.45">
      <c r="A82" s="317" t="s">
        <v>278</v>
      </c>
      <c r="B82" s="327">
        <v>2792189</v>
      </c>
      <c r="C82" s="330">
        <v>42936</v>
      </c>
      <c r="D82" s="330">
        <v>43082</v>
      </c>
      <c r="E82" s="325">
        <f>D82-C82</f>
        <v>146</v>
      </c>
      <c r="F82" s="142" t="s">
        <v>251</v>
      </c>
      <c r="G82" s="137">
        <v>43082</v>
      </c>
      <c r="H82" s="133">
        <v>9900</v>
      </c>
      <c r="I82" s="133">
        <v>6930</v>
      </c>
      <c r="J82" s="186">
        <v>60491970</v>
      </c>
      <c r="K82" s="186">
        <v>28198170</v>
      </c>
      <c r="L82" s="186">
        <v>24767820</v>
      </c>
      <c r="M82" s="186">
        <v>15786539.999999998</v>
      </c>
      <c r="N82" s="186">
        <v>3083850</v>
      </c>
      <c r="O82" s="205">
        <f>5956632+388080</f>
        <v>6344712</v>
      </c>
      <c r="P82" s="205">
        <f>2780217+318780</f>
        <v>3098997</v>
      </c>
      <c r="Q82" s="205">
        <f>1940004+235620</f>
        <v>2175624</v>
      </c>
      <c r="R82" s="205">
        <f>997326+214830</f>
        <v>1212156</v>
      </c>
      <c r="S82" s="205">
        <f>587466+152460</f>
        <v>739926</v>
      </c>
      <c r="T82" s="205">
        <f>327888+291060</f>
        <v>618948</v>
      </c>
      <c r="U82" s="138">
        <f t="shared" si="29"/>
        <v>146518713</v>
      </c>
    </row>
    <row r="83" spans="1:21" ht="13" x14ac:dyDescent="0.45">
      <c r="A83" s="317"/>
      <c r="B83" s="328">
        <v>2788597</v>
      </c>
      <c r="C83" s="321"/>
      <c r="D83" s="321"/>
      <c r="E83" s="323"/>
      <c r="F83" s="136" t="s">
        <v>252</v>
      </c>
      <c r="G83" s="137">
        <v>42746</v>
      </c>
      <c r="H83" s="133">
        <v>4500</v>
      </c>
      <c r="I83" s="133">
        <v>3150</v>
      </c>
      <c r="J83" s="207"/>
      <c r="K83" s="208"/>
      <c r="L83" s="208"/>
      <c r="M83" s="208"/>
      <c r="N83" s="188">
        <v>11601450</v>
      </c>
      <c r="O83" s="205">
        <f>71281350+8057700</f>
        <v>79339050</v>
      </c>
      <c r="P83" s="205">
        <f>52088400+6624450</f>
        <v>58712850</v>
      </c>
      <c r="Q83" s="205">
        <f>30454200+4725000</f>
        <v>35179200</v>
      </c>
      <c r="R83" s="205">
        <f>13916700+2655450</f>
        <v>16572150</v>
      </c>
      <c r="S83" s="205">
        <f>16653000+4125450</f>
        <v>20778450</v>
      </c>
      <c r="T83" s="205">
        <f>5715337+1086400</f>
        <v>6801737</v>
      </c>
      <c r="U83" s="138">
        <f t="shared" si="29"/>
        <v>228984887</v>
      </c>
    </row>
    <row r="84" spans="1:21" s="123" customFormat="1" ht="12.75" customHeight="1" x14ac:dyDescent="0.45">
      <c r="A84" s="318"/>
      <c r="B84" s="329">
        <v>2788597</v>
      </c>
      <c r="C84" s="322"/>
      <c r="D84" s="322"/>
      <c r="E84" s="324"/>
      <c r="F84" s="147" t="s">
        <v>253</v>
      </c>
      <c r="G84" s="147"/>
      <c r="H84" s="147"/>
      <c r="I84" s="147"/>
      <c r="J84" s="187">
        <f>SUM(J82:J83)</f>
        <v>60491970</v>
      </c>
      <c r="K84" s="187">
        <f>SUM(K82:K83)</f>
        <v>28198170</v>
      </c>
      <c r="L84" s="187">
        <f t="shared" ref="L84:T84" si="31">SUM(L82:L83)</f>
        <v>24767820</v>
      </c>
      <c r="M84" s="187">
        <f>SUM(M82:M83)</f>
        <v>15786539.999999998</v>
      </c>
      <c r="N84" s="187">
        <f t="shared" si="31"/>
        <v>14685300</v>
      </c>
      <c r="O84" s="206">
        <f t="shared" si="31"/>
        <v>85683762</v>
      </c>
      <c r="P84" s="206">
        <f t="shared" si="31"/>
        <v>61811847</v>
      </c>
      <c r="Q84" s="206">
        <f t="shared" si="31"/>
        <v>37354824</v>
      </c>
      <c r="R84" s="206">
        <f t="shared" si="31"/>
        <v>17784306</v>
      </c>
      <c r="S84" s="206">
        <f t="shared" si="31"/>
        <v>21518376</v>
      </c>
      <c r="T84" s="206">
        <f t="shared" si="31"/>
        <v>7420685</v>
      </c>
      <c r="U84" s="149">
        <f t="shared" si="29"/>
        <v>375503600</v>
      </c>
    </row>
    <row r="85" spans="1:21" ht="17.5" customHeight="1" x14ac:dyDescent="0.45">
      <c r="A85" s="317" t="s">
        <v>279</v>
      </c>
      <c r="B85" s="328">
        <v>1786386</v>
      </c>
      <c r="C85" s="321">
        <v>43054</v>
      </c>
      <c r="D85" s="330">
        <v>43088</v>
      </c>
      <c r="E85" s="325">
        <f>D85-C85</f>
        <v>34</v>
      </c>
      <c r="F85" s="131" t="s">
        <v>257</v>
      </c>
      <c r="G85" s="132">
        <v>43088</v>
      </c>
      <c r="H85" s="133">
        <v>14900</v>
      </c>
      <c r="I85" s="133">
        <v>10430</v>
      </c>
      <c r="J85" s="186">
        <v>147594930</v>
      </c>
      <c r="K85" s="186">
        <v>67648980</v>
      </c>
      <c r="L85" s="186">
        <v>18200350</v>
      </c>
      <c r="M85" s="202"/>
      <c r="N85" s="205"/>
      <c r="O85" s="205"/>
      <c r="T85" s="181"/>
      <c r="U85" s="135">
        <f t="shared" ref="U85:U88" si="32">SUM(J85:T85)</f>
        <v>233444260</v>
      </c>
    </row>
    <row r="86" spans="1:21" ht="13" x14ac:dyDescent="0.45">
      <c r="A86" s="317"/>
      <c r="B86" s="328"/>
      <c r="C86" s="321"/>
      <c r="D86" s="321"/>
      <c r="E86" s="323"/>
      <c r="F86" s="136" t="s">
        <v>247</v>
      </c>
      <c r="G86" s="137">
        <v>43104</v>
      </c>
      <c r="H86" s="133">
        <v>9900</v>
      </c>
      <c r="I86" s="133">
        <v>6930</v>
      </c>
      <c r="J86" s="207"/>
      <c r="K86" s="209"/>
      <c r="L86" s="186">
        <v>25083940</v>
      </c>
      <c r="M86" s="202">
        <f>124740891+30041550</f>
        <v>154782441</v>
      </c>
      <c r="N86" s="205">
        <f>104917329+17082450</f>
        <v>121999779</v>
      </c>
      <c r="O86" s="205">
        <f>56273778+11392920</f>
        <v>67666698</v>
      </c>
      <c r="P86" s="205">
        <f>14536368+3458070</f>
        <v>17994438</v>
      </c>
      <c r="Q86" s="205">
        <f>1912680+1178100</f>
        <v>3090780</v>
      </c>
      <c r="R86" s="205">
        <f>1161270+1233540</f>
        <v>2394810</v>
      </c>
      <c r="S86" s="205">
        <f>505317+582120</f>
        <v>1087437</v>
      </c>
      <c r="T86" s="205">
        <f>785565+644490</f>
        <v>1430055</v>
      </c>
      <c r="U86" s="138">
        <f t="shared" si="32"/>
        <v>395530378</v>
      </c>
    </row>
    <row r="87" spans="1:21" ht="13" x14ac:dyDescent="0.45">
      <c r="A87" s="317"/>
      <c r="B87" s="328"/>
      <c r="C87" s="321"/>
      <c r="D87" s="321"/>
      <c r="E87" s="323"/>
      <c r="F87" s="183" t="s">
        <v>248</v>
      </c>
      <c r="G87" s="137">
        <v>43132</v>
      </c>
      <c r="H87" s="133">
        <v>4500</v>
      </c>
      <c r="I87" s="133">
        <v>3150</v>
      </c>
      <c r="J87" s="186"/>
      <c r="K87" s="186"/>
      <c r="L87" s="186"/>
      <c r="M87" s="205"/>
      <c r="N87" s="205"/>
      <c r="O87" s="205"/>
      <c r="P87" s="205">
        <f>37015650+13945050</f>
        <v>50960700</v>
      </c>
      <c r="Q87" s="205">
        <f>33777450+14089950</f>
        <v>47867400</v>
      </c>
      <c r="R87" s="205">
        <f>24547950+13157550</f>
        <v>37705500</v>
      </c>
      <c r="S87" s="205">
        <f>10236380+5462100</f>
        <v>15698480</v>
      </c>
      <c r="T87" s="205">
        <f>11368350+6129900</f>
        <v>17498250</v>
      </c>
      <c r="U87" s="138">
        <f t="shared" si="32"/>
        <v>169730330</v>
      </c>
    </row>
    <row r="88" spans="1:21" s="123" customFormat="1" ht="12.75" customHeight="1" x14ac:dyDescent="0.45">
      <c r="A88" s="318"/>
      <c r="B88" s="329"/>
      <c r="C88" s="322"/>
      <c r="D88" s="322"/>
      <c r="E88" s="324"/>
      <c r="F88" s="147" t="s">
        <v>253</v>
      </c>
      <c r="G88" s="147"/>
      <c r="H88" s="147"/>
      <c r="I88" s="147"/>
      <c r="J88" s="187">
        <f>SUM(J85:J87)</f>
        <v>147594930</v>
      </c>
      <c r="K88" s="197">
        <f t="shared" ref="K88:T88" si="33">SUM(K85:K87)</f>
        <v>67648980</v>
      </c>
      <c r="L88" s="197">
        <f>SUM(L85:L87)</f>
        <v>43284290</v>
      </c>
      <c r="M88" s="206">
        <f t="shared" si="33"/>
        <v>154782441</v>
      </c>
      <c r="N88" s="206">
        <f t="shared" si="33"/>
        <v>121999779</v>
      </c>
      <c r="O88" s="206">
        <f t="shared" si="33"/>
        <v>67666698</v>
      </c>
      <c r="P88" s="206">
        <f t="shared" si="33"/>
        <v>68955138</v>
      </c>
      <c r="Q88" s="206">
        <f t="shared" si="33"/>
        <v>50958180</v>
      </c>
      <c r="R88" s="206">
        <f t="shared" si="33"/>
        <v>40100310</v>
      </c>
      <c r="S88" s="206">
        <f t="shared" si="33"/>
        <v>16785917</v>
      </c>
      <c r="T88" s="206">
        <f t="shared" si="33"/>
        <v>18928305</v>
      </c>
      <c r="U88" s="149">
        <f t="shared" si="32"/>
        <v>798704968</v>
      </c>
    </row>
    <row r="89" spans="1:21" ht="17.5" customHeight="1" x14ac:dyDescent="0.45">
      <c r="A89" s="317" t="s">
        <v>280</v>
      </c>
      <c r="B89" s="328">
        <v>2251317</v>
      </c>
      <c r="C89" s="321">
        <v>43187</v>
      </c>
      <c r="D89" s="330">
        <v>43222</v>
      </c>
      <c r="E89" s="325">
        <f>D89-C89</f>
        <v>35</v>
      </c>
      <c r="F89" s="131" t="s">
        <v>257</v>
      </c>
      <c r="G89" s="132">
        <v>43222</v>
      </c>
      <c r="H89" s="133">
        <v>14900</v>
      </c>
      <c r="I89" s="133">
        <v>10281</v>
      </c>
      <c r="J89" s="202">
        <f>161966874+96779970</f>
        <v>258746844</v>
      </c>
      <c r="K89" s="202">
        <f>118087566+75471480</f>
        <v>193559046</v>
      </c>
      <c r="L89" s="202">
        <f>16593534+10930640</f>
        <v>27524174</v>
      </c>
      <c r="M89" s="202"/>
      <c r="N89" s="205"/>
      <c r="O89" s="205"/>
      <c r="T89" s="181"/>
      <c r="U89" s="135">
        <f>SUM(J89:T89)</f>
        <v>479830064</v>
      </c>
    </row>
    <row r="90" spans="1:21" ht="13" x14ac:dyDescent="0.45">
      <c r="A90" s="317"/>
      <c r="B90" s="328"/>
      <c r="C90" s="321"/>
      <c r="D90" s="321"/>
      <c r="E90" s="323"/>
      <c r="F90" s="136" t="s">
        <v>247</v>
      </c>
      <c r="G90" s="137">
        <v>43237</v>
      </c>
      <c r="H90" s="133">
        <v>9900</v>
      </c>
      <c r="I90" s="133">
        <v>6831</v>
      </c>
      <c r="J90" s="202"/>
      <c r="K90" s="202"/>
      <c r="L90" s="202">
        <f>56553849+37409330</f>
        <v>93963179</v>
      </c>
      <c r="M90" s="202">
        <f>62302399+41933430</f>
        <v>104235829</v>
      </c>
      <c r="N90" s="205">
        <f>37693458+21406770</f>
        <v>59100228</v>
      </c>
      <c r="O90" s="205">
        <f>36033525+20852370</f>
        <v>56885895</v>
      </c>
      <c r="P90" s="205">
        <f>6591915+3229380</f>
        <v>9821295</v>
      </c>
      <c r="Q90" s="205">
        <f>2069793+1330560</f>
        <v>3400353</v>
      </c>
      <c r="R90" s="202">
        <f>2711907+1878030</f>
        <v>4589937</v>
      </c>
      <c r="S90" s="205">
        <f>1694088+1101870</f>
        <v>2795958</v>
      </c>
      <c r="T90" s="205">
        <f>1564299+1032570</f>
        <v>2596869</v>
      </c>
      <c r="U90" s="138">
        <f>SUM(J90:T90)</f>
        <v>337389543</v>
      </c>
    </row>
    <row r="91" spans="1:21" ht="13" x14ac:dyDescent="0.45">
      <c r="A91" s="317"/>
      <c r="B91" s="328"/>
      <c r="C91" s="321"/>
      <c r="D91" s="321"/>
      <c r="E91" s="323"/>
      <c r="F91" s="183" t="s">
        <v>248</v>
      </c>
      <c r="G91" s="137">
        <v>43263</v>
      </c>
      <c r="H91" s="133">
        <v>4500</v>
      </c>
      <c r="I91" s="133">
        <v>3150</v>
      </c>
      <c r="J91" s="205"/>
      <c r="K91" s="205"/>
      <c r="L91" s="205"/>
      <c r="M91" s="205"/>
      <c r="N91" s="205"/>
      <c r="O91" s="205"/>
      <c r="P91" s="205">
        <f>38883600+17670100</f>
        <v>56553700</v>
      </c>
      <c r="Q91" s="205">
        <f>26475750+12652500</f>
        <v>39128250</v>
      </c>
      <c r="R91" s="202">
        <f>26652150+14276500</f>
        <v>40928650</v>
      </c>
      <c r="S91" s="205">
        <f>17186400+11231500</f>
        <v>28417900</v>
      </c>
      <c r="T91" s="205">
        <f>16143750+9320500</f>
        <v>25464250</v>
      </c>
      <c r="U91" s="138">
        <f t="shared" ref="U91" si="34">SUM(J91:T91)</f>
        <v>190492750</v>
      </c>
    </row>
    <row r="92" spans="1:21" s="123" customFormat="1" ht="12.75" customHeight="1" x14ac:dyDescent="0.45">
      <c r="A92" s="318"/>
      <c r="B92" s="329"/>
      <c r="C92" s="322"/>
      <c r="D92" s="322"/>
      <c r="E92" s="324"/>
      <c r="F92" s="147" t="s">
        <v>253</v>
      </c>
      <c r="G92" s="147"/>
      <c r="H92" s="147"/>
      <c r="I92" s="147"/>
      <c r="J92" s="206">
        <f>SUM(J89:J91)</f>
        <v>258746844</v>
      </c>
      <c r="K92" s="206">
        <f t="shared" ref="K92:T92" si="35">SUM(K89:K91)</f>
        <v>193559046</v>
      </c>
      <c r="L92" s="206">
        <f t="shared" si="35"/>
        <v>121487353</v>
      </c>
      <c r="M92" s="206">
        <f t="shared" si="35"/>
        <v>104235829</v>
      </c>
      <c r="N92" s="206">
        <f t="shared" si="35"/>
        <v>59100228</v>
      </c>
      <c r="O92" s="206">
        <f t="shared" si="35"/>
        <v>56885895</v>
      </c>
      <c r="P92" s="206">
        <f t="shared" si="35"/>
        <v>66374995</v>
      </c>
      <c r="Q92" s="206">
        <f t="shared" si="35"/>
        <v>42528603</v>
      </c>
      <c r="R92" s="206">
        <f t="shared" si="35"/>
        <v>45518587</v>
      </c>
      <c r="S92" s="206">
        <f t="shared" si="35"/>
        <v>31213858</v>
      </c>
      <c r="T92" s="206">
        <f t="shared" si="35"/>
        <v>28061119</v>
      </c>
      <c r="U92" s="149">
        <f>SUM(J92:T92)</f>
        <v>1007712357</v>
      </c>
    </row>
    <row r="93" spans="1:21" ht="17.5" customHeight="1" x14ac:dyDescent="0.45">
      <c r="A93" s="317" t="s">
        <v>281</v>
      </c>
      <c r="B93" s="328">
        <v>1385517</v>
      </c>
      <c r="C93" s="321">
        <v>43202</v>
      </c>
      <c r="D93" s="330">
        <v>43230</v>
      </c>
      <c r="E93" s="325">
        <f>D93-C93</f>
        <v>28</v>
      </c>
      <c r="F93" s="131" t="s">
        <v>257</v>
      </c>
      <c r="G93" s="132">
        <v>43230</v>
      </c>
      <c r="H93" s="133">
        <v>14900</v>
      </c>
      <c r="I93" s="133">
        <v>10281</v>
      </c>
      <c r="J93" s="202">
        <f>184698165+89374670</f>
        <v>274072835</v>
      </c>
      <c r="K93" s="202">
        <f>157576887+76055560</f>
        <v>233632447</v>
      </c>
      <c r="L93" s="202">
        <f>48000701+29214430</f>
        <v>77215131</v>
      </c>
      <c r="M93" s="202"/>
      <c r="N93" s="205"/>
      <c r="O93" s="205"/>
      <c r="T93" s="181"/>
      <c r="U93" s="135">
        <f>SUM(J93:T93)</f>
        <v>584920413</v>
      </c>
    </row>
    <row r="94" spans="1:21" ht="13" x14ac:dyDescent="0.45">
      <c r="A94" s="317"/>
      <c r="B94" s="328"/>
      <c r="C94" s="321"/>
      <c r="D94" s="321"/>
      <c r="E94" s="323"/>
      <c r="F94" s="136" t="s">
        <v>247</v>
      </c>
      <c r="G94" s="137">
        <v>43244</v>
      </c>
      <c r="H94" s="133">
        <v>9900</v>
      </c>
      <c r="I94" s="133">
        <v>6831</v>
      </c>
      <c r="J94" s="202"/>
      <c r="K94" s="202"/>
      <c r="L94" s="202">
        <f>108110190+43313270</f>
        <v>151423460</v>
      </c>
      <c r="M94" s="202">
        <f>115594182+45543960</f>
        <v>161138142</v>
      </c>
      <c r="N94" s="205">
        <f>112110372+45640980</f>
        <v>157751352</v>
      </c>
      <c r="O94" s="205">
        <f>69498594+27761580</f>
        <v>97260174</v>
      </c>
      <c r="P94" s="205">
        <f>16954542+10907820</f>
        <v>27862362</v>
      </c>
      <c r="Q94" s="202">
        <f>3422331+2536380</f>
        <v>5958711</v>
      </c>
      <c r="R94" s="205">
        <f>2267892+1406790</f>
        <v>3674682</v>
      </c>
      <c r="S94" s="205">
        <f>1796553+1060290</f>
        <v>2856843</v>
      </c>
      <c r="T94" s="205">
        <f>1243242+866250</f>
        <v>2109492</v>
      </c>
      <c r="U94" s="138">
        <f>SUM(J94:T94)</f>
        <v>610035218</v>
      </c>
    </row>
    <row r="95" spans="1:21" ht="13" x14ac:dyDescent="0.45">
      <c r="A95" s="317"/>
      <c r="B95" s="328"/>
      <c r="C95" s="321"/>
      <c r="D95" s="321"/>
      <c r="E95" s="323"/>
      <c r="F95" s="183" t="s">
        <v>248</v>
      </c>
      <c r="G95" s="137">
        <v>43272</v>
      </c>
      <c r="H95" s="133">
        <v>4500</v>
      </c>
      <c r="I95" s="133">
        <v>3150</v>
      </c>
      <c r="J95" s="205"/>
      <c r="K95" s="205"/>
      <c r="L95" s="205"/>
      <c r="M95" s="205"/>
      <c r="N95" s="205"/>
      <c r="O95" s="205"/>
      <c r="P95" s="205">
        <f>52239600+21770000</f>
        <v>74009600</v>
      </c>
      <c r="Q95" s="202">
        <f>66288600+29631000</f>
        <v>95919600</v>
      </c>
      <c r="R95" s="205">
        <f>39882150+19645500</f>
        <v>59527650</v>
      </c>
      <c r="S95" s="205">
        <f>26986050+15606500</f>
        <v>42592550</v>
      </c>
      <c r="T95" s="205">
        <f>18922050+11753000</f>
        <v>30675050</v>
      </c>
      <c r="U95" s="138">
        <f t="shared" ref="U95" si="36">SUM(J95:T95)</f>
        <v>302724450</v>
      </c>
    </row>
    <row r="96" spans="1:21" s="123" customFormat="1" ht="12.75" customHeight="1" x14ac:dyDescent="0.45">
      <c r="A96" s="318"/>
      <c r="B96" s="329"/>
      <c r="C96" s="322"/>
      <c r="D96" s="322"/>
      <c r="E96" s="324"/>
      <c r="F96" s="147" t="s">
        <v>253</v>
      </c>
      <c r="G96" s="147"/>
      <c r="H96" s="147"/>
      <c r="I96" s="147"/>
      <c r="J96" s="206">
        <f>SUM(J93:J95)</f>
        <v>274072835</v>
      </c>
      <c r="K96" s="206">
        <f t="shared" ref="K96:T96" si="37">SUM(K93:K95)</f>
        <v>233632447</v>
      </c>
      <c r="L96" s="206">
        <f t="shared" si="37"/>
        <v>228638591</v>
      </c>
      <c r="M96" s="206">
        <f t="shared" si="37"/>
        <v>161138142</v>
      </c>
      <c r="N96" s="206">
        <f t="shared" si="37"/>
        <v>157751352</v>
      </c>
      <c r="O96" s="206">
        <f t="shared" si="37"/>
        <v>97260174</v>
      </c>
      <c r="P96" s="206">
        <f t="shared" si="37"/>
        <v>101871962</v>
      </c>
      <c r="Q96" s="206">
        <f t="shared" si="37"/>
        <v>101878311</v>
      </c>
      <c r="R96" s="206">
        <f t="shared" si="37"/>
        <v>63202332</v>
      </c>
      <c r="S96" s="206">
        <f t="shared" si="37"/>
        <v>45449393</v>
      </c>
      <c r="T96" s="206">
        <f t="shared" si="37"/>
        <v>32784542</v>
      </c>
      <c r="U96" s="149">
        <f>SUM(J96:T96)</f>
        <v>1497680081</v>
      </c>
    </row>
    <row r="97" spans="1:22" ht="17.5" customHeight="1" x14ac:dyDescent="0.45">
      <c r="A97" s="326" t="s">
        <v>282</v>
      </c>
      <c r="B97" s="331">
        <v>1128784</v>
      </c>
      <c r="C97" s="330">
        <v>43221</v>
      </c>
      <c r="D97" s="330">
        <v>43244</v>
      </c>
      <c r="E97" s="325">
        <f>D97-C97</f>
        <v>23</v>
      </c>
      <c r="F97" s="142" t="s">
        <v>256</v>
      </c>
      <c r="G97" s="143">
        <v>43244</v>
      </c>
      <c r="H97" s="144">
        <v>10000</v>
      </c>
      <c r="I97" s="144">
        <v>7000</v>
      </c>
      <c r="J97" s="202">
        <f>204254036+120197000</f>
        <v>324451036</v>
      </c>
      <c r="K97" s="210">
        <f>207340000+121268000</f>
        <v>328608000</v>
      </c>
      <c r="L97" s="210">
        <f>143745000+97657000</f>
        <v>241402000</v>
      </c>
      <c r="M97" s="211">
        <f>9632000+6013000</f>
        <v>15645000</v>
      </c>
      <c r="N97" s="211"/>
      <c r="O97" s="211"/>
      <c r="P97" s="212"/>
      <c r="Q97" s="212"/>
      <c r="R97" s="212"/>
      <c r="S97" s="212"/>
      <c r="T97" s="212"/>
      <c r="U97" s="146">
        <f>SUM(J97:T97)</f>
        <v>910106036</v>
      </c>
    </row>
    <row r="98" spans="1:22" ht="12.75" customHeight="1" x14ac:dyDescent="0.45">
      <c r="A98" s="317"/>
      <c r="B98" s="319"/>
      <c r="C98" s="321"/>
      <c r="D98" s="321"/>
      <c r="E98" s="323"/>
      <c r="F98" s="136" t="s">
        <v>257</v>
      </c>
      <c r="G98" s="137">
        <v>43244</v>
      </c>
      <c r="H98" s="133">
        <v>14900</v>
      </c>
      <c r="I98" s="133">
        <v>10281</v>
      </c>
      <c r="J98" s="202">
        <f>26531965+11765040</f>
        <v>38297005</v>
      </c>
      <c r="K98" s="202">
        <f>23111688+11629450</f>
        <v>34741138</v>
      </c>
      <c r="L98" s="202">
        <f>13971879+7770350</f>
        <v>21742229</v>
      </c>
      <c r="M98" s="205">
        <f>760794+521500</f>
        <v>1282294</v>
      </c>
      <c r="N98" s="205"/>
      <c r="O98" s="205"/>
      <c r="P98" s="205"/>
      <c r="Q98" s="205"/>
      <c r="R98" s="205"/>
      <c r="S98" s="205"/>
      <c r="T98" s="205"/>
      <c r="U98" s="138">
        <f>SUM(J98:T98)</f>
        <v>96062666</v>
      </c>
    </row>
    <row r="99" spans="1:22" ht="13" x14ac:dyDescent="0.45">
      <c r="A99" s="317"/>
      <c r="B99" s="319"/>
      <c r="C99" s="321"/>
      <c r="D99" s="321"/>
      <c r="E99" s="323"/>
      <c r="F99" s="136" t="s">
        <v>247</v>
      </c>
      <c r="G99" s="137">
        <v>43263</v>
      </c>
      <c r="H99" s="133">
        <v>9900</v>
      </c>
      <c r="I99" s="133">
        <v>6680</v>
      </c>
      <c r="K99" s="202"/>
      <c r="L99" s="202"/>
      <c r="M99" s="205">
        <f>5960790+2609390</f>
        <v>8570180</v>
      </c>
      <c r="N99" s="205">
        <f>3969405+1538460</f>
        <v>5507865</v>
      </c>
      <c r="O99" s="202">
        <f>3648645+1663200</f>
        <v>5311845</v>
      </c>
      <c r="P99" s="205">
        <f>2352240+990990</f>
        <v>3343230</v>
      </c>
      <c r="Q99" s="205">
        <f>1937925+852390</f>
        <v>2790315</v>
      </c>
      <c r="R99" s="205">
        <f>1316453+554400</f>
        <v>1870853</v>
      </c>
      <c r="S99" s="205">
        <f>1156073+498960</f>
        <v>1655033</v>
      </c>
      <c r="T99" s="205">
        <f>1122660+552930</f>
        <v>1675590</v>
      </c>
      <c r="U99" s="138">
        <f>SUM(J99:T99)</f>
        <v>30724911</v>
      </c>
    </row>
    <row r="100" spans="1:22" ht="13" x14ac:dyDescent="0.45">
      <c r="A100" s="317"/>
      <c r="B100" s="319"/>
      <c r="C100" s="321"/>
      <c r="D100" s="321"/>
      <c r="E100" s="323"/>
      <c r="F100" s="183" t="s">
        <v>248</v>
      </c>
      <c r="G100" s="137">
        <v>43263</v>
      </c>
      <c r="H100" s="133">
        <v>4500</v>
      </c>
      <c r="I100" s="133">
        <v>3040</v>
      </c>
      <c r="J100" s="202"/>
      <c r="K100" s="202"/>
      <c r="L100" s="202"/>
      <c r="M100" s="205">
        <f>102272625+55443500</f>
        <v>157716125</v>
      </c>
      <c r="N100" s="205">
        <f>54088763+31615500</f>
        <v>85704263</v>
      </c>
      <c r="O100" s="202">
        <f>48949313+33365500</f>
        <v>82314813</v>
      </c>
      <c r="P100" s="205">
        <f>30605850+23037000</f>
        <v>53642850</v>
      </c>
      <c r="Q100" s="205">
        <f>25408688+19904500</f>
        <v>45313188</v>
      </c>
      <c r="R100" s="202">
        <f>15752475+14745500</f>
        <v>30497975</v>
      </c>
      <c r="S100" s="202">
        <f>13112888+12372500</f>
        <v>25485388</v>
      </c>
      <c r="T100" s="202">
        <f>17644973+16551500</f>
        <v>34196473</v>
      </c>
      <c r="U100" s="138">
        <f t="shared" ref="U100" si="38">SUM(J100:T100)</f>
        <v>514871075</v>
      </c>
    </row>
    <row r="101" spans="1:22" ht="12.75" customHeight="1" x14ac:dyDescent="0.45">
      <c r="A101" s="318"/>
      <c r="B101" s="320"/>
      <c r="C101" s="322"/>
      <c r="D101" s="322"/>
      <c r="E101" s="324"/>
      <c r="F101" s="147" t="s">
        <v>253</v>
      </c>
      <c r="G101" s="193"/>
      <c r="H101" s="194"/>
      <c r="I101" s="194"/>
      <c r="J101" s="206">
        <f>SUM(J97:J100)</f>
        <v>362748041</v>
      </c>
      <c r="K101" s="206">
        <f>SUM(K97:K100)</f>
        <v>363349138</v>
      </c>
      <c r="L101" s="206">
        <f t="shared" ref="L101:T101" si="39">SUM(L97:L100)</f>
        <v>263144229</v>
      </c>
      <c r="M101" s="206">
        <f t="shared" si="39"/>
        <v>183213599</v>
      </c>
      <c r="N101" s="206">
        <f t="shared" si="39"/>
        <v>91212128</v>
      </c>
      <c r="O101" s="206">
        <f t="shared" si="39"/>
        <v>87626658</v>
      </c>
      <c r="P101" s="206">
        <f t="shared" si="39"/>
        <v>56986080</v>
      </c>
      <c r="Q101" s="206">
        <f t="shared" si="39"/>
        <v>48103503</v>
      </c>
      <c r="R101" s="206">
        <f t="shared" si="39"/>
        <v>32368828</v>
      </c>
      <c r="S101" s="206">
        <f t="shared" si="39"/>
        <v>27140421</v>
      </c>
      <c r="T101" s="206">
        <f t="shared" si="39"/>
        <v>35872063</v>
      </c>
      <c r="U101" s="195">
        <f>SUM(J101:T101)</f>
        <v>1551764688</v>
      </c>
    </row>
    <row r="102" spans="1:22" ht="17.5" customHeight="1" x14ac:dyDescent="0.45">
      <c r="A102" s="326" t="s">
        <v>283</v>
      </c>
      <c r="B102" s="331">
        <v>1335829</v>
      </c>
      <c r="C102" s="330">
        <v>43264</v>
      </c>
      <c r="D102" s="330">
        <v>43299</v>
      </c>
      <c r="E102" s="325">
        <f>D102-C102</f>
        <v>35</v>
      </c>
      <c r="F102" s="142" t="s">
        <v>257</v>
      </c>
      <c r="G102" s="143">
        <v>43299</v>
      </c>
      <c r="H102" s="144">
        <v>14900</v>
      </c>
      <c r="I102" s="144">
        <v>10281</v>
      </c>
      <c r="J102" s="210">
        <f>120010113+72196460</f>
        <v>192206573</v>
      </c>
      <c r="K102" s="210">
        <f>97299384+49448630</f>
        <v>146748014</v>
      </c>
      <c r="L102" s="210">
        <f>22762134+14195230</f>
        <v>36957364</v>
      </c>
      <c r="M102" s="211"/>
      <c r="N102" s="211"/>
      <c r="O102" s="211"/>
      <c r="P102" s="212"/>
      <c r="Q102" s="212"/>
      <c r="R102" s="212"/>
      <c r="S102" s="212"/>
      <c r="T102" s="212"/>
      <c r="U102" s="146">
        <f>SUM(J102:T102)</f>
        <v>375911951</v>
      </c>
    </row>
    <row r="103" spans="1:22" ht="12.75" customHeight="1" x14ac:dyDescent="0.45">
      <c r="A103" s="317"/>
      <c r="B103" s="319"/>
      <c r="C103" s="321"/>
      <c r="D103" s="321"/>
      <c r="E103" s="323"/>
      <c r="F103" s="136" t="s">
        <v>247</v>
      </c>
      <c r="G103" s="132">
        <v>43314</v>
      </c>
      <c r="H103" s="133">
        <v>9900</v>
      </c>
      <c r="I103" s="133">
        <v>6831</v>
      </c>
      <c r="J103" s="202"/>
      <c r="K103" s="202"/>
      <c r="L103" s="202">
        <f>75475719+38017000</f>
        <v>113492719</v>
      </c>
      <c r="M103" s="205">
        <f>69655707+32826150</f>
        <v>102481857</v>
      </c>
      <c r="N103" s="205">
        <f>55481382+31082310</f>
        <v>86563692</v>
      </c>
      <c r="O103" s="205">
        <f>36696132+36883980</f>
        <v>73580112</v>
      </c>
      <c r="P103" s="205">
        <f>12370941+9237690</f>
        <v>21608631</v>
      </c>
      <c r="Q103" s="205">
        <f>1803384+1517670</f>
        <v>3321054</v>
      </c>
      <c r="R103" s="205">
        <f>1263735+734580</f>
        <v>1998315</v>
      </c>
      <c r="S103" s="205">
        <f>1154439+547470</f>
        <v>1701909</v>
      </c>
      <c r="T103" s="205">
        <f>1564299+665280</f>
        <v>2229579</v>
      </c>
      <c r="U103" s="138">
        <f t="shared" ref="U103:U104" si="40">SUM(J103:T103)</f>
        <v>406977868</v>
      </c>
    </row>
    <row r="104" spans="1:22" ht="13" x14ac:dyDescent="0.45">
      <c r="A104" s="317"/>
      <c r="B104" s="319"/>
      <c r="C104" s="321"/>
      <c r="D104" s="321"/>
      <c r="E104" s="323"/>
      <c r="F104" s="183" t="s">
        <v>248</v>
      </c>
      <c r="G104" s="132">
        <v>43342</v>
      </c>
      <c r="H104" s="133">
        <v>5000</v>
      </c>
      <c r="I104" s="133">
        <v>3500</v>
      </c>
      <c r="K104" s="202"/>
      <c r="L104" s="202"/>
      <c r="M104" s="205"/>
      <c r="N104" s="205"/>
      <c r="O104" s="205"/>
      <c r="P104" s="205">
        <f>42875000+20748000</f>
        <v>63623000</v>
      </c>
      <c r="Q104" s="205">
        <f>45381000+24038000</f>
        <v>69419000</v>
      </c>
      <c r="R104" s="205">
        <f>22508500+12831000</f>
        <v>35339500</v>
      </c>
      <c r="S104" s="205">
        <f>17871000+10083500</f>
        <v>27954500</v>
      </c>
      <c r="T104" s="205">
        <f>24930500+14710500</f>
        <v>39641000</v>
      </c>
      <c r="U104" s="138">
        <f t="shared" si="40"/>
        <v>235977000</v>
      </c>
    </row>
    <row r="105" spans="1:22" ht="13" x14ac:dyDescent="0.45">
      <c r="A105" s="318"/>
      <c r="B105" s="320"/>
      <c r="C105" s="322"/>
      <c r="D105" s="322"/>
      <c r="E105" s="324"/>
      <c r="F105" s="147" t="s">
        <v>253</v>
      </c>
      <c r="G105" s="193"/>
      <c r="H105" s="194"/>
      <c r="I105" s="194"/>
      <c r="J105" s="206">
        <f>SUM(J102:J104)</f>
        <v>192206573</v>
      </c>
      <c r="K105" s="206">
        <f t="shared" ref="K105:T105" si="41">SUM(K102:K104)</f>
        <v>146748014</v>
      </c>
      <c r="L105" s="206">
        <f t="shared" si="41"/>
        <v>150450083</v>
      </c>
      <c r="M105" s="206">
        <f t="shared" si="41"/>
        <v>102481857</v>
      </c>
      <c r="N105" s="206">
        <f t="shared" si="41"/>
        <v>86563692</v>
      </c>
      <c r="O105" s="206">
        <f t="shared" si="41"/>
        <v>73580112</v>
      </c>
      <c r="P105" s="206">
        <f t="shared" si="41"/>
        <v>85231631</v>
      </c>
      <c r="Q105" s="206">
        <f t="shared" si="41"/>
        <v>72740054</v>
      </c>
      <c r="R105" s="206">
        <f t="shared" si="41"/>
        <v>37337815</v>
      </c>
      <c r="S105" s="206">
        <f t="shared" si="41"/>
        <v>29656409</v>
      </c>
      <c r="T105" s="206">
        <f t="shared" si="41"/>
        <v>41870579</v>
      </c>
      <c r="U105" s="149">
        <f t="shared" ref="U105:U110" si="42">SUM(J105:T105)</f>
        <v>1018866819</v>
      </c>
    </row>
    <row r="106" spans="1:22" ht="17.5" customHeight="1" x14ac:dyDescent="0.45">
      <c r="A106" s="317" t="s">
        <v>284</v>
      </c>
      <c r="B106" s="319">
        <v>3189092</v>
      </c>
      <c r="C106" s="321">
        <v>43278</v>
      </c>
      <c r="D106" s="321">
        <v>43306</v>
      </c>
      <c r="E106" s="325">
        <f>D106-C106</f>
        <v>28</v>
      </c>
      <c r="F106" s="142" t="s">
        <v>256</v>
      </c>
      <c r="G106" s="132">
        <v>43306</v>
      </c>
      <c r="H106" s="144">
        <v>10000</v>
      </c>
      <c r="I106" s="144">
        <v>7000</v>
      </c>
      <c r="J106" s="202">
        <f>458724000+180320000</f>
        <v>639044000</v>
      </c>
      <c r="K106" s="202">
        <f>490910000+307076000</f>
        <v>797986000</v>
      </c>
      <c r="L106" s="202">
        <f>207522000+157997000</f>
        <v>365519000</v>
      </c>
      <c r="M106" s="205">
        <f>56469000+51905000</f>
        <v>108374000</v>
      </c>
      <c r="N106" s="205"/>
      <c r="O106" s="205"/>
      <c r="U106" s="146">
        <f t="shared" si="42"/>
        <v>1910923000</v>
      </c>
    </row>
    <row r="107" spans="1:22" ht="12.75" customHeight="1" x14ac:dyDescent="0.45">
      <c r="A107" s="317"/>
      <c r="B107" s="319"/>
      <c r="C107" s="321"/>
      <c r="D107" s="321"/>
      <c r="E107" s="323"/>
      <c r="F107" s="136" t="s">
        <v>257</v>
      </c>
      <c r="G107" s="132">
        <v>43306</v>
      </c>
      <c r="H107" s="133">
        <v>14900</v>
      </c>
      <c r="I107" s="133">
        <v>10281</v>
      </c>
      <c r="J107" s="202">
        <f>60842958+18847010</f>
        <v>79689968</v>
      </c>
      <c r="K107" s="202">
        <f>49873131+35420280</f>
        <v>85293411</v>
      </c>
      <c r="L107" s="202">
        <f>18320742+16020480</f>
        <v>34341222</v>
      </c>
      <c r="M107" s="205">
        <f>5119938+4151140</f>
        <v>9271078</v>
      </c>
      <c r="N107" s="205"/>
      <c r="O107" s="205"/>
      <c r="P107" s="205"/>
      <c r="Q107" s="205"/>
      <c r="R107" s="205"/>
      <c r="S107" s="205"/>
      <c r="T107" s="205"/>
      <c r="U107" s="138">
        <f t="shared" si="42"/>
        <v>208595679</v>
      </c>
    </row>
    <row r="108" spans="1:22" ht="13" x14ac:dyDescent="0.45">
      <c r="A108" s="317"/>
      <c r="B108" s="319"/>
      <c r="C108" s="321"/>
      <c r="D108" s="321"/>
      <c r="E108" s="323"/>
      <c r="F108" s="136" t="s">
        <v>247</v>
      </c>
      <c r="G108" s="132">
        <v>43328</v>
      </c>
      <c r="H108" s="133">
        <v>9900</v>
      </c>
      <c r="I108" s="133">
        <v>6680</v>
      </c>
      <c r="K108" s="202"/>
      <c r="L108" s="202"/>
      <c r="M108" s="205">
        <f>9475785+5034680</f>
        <v>14510465</v>
      </c>
      <c r="N108" s="205">
        <f>11026125+6070680</f>
        <v>17096805</v>
      </c>
      <c r="O108" s="205">
        <f>7898715+4781700</f>
        <v>12680415</v>
      </c>
      <c r="P108" s="205">
        <f>6228090+2751210</f>
        <v>8979300</v>
      </c>
      <c r="Q108" s="205">
        <f>3428123+1496880</f>
        <v>4925003</v>
      </c>
      <c r="R108" s="205">
        <f>3314520+1413720</f>
        <v>4728240</v>
      </c>
      <c r="S108" s="205">
        <f>3976088+1316700</f>
        <v>5292788</v>
      </c>
      <c r="T108" s="205">
        <f>2058210+970200</f>
        <v>3028410</v>
      </c>
      <c r="U108" s="138">
        <f t="shared" si="42"/>
        <v>71241426</v>
      </c>
    </row>
    <row r="109" spans="1:22" ht="13" x14ac:dyDescent="0.45">
      <c r="A109" s="317"/>
      <c r="B109" s="319"/>
      <c r="C109" s="321"/>
      <c r="D109" s="321"/>
      <c r="E109" s="323"/>
      <c r="F109" s="183" t="s">
        <v>248</v>
      </c>
      <c r="G109" s="132">
        <v>43328</v>
      </c>
      <c r="H109" s="133">
        <v>5000</v>
      </c>
      <c r="I109" s="133">
        <v>3375</v>
      </c>
      <c r="J109" s="202"/>
      <c r="K109" s="202"/>
      <c r="L109" s="202"/>
      <c r="M109" s="205">
        <f>126609750+67133500</f>
        <v>193743250</v>
      </c>
      <c r="N109" s="205">
        <f>133383375+84350000</f>
        <v>217733375</v>
      </c>
      <c r="O109" s="205">
        <f>83932875+51474500</f>
        <v>135407375</v>
      </c>
      <c r="P109" s="205">
        <f>57337875+34062000</f>
        <v>91399875</v>
      </c>
      <c r="Q109" s="205">
        <f>36969750+21469000</f>
        <v>58438750</v>
      </c>
      <c r="R109" s="202">
        <f>28603125+18347000</f>
        <v>46950125</v>
      </c>
      <c r="S109" s="202">
        <f>38313000+26824000</f>
        <v>65137000</v>
      </c>
      <c r="T109" s="202">
        <f>15805125+12372500</f>
        <v>28177625</v>
      </c>
      <c r="U109" s="138">
        <f t="shared" si="42"/>
        <v>836987375</v>
      </c>
    </row>
    <row r="110" spans="1:22" ht="12.75" customHeight="1" x14ac:dyDescent="0.45">
      <c r="A110" s="318"/>
      <c r="B110" s="320"/>
      <c r="C110" s="322"/>
      <c r="D110" s="322"/>
      <c r="E110" s="324"/>
      <c r="F110" s="147" t="s">
        <v>253</v>
      </c>
      <c r="G110" s="213"/>
      <c r="H110" s="194"/>
      <c r="I110" s="194"/>
      <c r="J110" s="206">
        <f>SUM(J106:J109)</f>
        <v>718733968</v>
      </c>
      <c r="K110" s="206">
        <f>SUM(K106:K109)</f>
        <v>883279411</v>
      </c>
      <c r="L110" s="206">
        <f t="shared" ref="L110:M110" si="43">SUM(L106:L109)</f>
        <v>399860222</v>
      </c>
      <c r="M110" s="206">
        <f t="shared" si="43"/>
        <v>325898793</v>
      </c>
      <c r="N110" s="206">
        <f>SUM(N106:N109)</f>
        <v>234830180</v>
      </c>
      <c r="O110" s="206">
        <f t="shared" ref="O110:T110" si="44">SUM(O106:O109)</f>
        <v>148087790</v>
      </c>
      <c r="P110" s="206">
        <f t="shared" si="44"/>
        <v>100379175</v>
      </c>
      <c r="Q110" s="206">
        <f t="shared" si="44"/>
        <v>63363753</v>
      </c>
      <c r="R110" s="206">
        <f t="shared" si="44"/>
        <v>51678365</v>
      </c>
      <c r="S110" s="206">
        <f t="shared" si="44"/>
        <v>70429788</v>
      </c>
      <c r="T110" s="206">
        <f t="shared" si="44"/>
        <v>31206035</v>
      </c>
      <c r="U110" s="195">
        <f t="shared" si="42"/>
        <v>3027747480</v>
      </c>
      <c r="V110" s="214"/>
    </row>
    <row r="111" spans="1:22" ht="17.5" customHeight="1" x14ac:dyDescent="0.45">
      <c r="A111" s="317" t="s">
        <v>285</v>
      </c>
      <c r="B111" s="319">
        <v>898945</v>
      </c>
      <c r="C111" s="321">
        <v>43306</v>
      </c>
      <c r="D111" s="321">
        <v>43326</v>
      </c>
      <c r="E111" s="325">
        <f>D111-C111</f>
        <v>20</v>
      </c>
      <c r="F111" s="142" t="s">
        <v>256</v>
      </c>
      <c r="G111" s="132">
        <v>43326</v>
      </c>
      <c r="H111" s="144">
        <v>10000</v>
      </c>
      <c r="I111" s="144">
        <v>7000</v>
      </c>
      <c r="J111" s="202">
        <f>184457000+118083000</f>
        <v>302540000</v>
      </c>
      <c r="K111" s="202">
        <f>82509000+67956000</f>
        <v>150465000</v>
      </c>
      <c r="L111" s="202">
        <f>16072000+13594000</f>
        <v>29666000</v>
      </c>
      <c r="M111" s="205"/>
      <c r="N111" s="205"/>
      <c r="O111" s="205"/>
      <c r="U111" s="146">
        <f>SUM(J111:T111)</f>
        <v>482671000</v>
      </c>
    </row>
    <row r="112" spans="1:22" ht="12.75" customHeight="1" x14ac:dyDescent="0.45">
      <c r="A112" s="317"/>
      <c r="B112" s="319"/>
      <c r="C112" s="321"/>
      <c r="D112" s="321"/>
      <c r="E112" s="323"/>
      <c r="F112" s="136" t="s">
        <v>257</v>
      </c>
      <c r="G112" s="132">
        <v>43326</v>
      </c>
      <c r="H112" s="133">
        <v>14900</v>
      </c>
      <c r="I112" s="133">
        <v>10281</v>
      </c>
      <c r="J112" s="202">
        <f>18742263+12714170</f>
        <v>31456433</v>
      </c>
      <c r="K112" s="202">
        <f>11309100+4985540</f>
        <v>16294640</v>
      </c>
      <c r="L112" s="202">
        <f>2035638+1293320</f>
        <v>3328958</v>
      </c>
      <c r="M112" s="205"/>
      <c r="N112" s="205"/>
      <c r="O112" s="205"/>
      <c r="P112" s="205"/>
      <c r="Q112" s="205"/>
      <c r="R112" s="205"/>
      <c r="S112" s="205"/>
      <c r="T112" s="205"/>
      <c r="U112" s="138">
        <f t="shared" ref="U112:U113" si="45">SUM(J112:T112)</f>
        <v>51080031</v>
      </c>
    </row>
    <row r="113" spans="1:21" ht="13" x14ac:dyDescent="0.45">
      <c r="A113" s="317"/>
      <c r="B113" s="319"/>
      <c r="C113" s="321"/>
      <c r="D113" s="321"/>
      <c r="E113" s="323"/>
      <c r="F113" s="136" t="s">
        <v>247</v>
      </c>
      <c r="G113" s="132">
        <v>43342</v>
      </c>
      <c r="H113" s="133">
        <v>9900</v>
      </c>
      <c r="I113" s="133">
        <v>6680</v>
      </c>
      <c r="K113" s="202"/>
      <c r="L113" s="202">
        <f>4684433+1795080</f>
        <v>6479513</v>
      </c>
      <c r="M113" s="205">
        <f>4637655+1039500</f>
        <v>5677155</v>
      </c>
      <c r="N113" s="205">
        <f>1657260+401940</f>
        <v>2059200</v>
      </c>
      <c r="O113" s="205">
        <f>1202850+538720</f>
        <v>1741570</v>
      </c>
      <c r="P113" s="205">
        <f>1450103+581000</f>
        <v>2031103</v>
      </c>
      <c r="Q113" s="205">
        <f>594743+97020</f>
        <v>691763</v>
      </c>
      <c r="R113" s="205">
        <f>260618+90090</f>
        <v>350708</v>
      </c>
      <c r="S113" s="205">
        <f>120285+27720</f>
        <v>148005</v>
      </c>
      <c r="T113" s="205">
        <f>113603+48510</f>
        <v>162113</v>
      </c>
      <c r="U113" s="138">
        <f t="shared" si="45"/>
        <v>19341130</v>
      </c>
    </row>
    <row r="114" spans="1:21" ht="13" x14ac:dyDescent="0.45">
      <c r="A114" s="317"/>
      <c r="B114" s="319"/>
      <c r="C114" s="321"/>
      <c r="D114" s="321"/>
      <c r="E114" s="323"/>
      <c r="F114" s="183" t="s">
        <v>248</v>
      </c>
      <c r="G114" s="132">
        <v>43342</v>
      </c>
      <c r="H114" s="133">
        <v>5000</v>
      </c>
      <c r="I114" s="133">
        <v>3375</v>
      </c>
      <c r="J114" s="202"/>
      <c r="K114" s="202"/>
      <c r="L114" s="202">
        <f>40695750+32970000</f>
        <v>73665750</v>
      </c>
      <c r="M114" s="205">
        <f>33388875+21658000</f>
        <v>55046875</v>
      </c>
      <c r="N114" s="205">
        <f>14718375+9821000</f>
        <v>24539375</v>
      </c>
      <c r="O114" s="205">
        <f>11572875+7875000</f>
        <v>19447875</v>
      </c>
      <c r="P114" s="205">
        <f>11154375+9555000</f>
        <v>20709375</v>
      </c>
      <c r="Q114" s="205">
        <f>3337875+3017000</f>
        <v>6354875</v>
      </c>
      <c r="R114" s="202">
        <f>2217375+1725500</f>
        <v>3942875</v>
      </c>
      <c r="S114" s="202">
        <f>1343250+808500</f>
        <v>2151750</v>
      </c>
      <c r="T114" s="202">
        <f>1120500+623000</f>
        <v>1743500</v>
      </c>
      <c r="U114" s="138">
        <f t="shared" ref="U114:U120" si="46">SUM(J114:T114)</f>
        <v>207602250</v>
      </c>
    </row>
    <row r="115" spans="1:21" ht="12.75" customHeight="1" x14ac:dyDescent="0.45">
      <c r="A115" s="318"/>
      <c r="B115" s="320"/>
      <c r="C115" s="322"/>
      <c r="D115" s="322"/>
      <c r="E115" s="324"/>
      <c r="F115" s="147" t="s">
        <v>253</v>
      </c>
      <c r="G115" s="213"/>
      <c r="H115" s="194"/>
      <c r="I115" s="194"/>
      <c r="J115" s="206">
        <f>SUM(J111:J114)</f>
        <v>333996433</v>
      </c>
      <c r="K115" s="206">
        <f>SUM(K111:K114)</f>
        <v>166759640</v>
      </c>
      <c r="L115" s="206">
        <f>SUM(L111:L114)</f>
        <v>113140221</v>
      </c>
      <c r="M115" s="206">
        <f t="shared" ref="M115" si="47">SUM(M111:M114)</f>
        <v>60724030</v>
      </c>
      <c r="N115" s="206">
        <f>SUM(N111:N114)</f>
        <v>26598575</v>
      </c>
      <c r="O115" s="206">
        <f t="shared" ref="O115:T115" si="48">SUM(O111:O114)</f>
        <v>21189445</v>
      </c>
      <c r="P115" s="206">
        <f t="shared" si="48"/>
        <v>22740478</v>
      </c>
      <c r="Q115" s="206">
        <f t="shared" si="48"/>
        <v>7046638</v>
      </c>
      <c r="R115" s="206">
        <f t="shared" si="48"/>
        <v>4293583</v>
      </c>
      <c r="S115" s="206">
        <f t="shared" si="48"/>
        <v>2299755</v>
      </c>
      <c r="T115" s="206">
        <f t="shared" si="48"/>
        <v>1905613</v>
      </c>
      <c r="U115" s="195">
        <f t="shared" si="46"/>
        <v>760694411</v>
      </c>
    </row>
    <row r="116" spans="1:21" ht="16.5" customHeight="1" x14ac:dyDescent="0.45">
      <c r="A116" s="326" t="s">
        <v>286</v>
      </c>
      <c r="B116" s="327">
        <v>527907</v>
      </c>
      <c r="C116" s="330">
        <v>43327</v>
      </c>
      <c r="D116" s="330">
        <v>43355</v>
      </c>
      <c r="E116" s="325">
        <f>D116-C116</f>
        <v>28</v>
      </c>
      <c r="F116" s="131" t="s">
        <v>251</v>
      </c>
      <c r="G116" s="137">
        <v>43355</v>
      </c>
      <c r="H116" s="133">
        <v>9900</v>
      </c>
      <c r="I116" s="133">
        <v>6831</v>
      </c>
      <c r="J116" s="134">
        <f>163192590+92647170</f>
        <v>255839760</v>
      </c>
      <c r="K116" s="134">
        <f>122425182+93950010</f>
        <v>216375192</v>
      </c>
      <c r="L116" s="180">
        <f>125082441+100803780</f>
        <v>225886221</v>
      </c>
      <c r="M116" s="134">
        <f>52516728+28260540</f>
        <v>80777268</v>
      </c>
      <c r="N116" s="134">
        <f>13784958+6659730</f>
        <v>20444688</v>
      </c>
      <c r="O116" s="134">
        <f>1318383+866250</f>
        <v>2184633</v>
      </c>
      <c r="P116" s="134">
        <f>771903+630630</f>
        <v>1402533</v>
      </c>
      <c r="Q116" s="134">
        <f>737748+575190</f>
        <v>1312938</v>
      </c>
      <c r="R116" s="185">
        <f>498663+401940</f>
        <v>900603</v>
      </c>
      <c r="S116" s="185">
        <f>362043+194040</f>
        <v>556083</v>
      </c>
      <c r="T116" s="185">
        <f>471339+214830</f>
        <v>686169</v>
      </c>
      <c r="U116" s="138">
        <f t="shared" si="46"/>
        <v>806366088</v>
      </c>
    </row>
    <row r="117" spans="1:21" ht="12.75" customHeight="1" x14ac:dyDescent="0.45">
      <c r="A117" s="317"/>
      <c r="B117" s="328"/>
      <c r="C117" s="321"/>
      <c r="D117" s="321"/>
      <c r="E117" s="323"/>
      <c r="F117" s="136" t="s">
        <v>252</v>
      </c>
      <c r="G117" s="137">
        <v>43383</v>
      </c>
      <c r="H117" s="133">
        <v>5000</v>
      </c>
      <c r="I117" s="133">
        <v>3500</v>
      </c>
      <c r="J117" s="134"/>
      <c r="K117" s="134"/>
      <c r="L117" s="134"/>
      <c r="M117" s="134"/>
      <c r="N117" s="134">
        <f>40824000+17430000</f>
        <v>58254000</v>
      </c>
      <c r="O117" s="134">
        <f>25641000+15361500</f>
        <v>41002500</v>
      </c>
      <c r="P117" s="134">
        <f>16912000+9359000</f>
        <v>26271000</v>
      </c>
      <c r="Q117" s="134">
        <f>10783500+6765500</f>
        <v>17549000</v>
      </c>
      <c r="R117" s="185">
        <f>8165500+4658500</f>
        <v>12824000</v>
      </c>
      <c r="S117" s="185">
        <f>7402500+3167500</f>
        <v>10570000</v>
      </c>
      <c r="T117" s="185">
        <f>6636000+2730000</f>
        <v>9366000</v>
      </c>
      <c r="U117" s="138">
        <f t="shared" si="46"/>
        <v>175836500</v>
      </c>
    </row>
    <row r="118" spans="1:21" s="123" customFormat="1" ht="12.75" customHeight="1" x14ac:dyDescent="0.45">
      <c r="A118" s="318"/>
      <c r="B118" s="329"/>
      <c r="C118" s="322"/>
      <c r="D118" s="322"/>
      <c r="E118" s="324"/>
      <c r="F118" s="147" t="s">
        <v>253</v>
      </c>
      <c r="G118" s="147"/>
      <c r="H118" s="147"/>
      <c r="I118" s="147"/>
      <c r="J118" s="148">
        <f t="shared" ref="J118:T118" si="49">SUM(J116:J117)</f>
        <v>255839760</v>
      </c>
      <c r="K118" s="148">
        <f t="shared" si="49"/>
        <v>216375192</v>
      </c>
      <c r="L118" s="148">
        <f t="shared" si="49"/>
        <v>225886221</v>
      </c>
      <c r="M118" s="148">
        <f t="shared" si="49"/>
        <v>80777268</v>
      </c>
      <c r="N118" s="148">
        <f t="shared" si="49"/>
        <v>78698688</v>
      </c>
      <c r="O118" s="148">
        <f t="shared" si="49"/>
        <v>43187133</v>
      </c>
      <c r="P118" s="148">
        <f t="shared" si="49"/>
        <v>27673533</v>
      </c>
      <c r="Q118" s="148">
        <f t="shared" si="49"/>
        <v>18861938</v>
      </c>
      <c r="R118" s="148">
        <f t="shared" si="49"/>
        <v>13724603</v>
      </c>
      <c r="S118" s="148">
        <f t="shared" si="49"/>
        <v>11126083</v>
      </c>
      <c r="T118" s="148">
        <f t="shared" si="49"/>
        <v>10052169</v>
      </c>
      <c r="U118" s="149">
        <f t="shared" si="46"/>
        <v>982202588</v>
      </c>
    </row>
    <row r="119" spans="1:21" ht="17.5" customHeight="1" x14ac:dyDescent="0.45">
      <c r="A119" s="317" t="s">
        <v>287</v>
      </c>
      <c r="B119" s="319">
        <v>1011580</v>
      </c>
      <c r="C119" s="321">
        <v>43362</v>
      </c>
      <c r="D119" s="321">
        <v>43390</v>
      </c>
      <c r="E119" s="325">
        <f>D119-C119</f>
        <v>28</v>
      </c>
      <c r="F119" s="142" t="s">
        <v>256</v>
      </c>
      <c r="G119" s="132">
        <v>43390</v>
      </c>
      <c r="H119" s="144">
        <v>10000</v>
      </c>
      <c r="I119" s="144">
        <v>7000</v>
      </c>
      <c r="J119" s="202">
        <f>52962000+28238000</f>
        <v>81200000</v>
      </c>
      <c r="K119" s="202">
        <f>38647000+19019000</f>
        <v>57666000</v>
      </c>
      <c r="L119" s="180">
        <f>8869000+3017000</f>
        <v>11886000</v>
      </c>
      <c r="M119" s="205"/>
      <c r="N119" s="205"/>
      <c r="O119" s="205"/>
      <c r="U119" s="146">
        <f t="shared" si="46"/>
        <v>150752000</v>
      </c>
    </row>
    <row r="120" spans="1:21" ht="12.75" customHeight="1" x14ac:dyDescent="0.45">
      <c r="A120" s="317"/>
      <c r="B120" s="319"/>
      <c r="C120" s="321"/>
      <c r="D120" s="321"/>
      <c r="E120" s="323"/>
      <c r="F120" s="136" t="s">
        <v>257</v>
      </c>
      <c r="G120" s="132">
        <v>43390</v>
      </c>
      <c r="H120" s="133">
        <v>14900</v>
      </c>
      <c r="I120" s="133">
        <v>10281</v>
      </c>
      <c r="J120" s="202">
        <f>5541459+3879960</f>
        <v>9421419</v>
      </c>
      <c r="K120" s="202">
        <f>3300201+1418480</f>
        <v>4718681</v>
      </c>
      <c r="L120" s="180">
        <f>729951+354620</f>
        <v>1084571</v>
      </c>
      <c r="M120" s="205"/>
      <c r="N120" s="205"/>
      <c r="O120" s="205"/>
      <c r="P120" s="205"/>
      <c r="Q120" s="205"/>
      <c r="R120" s="205"/>
      <c r="S120" s="205"/>
      <c r="T120" s="205"/>
      <c r="U120" s="138">
        <f t="shared" si="46"/>
        <v>15224671</v>
      </c>
    </row>
    <row r="121" spans="1:21" ht="13" x14ac:dyDescent="0.45">
      <c r="A121" s="317"/>
      <c r="B121" s="319"/>
      <c r="C121" s="321"/>
      <c r="D121" s="321"/>
      <c r="E121" s="323"/>
      <c r="F121" s="136" t="s">
        <v>247</v>
      </c>
      <c r="G121" s="132">
        <v>43405</v>
      </c>
      <c r="H121" s="133">
        <v>9900</v>
      </c>
      <c r="I121" s="133">
        <v>6831</v>
      </c>
      <c r="K121" s="202"/>
      <c r="L121" s="180">
        <f>12316293+6611220</f>
        <v>18927513</v>
      </c>
      <c r="M121" s="205">
        <f>7387380+10922769</f>
        <v>18310149</v>
      </c>
      <c r="N121" s="205">
        <f>7404804+4670820</f>
        <v>12075624</v>
      </c>
      <c r="O121" s="205">
        <f>5143743+2952180</f>
        <v>8095923</v>
      </c>
      <c r="P121" s="205">
        <f>1434510+658350</f>
        <v>2092860</v>
      </c>
      <c r="Q121" s="205">
        <f>266409+207900</f>
        <v>474309</v>
      </c>
      <c r="R121" s="205">
        <f>252747+124740</f>
        <v>377487</v>
      </c>
      <c r="S121" s="205">
        <f>273240+97020</f>
        <v>370260</v>
      </c>
      <c r="T121" s="205">
        <f>239085+103950</f>
        <v>343035</v>
      </c>
      <c r="U121" s="138">
        <f>SUM(J121:T121)</f>
        <v>61067160</v>
      </c>
    </row>
    <row r="122" spans="1:21" ht="13" x14ac:dyDescent="0.45">
      <c r="A122" s="317"/>
      <c r="B122" s="319"/>
      <c r="C122" s="321"/>
      <c r="D122" s="321"/>
      <c r="E122" s="323"/>
      <c r="F122" s="183" t="s">
        <v>248</v>
      </c>
      <c r="G122" s="132">
        <v>43433</v>
      </c>
      <c r="H122" s="133">
        <v>5000</v>
      </c>
      <c r="I122" s="133">
        <v>3500</v>
      </c>
      <c r="J122" s="202"/>
      <c r="K122" s="202"/>
      <c r="L122" s="202"/>
      <c r="M122" s="205"/>
      <c r="N122" s="205"/>
      <c r="O122" s="205"/>
      <c r="P122" s="205">
        <f>5393500+2663500</f>
        <v>8057000</v>
      </c>
      <c r="Q122" s="205">
        <f>6349000+3335500</f>
        <v>9684500</v>
      </c>
      <c r="R122" s="202">
        <f>4021500+2691500</f>
        <v>6713000</v>
      </c>
      <c r="S122" s="202">
        <f>3437000+1659000</f>
        <v>5096000</v>
      </c>
      <c r="T122" s="202">
        <f>4032000+1739500</f>
        <v>5771500</v>
      </c>
      <c r="U122" s="138">
        <f>SUM(J122:T122)</f>
        <v>35322000</v>
      </c>
    </row>
    <row r="123" spans="1:21" ht="12.75" customHeight="1" x14ac:dyDescent="0.45">
      <c r="A123" s="318"/>
      <c r="B123" s="320"/>
      <c r="C123" s="322"/>
      <c r="D123" s="322"/>
      <c r="E123" s="324"/>
      <c r="F123" s="147" t="s">
        <v>253</v>
      </c>
      <c r="G123" s="213"/>
      <c r="H123" s="194"/>
      <c r="I123" s="194"/>
      <c r="J123" s="206">
        <f>SUM(J119:J122)</f>
        <v>90621419</v>
      </c>
      <c r="K123" s="206">
        <f>SUM(K119:K122)</f>
        <v>62384681</v>
      </c>
      <c r="L123" s="206">
        <f>SUM(L119:L122)</f>
        <v>31898084</v>
      </c>
      <c r="M123" s="206">
        <f t="shared" ref="M123" si="50">SUM(M119:M122)</f>
        <v>18310149</v>
      </c>
      <c r="N123" s="206">
        <f>SUM(N119:N122)</f>
        <v>12075624</v>
      </c>
      <c r="O123" s="206">
        <f t="shared" ref="O123:T123" si="51">SUM(O119:O122)</f>
        <v>8095923</v>
      </c>
      <c r="P123" s="206">
        <f t="shared" si="51"/>
        <v>10149860</v>
      </c>
      <c r="Q123" s="206">
        <f t="shared" si="51"/>
        <v>10158809</v>
      </c>
      <c r="R123" s="206">
        <f t="shared" si="51"/>
        <v>7090487</v>
      </c>
      <c r="S123" s="206">
        <f t="shared" si="51"/>
        <v>5466260</v>
      </c>
      <c r="T123" s="206">
        <f t="shared" si="51"/>
        <v>6114535</v>
      </c>
      <c r="U123" s="195">
        <f>SUM(J123:T123)</f>
        <v>262365831</v>
      </c>
    </row>
    <row r="124" spans="1:21" ht="17.5" customHeight="1" x14ac:dyDescent="0.45">
      <c r="A124" s="317" t="s">
        <v>288</v>
      </c>
      <c r="B124" s="319">
        <v>483176</v>
      </c>
      <c r="C124" s="321">
        <v>43382</v>
      </c>
      <c r="D124" s="321">
        <v>43410</v>
      </c>
      <c r="E124" s="325">
        <f>D124-C124</f>
        <v>28</v>
      </c>
      <c r="F124" s="142" t="s">
        <v>256</v>
      </c>
      <c r="G124" s="132">
        <f>+D124</f>
        <v>43410</v>
      </c>
      <c r="H124" s="144">
        <v>10000</v>
      </c>
      <c r="I124" s="144">
        <v>7000</v>
      </c>
      <c r="J124" s="202">
        <f>68635000+18172000</f>
        <v>86807000</v>
      </c>
      <c r="K124" s="202">
        <f>56966000+15904000</f>
        <v>72870000</v>
      </c>
      <c r="L124" s="180">
        <f>14483000+4095000</f>
        <v>18578000</v>
      </c>
      <c r="M124" s="205">
        <v>7000</v>
      </c>
      <c r="N124" s="205">
        <v>7000</v>
      </c>
      <c r="O124" s="205"/>
      <c r="U124" s="146">
        <f t="shared" ref="U124:U125" si="52">SUM(J124:T124)</f>
        <v>178269000</v>
      </c>
    </row>
    <row r="125" spans="1:21" ht="12.75" customHeight="1" x14ac:dyDescent="0.45">
      <c r="A125" s="317"/>
      <c r="B125" s="319"/>
      <c r="C125" s="321"/>
      <c r="D125" s="321"/>
      <c r="E125" s="323"/>
      <c r="F125" s="136" t="s">
        <v>257</v>
      </c>
      <c r="G125" s="132">
        <f>+D124</f>
        <v>43410</v>
      </c>
      <c r="H125" s="133">
        <v>14900</v>
      </c>
      <c r="I125" s="133">
        <v>10281</v>
      </c>
      <c r="J125" s="202">
        <v>4224150</v>
      </c>
      <c r="K125" s="202">
        <f>8810817+4370170</f>
        <v>13180987</v>
      </c>
      <c r="L125" s="202">
        <f>2210415+1241170</f>
        <v>3451585</v>
      </c>
      <c r="M125" s="205"/>
      <c r="N125" s="205"/>
      <c r="O125" s="205"/>
      <c r="P125" s="205"/>
      <c r="Q125" s="205"/>
      <c r="R125" s="205"/>
      <c r="S125" s="205"/>
      <c r="T125" s="205"/>
      <c r="U125" s="138">
        <f t="shared" si="52"/>
        <v>20856722</v>
      </c>
    </row>
    <row r="126" spans="1:21" ht="13" x14ac:dyDescent="0.45">
      <c r="A126" s="317"/>
      <c r="B126" s="319"/>
      <c r="C126" s="321"/>
      <c r="D126" s="321"/>
      <c r="E126" s="323"/>
      <c r="F126" s="136" t="s">
        <v>247</v>
      </c>
      <c r="G126" s="132">
        <v>43426</v>
      </c>
      <c r="H126" s="133">
        <v>9900</v>
      </c>
      <c r="I126" s="133">
        <v>6831</v>
      </c>
      <c r="K126" s="202"/>
      <c r="L126" s="202">
        <f>31722372+10492020</f>
        <v>42214392</v>
      </c>
      <c r="M126" s="205">
        <f>37509021+15751890</f>
        <v>53260911</v>
      </c>
      <c r="N126" s="205">
        <f>30172527+16528050</f>
        <v>46700577</v>
      </c>
      <c r="O126" s="205">
        <f>19147293+8835750</f>
        <v>27983043</v>
      </c>
      <c r="P126" s="205">
        <f>6769521+2730420</f>
        <v>9499941</v>
      </c>
      <c r="Q126" s="205">
        <f>2384019+1282050</f>
        <v>3666069</v>
      </c>
      <c r="R126" s="205">
        <f>2151765+921690</f>
        <v>3073455</v>
      </c>
      <c r="S126" s="205">
        <f>894861+810810</f>
        <v>1705671</v>
      </c>
      <c r="T126" s="205">
        <f>703593+561330</f>
        <v>1264923</v>
      </c>
      <c r="U126" s="138">
        <f>SUM(J126:T126)</f>
        <v>189368982</v>
      </c>
    </row>
    <row r="127" spans="1:21" ht="13" x14ac:dyDescent="0.45">
      <c r="A127" s="317"/>
      <c r="B127" s="319"/>
      <c r="C127" s="321"/>
      <c r="D127" s="321"/>
      <c r="E127" s="323"/>
      <c r="F127" s="183" t="s">
        <v>248</v>
      </c>
      <c r="G127" s="132">
        <v>43454</v>
      </c>
      <c r="H127" s="133">
        <v>5000</v>
      </c>
      <c r="I127" s="133">
        <v>3500</v>
      </c>
      <c r="J127" s="202"/>
      <c r="K127" s="202"/>
      <c r="L127" s="202"/>
      <c r="M127" s="205"/>
      <c r="N127" s="205"/>
      <c r="O127" s="205"/>
      <c r="P127" s="205">
        <f>8634500+4473000</f>
        <v>13107500</v>
      </c>
      <c r="Q127" s="205">
        <f>23233000+8788500</f>
        <v>32021500</v>
      </c>
      <c r="R127" s="202">
        <f>15477000+6317500</f>
        <v>21794500</v>
      </c>
      <c r="S127" s="202">
        <f>7675500+4140500</f>
        <v>11816000</v>
      </c>
      <c r="T127" s="202">
        <f>6699000+3125500</f>
        <v>9824500</v>
      </c>
      <c r="U127" s="138">
        <f>SUM(J127:T127)</f>
        <v>88564000</v>
      </c>
    </row>
    <row r="128" spans="1:21" ht="12.75" customHeight="1" x14ac:dyDescent="0.45">
      <c r="A128" s="318"/>
      <c r="B128" s="320"/>
      <c r="C128" s="322"/>
      <c r="D128" s="322"/>
      <c r="E128" s="324"/>
      <c r="F128" s="147" t="s">
        <v>253</v>
      </c>
      <c r="G128" s="213"/>
      <c r="H128" s="194"/>
      <c r="I128" s="194"/>
      <c r="J128" s="206">
        <f>SUM(J124:J127)</f>
        <v>91031150</v>
      </c>
      <c r="K128" s="206">
        <f>SUM(K124:K127)</f>
        <v>86050987</v>
      </c>
      <c r="L128" s="206">
        <f>SUM(L124:L127)</f>
        <v>64243977</v>
      </c>
      <c r="M128" s="206">
        <f t="shared" ref="M128" si="53">SUM(M124:M127)</f>
        <v>53267911</v>
      </c>
      <c r="N128" s="206">
        <f>SUM(N124:N127)</f>
        <v>46707577</v>
      </c>
      <c r="O128" s="206">
        <f t="shared" ref="O128:T128" si="54">SUM(O124:O127)</f>
        <v>27983043</v>
      </c>
      <c r="P128" s="206">
        <f t="shared" si="54"/>
        <v>22607441</v>
      </c>
      <c r="Q128" s="206">
        <f t="shared" si="54"/>
        <v>35687569</v>
      </c>
      <c r="R128" s="206">
        <f t="shared" si="54"/>
        <v>24867955</v>
      </c>
      <c r="S128" s="206">
        <f t="shared" si="54"/>
        <v>13521671</v>
      </c>
      <c r="T128" s="206">
        <f t="shared" si="54"/>
        <v>11089423</v>
      </c>
      <c r="U128" s="195">
        <f>SUM(J128:T128)</f>
        <v>477058704</v>
      </c>
    </row>
    <row r="129" spans="1:22" ht="17.5" customHeight="1" x14ac:dyDescent="0.45">
      <c r="A129" s="317" t="s">
        <v>289</v>
      </c>
      <c r="B129" s="319">
        <v>154297</v>
      </c>
      <c r="C129" s="321">
        <v>43398</v>
      </c>
      <c r="D129" s="321">
        <v>43426</v>
      </c>
      <c r="E129" s="325">
        <f>D129-C129</f>
        <v>28</v>
      </c>
      <c r="F129" s="142" t="s">
        <v>256</v>
      </c>
      <c r="G129" s="132">
        <v>43426</v>
      </c>
      <c r="H129" s="144">
        <v>10000</v>
      </c>
      <c r="I129" s="144">
        <v>7000</v>
      </c>
      <c r="J129" s="202">
        <f>39991000+20636000</f>
        <v>60627000</v>
      </c>
      <c r="K129" s="202">
        <f>44709000+16891000</f>
        <v>61600000</v>
      </c>
      <c r="L129" s="202">
        <f>11158000+4802000</f>
        <v>15960000</v>
      </c>
      <c r="M129" s="205"/>
      <c r="N129" s="205"/>
      <c r="O129" s="205"/>
      <c r="S129" s="215"/>
      <c r="U129" s="146">
        <f t="shared" ref="U129" si="55">SUM(J129:T129)</f>
        <v>138187000</v>
      </c>
    </row>
    <row r="130" spans="1:22" ht="12.75" customHeight="1" x14ac:dyDescent="0.45">
      <c r="A130" s="317"/>
      <c r="B130" s="319"/>
      <c r="C130" s="321"/>
      <c r="D130" s="321"/>
      <c r="E130" s="323"/>
      <c r="F130" s="136" t="s">
        <v>257</v>
      </c>
      <c r="G130" s="132">
        <v>43426</v>
      </c>
      <c r="H130" s="133">
        <v>14900</v>
      </c>
      <c r="I130" s="133">
        <v>10281</v>
      </c>
      <c r="J130" s="202">
        <v>3191580</v>
      </c>
      <c r="K130" s="202">
        <v>2628360</v>
      </c>
      <c r="L130" s="202">
        <v>511070</v>
      </c>
      <c r="M130" s="205"/>
      <c r="N130" s="205"/>
      <c r="O130" s="205"/>
      <c r="P130" s="205"/>
      <c r="Q130" s="205"/>
      <c r="R130" s="205"/>
      <c r="S130" s="202"/>
      <c r="T130" s="205"/>
      <c r="U130" s="138">
        <f>SUM(J130:T130)</f>
        <v>6331010</v>
      </c>
    </row>
    <row r="131" spans="1:22" ht="13" x14ac:dyDescent="0.45">
      <c r="A131" s="317"/>
      <c r="B131" s="319"/>
      <c r="C131" s="321"/>
      <c r="D131" s="321"/>
      <c r="E131" s="323"/>
      <c r="F131" s="136" t="s">
        <v>247</v>
      </c>
      <c r="G131" s="132">
        <v>43440</v>
      </c>
      <c r="H131" s="133">
        <v>9900</v>
      </c>
      <c r="I131" s="133">
        <v>6831</v>
      </c>
      <c r="K131" s="202"/>
      <c r="L131" s="202">
        <f>13361436+5162850</f>
        <v>18524286</v>
      </c>
      <c r="M131" s="205">
        <f>16134822+4747050</f>
        <v>20881872</v>
      </c>
      <c r="N131" s="205">
        <f>9877626+3056130</f>
        <v>12933756</v>
      </c>
      <c r="O131" s="205">
        <f>8859876+3873870</f>
        <v>12733746</v>
      </c>
      <c r="P131" s="205">
        <f>5314587+1413720</f>
        <v>6728307</v>
      </c>
      <c r="Q131" s="205">
        <f>450846+187110</f>
        <v>637956</v>
      </c>
      <c r="R131" s="205">
        <f>245916+110880</f>
        <v>356796</v>
      </c>
      <c r="S131" s="202">
        <f>280071+62370</f>
        <v>342441</v>
      </c>
      <c r="T131" s="205">
        <f>362043+889000</f>
        <v>1251043</v>
      </c>
      <c r="U131" s="138">
        <f>SUM(J131:T131)</f>
        <v>74390203</v>
      </c>
    </row>
    <row r="132" spans="1:22" ht="13" x14ac:dyDescent="0.45">
      <c r="A132" s="317"/>
      <c r="B132" s="319"/>
      <c r="C132" s="321"/>
      <c r="D132" s="321"/>
      <c r="E132" s="323"/>
      <c r="F132" s="183" t="s">
        <v>248</v>
      </c>
      <c r="G132" s="132">
        <v>43468</v>
      </c>
      <c r="H132" s="133">
        <v>5000</v>
      </c>
      <c r="I132" s="133">
        <v>3500</v>
      </c>
      <c r="J132" s="202"/>
      <c r="K132" s="202"/>
      <c r="L132" s="202"/>
      <c r="M132" s="205"/>
      <c r="N132" s="205"/>
      <c r="O132" s="205"/>
      <c r="P132" s="205">
        <f>6940500+1764000</f>
        <v>8704500</v>
      </c>
      <c r="Q132" s="205">
        <f>8641500+2971500</f>
        <v>11613000</v>
      </c>
      <c r="R132" s="202">
        <f>5883500+1666000</f>
        <v>7549500</v>
      </c>
      <c r="S132" s="202">
        <f>4350500+966000</f>
        <v>5316500</v>
      </c>
      <c r="T132" s="202">
        <f>4882500+1060500</f>
        <v>5943000</v>
      </c>
      <c r="U132" s="138">
        <f>SUM(J132:T132)</f>
        <v>39126500</v>
      </c>
    </row>
    <row r="133" spans="1:22" ht="12.75" customHeight="1" x14ac:dyDescent="0.45">
      <c r="A133" s="318"/>
      <c r="B133" s="320"/>
      <c r="C133" s="322"/>
      <c r="D133" s="322"/>
      <c r="E133" s="324"/>
      <c r="F133" s="147" t="s">
        <v>253</v>
      </c>
      <c r="G133" s="213"/>
      <c r="H133" s="194"/>
      <c r="I133" s="194"/>
      <c r="J133" s="206">
        <f>SUM(J129:J132)</f>
        <v>63818580</v>
      </c>
      <c r="K133" s="206">
        <f>SUM(K129:K132)</f>
        <v>64228360</v>
      </c>
      <c r="L133" s="206">
        <f>SUM(L129:L132)</f>
        <v>34995356</v>
      </c>
      <c r="M133" s="206">
        <f t="shared" ref="M133:T133" si="56">SUM(M129:M132)</f>
        <v>20881872</v>
      </c>
      <c r="N133" s="206">
        <f t="shared" si="56"/>
        <v>12933756</v>
      </c>
      <c r="O133" s="206">
        <f t="shared" si="56"/>
        <v>12733746</v>
      </c>
      <c r="P133" s="206">
        <f t="shared" si="56"/>
        <v>15432807</v>
      </c>
      <c r="Q133" s="206">
        <f t="shared" si="56"/>
        <v>12250956</v>
      </c>
      <c r="R133" s="206">
        <f t="shared" si="56"/>
        <v>7906296</v>
      </c>
      <c r="S133" s="206">
        <f t="shared" si="56"/>
        <v>5658941</v>
      </c>
      <c r="T133" s="206">
        <f t="shared" si="56"/>
        <v>7194043</v>
      </c>
      <c r="U133" s="195">
        <f>SUM(J133:T133)</f>
        <v>258034713</v>
      </c>
    </row>
    <row r="134" spans="1:22" ht="12.75" customHeight="1" x14ac:dyDescent="0.45">
      <c r="A134" s="317" t="s">
        <v>290</v>
      </c>
      <c r="B134" s="319">
        <v>2414062</v>
      </c>
      <c r="C134" s="321">
        <v>43418</v>
      </c>
      <c r="D134" s="321">
        <v>43446</v>
      </c>
      <c r="E134" s="323">
        <f>D134-C134</f>
        <v>28</v>
      </c>
      <c r="F134" s="142" t="s">
        <v>257</v>
      </c>
      <c r="G134" s="132">
        <v>43446</v>
      </c>
      <c r="H134" s="133">
        <v>14900</v>
      </c>
      <c r="I134" s="133">
        <v>10281</v>
      </c>
      <c r="J134" s="202">
        <f>182631684+106592150</f>
        <v>289223834</v>
      </c>
      <c r="K134" s="202">
        <f>115414506+105442540</f>
        <v>220857046</v>
      </c>
      <c r="L134" s="180">
        <f>111117048+94566150</f>
        <v>205683198</v>
      </c>
      <c r="M134" s="205">
        <f>34348821+29871520</f>
        <v>64220341</v>
      </c>
      <c r="N134" s="205"/>
      <c r="O134" s="205"/>
      <c r="P134" s="202"/>
      <c r="Q134" s="205"/>
      <c r="R134" s="205"/>
      <c r="S134" s="205"/>
      <c r="T134" s="205"/>
      <c r="U134" s="138">
        <f t="shared" ref="U134" si="57">SUM(J134:T134)</f>
        <v>779984419</v>
      </c>
    </row>
    <row r="135" spans="1:22" ht="13" x14ac:dyDescent="0.45">
      <c r="A135" s="317"/>
      <c r="B135" s="319"/>
      <c r="C135" s="321"/>
      <c r="D135" s="321"/>
      <c r="E135" s="323"/>
      <c r="F135" s="136" t="s">
        <v>247</v>
      </c>
      <c r="G135" s="132">
        <v>43468</v>
      </c>
      <c r="H135" s="133">
        <v>9900</v>
      </c>
      <c r="I135" s="133">
        <v>6831</v>
      </c>
      <c r="K135" s="202"/>
      <c r="L135" s="180"/>
      <c r="M135" s="205">
        <f>46833336+32106690</f>
        <v>78940026</v>
      </c>
      <c r="N135" s="205">
        <f>36668808+30526650</f>
        <v>67195458</v>
      </c>
      <c r="O135" s="205">
        <f>20383704+20630610</f>
        <v>41014314</v>
      </c>
      <c r="P135" s="202">
        <f>15595173+12134430</f>
        <v>27729603</v>
      </c>
      <c r="Q135" s="205">
        <f>7964946+6042960</f>
        <v>14007906</v>
      </c>
      <c r="R135" s="205">
        <f>1557468+2079000</f>
        <v>3636468</v>
      </c>
      <c r="S135" s="205">
        <f>689931+1074150</f>
        <v>1764081</v>
      </c>
      <c r="T135" s="205">
        <f>806058+533610</f>
        <v>1339668</v>
      </c>
      <c r="U135" s="138">
        <f t="shared" ref="U135:U145" si="58">SUM(J135:T135)</f>
        <v>235627524</v>
      </c>
    </row>
    <row r="136" spans="1:22" ht="13" x14ac:dyDescent="0.45">
      <c r="A136" s="317"/>
      <c r="B136" s="319"/>
      <c r="C136" s="321"/>
      <c r="D136" s="321"/>
      <c r="E136" s="323"/>
      <c r="F136" s="183" t="s">
        <v>248</v>
      </c>
      <c r="G136" s="132">
        <v>43496</v>
      </c>
      <c r="H136" s="133">
        <v>5000</v>
      </c>
      <c r="I136" s="133">
        <v>3500</v>
      </c>
      <c r="J136" s="202"/>
      <c r="K136" s="202"/>
      <c r="L136" s="202"/>
      <c r="M136" s="205"/>
      <c r="N136" s="205"/>
      <c r="O136" s="205"/>
      <c r="P136" s="202"/>
      <c r="Q136" s="205">
        <f>27188000+13905500</f>
        <v>41093500</v>
      </c>
      <c r="R136" s="202">
        <f>37464000+20793500</f>
        <v>58257500</v>
      </c>
      <c r="S136" s="202">
        <f>13898500+6741000</f>
        <v>20639500</v>
      </c>
      <c r="T136" s="202">
        <f>11574500+5131000</f>
        <v>16705500</v>
      </c>
      <c r="U136" s="138">
        <f t="shared" si="58"/>
        <v>136696000</v>
      </c>
    </row>
    <row r="137" spans="1:22" ht="12.75" customHeight="1" x14ac:dyDescent="0.45">
      <c r="A137" s="318"/>
      <c r="B137" s="320"/>
      <c r="C137" s="322"/>
      <c r="D137" s="322"/>
      <c r="E137" s="324"/>
      <c r="F137" s="147" t="s">
        <v>253</v>
      </c>
      <c r="G137" s="213"/>
      <c r="H137" s="194"/>
      <c r="I137" s="194"/>
      <c r="J137" s="206">
        <f t="shared" ref="J137:T137" si="59">SUM(J134:J136)</f>
        <v>289223834</v>
      </c>
      <c r="K137" s="206">
        <f t="shared" si="59"/>
        <v>220857046</v>
      </c>
      <c r="L137" s="206">
        <f t="shared" si="59"/>
        <v>205683198</v>
      </c>
      <c r="M137" s="206">
        <f t="shared" si="59"/>
        <v>143160367</v>
      </c>
      <c r="N137" s="206">
        <f t="shared" si="59"/>
        <v>67195458</v>
      </c>
      <c r="O137" s="206">
        <f t="shared" si="59"/>
        <v>41014314</v>
      </c>
      <c r="P137" s="206">
        <f t="shared" si="59"/>
        <v>27729603</v>
      </c>
      <c r="Q137" s="206">
        <f t="shared" si="59"/>
        <v>55101406</v>
      </c>
      <c r="R137" s="206">
        <f t="shared" si="59"/>
        <v>61893968</v>
      </c>
      <c r="S137" s="206">
        <f t="shared" si="59"/>
        <v>22403581</v>
      </c>
      <c r="T137" s="206">
        <f t="shared" si="59"/>
        <v>18045168</v>
      </c>
      <c r="U137" s="195">
        <f t="shared" si="58"/>
        <v>1152307943</v>
      </c>
    </row>
    <row r="138" spans="1:22" ht="12.75" customHeight="1" x14ac:dyDescent="0.45">
      <c r="A138" s="317" t="s">
        <v>291</v>
      </c>
      <c r="B138" s="319">
        <v>5038134</v>
      </c>
      <c r="C138" s="321">
        <v>43453</v>
      </c>
      <c r="D138" s="321">
        <v>43488</v>
      </c>
      <c r="E138" s="323">
        <f>D138-C138</f>
        <v>35</v>
      </c>
      <c r="F138" s="142" t="s">
        <v>257</v>
      </c>
      <c r="G138" s="132">
        <v>43488</v>
      </c>
      <c r="H138" s="133">
        <v>14900</v>
      </c>
      <c r="I138" s="133">
        <v>10281</v>
      </c>
      <c r="J138" s="202">
        <f>397555989+258778730</f>
        <v>656334719</v>
      </c>
      <c r="K138" s="202">
        <f>276713115+177768920</f>
        <v>454482035</v>
      </c>
      <c r="L138" s="180">
        <f>146062167+110255530</f>
        <v>256317697</v>
      </c>
      <c r="M138" s="205"/>
      <c r="N138" s="205"/>
      <c r="O138" s="205"/>
      <c r="P138" s="205"/>
      <c r="Q138" s="205"/>
      <c r="R138" s="205"/>
      <c r="S138" s="205"/>
      <c r="T138" s="205"/>
      <c r="U138" s="138">
        <f>SUM(J138:T138)</f>
        <v>1367134451</v>
      </c>
    </row>
    <row r="139" spans="1:22" ht="13" x14ac:dyDescent="0.45">
      <c r="A139" s="317"/>
      <c r="B139" s="319"/>
      <c r="C139" s="321"/>
      <c r="D139" s="321"/>
      <c r="E139" s="323"/>
      <c r="F139" s="136" t="s">
        <v>247</v>
      </c>
      <c r="G139" s="132">
        <v>43503</v>
      </c>
      <c r="H139" s="133">
        <v>9900</v>
      </c>
      <c r="I139" s="133">
        <v>6831</v>
      </c>
      <c r="J139" s="215"/>
      <c r="K139" s="202"/>
      <c r="L139" s="180">
        <f>144455157+77612570</f>
        <v>222067727</v>
      </c>
      <c r="M139" s="205">
        <f>119207781+69875190</f>
        <v>189082971</v>
      </c>
      <c r="N139" s="205">
        <f>82354536+47318040</f>
        <v>129672576</v>
      </c>
      <c r="O139" s="205">
        <f>73720152+44663850</f>
        <v>118384002</v>
      </c>
      <c r="P139" s="205">
        <f>18990180+10360350</f>
        <v>29350530</v>
      </c>
      <c r="Q139" s="205">
        <f>2691414+3388770</f>
        <v>6080184</v>
      </c>
      <c r="R139" s="205">
        <f>1919511+2695770</f>
        <v>4615281</v>
      </c>
      <c r="S139" s="205">
        <f>3142260+2196810</f>
        <v>5339070</v>
      </c>
      <c r="T139" s="205">
        <f>1810215+5425420</f>
        <v>7235635</v>
      </c>
      <c r="U139" s="138">
        <f>SUM(J139:T139)</f>
        <v>711827976</v>
      </c>
    </row>
    <row r="140" spans="1:22" ht="13" x14ac:dyDescent="0.45">
      <c r="A140" s="317"/>
      <c r="B140" s="319"/>
      <c r="C140" s="321"/>
      <c r="D140" s="321"/>
      <c r="E140" s="323"/>
      <c r="F140" s="183" t="s">
        <v>248</v>
      </c>
      <c r="G140" s="132">
        <v>43531</v>
      </c>
      <c r="H140" s="133">
        <v>5000</v>
      </c>
      <c r="I140" s="133">
        <v>3500</v>
      </c>
      <c r="J140" s="202"/>
      <c r="K140" s="202"/>
      <c r="L140" s="202"/>
      <c r="M140" s="205"/>
      <c r="N140" s="205"/>
      <c r="O140" s="205"/>
      <c r="P140" s="205">
        <f>61225500+33309500</f>
        <v>94535000</v>
      </c>
      <c r="Q140" s="205">
        <f>64053500+33113500</f>
        <v>97167000</v>
      </c>
      <c r="R140" s="202">
        <f>42136500+24377500</f>
        <v>66514000</v>
      </c>
      <c r="S140" s="202">
        <f>32329500+17080000</f>
        <v>49409500</v>
      </c>
      <c r="T140" s="202">
        <f>20457500+11833500</f>
        <v>32291000</v>
      </c>
      <c r="U140" s="138">
        <f>SUM(J140:T140)</f>
        <v>339916500</v>
      </c>
    </row>
    <row r="141" spans="1:22" ht="12.75" customHeight="1" x14ac:dyDescent="0.45">
      <c r="A141" s="318"/>
      <c r="B141" s="320"/>
      <c r="C141" s="322"/>
      <c r="D141" s="322"/>
      <c r="E141" s="324"/>
      <c r="F141" s="147" t="s">
        <v>253</v>
      </c>
      <c r="G141" s="213"/>
      <c r="H141" s="194"/>
      <c r="I141" s="194"/>
      <c r="J141" s="216">
        <f>SUM(J138:J140)</f>
        <v>656334719</v>
      </c>
      <c r="K141" s="206">
        <f t="shared" ref="K141:T141" si="60">SUM(K138:K140)</f>
        <v>454482035</v>
      </c>
      <c r="L141" s="206">
        <f>SUM(L138:L140)</f>
        <v>478385424</v>
      </c>
      <c r="M141" s="206">
        <f t="shared" si="60"/>
        <v>189082971</v>
      </c>
      <c r="N141" s="206">
        <f t="shared" si="60"/>
        <v>129672576</v>
      </c>
      <c r="O141" s="206">
        <f t="shared" si="60"/>
        <v>118384002</v>
      </c>
      <c r="P141" s="206">
        <f t="shared" si="60"/>
        <v>123885530</v>
      </c>
      <c r="Q141" s="206">
        <f t="shared" si="60"/>
        <v>103247184</v>
      </c>
      <c r="R141" s="206">
        <f>SUM(R138:R140)</f>
        <v>71129281</v>
      </c>
      <c r="S141" s="206">
        <f>SUM(S138:S140)</f>
        <v>54748570</v>
      </c>
      <c r="T141" s="206">
        <f t="shared" si="60"/>
        <v>39526635</v>
      </c>
      <c r="U141" s="195">
        <f>SUM(J141:T141)</f>
        <v>2418878927</v>
      </c>
      <c r="V141" s="214"/>
    </row>
    <row r="142" spans="1:22" ht="13" x14ac:dyDescent="0.45">
      <c r="A142" s="317" t="s">
        <v>292</v>
      </c>
      <c r="B142" s="319">
        <v>88392</v>
      </c>
      <c r="C142" s="321">
        <v>43502</v>
      </c>
      <c r="D142" s="321">
        <v>43530</v>
      </c>
      <c r="E142" s="323">
        <f>D142-C142</f>
        <v>28</v>
      </c>
      <c r="F142" s="142" t="s">
        <v>256</v>
      </c>
      <c r="G142" s="132">
        <v>43530</v>
      </c>
      <c r="H142" s="144">
        <v>10000</v>
      </c>
      <c r="I142" s="144">
        <v>7000</v>
      </c>
      <c r="J142" s="202">
        <f>12481000+12671120</f>
        <v>25152120</v>
      </c>
      <c r="K142" s="202">
        <f>8967000+6256390</f>
        <v>15223390</v>
      </c>
      <c r="L142" s="180">
        <f>1176000+818160</f>
        <v>1994160</v>
      </c>
      <c r="M142" s="205">
        <v>161000</v>
      </c>
      <c r="N142" s="205"/>
      <c r="O142" s="205"/>
      <c r="P142" s="205"/>
      <c r="Q142" s="205"/>
      <c r="R142" s="205"/>
      <c r="S142" s="205"/>
      <c r="T142" s="205"/>
      <c r="U142" s="138">
        <f>SUM(J142:T142)</f>
        <v>42530670</v>
      </c>
    </row>
    <row r="143" spans="1:22" ht="13" x14ac:dyDescent="0.45">
      <c r="A143" s="317"/>
      <c r="B143" s="319"/>
      <c r="C143" s="321"/>
      <c r="D143" s="321"/>
      <c r="E143" s="323"/>
      <c r="F143" s="136" t="s">
        <v>257</v>
      </c>
      <c r="G143" s="132">
        <v>43530</v>
      </c>
      <c r="H143" s="133">
        <v>14900</v>
      </c>
      <c r="I143" s="133">
        <v>10281</v>
      </c>
      <c r="J143" s="202">
        <f>8471544+12870620</f>
        <v>21342164</v>
      </c>
      <c r="K143" s="202">
        <f>3012333+5277580</f>
        <v>8289913</v>
      </c>
      <c r="L143" s="180">
        <f>421521+573650</f>
        <v>995171</v>
      </c>
      <c r="M143" s="205"/>
      <c r="N143" s="205"/>
      <c r="O143" s="205"/>
      <c r="P143" s="205"/>
      <c r="Q143" s="205"/>
      <c r="R143" s="205"/>
      <c r="S143" s="205"/>
      <c r="T143" s="205"/>
      <c r="U143" s="138">
        <f t="shared" si="58"/>
        <v>30627248</v>
      </c>
    </row>
    <row r="144" spans="1:22" ht="13" x14ac:dyDescent="0.45">
      <c r="A144" s="317"/>
      <c r="B144" s="319"/>
      <c r="C144" s="321"/>
      <c r="D144" s="321"/>
      <c r="E144" s="323"/>
      <c r="F144" s="136" t="s">
        <v>247</v>
      </c>
      <c r="G144" s="132">
        <v>43545</v>
      </c>
      <c r="H144" s="133">
        <v>9900</v>
      </c>
      <c r="I144" s="133">
        <v>6831</v>
      </c>
      <c r="J144" s="215"/>
      <c r="K144" s="202"/>
      <c r="L144" s="180">
        <f>3852684+3624390</f>
        <v>7477074</v>
      </c>
      <c r="M144" s="205">
        <f>3634092+1891890</f>
        <v>5525982</v>
      </c>
      <c r="N144" s="205">
        <f>2629935+1559250</f>
        <v>4189185</v>
      </c>
      <c r="O144" s="205">
        <f>2329371+1094940</f>
        <v>3424311</v>
      </c>
      <c r="P144" s="205">
        <f>1338876+1288980</f>
        <v>2627856</v>
      </c>
      <c r="Q144" s="205"/>
      <c r="R144" s="205"/>
      <c r="S144" s="205"/>
      <c r="T144" s="205"/>
      <c r="U144" s="138">
        <f>SUM(J144:T144)</f>
        <v>23244408</v>
      </c>
    </row>
    <row r="145" spans="1:22" ht="13" x14ac:dyDescent="0.45">
      <c r="A145" s="317"/>
      <c r="B145" s="319"/>
      <c r="C145" s="321"/>
      <c r="D145" s="321"/>
      <c r="E145" s="323"/>
      <c r="F145" s="183" t="s">
        <v>248</v>
      </c>
      <c r="G145" s="132">
        <v>43573</v>
      </c>
      <c r="H145" s="133">
        <v>5000</v>
      </c>
      <c r="I145" s="133">
        <v>3500</v>
      </c>
      <c r="J145" s="202"/>
      <c r="K145" s="202"/>
      <c r="L145" s="202"/>
      <c r="M145" s="205"/>
      <c r="N145" s="205"/>
      <c r="O145" s="205"/>
      <c r="P145" s="205">
        <f>2765000+1956500</f>
        <v>4721500</v>
      </c>
      <c r="Q145" s="205"/>
      <c r="R145" s="202"/>
      <c r="S145" s="202"/>
      <c r="T145" s="202"/>
      <c r="U145" s="138">
        <f t="shared" si="58"/>
        <v>4721500</v>
      </c>
    </row>
    <row r="146" spans="1:22" ht="13" x14ac:dyDescent="0.45">
      <c r="A146" s="318"/>
      <c r="B146" s="320"/>
      <c r="C146" s="322"/>
      <c r="D146" s="322"/>
      <c r="E146" s="324"/>
      <c r="F146" s="147" t="s">
        <v>253</v>
      </c>
      <c r="G146" s="213"/>
      <c r="H146" s="194"/>
      <c r="I146" s="194"/>
      <c r="J146" s="216">
        <f>SUM(J142:J145)</f>
        <v>46494284</v>
      </c>
      <c r="K146" s="206">
        <f t="shared" ref="K146" si="61">SUM(K142:K145)</f>
        <v>23513303</v>
      </c>
      <c r="L146" s="206">
        <f>SUM(L142:L145)</f>
        <v>10466405</v>
      </c>
      <c r="M146" s="206">
        <f>SUM(M142:M145)</f>
        <v>5686982</v>
      </c>
      <c r="N146" s="206">
        <f t="shared" ref="N146:T146" si="62">SUM(N142:N145)</f>
        <v>4189185</v>
      </c>
      <c r="O146" s="206">
        <f t="shared" si="62"/>
        <v>3424311</v>
      </c>
      <c r="P146" s="206">
        <f t="shared" si="62"/>
        <v>7349356</v>
      </c>
      <c r="Q146" s="206">
        <f t="shared" si="62"/>
        <v>0</v>
      </c>
      <c r="R146" s="206">
        <f t="shared" si="62"/>
        <v>0</v>
      </c>
      <c r="S146" s="206">
        <f t="shared" si="62"/>
        <v>0</v>
      </c>
      <c r="T146" s="206">
        <f t="shared" si="62"/>
        <v>0</v>
      </c>
      <c r="U146" s="195">
        <f>SUM(J146:T146)</f>
        <v>101123826</v>
      </c>
    </row>
    <row r="147" spans="1:22" ht="13" x14ac:dyDescent="0.45">
      <c r="A147" s="317" t="s">
        <v>293</v>
      </c>
      <c r="B147" s="319">
        <v>262235</v>
      </c>
      <c r="C147" s="321">
        <v>43544</v>
      </c>
      <c r="D147" s="321">
        <v>43560</v>
      </c>
      <c r="E147" s="323">
        <f>D147-C147</f>
        <v>16</v>
      </c>
      <c r="F147" s="142" t="s">
        <v>256</v>
      </c>
      <c r="G147" s="132">
        <v>43560</v>
      </c>
      <c r="H147" s="144">
        <v>10000</v>
      </c>
      <c r="I147" s="144">
        <v>7000</v>
      </c>
      <c r="J147" s="202">
        <f>163023000+79366000</f>
        <v>242389000</v>
      </c>
      <c r="K147" s="202">
        <f>178521000+80507000</f>
        <v>259028000</v>
      </c>
      <c r="L147" s="180">
        <f>83531000+45472000</f>
        <v>129003000</v>
      </c>
      <c r="M147" s="205"/>
      <c r="N147" s="205"/>
      <c r="O147" s="205"/>
      <c r="P147" s="205"/>
      <c r="Q147" s="205"/>
      <c r="R147" s="205"/>
      <c r="S147" s="205"/>
      <c r="T147" s="205"/>
      <c r="U147" s="138">
        <f>SUM(J147:T147)</f>
        <v>630420000</v>
      </c>
    </row>
    <row r="148" spans="1:22" ht="13" x14ac:dyDescent="0.45">
      <c r="A148" s="317"/>
      <c r="B148" s="319"/>
      <c r="C148" s="321"/>
      <c r="D148" s="321"/>
      <c r="E148" s="323"/>
      <c r="F148" s="136" t="s">
        <v>257</v>
      </c>
      <c r="G148" s="132">
        <v>43560</v>
      </c>
      <c r="H148" s="133">
        <v>14900</v>
      </c>
      <c r="I148" s="133">
        <v>10281</v>
      </c>
      <c r="J148" s="202">
        <f>9468801+4735220</f>
        <v>14204021</v>
      </c>
      <c r="K148" s="202">
        <f>8409858+5235860</f>
        <v>13645718</v>
      </c>
      <c r="L148" s="180">
        <f>3084300+2232020</f>
        <v>5316320</v>
      </c>
      <c r="M148" s="205"/>
      <c r="N148" s="205"/>
      <c r="O148" s="205"/>
      <c r="P148" s="205"/>
      <c r="Q148" s="205"/>
      <c r="R148" s="205"/>
      <c r="S148" s="205"/>
      <c r="T148" s="205"/>
      <c r="U148" s="138">
        <f t="shared" ref="U148" si="63">SUM(J148:T148)</f>
        <v>33166059</v>
      </c>
    </row>
    <row r="149" spans="1:22" ht="13" x14ac:dyDescent="0.45">
      <c r="A149" s="317"/>
      <c r="B149" s="319"/>
      <c r="C149" s="321"/>
      <c r="D149" s="321"/>
      <c r="E149" s="323"/>
      <c r="F149" s="136" t="s">
        <v>247</v>
      </c>
      <c r="G149" s="132">
        <v>43577</v>
      </c>
      <c r="H149" s="133">
        <v>9900</v>
      </c>
      <c r="I149" s="133">
        <v>6680</v>
      </c>
      <c r="J149" s="215"/>
      <c r="K149" s="202"/>
      <c r="L149" s="180"/>
      <c r="M149" s="205"/>
      <c r="N149" s="205"/>
      <c r="O149" s="205"/>
      <c r="P149" s="205"/>
      <c r="Q149" s="205"/>
      <c r="R149" s="205"/>
      <c r="S149" s="205"/>
      <c r="T149" s="205"/>
      <c r="U149" s="138">
        <f>SUM(J149:T149)</f>
        <v>0</v>
      </c>
    </row>
    <row r="150" spans="1:22" ht="13" x14ac:dyDescent="0.45">
      <c r="A150" s="317"/>
      <c r="B150" s="319"/>
      <c r="C150" s="321"/>
      <c r="D150" s="321"/>
      <c r="E150" s="323"/>
      <c r="F150" s="183" t="s">
        <v>248</v>
      </c>
      <c r="G150" s="132">
        <v>43577</v>
      </c>
      <c r="H150" s="133">
        <v>5000</v>
      </c>
      <c r="I150" s="133">
        <v>3375</v>
      </c>
      <c r="J150" s="202"/>
      <c r="K150" s="202"/>
      <c r="L150" s="202"/>
      <c r="M150" s="205"/>
      <c r="N150" s="205"/>
      <c r="O150" s="205"/>
      <c r="P150" s="205"/>
      <c r="Q150" s="205"/>
      <c r="R150" s="202"/>
      <c r="S150" s="202"/>
      <c r="T150" s="202"/>
      <c r="U150" s="138">
        <f t="shared" ref="U150" si="64">SUM(J150:T150)</f>
        <v>0</v>
      </c>
    </row>
    <row r="151" spans="1:22" ht="13" x14ac:dyDescent="0.45">
      <c r="A151" s="318"/>
      <c r="B151" s="320"/>
      <c r="C151" s="322"/>
      <c r="D151" s="322"/>
      <c r="E151" s="324"/>
      <c r="F151" s="147" t="s">
        <v>253</v>
      </c>
      <c r="G151" s="213"/>
      <c r="H151" s="194"/>
      <c r="I151" s="194"/>
      <c r="J151" s="216">
        <f>SUM(J147:J150)</f>
        <v>256593021</v>
      </c>
      <c r="K151" s="206">
        <f t="shared" ref="K151" si="65">SUM(K147:K150)</f>
        <v>272673718</v>
      </c>
      <c r="L151" s="206">
        <f>SUM(L147:L150)</f>
        <v>134319320</v>
      </c>
      <c r="M151" s="206">
        <f>SUM(M147:M150)</f>
        <v>0</v>
      </c>
      <c r="N151" s="206">
        <f t="shared" ref="N151:T151" si="66">SUM(N147:N150)</f>
        <v>0</v>
      </c>
      <c r="O151" s="206">
        <f t="shared" si="66"/>
        <v>0</v>
      </c>
      <c r="P151" s="206">
        <f t="shared" si="66"/>
        <v>0</v>
      </c>
      <c r="Q151" s="206">
        <f t="shared" si="66"/>
        <v>0</v>
      </c>
      <c r="R151" s="206">
        <f t="shared" si="66"/>
        <v>0</v>
      </c>
      <c r="S151" s="206">
        <f t="shared" si="66"/>
        <v>0</v>
      </c>
      <c r="T151" s="206">
        <f t="shared" si="66"/>
        <v>0</v>
      </c>
      <c r="U151" s="195">
        <f>SUM(J151:T151)</f>
        <v>663586059</v>
      </c>
      <c r="V151" s="214"/>
    </row>
    <row r="152" spans="1:22" ht="13" x14ac:dyDescent="0.45">
      <c r="A152" s="317" t="s">
        <v>294</v>
      </c>
      <c r="B152" s="319">
        <v>101161</v>
      </c>
      <c r="C152" s="321">
        <v>43538</v>
      </c>
      <c r="D152" s="321">
        <v>43566</v>
      </c>
      <c r="E152" s="323">
        <f>D152-C152</f>
        <v>28</v>
      </c>
      <c r="F152" s="142" t="s">
        <v>256</v>
      </c>
      <c r="G152" s="132">
        <v>43566</v>
      </c>
      <c r="H152" s="144">
        <v>10000</v>
      </c>
      <c r="I152" s="144">
        <v>7000</v>
      </c>
      <c r="J152" s="205">
        <f>31535000+5481000</f>
        <v>37016000</v>
      </c>
      <c r="K152" s="180">
        <f>28308000+3528000</f>
        <v>31836000</v>
      </c>
      <c r="L152" s="180"/>
      <c r="M152" s="205"/>
      <c r="N152" s="205"/>
      <c r="O152" s="205"/>
      <c r="P152" s="205"/>
      <c r="Q152" s="205"/>
      <c r="R152" s="205"/>
      <c r="S152" s="205"/>
      <c r="T152" s="205"/>
      <c r="U152" s="138">
        <f>SUM(J152:T152)</f>
        <v>68852000</v>
      </c>
    </row>
    <row r="153" spans="1:22" ht="13" x14ac:dyDescent="0.45">
      <c r="A153" s="317"/>
      <c r="B153" s="319"/>
      <c r="C153" s="321"/>
      <c r="D153" s="321"/>
      <c r="E153" s="323"/>
      <c r="F153" s="136" t="s">
        <v>257</v>
      </c>
      <c r="G153" s="132">
        <v>43566</v>
      </c>
      <c r="H153" s="133">
        <v>14900</v>
      </c>
      <c r="I153" s="133">
        <v>10281</v>
      </c>
      <c r="J153" s="202">
        <f>1922547+521500</f>
        <v>2444047</v>
      </c>
      <c r="K153" s="202">
        <f>1418778+542360</f>
        <v>1961138</v>
      </c>
      <c r="L153" s="180"/>
      <c r="M153" s="205"/>
      <c r="N153" s="205"/>
      <c r="O153" s="205"/>
      <c r="P153" s="205"/>
      <c r="Q153" s="205"/>
      <c r="R153" s="205"/>
      <c r="S153" s="205"/>
      <c r="T153" s="205"/>
      <c r="U153" s="138">
        <f>SUM(J153:T153)</f>
        <v>4405185</v>
      </c>
    </row>
    <row r="154" spans="1:22" ht="13" x14ac:dyDescent="0.45">
      <c r="A154" s="317"/>
      <c r="B154" s="319"/>
      <c r="C154" s="321"/>
      <c r="D154" s="321"/>
      <c r="E154" s="323"/>
      <c r="F154" s="136" t="s">
        <v>247</v>
      </c>
      <c r="G154" s="132">
        <v>43580</v>
      </c>
      <c r="H154" s="133">
        <v>9900</v>
      </c>
      <c r="I154" s="133">
        <v>6831</v>
      </c>
      <c r="J154" s="202"/>
      <c r="K154" s="202"/>
      <c r="L154" s="180"/>
      <c r="M154" s="205"/>
      <c r="N154" s="205"/>
      <c r="O154" s="205"/>
      <c r="P154" s="205"/>
      <c r="Q154" s="205"/>
      <c r="R154" s="205"/>
      <c r="S154" s="205"/>
      <c r="T154" s="205"/>
      <c r="U154" s="138">
        <f>SUM(J154:T154)</f>
        <v>0</v>
      </c>
    </row>
    <row r="155" spans="1:22" ht="13" x14ac:dyDescent="0.45">
      <c r="A155" s="317"/>
      <c r="B155" s="319"/>
      <c r="C155" s="321"/>
      <c r="D155" s="321"/>
      <c r="E155" s="323"/>
      <c r="F155" s="183" t="s">
        <v>248</v>
      </c>
      <c r="G155" s="132">
        <v>43608</v>
      </c>
      <c r="H155" s="133">
        <v>5000</v>
      </c>
      <c r="I155" s="133">
        <v>3500</v>
      </c>
      <c r="J155" s="202"/>
      <c r="K155" s="202"/>
      <c r="L155" s="202"/>
      <c r="M155" s="205"/>
      <c r="N155" s="205"/>
      <c r="O155" s="205"/>
      <c r="P155" s="205"/>
      <c r="Q155" s="205"/>
      <c r="R155" s="202"/>
      <c r="S155" s="202"/>
      <c r="T155" s="202"/>
      <c r="U155" s="138">
        <f t="shared" ref="U155" si="67">SUM(J155:T155)</f>
        <v>0</v>
      </c>
    </row>
    <row r="156" spans="1:22" ht="13" x14ac:dyDescent="0.45">
      <c r="A156" s="318"/>
      <c r="B156" s="320"/>
      <c r="C156" s="322"/>
      <c r="D156" s="322"/>
      <c r="E156" s="324"/>
      <c r="F156" s="147" t="s">
        <v>253</v>
      </c>
      <c r="G156" s="213"/>
      <c r="H156" s="194"/>
      <c r="I156" s="194"/>
      <c r="J156" s="216">
        <f>SUM(J152:J155)</f>
        <v>39460047</v>
      </c>
      <c r="K156" s="206">
        <f t="shared" ref="K156" si="68">SUM(K152:K155)</f>
        <v>33797138</v>
      </c>
      <c r="L156" s="206">
        <f>SUM(L152:L155)</f>
        <v>0</v>
      </c>
      <c r="M156" s="206">
        <f>SUM(M152:M155)</f>
        <v>0</v>
      </c>
      <c r="N156" s="206">
        <f t="shared" ref="N156:T156" si="69">SUM(N152:N155)</f>
        <v>0</v>
      </c>
      <c r="O156" s="206">
        <f t="shared" si="69"/>
        <v>0</v>
      </c>
      <c r="P156" s="206">
        <f t="shared" si="69"/>
        <v>0</v>
      </c>
      <c r="Q156" s="206">
        <f t="shared" si="69"/>
        <v>0</v>
      </c>
      <c r="R156" s="206">
        <f t="shared" si="69"/>
        <v>0</v>
      </c>
      <c r="S156" s="206">
        <f t="shared" si="69"/>
        <v>0</v>
      </c>
      <c r="T156" s="206">
        <f t="shared" si="69"/>
        <v>0</v>
      </c>
      <c r="U156" s="195">
        <f>SUM(J156:T156)</f>
        <v>73257185</v>
      </c>
    </row>
    <row r="159" spans="1:22" x14ac:dyDescent="0.45">
      <c r="A159" s="186" t="s">
        <v>295</v>
      </c>
    </row>
  </sheetData>
  <mergeCells count="192">
    <mergeCell ref="Q1:U1"/>
    <mergeCell ref="A3:A5"/>
    <mergeCell ref="B3:B5"/>
    <mergeCell ref="C3:C5"/>
    <mergeCell ref="D3:D5"/>
    <mergeCell ref="E3:E5"/>
    <mergeCell ref="A12:A16"/>
    <mergeCell ref="B12:B16"/>
    <mergeCell ref="C12:C16"/>
    <mergeCell ref="D12:D16"/>
    <mergeCell ref="E12:E16"/>
    <mergeCell ref="A17:A19"/>
    <mergeCell ref="E17:E19"/>
    <mergeCell ref="A6:A8"/>
    <mergeCell ref="B6:B8"/>
    <mergeCell ref="C6:C8"/>
    <mergeCell ref="D6:D8"/>
    <mergeCell ref="E6:E8"/>
    <mergeCell ref="A9:A11"/>
    <mergeCell ref="B9:B11"/>
    <mergeCell ref="C9:C11"/>
    <mergeCell ref="D9:D11"/>
    <mergeCell ref="E9:E11"/>
    <mergeCell ref="A20:A23"/>
    <mergeCell ref="C20:C23"/>
    <mergeCell ref="D20:D23"/>
    <mergeCell ref="E20:E23"/>
    <mergeCell ref="B21:B22"/>
    <mergeCell ref="A24:A26"/>
    <mergeCell ref="B24:B26"/>
    <mergeCell ref="C24:C26"/>
    <mergeCell ref="D24:D26"/>
    <mergeCell ref="E24:E26"/>
    <mergeCell ref="A27:A29"/>
    <mergeCell ref="C27:C29"/>
    <mergeCell ref="D27:D29"/>
    <mergeCell ref="E27:E29"/>
    <mergeCell ref="A30:A32"/>
    <mergeCell ref="B30:B32"/>
    <mergeCell ref="C30:C32"/>
    <mergeCell ref="D30:D32"/>
    <mergeCell ref="E30:E32"/>
    <mergeCell ref="A33:A35"/>
    <mergeCell ref="B33:B35"/>
    <mergeCell ref="C33:C35"/>
    <mergeCell ref="D33:D35"/>
    <mergeCell ref="E33:E35"/>
    <mergeCell ref="A36:A38"/>
    <mergeCell ref="B36:B38"/>
    <mergeCell ref="C36:C38"/>
    <mergeCell ref="D36:D38"/>
    <mergeCell ref="E36:E38"/>
    <mergeCell ref="A39:A41"/>
    <mergeCell ref="B39:B41"/>
    <mergeCell ref="C39:C41"/>
    <mergeCell ref="D39:D41"/>
    <mergeCell ref="E39:E41"/>
    <mergeCell ref="A42:A46"/>
    <mergeCell ref="B42:B46"/>
    <mergeCell ref="C42:C46"/>
    <mergeCell ref="D42:D46"/>
    <mergeCell ref="E42:E46"/>
    <mergeCell ref="A47:A49"/>
    <mergeCell ref="B47:B49"/>
    <mergeCell ref="C47:C49"/>
    <mergeCell ref="D47:D49"/>
    <mergeCell ref="E47:E49"/>
    <mergeCell ref="A50:A53"/>
    <mergeCell ref="B50:B53"/>
    <mergeCell ref="C50:C53"/>
    <mergeCell ref="D50:D53"/>
    <mergeCell ref="E50:E53"/>
    <mergeCell ref="A54:A56"/>
    <mergeCell ref="B54:B56"/>
    <mergeCell ref="C54:C56"/>
    <mergeCell ref="D54:D56"/>
    <mergeCell ref="E54:E56"/>
    <mergeCell ref="A57:A60"/>
    <mergeCell ref="B57:B60"/>
    <mergeCell ref="C57:C60"/>
    <mergeCell ref="D57:D60"/>
    <mergeCell ref="E57:E60"/>
    <mergeCell ref="A61:A64"/>
    <mergeCell ref="B61:B64"/>
    <mergeCell ref="C61:C64"/>
    <mergeCell ref="D61:D64"/>
    <mergeCell ref="E61:E64"/>
    <mergeCell ref="A65:A69"/>
    <mergeCell ref="B65:B69"/>
    <mergeCell ref="C65:C69"/>
    <mergeCell ref="D65:D69"/>
    <mergeCell ref="E65:E69"/>
    <mergeCell ref="A70:A74"/>
    <mergeCell ref="B70:B74"/>
    <mergeCell ref="C70:C74"/>
    <mergeCell ref="D70:D74"/>
    <mergeCell ref="E70:E74"/>
    <mergeCell ref="A75:A77"/>
    <mergeCell ref="B75:B77"/>
    <mergeCell ref="C75:C77"/>
    <mergeCell ref="D75:D77"/>
    <mergeCell ref="E75:E77"/>
    <mergeCell ref="A78:A81"/>
    <mergeCell ref="B78:B81"/>
    <mergeCell ref="C78:C81"/>
    <mergeCell ref="D78:D81"/>
    <mergeCell ref="E78:E81"/>
    <mergeCell ref="A82:A84"/>
    <mergeCell ref="B82:B84"/>
    <mergeCell ref="C82:C84"/>
    <mergeCell ref="D82:D84"/>
    <mergeCell ref="E82:E84"/>
    <mergeCell ref="A85:A88"/>
    <mergeCell ref="B85:B88"/>
    <mergeCell ref="C85:C88"/>
    <mergeCell ref="D85:D88"/>
    <mergeCell ref="E85:E88"/>
    <mergeCell ref="A89:A92"/>
    <mergeCell ref="B89:B92"/>
    <mergeCell ref="C89:C92"/>
    <mergeCell ref="D89:D92"/>
    <mergeCell ref="E89:E92"/>
    <mergeCell ref="A93:A96"/>
    <mergeCell ref="B93:B96"/>
    <mergeCell ref="C93:C96"/>
    <mergeCell ref="D93:D96"/>
    <mergeCell ref="E93:E96"/>
    <mergeCell ref="A97:A101"/>
    <mergeCell ref="B97:B101"/>
    <mergeCell ref="C97:C101"/>
    <mergeCell ref="D97:D101"/>
    <mergeCell ref="E97:E101"/>
    <mergeCell ref="A102:A105"/>
    <mergeCell ref="B102:B105"/>
    <mergeCell ref="C102:C105"/>
    <mergeCell ref="D102:D105"/>
    <mergeCell ref="E102:E105"/>
    <mergeCell ref="A106:A110"/>
    <mergeCell ref="B106:B110"/>
    <mergeCell ref="C106:C110"/>
    <mergeCell ref="D106:D110"/>
    <mergeCell ref="E106:E110"/>
    <mergeCell ref="A111:A115"/>
    <mergeCell ref="B111:B115"/>
    <mergeCell ref="C111:C115"/>
    <mergeCell ref="D111:D115"/>
    <mergeCell ref="E111:E115"/>
    <mergeCell ref="A116:A118"/>
    <mergeCell ref="B116:B118"/>
    <mergeCell ref="C116:C118"/>
    <mergeCell ref="D116:D118"/>
    <mergeCell ref="E116:E118"/>
    <mergeCell ref="A119:A123"/>
    <mergeCell ref="B119:B123"/>
    <mergeCell ref="C119:C123"/>
    <mergeCell ref="D119:D123"/>
    <mergeCell ref="E119:E123"/>
    <mergeCell ref="A124:A128"/>
    <mergeCell ref="B124:B128"/>
    <mergeCell ref="C124:C128"/>
    <mergeCell ref="D124:D128"/>
    <mergeCell ref="E124:E128"/>
    <mergeCell ref="A129:A133"/>
    <mergeCell ref="B129:B133"/>
    <mergeCell ref="C129:C133"/>
    <mergeCell ref="D129:D133"/>
    <mergeCell ref="E129:E133"/>
    <mergeCell ref="A134:A137"/>
    <mergeCell ref="B134:B137"/>
    <mergeCell ref="C134:C137"/>
    <mergeCell ref="D134:D137"/>
    <mergeCell ref="E134:E137"/>
    <mergeCell ref="A138:A141"/>
    <mergeCell ref="B138:B141"/>
    <mergeCell ref="C138:C141"/>
    <mergeCell ref="D138:D141"/>
    <mergeCell ref="E138:E141"/>
    <mergeCell ref="A142:A146"/>
    <mergeCell ref="B142:B146"/>
    <mergeCell ref="C142:C146"/>
    <mergeCell ref="D142:D146"/>
    <mergeCell ref="E142:E146"/>
    <mergeCell ref="A147:A151"/>
    <mergeCell ref="B147:B151"/>
    <mergeCell ref="C147:C151"/>
    <mergeCell ref="D147:D151"/>
    <mergeCell ref="E147:E151"/>
    <mergeCell ref="A152:A156"/>
    <mergeCell ref="B152:B156"/>
    <mergeCell ref="C152:C156"/>
    <mergeCell ref="D152:D156"/>
    <mergeCell ref="E152:E156"/>
  </mergeCells>
  <phoneticPr fontId="29" type="noConversion"/>
  <pageMargins left="0.17" right="0.17" top="0.74803149606299213" bottom="0.74803149606299213" header="0.31496062992125984" footer="0.31496062992125984"/>
  <pageSetup paperSize="9" scale="27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50105-CDA7-4535-9DAE-56E99BF1027F}">
  <sheetPr>
    <tabColor rgb="FFFF0000"/>
    <pageSetUpPr fitToPage="1"/>
  </sheetPr>
  <dimension ref="A1:IJ189"/>
  <sheetViews>
    <sheetView showGridLines="0" workbookViewId="0">
      <pane ySplit="6" topLeftCell="A7" activePane="bottomLeft" state="frozen"/>
      <selection pane="bottomLeft" activeCell="A4" sqref="A4:F4"/>
    </sheetView>
  </sheetViews>
  <sheetFormatPr defaultColWidth="9" defaultRowHeight="12.5" x14ac:dyDescent="0.45"/>
  <cols>
    <col min="1" max="1" width="3.25" style="220" customWidth="1"/>
    <col min="2" max="2" width="9.83203125" style="220" bestFit="1" customWidth="1"/>
    <col min="3" max="3" width="4.75" style="221" bestFit="1" customWidth="1"/>
    <col min="4" max="4" width="7.4140625" style="220" customWidth="1"/>
    <col min="5" max="6" width="11.4140625" style="220" bestFit="1" customWidth="1"/>
    <col min="7" max="7" width="1.58203125" style="220" customWidth="1"/>
    <col min="8" max="8" width="3.25" style="220" customWidth="1"/>
    <col min="9" max="9" width="9.83203125" style="220" bestFit="1" customWidth="1"/>
    <col min="10" max="10" width="4.75" style="221" bestFit="1" customWidth="1"/>
    <col min="11" max="11" width="7.4140625" style="220" customWidth="1"/>
    <col min="12" max="13" width="11.4140625" style="220" bestFit="1" customWidth="1"/>
    <col min="14" max="14" width="1.58203125" style="220" customWidth="1"/>
    <col min="15" max="15" width="3.25" style="220" customWidth="1"/>
    <col min="16" max="16" width="9.83203125" style="220" bestFit="1" customWidth="1"/>
    <col min="17" max="17" width="4.75" style="221" bestFit="1" customWidth="1"/>
    <col min="18" max="18" width="7.4140625" style="220" customWidth="1"/>
    <col min="19" max="20" width="11.4140625" style="220" bestFit="1" customWidth="1"/>
    <col min="21" max="21" width="1.58203125" style="220" customWidth="1"/>
    <col min="22" max="22" width="3.25" style="220" customWidth="1"/>
    <col min="23" max="23" width="9.83203125" style="220" bestFit="1" customWidth="1"/>
    <col min="24" max="24" width="4.75" style="221" bestFit="1" customWidth="1"/>
    <col min="25" max="25" width="7.4140625" style="220" customWidth="1"/>
    <col min="26" max="27" width="11.4140625" style="220" bestFit="1" customWidth="1"/>
    <col min="28" max="28" width="1.58203125" style="220" customWidth="1"/>
    <col min="29" max="29" width="3.25" style="220" customWidth="1"/>
    <col min="30" max="30" width="13.1640625" style="220" customWidth="1"/>
    <col min="31" max="31" width="4.75" style="221" bestFit="1" customWidth="1"/>
    <col min="32" max="32" width="7.4140625" style="220" customWidth="1"/>
    <col min="33" max="34" width="11.4140625" style="220" bestFit="1" customWidth="1"/>
    <col min="35" max="35" width="1.58203125" style="220" customWidth="1"/>
    <col min="36" max="36" width="3.25" style="220" customWidth="1"/>
    <col min="37" max="37" width="9.83203125" style="220" bestFit="1" customWidth="1"/>
    <col min="38" max="38" width="4.75" style="221" bestFit="1" customWidth="1"/>
    <col min="39" max="39" width="7.4140625" style="220" customWidth="1"/>
    <col min="40" max="41" width="11.4140625" style="220" bestFit="1" customWidth="1"/>
    <col min="42" max="42" width="1.58203125" style="220" customWidth="1"/>
    <col min="43" max="43" width="3.25" style="220" customWidth="1"/>
    <col min="44" max="44" width="9.83203125" style="220" bestFit="1" customWidth="1"/>
    <col min="45" max="45" width="4.75" style="221" bestFit="1" customWidth="1"/>
    <col min="46" max="46" width="7.4140625" style="220" customWidth="1"/>
    <col min="47" max="48" width="11.4140625" style="220" bestFit="1" customWidth="1"/>
    <col min="49" max="49" width="1.58203125" style="220" customWidth="1"/>
    <col min="50" max="50" width="3.25" style="220" customWidth="1"/>
    <col min="51" max="51" width="9.83203125" style="220" bestFit="1" customWidth="1"/>
    <col min="52" max="52" width="4.75" style="221" bestFit="1" customWidth="1"/>
    <col min="53" max="53" width="7.4140625" style="220" customWidth="1"/>
    <col min="54" max="55" width="11.25" style="220" bestFit="1" customWidth="1"/>
    <col min="56" max="56" width="1.58203125" style="220" customWidth="1"/>
    <col min="57" max="57" width="3.25" style="220" customWidth="1"/>
    <col min="58" max="58" width="9.75" style="220" bestFit="1" customWidth="1"/>
    <col min="59" max="59" width="4.75" style="221" bestFit="1" customWidth="1"/>
    <col min="60" max="60" width="7.4140625" style="220" customWidth="1"/>
    <col min="61" max="62" width="11.25" style="220" bestFit="1" customWidth="1"/>
    <col min="63" max="63" width="1.58203125" style="220" customWidth="1"/>
    <col min="64" max="64" width="3.25" style="220" customWidth="1"/>
    <col min="65" max="65" width="9.75" style="220" bestFit="1" customWidth="1"/>
    <col min="66" max="66" width="4.75" style="221" bestFit="1" customWidth="1"/>
    <col min="67" max="67" width="7.4140625" style="220" customWidth="1"/>
    <col min="68" max="69" width="11.25" style="220" bestFit="1" customWidth="1"/>
    <col min="70" max="70" width="1.58203125" style="220" customWidth="1"/>
    <col min="71" max="71" width="3.25" style="220" customWidth="1"/>
    <col min="72" max="72" width="9.75" style="220" bestFit="1" customWidth="1"/>
    <col min="73" max="73" width="4.75" style="221" bestFit="1" customWidth="1"/>
    <col min="74" max="74" width="7.4140625" style="220" customWidth="1"/>
    <col min="75" max="76" width="11.25" style="220" bestFit="1" customWidth="1"/>
    <col min="77" max="77" width="1.58203125" style="220" customWidth="1"/>
    <col min="78" max="78" width="3.25" style="220" customWidth="1"/>
    <col min="79" max="79" width="9.75" style="220" bestFit="1" customWidth="1"/>
    <col min="80" max="80" width="4.75" style="221" bestFit="1" customWidth="1"/>
    <col min="81" max="81" width="7.4140625" style="220" customWidth="1"/>
    <col min="82" max="83" width="11.25" style="220" bestFit="1" customWidth="1"/>
    <col min="84" max="84" width="1.58203125" style="220" customWidth="1"/>
    <col min="85" max="85" width="3.25" style="220" customWidth="1"/>
    <col min="86" max="86" width="9.75" style="220" bestFit="1" customWidth="1"/>
    <col min="87" max="87" width="4.75" style="221" bestFit="1" customWidth="1"/>
    <col min="88" max="88" width="7.4140625" style="220" customWidth="1"/>
    <col min="89" max="90" width="11.25" style="220" bestFit="1" customWidth="1"/>
    <col min="91" max="91" width="1.58203125" style="220" customWidth="1"/>
    <col min="92" max="92" width="3.25" style="220" customWidth="1"/>
    <col min="93" max="93" width="9.75" style="220" bestFit="1" customWidth="1"/>
    <col min="94" max="94" width="4.75" style="221" bestFit="1" customWidth="1"/>
    <col min="95" max="95" width="7.4140625" style="220" customWidth="1"/>
    <col min="96" max="97" width="11.25" style="220" bestFit="1" customWidth="1"/>
    <col min="98" max="98" width="1.58203125" style="220" customWidth="1"/>
    <col min="99" max="99" width="3.25" style="220" customWidth="1"/>
    <col min="100" max="100" width="9.75" style="220" bestFit="1" customWidth="1"/>
    <col min="101" max="101" width="4.75" style="221" bestFit="1" customWidth="1"/>
    <col min="102" max="102" width="7.4140625" style="220" customWidth="1"/>
    <col min="103" max="104" width="11.25" style="220" bestFit="1" customWidth="1"/>
    <col min="105" max="105" width="1.58203125" style="220" customWidth="1"/>
    <col min="106" max="106" width="3.25" style="220" customWidth="1"/>
    <col min="107" max="107" width="9.75" style="220" bestFit="1" customWidth="1"/>
    <col min="108" max="108" width="4.75" style="221" bestFit="1" customWidth="1"/>
    <col min="109" max="109" width="7.4140625" style="220" customWidth="1"/>
    <col min="110" max="111" width="11.25" style="220" bestFit="1" customWidth="1"/>
    <col min="112" max="112" width="1.58203125" style="220" customWidth="1"/>
    <col min="113" max="113" width="3.25" style="220" customWidth="1"/>
    <col min="114" max="114" width="9.83203125" style="220" bestFit="1" customWidth="1"/>
    <col min="115" max="115" width="4.75" style="221" bestFit="1" customWidth="1"/>
    <col min="116" max="116" width="7.4140625" style="220" customWidth="1"/>
    <col min="117" max="118" width="11.4140625" style="220" bestFit="1" customWidth="1"/>
    <col min="119" max="119" width="1.58203125" style="220" customWidth="1"/>
    <col min="120" max="120" width="3.25" style="220" customWidth="1"/>
    <col min="121" max="121" width="9.83203125" style="220" bestFit="1" customWidth="1"/>
    <col min="122" max="122" width="4.75" style="221" bestFit="1" customWidth="1"/>
    <col min="123" max="123" width="7.4140625" style="220" customWidth="1"/>
    <col min="124" max="125" width="11.4140625" style="220" bestFit="1" customWidth="1"/>
    <col min="126" max="126" width="1.58203125" style="220" customWidth="1"/>
    <col min="127" max="127" width="3.25" style="220" customWidth="1"/>
    <col min="128" max="128" width="9.83203125" style="220" bestFit="1" customWidth="1"/>
    <col min="129" max="129" width="4.75" style="221" bestFit="1" customWidth="1"/>
    <col min="130" max="130" width="7.4140625" style="220" customWidth="1"/>
    <col min="131" max="132" width="11.4140625" style="220" bestFit="1" customWidth="1"/>
    <col min="133" max="133" width="1.58203125" style="220" customWidth="1"/>
    <col min="134" max="134" width="3.25" style="220" customWidth="1"/>
    <col min="135" max="135" width="9.83203125" style="220" bestFit="1" customWidth="1"/>
    <col min="136" max="136" width="4.75" style="221" bestFit="1" customWidth="1"/>
    <col min="137" max="137" width="7.4140625" style="220" customWidth="1"/>
    <col min="138" max="139" width="11.4140625" style="220" bestFit="1" customWidth="1"/>
    <col min="140" max="140" width="1.58203125" style="220" customWidth="1"/>
    <col min="141" max="141" width="3.25" style="220" customWidth="1"/>
    <col min="142" max="142" width="9.83203125" style="220" bestFit="1" customWidth="1"/>
    <col min="143" max="143" width="4.75" style="221" bestFit="1" customWidth="1"/>
    <col min="144" max="144" width="7.4140625" style="220" customWidth="1"/>
    <col min="145" max="146" width="11.4140625" style="220" bestFit="1" customWidth="1"/>
    <col min="147" max="147" width="1.58203125" style="220" customWidth="1"/>
    <col min="148" max="148" width="3.25" style="220" customWidth="1"/>
    <col min="149" max="149" width="9.83203125" style="220" bestFit="1" customWidth="1"/>
    <col min="150" max="150" width="4.75" style="221" bestFit="1" customWidth="1"/>
    <col min="151" max="151" width="7.4140625" style="220" customWidth="1"/>
    <col min="152" max="153" width="11.4140625" style="220" bestFit="1" customWidth="1"/>
    <col min="154" max="154" width="1.58203125" style="220" customWidth="1"/>
    <col min="155" max="155" width="4.25" style="220" customWidth="1"/>
    <col min="156" max="156" width="9.83203125" style="220" bestFit="1" customWidth="1"/>
    <col min="157" max="157" width="4.75" style="221" bestFit="1" customWidth="1"/>
    <col min="158" max="158" width="8" style="220" bestFit="1" customWidth="1"/>
    <col min="159" max="159" width="8.75" style="220" bestFit="1" customWidth="1"/>
    <col min="160" max="160" width="10" style="220" bestFit="1" customWidth="1"/>
    <col min="161" max="161" width="1.58203125" style="220" customWidth="1"/>
    <col min="162" max="162" width="3.4140625" style="220" customWidth="1"/>
    <col min="163" max="163" width="9.83203125" style="220" bestFit="1" customWidth="1"/>
    <col min="164" max="164" width="4.75" style="220" bestFit="1" customWidth="1"/>
    <col min="165" max="165" width="8" style="220" bestFit="1" customWidth="1"/>
    <col min="166" max="167" width="8.75" style="220" bestFit="1" customWidth="1"/>
    <col min="168" max="168" width="1.58203125" style="220" customWidth="1"/>
    <col min="169" max="169" width="4.4140625" style="221" customWidth="1"/>
    <col min="170" max="170" width="9.75" style="221" bestFit="1" customWidth="1"/>
    <col min="171" max="171" width="5" style="221" bestFit="1" customWidth="1"/>
    <col min="172" max="172" width="8" style="220" bestFit="1" customWidth="1"/>
    <col min="173" max="173" width="8.83203125" style="220" bestFit="1" customWidth="1"/>
    <col min="174" max="174" width="9.75" style="220" bestFit="1" customWidth="1"/>
    <col min="175" max="175" width="1.58203125" style="220" customWidth="1"/>
    <col min="176" max="176" width="4.4140625" style="221" customWidth="1"/>
    <col min="177" max="177" width="9.75" style="221" bestFit="1" customWidth="1"/>
    <col min="178" max="178" width="5" style="221" bestFit="1" customWidth="1"/>
    <col min="179" max="179" width="8" style="220" bestFit="1" customWidth="1"/>
    <col min="180" max="181" width="8.75" style="220" bestFit="1" customWidth="1"/>
    <col min="182" max="182" width="1.58203125" style="220" customWidth="1"/>
    <col min="183" max="183" width="4.4140625" style="221" customWidth="1"/>
    <col min="184" max="184" width="9.75" style="221" bestFit="1" customWidth="1"/>
    <col min="185" max="185" width="5" style="221" bestFit="1" customWidth="1"/>
    <col min="186" max="186" width="8" style="220" bestFit="1" customWidth="1"/>
    <col min="187" max="187" width="8.83203125" style="220" bestFit="1" customWidth="1"/>
    <col min="188" max="188" width="9.75" style="220" bestFit="1" customWidth="1"/>
    <col min="189" max="189" width="1.58203125" style="220" customWidth="1"/>
    <col min="190" max="190" width="4.4140625" style="221" customWidth="1"/>
    <col min="191" max="191" width="10.4140625" style="221" bestFit="1" customWidth="1"/>
    <col min="192" max="192" width="5" style="221" bestFit="1" customWidth="1"/>
    <col min="193" max="193" width="8" style="220" bestFit="1" customWidth="1"/>
    <col min="194" max="195" width="8.75" style="220" bestFit="1" customWidth="1"/>
    <col min="196" max="196" width="1.58203125" style="220" customWidth="1"/>
    <col min="197" max="197" width="4.4140625" style="221" customWidth="1"/>
    <col min="198" max="198" width="10.4140625" style="221" bestFit="1" customWidth="1"/>
    <col min="199" max="199" width="5" style="221" bestFit="1" customWidth="1"/>
    <col min="200" max="200" width="8" style="220" bestFit="1" customWidth="1"/>
    <col min="201" max="202" width="8.75" style="220" bestFit="1" customWidth="1"/>
    <col min="203" max="203" width="1.58203125" style="220" customWidth="1"/>
    <col min="204" max="204" width="4.4140625" style="221" customWidth="1"/>
    <col min="205" max="205" width="10.4140625" style="221" bestFit="1" customWidth="1"/>
    <col min="206" max="206" width="5" style="221" bestFit="1" customWidth="1"/>
    <col min="207" max="207" width="8" style="220" bestFit="1" customWidth="1"/>
    <col min="208" max="209" width="8.75" style="220" bestFit="1" customWidth="1"/>
    <col min="210" max="210" width="1.58203125" style="220" customWidth="1"/>
    <col min="211" max="211" width="4.4140625" style="221" customWidth="1"/>
    <col min="212" max="212" width="10.4140625" style="221" bestFit="1" customWidth="1"/>
    <col min="213" max="213" width="5" style="221" bestFit="1" customWidth="1"/>
    <col min="214" max="214" width="8" style="220" bestFit="1" customWidth="1"/>
    <col min="215" max="216" width="8.75" style="220" bestFit="1" customWidth="1"/>
    <col min="217" max="217" width="1.58203125" style="220" customWidth="1"/>
    <col min="218" max="218" width="4.4140625" style="221" customWidth="1"/>
    <col min="219" max="219" width="10.4140625" style="221" bestFit="1" customWidth="1"/>
    <col min="220" max="220" width="5" style="221" bestFit="1" customWidth="1"/>
    <col min="221" max="221" width="8" style="220" bestFit="1" customWidth="1"/>
    <col min="222" max="222" width="8.83203125" style="220" bestFit="1" customWidth="1"/>
    <col min="223" max="223" width="9.75" style="220" bestFit="1" customWidth="1"/>
    <col min="224" max="224" width="1.58203125" style="220" customWidth="1"/>
    <col min="225" max="225" width="4.4140625" style="221" customWidth="1"/>
    <col min="226" max="226" width="9.75" style="221" bestFit="1" customWidth="1"/>
    <col min="227" max="227" width="5" style="221" bestFit="1" customWidth="1"/>
    <col min="228" max="228" width="8" style="220" bestFit="1" customWidth="1"/>
    <col min="229" max="229" width="8.83203125" style="220" bestFit="1" customWidth="1"/>
    <col min="230" max="230" width="9.75" style="220" bestFit="1" customWidth="1"/>
    <col min="231" max="231" width="1.58203125" style="220" customWidth="1"/>
    <col min="232" max="232" width="4.4140625" style="221" customWidth="1"/>
    <col min="233" max="233" width="9.75" style="221" bestFit="1" customWidth="1"/>
    <col min="234" max="234" width="5" style="221" bestFit="1" customWidth="1"/>
    <col min="235" max="235" width="8" style="220" bestFit="1" customWidth="1"/>
    <col min="236" max="237" width="8.75" style="220" bestFit="1" customWidth="1"/>
    <col min="238" max="238" width="1.58203125" style="220" customWidth="1"/>
    <col min="239" max="239" width="4.4140625" style="221" customWidth="1"/>
    <col min="240" max="240" width="9.75" style="221" bestFit="1" customWidth="1"/>
    <col min="241" max="241" width="5" style="221" bestFit="1" customWidth="1"/>
    <col min="242" max="242" width="8" style="220" bestFit="1" customWidth="1"/>
    <col min="243" max="244" width="8.75" style="220" bestFit="1" customWidth="1"/>
    <col min="245" max="16384" width="9" style="220"/>
  </cols>
  <sheetData>
    <row r="1" spans="1:244" s="294" customFormat="1" x14ac:dyDescent="0.45">
      <c r="A1" s="298" t="s">
        <v>414</v>
      </c>
      <c r="FG1" s="297"/>
      <c r="FH1" s="296"/>
      <c r="FR1" s="295"/>
      <c r="FY1" s="295"/>
      <c r="GF1" s="295"/>
      <c r="GM1" s="295"/>
      <c r="GT1" s="295"/>
      <c r="HA1" s="295"/>
      <c r="HH1" s="295"/>
      <c r="HO1" s="295"/>
      <c r="HP1" s="295"/>
      <c r="HV1" s="295"/>
      <c r="HW1" s="295"/>
      <c r="IC1" s="295"/>
      <c r="ID1" s="295"/>
      <c r="IJ1" s="295"/>
    </row>
    <row r="2" spans="1:244" s="294" customFormat="1" x14ac:dyDescent="0.45">
      <c r="A2" s="294" t="s">
        <v>413</v>
      </c>
      <c r="FG2" s="297"/>
      <c r="FH2" s="296"/>
      <c r="FR2" s="295"/>
      <c r="FY2" s="295"/>
      <c r="GF2" s="295"/>
      <c r="GM2" s="295"/>
      <c r="GT2" s="295"/>
      <c r="HA2" s="295"/>
      <c r="HH2" s="295"/>
      <c r="HO2" s="295"/>
      <c r="HP2" s="295"/>
      <c r="HV2" s="295"/>
      <c r="HW2" s="295"/>
      <c r="IC2" s="295"/>
      <c r="ID2" s="295"/>
      <c r="IJ2" s="295"/>
    </row>
    <row r="3" spans="1:244" s="294" customFormat="1" x14ac:dyDescent="0.45">
      <c r="A3" s="294" t="s">
        <v>420</v>
      </c>
      <c r="FG3" s="297"/>
      <c r="FH3" s="296"/>
      <c r="FR3" s="295"/>
      <c r="FY3" s="295"/>
      <c r="GF3" s="295"/>
      <c r="GM3" s="295"/>
      <c r="GT3" s="295"/>
      <c r="HA3" s="295"/>
      <c r="HH3" s="295"/>
      <c r="HO3" s="295"/>
      <c r="HP3" s="295"/>
      <c r="HV3" s="295"/>
      <c r="HW3" s="295"/>
      <c r="IC3" s="295"/>
      <c r="ID3" s="295"/>
      <c r="IJ3" s="295"/>
    </row>
    <row r="4" spans="1:244" s="245" customFormat="1" ht="22.5" customHeight="1" x14ac:dyDescent="0.45">
      <c r="A4" s="353" t="s">
        <v>409</v>
      </c>
      <c r="B4" s="354"/>
      <c r="C4" s="354"/>
      <c r="D4" s="354"/>
      <c r="E4" s="354"/>
      <c r="F4" s="355"/>
      <c r="H4" s="353" t="s">
        <v>412</v>
      </c>
      <c r="I4" s="354"/>
      <c r="J4" s="354"/>
      <c r="K4" s="354"/>
      <c r="L4" s="354"/>
      <c r="M4" s="355"/>
      <c r="O4" s="353" t="s">
        <v>409</v>
      </c>
      <c r="P4" s="354"/>
      <c r="Q4" s="354"/>
      <c r="R4" s="354"/>
      <c r="S4" s="354"/>
      <c r="T4" s="355"/>
      <c r="V4" s="353" t="s">
        <v>407</v>
      </c>
      <c r="W4" s="354"/>
      <c r="X4" s="354"/>
      <c r="Y4" s="354"/>
      <c r="Z4" s="354"/>
      <c r="AA4" s="355"/>
      <c r="AC4" s="353" t="s">
        <v>399</v>
      </c>
      <c r="AD4" s="354"/>
      <c r="AE4" s="354"/>
      <c r="AF4" s="354"/>
      <c r="AG4" s="354"/>
      <c r="AH4" s="355"/>
      <c r="AJ4" s="353" t="s">
        <v>409</v>
      </c>
      <c r="AK4" s="354"/>
      <c r="AL4" s="354"/>
      <c r="AM4" s="354"/>
      <c r="AN4" s="354"/>
      <c r="AO4" s="355"/>
      <c r="AQ4" s="353" t="s">
        <v>409</v>
      </c>
      <c r="AR4" s="354"/>
      <c r="AS4" s="354"/>
      <c r="AT4" s="354"/>
      <c r="AU4" s="354"/>
      <c r="AV4" s="355"/>
      <c r="AX4" s="353" t="s">
        <v>409</v>
      </c>
      <c r="AY4" s="354"/>
      <c r="AZ4" s="354"/>
      <c r="BA4" s="354"/>
      <c r="BB4" s="354"/>
      <c r="BC4" s="355"/>
      <c r="BE4" s="353" t="s">
        <v>411</v>
      </c>
      <c r="BF4" s="354"/>
      <c r="BG4" s="354"/>
      <c r="BH4" s="354"/>
      <c r="BI4" s="354"/>
      <c r="BJ4" s="355"/>
      <c r="BL4" s="353" t="s">
        <v>410</v>
      </c>
      <c r="BM4" s="354"/>
      <c r="BN4" s="354"/>
      <c r="BO4" s="354"/>
      <c r="BP4" s="354"/>
      <c r="BQ4" s="355"/>
      <c r="BS4" s="353" t="s">
        <v>409</v>
      </c>
      <c r="BT4" s="354"/>
      <c r="BU4" s="354"/>
      <c r="BV4" s="354"/>
      <c r="BW4" s="354"/>
      <c r="BX4" s="355"/>
      <c r="BZ4" s="353" t="s">
        <v>407</v>
      </c>
      <c r="CA4" s="354"/>
      <c r="CB4" s="354"/>
      <c r="CC4" s="354"/>
      <c r="CD4" s="354"/>
      <c r="CE4" s="355"/>
      <c r="CG4" s="353" t="s">
        <v>408</v>
      </c>
      <c r="CH4" s="354"/>
      <c r="CI4" s="354"/>
      <c r="CJ4" s="354"/>
      <c r="CK4" s="354"/>
      <c r="CL4" s="355"/>
      <c r="CN4" s="353" t="s">
        <v>399</v>
      </c>
      <c r="CO4" s="354"/>
      <c r="CP4" s="354"/>
      <c r="CQ4" s="354"/>
      <c r="CR4" s="354"/>
      <c r="CS4" s="355"/>
      <c r="CU4" s="353" t="s">
        <v>407</v>
      </c>
      <c r="CV4" s="354"/>
      <c r="CW4" s="354"/>
      <c r="CX4" s="354"/>
      <c r="CY4" s="354"/>
      <c r="CZ4" s="355"/>
      <c r="DB4" s="353" t="s">
        <v>406</v>
      </c>
      <c r="DC4" s="354"/>
      <c r="DD4" s="354"/>
      <c r="DE4" s="354"/>
      <c r="DF4" s="354"/>
      <c r="DG4" s="355"/>
      <c r="DI4" s="353" t="s">
        <v>405</v>
      </c>
      <c r="DJ4" s="354"/>
      <c r="DK4" s="354"/>
      <c r="DL4" s="354"/>
      <c r="DM4" s="354"/>
      <c r="DN4" s="355"/>
      <c r="DP4" s="353" t="s">
        <v>404</v>
      </c>
      <c r="DQ4" s="354"/>
      <c r="DR4" s="354"/>
      <c r="DS4" s="354"/>
      <c r="DT4" s="354"/>
      <c r="DU4" s="355"/>
      <c r="DW4" s="353" t="s">
        <v>403</v>
      </c>
      <c r="DX4" s="354"/>
      <c r="DY4" s="354"/>
      <c r="DZ4" s="354"/>
      <c r="EA4" s="354"/>
      <c r="EB4" s="355"/>
      <c r="ED4" s="353" t="s">
        <v>402</v>
      </c>
      <c r="EE4" s="354"/>
      <c r="EF4" s="354"/>
      <c r="EG4" s="354"/>
      <c r="EH4" s="354"/>
      <c r="EI4" s="355"/>
      <c r="EK4" s="353" t="s">
        <v>401</v>
      </c>
      <c r="EL4" s="354"/>
      <c r="EM4" s="354"/>
      <c r="EN4" s="354"/>
      <c r="EO4" s="354"/>
      <c r="EP4" s="355"/>
      <c r="ER4" s="353" t="s">
        <v>400</v>
      </c>
      <c r="ES4" s="354"/>
      <c r="ET4" s="354"/>
      <c r="EU4" s="354"/>
      <c r="EV4" s="354"/>
      <c r="EW4" s="355"/>
      <c r="EY4" s="353" t="s">
        <v>399</v>
      </c>
      <c r="EZ4" s="354"/>
      <c r="FA4" s="354"/>
      <c r="FB4" s="354"/>
      <c r="FC4" s="354"/>
      <c r="FD4" s="355"/>
      <c r="FF4" s="353" t="s">
        <v>398</v>
      </c>
      <c r="FG4" s="354"/>
      <c r="FH4" s="354"/>
      <c r="FI4" s="354"/>
      <c r="FJ4" s="354"/>
      <c r="FK4" s="355"/>
      <c r="FM4" s="353" t="s">
        <v>397</v>
      </c>
      <c r="FN4" s="354"/>
      <c r="FO4" s="354"/>
      <c r="FP4" s="354"/>
      <c r="FQ4" s="354"/>
      <c r="FR4" s="355"/>
      <c r="FT4" s="353" t="s">
        <v>393</v>
      </c>
      <c r="FU4" s="354"/>
      <c r="FV4" s="354"/>
      <c r="FW4" s="354"/>
      <c r="FX4" s="354"/>
      <c r="FY4" s="355"/>
      <c r="GA4" s="353" t="s">
        <v>396</v>
      </c>
      <c r="GB4" s="354"/>
      <c r="GC4" s="354"/>
      <c r="GD4" s="354"/>
      <c r="GE4" s="354"/>
      <c r="GF4" s="355"/>
      <c r="GH4" s="353" t="s">
        <v>395</v>
      </c>
      <c r="GI4" s="354"/>
      <c r="GJ4" s="354"/>
      <c r="GK4" s="354"/>
      <c r="GL4" s="354"/>
      <c r="GM4" s="355"/>
      <c r="GO4" s="353" t="s">
        <v>394</v>
      </c>
      <c r="GP4" s="354"/>
      <c r="GQ4" s="354"/>
      <c r="GR4" s="354"/>
      <c r="GS4" s="354"/>
      <c r="GT4" s="355"/>
      <c r="GV4" s="353" t="s">
        <v>393</v>
      </c>
      <c r="GW4" s="354"/>
      <c r="GX4" s="354"/>
      <c r="GY4" s="354"/>
      <c r="GZ4" s="354"/>
      <c r="HA4" s="355"/>
      <c r="HC4" s="353" t="s">
        <v>392</v>
      </c>
      <c r="HD4" s="354"/>
      <c r="HE4" s="354"/>
      <c r="HF4" s="354"/>
      <c r="HG4" s="354"/>
      <c r="HH4" s="355"/>
      <c r="HJ4" s="353" t="s">
        <v>391</v>
      </c>
      <c r="HK4" s="354"/>
      <c r="HL4" s="354"/>
      <c r="HM4" s="354"/>
      <c r="HN4" s="354"/>
      <c r="HO4" s="355"/>
      <c r="HP4" s="293"/>
      <c r="HQ4" s="353" t="s">
        <v>390</v>
      </c>
      <c r="HR4" s="354"/>
      <c r="HS4" s="354"/>
      <c r="HT4" s="354"/>
      <c r="HU4" s="354"/>
      <c r="HV4" s="355"/>
      <c r="HW4" s="293"/>
      <c r="HX4" s="353" t="s">
        <v>389</v>
      </c>
      <c r="HY4" s="354"/>
      <c r="HZ4" s="354"/>
      <c r="IA4" s="354"/>
      <c r="IB4" s="354"/>
      <c r="IC4" s="355"/>
      <c r="ID4" s="293"/>
      <c r="IE4" s="353" t="s">
        <v>388</v>
      </c>
      <c r="IF4" s="354"/>
      <c r="IG4" s="354"/>
      <c r="IH4" s="354"/>
      <c r="II4" s="354"/>
      <c r="IJ4" s="355"/>
    </row>
    <row r="5" spans="1:244" s="291" customFormat="1" ht="32.25" customHeight="1" x14ac:dyDescent="0.45">
      <c r="A5" s="350" t="s">
        <v>387</v>
      </c>
      <c r="B5" s="351"/>
      <c r="C5" s="351"/>
      <c r="D5" s="351"/>
      <c r="E5" s="351"/>
      <c r="F5" s="352"/>
      <c r="H5" s="350" t="s">
        <v>386</v>
      </c>
      <c r="I5" s="351"/>
      <c r="J5" s="351"/>
      <c r="K5" s="351"/>
      <c r="L5" s="351"/>
      <c r="M5" s="352"/>
      <c r="O5" s="350" t="s">
        <v>385</v>
      </c>
      <c r="P5" s="351"/>
      <c r="Q5" s="351"/>
      <c r="R5" s="351"/>
      <c r="S5" s="351"/>
      <c r="T5" s="352"/>
      <c r="V5" s="350" t="s">
        <v>384</v>
      </c>
      <c r="W5" s="351"/>
      <c r="X5" s="351"/>
      <c r="Y5" s="351"/>
      <c r="Z5" s="351"/>
      <c r="AA5" s="352"/>
      <c r="AC5" s="350" t="s">
        <v>383</v>
      </c>
      <c r="AD5" s="351"/>
      <c r="AE5" s="351"/>
      <c r="AF5" s="351"/>
      <c r="AG5" s="351"/>
      <c r="AH5" s="352"/>
      <c r="AJ5" s="350" t="s">
        <v>382</v>
      </c>
      <c r="AK5" s="351"/>
      <c r="AL5" s="351"/>
      <c r="AM5" s="351"/>
      <c r="AN5" s="351"/>
      <c r="AO5" s="352"/>
      <c r="AQ5" s="350" t="s">
        <v>381</v>
      </c>
      <c r="AR5" s="351"/>
      <c r="AS5" s="351"/>
      <c r="AT5" s="351"/>
      <c r="AU5" s="351"/>
      <c r="AV5" s="352"/>
      <c r="AX5" s="350" t="s">
        <v>380</v>
      </c>
      <c r="AY5" s="351"/>
      <c r="AZ5" s="351"/>
      <c r="BA5" s="351"/>
      <c r="BB5" s="351"/>
      <c r="BC5" s="352"/>
      <c r="BE5" s="350" t="s">
        <v>379</v>
      </c>
      <c r="BF5" s="351"/>
      <c r="BG5" s="351"/>
      <c r="BH5" s="351"/>
      <c r="BI5" s="351"/>
      <c r="BJ5" s="352"/>
      <c r="BL5" s="350" t="s">
        <v>378</v>
      </c>
      <c r="BM5" s="351"/>
      <c r="BN5" s="351"/>
      <c r="BO5" s="351"/>
      <c r="BP5" s="351"/>
      <c r="BQ5" s="352"/>
      <c r="BS5" s="350" t="s">
        <v>377</v>
      </c>
      <c r="BT5" s="351"/>
      <c r="BU5" s="351"/>
      <c r="BV5" s="351"/>
      <c r="BW5" s="351"/>
      <c r="BX5" s="352"/>
      <c r="BZ5" s="350" t="s">
        <v>376</v>
      </c>
      <c r="CA5" s="351"/>
      <c r="CB5" s="351"/>
      <c r="CC5" s="351"/>
      <c r="CD5" s="351"/>
      <c r="CE5" s="352"/>
      <c r="CG5" s="350" t="s">
        <v>375</v>
      </c>
      <c r="CH5" s="351"/>
      <c r="CI5" s="351"/>
      <c r="CJ5" s="351"/>
      <c r="CK5" s="351"/>
      <c r="CL5" s="352"/>
      <c r="CN5" s="350" t="s">
        <v>374</v>
      </c>
      <c r="CO5" s="351"/>
      <c r="CP5" s="351"/>
      <c r="CQ5" s="351"/>
      <c r="CR5" s="351"/>
      <c r="CS5" s="352"/>
      <c r="CU5" s="350" t="s">
        <v>373</v>
      </c>
      <c r="CV5" s="351"/>
      <c r="CW5" s="351"/>
      <c r="CX5" s="351"/>
      <c r="CY5" s="351"/>
      <c r="CZ5" s="352"/>
      <c r="DB5" s="350" t="s">
        <v>372</v>
      </c>
      <c r="DC5" s="351"/>
      <c r="DD5" s="351"/>
      <c r="DE5" s="351"/>
      <c r="DF5" s="351"/>
      <c r="DG5" s="352"/>
      <c r="DI5" s="350" t="s">
        <v>371</v>
      </c>
      <c r="DJ5" s="351"/>
      <c r="DK5" s="351"/>
      <c r="DL5" s="351"/>
      <c r="DM5" s="351"/>
      <c r="DN5" s="352"/>
      <c r="DP5" s="350" t="s">
        <v>370</v>
      </c>
      <c r="DQ5" s="351"/>
      <c r="DR5" s="351"/>
      <c r="DS5" s="351"/>
      <c r="DT5" s="351"/>
      <c r="DU5" s="352"/>
      <c r="DW5" s="350" t="s">
        <v>369</v>
      </c>
      <c r="DX5" s="351"/>
      <c r="DY5" s="351"/>
      <c r="DZ5" s="351"/>
      <c r="EA5" s="351"/>
      <c r="EB5" s="352"/>
      <c r="ED5" s="350" t="s">
        <v>368</v>
      </c>
      <c r="EE5" s="351"/>
      <c r="EF5" s="351"/>
      <c r="EG5" s="351"/>
      <c r="EH5" s="351"/>
      <c r="EI5" s="352"/>
      <c r="EK5" s="350" t="s">
        <v>367</v>
      </c>
      <c r="EL5" s="351"/>
      <c r="EM5" s="351"/>
      <c r="EN5" s="351"/>
      <c r="EO5" s="351"/>
      <c r="EP5" s="352"/>
      <c r="ER5" s="350" t="s">
        <v>366</v>
      </c>
      <c r="ES5" s="351"/>
      <c r="ET5" s="351"/>
      <c r="EU5" s="351"/>
      <c r="EV5" s="351"/>
      <c r="EW5" s="352"/>
      <c r="EY5" s="350" t="s">
        <v>365</v>
      </c>
      <c r="EZ5" s="351"/>
      <c r="FA5" s="351"/>
      <c r="FB5" s="351"/>
      <c r="FC5" s="351"/>
      <c r="FD5" s="352"/>
      <c r="FE5" s="292"/>
      <c r="FF5" s="359" t="s">
        <v>364</v>
      </c>
      <c r="FG5" s="359"/>
      <c r="FH5" s="359"/>
      <c r="FI5" s="359"/>
      <c r="FJ5" s="359"/>
      <c r="FK5" s="359"/>
      <c r="FM5" s="356" t="s">
        <v>363</v>
      </c>
      <c r="FN5" s="357"/>
      <c r="FO5" s="357"/>
      <c r="FP5" s="357"/>
      <c r="FQ5" s="357"/>
      <c r="FR5" s="358"/>
      <c r="FT5" s="356" t="s">
        <v>362</v>
      </c>
      <c r="FU5" s="357"/>
      <c r="FV5" s="357"/>
      <c r="FW5" s="357"/>
      <c r="FX5" s="357"/>
      <c r="FY5" s="358"/>
      <c r="GA5" s="356" t="s">
        <v>361</v>
      </c>
      <c r="GB5" s="357"/>
      <c r="GC5" s="357"/>
      <c r="GD5" s="357"/>
      <c r="GE5" s="357"/>
      <c r="GF5" s="358"/>
      <c r="GH5" s="356" t="s">
        <v>360</v>
      </c>
      <c r="GI5" s="357"/>
      <c r="GJ5" s="357"/>
      <c r="GK5" s="357"/>
      <c r="GL5" s="357"/>
      <c r="GM5" s="358"/>
      <c r="GO5" s="356" t="s">
        <v>359</v>
      </c>
      <c r="GP5" s="357"/>
      <c r="GQ5" s="357"/>
      <c r="GR5" s="357"/>
      <c r="GS5" s="357"/>
      <c r="GT5" s="358"/>
      <c r="GV5" s="356" t="s">
        <v>358</v>
      </c>
      <c r="GW5" s="357"/>
      <c r="GX5" s="357"/>
      <c r="GY5" s="357"/>
      <c r="GZ5" s="357"/>
      <c r="HA5" s="358"/>
      <c r="HC5" s="356" t="s">
        <v>357</v>
      </c>
      <c r="HD5" s="357"/>
      <c r="HE5" s="357"/>
      <c r="HF5" s="357"/>
      <c r="HG5" s="357"/>
      <c r="HH5" s="358"/>
      <c r="HJ5" s="360" t="s">
        <v>356</v>
      </c>
      <c r="HK5" s="361"/>
      <c r="HL5" s="361"/>
      <c r="HM5" s="361"/>
      <c r="HN5" s="361"/>
      <c r="HO5" s="362"/>
      <c r="HQ5" s="360" t="s">
        <v>355</v>
      </c>
      <c r="HR5" s="361"/>
      <c r="HS5" s="361"/>
      <c r="HT5" s="361"/>
      <c r="HU5" s="361"/>
      <c r="HV5" s="362"/>
      <c r="HX5" s="360" t="s">
        <v>354</v>
      </c>
      <c r="HY5" s="361"/>
      <c r="HZ5" s="361"/>
      <c r="IA5" s="361"/>
      <c r="IB5" s="361"/>
      <c r="IC5" s="362"/>
      <c r="IE5" s="356" t="s">
        <v>353</v>
      </c>
      <c r="IF5" s="357"/>
      <c r="IG5" s="357"/>
      <c r="IH5" s="357"/>
      <c r="II5" s="357"/>
      <c r="IJ5" s="358"/>
    </row>
    <row r="6" spans="1:244" ht="25" x14ac:dyDescent="0.45">
      <c r="A6" s="227" t="s">
        <v>352</v>
      </c>
      <c r="B6" s="285" t="s">
        <v>351</v>
      </c>
      <c r="C6" s="285"/>
      <c r="D6" s="285" t="s">
        <v>350</v>
      </c>
      <c r="E6" s="285" t="s">
        <v>349</v>
      </c>
      <c r="F6" s="285" t="s">
        <v>348</v>
      </c>
      <c r="G6" s="290"/>
      <c r="H6" s="227" t="s">
        <v>352</v>
      </c>
      <c r="I6" s="285" t="s">
        <v>351</v>
      </c>
      <c r="J6" s="285"/>
      <c r="K6" s="285" t="s">
        <v>350</v>
      </c>
      <c r="L6" s="285" t="s">
        <v>349</v>
      </c>
      <c r="M6" s="285" t="s">
        <v>348</v>
      </c>
      <c r="N6" s="290"/>
      <c r="O6" s="227" t="s">
        <v>352</v>
      </c>
      <c r="P6" s="285" t="s">
        <v>351</v>
      </c>
      <c r="Q6" s="285"/>
      <c r="R6" s="285" t="s">
        <v>350</v>
      </c>
      <c r="S6" s="285" t="s">
        <v>349</v>
      </c>
      <c r="T6" s="285" t="s">
        <v>348</v>
      </c>
      <c r="U6" s="290"/>
      <c r="V6" s="227" t="s">
        <v>352</v>
      </c>
      <c r="W6" s="285" t="s">
        <v>351</v>
      </c>
      <c r="X6" s="285"/>
      <c r="Y6" s="285" t="s">
        <v>350</v>
      </c>
      <c r="Z6" s="285" t="s">
        <v>349</v>
      </c>
      <c r="AA6" s="285" t="s">
        <v>348</v>
      </c>
      <c r="AB6" s="290"/>
      <c r="AC6" s="227" t="s">
        <v>352</v>
      </c>
      <c r="AD6" s="285" t="s">
        <v>351</v>
      </c>
      <c r="AE6" s="285"/>
      <c r="AF6" s="285" t="s">
        <v>350</v>
      </c>
      <c r="AG6" s="285" t="s">
        <v>349</v>
      </c>
      <c r="AH6" s="285" t="s">
        <v>348</v>
      </c>
      <c r="AI6" s="290"/>
      <c r="AJ6" s="227" t="s">
        <v>352</v>
      </c>
      <c r="AK6" s="285" t="s">
        <v>351</v>
      </c>
      <c r="AL6" s="285"/>
      <c r="AM6" s="285" t="s">
        <v>350</v>
      </c>
      <c r="AN6" s="285" t="s">
        <v>349</v>
      </c>
      <c r="AO6" s="285" t="s">
        <v>348</v>
      </c>
      <c r="AP6" s="290"/>
      <c r="AQ6" s="227" t="s">
        <v>352</v>
      </c>
      <c r="AR6" s="285" t="s">
        <v>351</v>
      </c>
      <c r="AS6" s="285"/>
      <c r="AT6" s="285" t="s">
        <v>350</v>
      </c>
      <c r="AU6" s="285" t="s">
        <v>349</v>
      </c>
      <c r="AV6" s="285" t="s">
        <v>348</v>
      </c>
      <c r="AW6" s="290"/>
      <c r="AX6" s="227" t="s">
        <v>352</v>
      </c>
      <c r="AY6" s="285" t="s">
        <v>351</v>
      </c>
      <c r="AZ6" s="285"/>
      <c r="BA6" s="285" t="s">
        <v>350</v>
      </c>
      <c r="BB6" s="285" t="s">
        <v>349</v>
      </c>
      <c r="BC6" s="285" t="s">
        <v>348</v>
      </c>
      <c r="BD6" s="290"/>
      <c r="BE6" s="227" t="s">
        <v>352</v>
      </c>
      <c r="BF6" s="285" t="s">
        <v>351</v>
      </c>
      <c r="BG6" s="285"/>
      <c r="BH6" s="285" t="s">
        <v>350</v>
      </c>
      <c r="BI6" s="285" t="s">
        <v>349</v>
      </c>
      <c r="BJ6" s="285" t="s">
        <v>348</v>
      </c>
      <c r="BK6" s="290"/>
      <c r="BL6" s="227" t="s">
        <v>352</v>
      </c>
      <c r="BM6" s="285" t="s">
        <v>351</v>
      </c>
      <c r="BN6" s="285"/>
      <c r="BO6" s="285" t="s">
        <v>350</v>
      </c>
      <c r="BP6" s="285" t="s">
        <v>349</v>
      </c>
      <c r="BQ6" s="285" t="s">
        <v>348</v>
      </c>
      <c r="BR6" s="290"/>
      <c r="BS6" s="227" t="s">
        <v>352</v>
      </c>
      <c r="BT6" s="285" t="s">
        <v>351</v>
      </c>
      <c r="BU6" s="285"/>
      <c r="BV6" s="285" t="s">
        <v>350</v>
      </c>
      <c r="BW6" s="285" t="s">
        <v>349</v>
      </c>
      <c r="BX6" s="285" t="s">
        <v>348</v>
      </c>
      <c r="BY6" s="290"/>
      <c r="BZ6" s="227" t="s">
        <v>352</v>
      </c>
      <c r="CA6" s="285" t="s">
        <v>351</v>
      </c>
      <c r="CB6" s="285"/>
      <c r="CC6" s="285" t="s">
        <v>350</v>
      </c>
      <c r="CD6" s="285" t="s">
        <v>349</v>
      </c>
      <c r="CE6" s="285" t="s">
        <v>348</v>
      </c>
      <c r="CF6" s="290"/>
      <c r="CG6" s="227" t="s">
        <v>352</v>
      </c>
      <c r="CH6" s="285" t="s">
        <v>351</v>
      </c>
      <c r="CI6" s="285"/>
      <c r="CJ6" s="285" t="s">
        <v>350</v>
      </c>
      <c r="CK6" s="285" t="s">
        <v>349</v>
      </c>
      <c r="CL6" s="285" t="s">
        <v>348</v>
      </c>
      <c r="CM6" s="290"/>
      <c r="CN6" s="227" t="s">
        <v>352</v>
      </c>
      <c r="CO6" s="285" t="s">
        <v>351</v>
      </c>
      <c r="CP6" s="285"/>
      <c r="CQ6" s="285" t="s">
        <v>350</v>
      </c>
      <c r="CR6" s="285" t="s">
        <v>349</v>
      </c>
      <c r="CS6" s="285" t="s">
        <v>348</v>
      </c>
      <c r="CT6" s="290"/>
      <c r="CU6" s="227" t="s">
        <v>352</v>
      </c>
      <c r="CV6" s="285" t="s">
        <v>351</v>
      </c>
      <c r="CW6" s="285"/>
      <c r="CX6" s="285" t="s">
        <v>350</v>
      </c>
      <c r="CY6" s="285" t="s">
        <v>349</v>
      </c>
      <c r="CZ6" s="285" t="s">
        <v>348</v>
      </c>
      <c r="DA6" s="290"/>
      <c r="DB6" s="227" t="s">
        <v>352</v>
      </c>
      <c r="DC6" s="285" t="s">
        <v>351</v>
      </c>
      <c r="DD6" s="285"/>
      <c r="DE6" s="285" t="s">
        <v>350</v>
      </c>
      <c r="DF6" s="285" t="s">
        <v>349</v>
      </c>
      <c r="DG6" s="285" t="s">
        <v>348</v>
      </c>
      <c r="DH6" s="290"/>
      <c r="DI6" s="227" t="s">
        <v>352</v>
      </c>
      <c r="DJ6" s="285" t="s">
        <v>351</v>
      </c>
      <c r="DK6" s="285"/>
      <c r="DL6" s="285" t="s">
        <v>350</v>
      </c>
      <c r="DM6" s="285" t="s">
        <v>349</v>
      </c>
      <c r="DN6" s="285" t="s">
        <v>348</v>
      </c>
      <c r="DO6" s="290"/>
      <c r="DP6" s="227" t="s">
        <v>352</v>
      </c>
      <c r="DQ6" s="285" t="s">
        <v>351</v>
      </c>
      <c r="DR6" s="285"/>
      <c r="DS6" s="285" t="s">
        <v>350</v>
      </c>
      <c r="DT6" s="285" t="s">
        <v>349</v>
      </c>
      <c r="DU6" s="285" t="s">
        <v>348</v>
      </c>
      <c r="DV6" s="290"/>
      <c r="DW6" s="227" t="s">
        <v>352</v>
      </c>
      <c r="DX6" s="285" t="s">
        <v>351</v>
      </c>
      <c r="DY6" s="285"/>
      <c r="DZ6" s="285" t="s">
        <v>350</v>
      </c>
      <c r="EA6" s="285" t="s">
        <v>349</v>
      </c>
      <c r="EB6" s="285" t="s">
        <v>348</v>
      </c>
      <c r="EC6" s="290"/>
      <c r="ED6" s="227" t="s">
        <v>352</v>
      </c>
      <c r="EE6" s="285" t="s">
        <v>351</v>
      </c>
      <c r="EF6" s="285"/>
      <c r="EG6" s="285" t="s">
        <v>350</v>
      </c>
      <c r="EH6" s="285" t="s">
        <v>349</v>
      </c>
      <c r="EI6" s="285" t="s">
        <v>348</v>
      </c>
      <c r="EJ6" s="290"/>
      <c r="EK6" s="227" t="s">
        <v>352</v>
      </c>
      <c r="EL6" s="285" t="s">
        <v>351</v>
      </c>
      <c r="EM6" s="285"/>
      <c r="EN6" s="285" t="s">
        <v>350</v>
      </c>
      <c r="EO6" s="285" t="s">
        <v>349</v>
      </c>
      <c r="EP6" s="285" t="s">
        <v>348</v>
      </c>
      <c r="EQ6" s="290"/>
      <c r="ER6" s="227" t="s">
        <v>352</v>
      </c>
      <c r="ES6" s="285" t="s">
        <v>351</v>
      </c>
      <c r="ET6" s="285"/>
      <c r="EU6" s="285" t="s">
        <v>350</v>
      </c>
      <c r="EV6" s="285" t="s">
        <v>349</v>
      </c>
      <c r="EW6" s="285" t="s">
        <v>348</v>
      </c>
      <c r="EX6" s="290"/>
      <c r="EY6" s="227" t="s">
        <v>352</v>
      </c>
      <c r="EZ6" s="285" t="s">
        <v>351</v>
      </c>
      <c r="FA6" s="285"/>
      <c r="FB6" s="285" t="s">
        <v>350</v>
      </c>
      <c r="FC6" s="285" t="s">
        <v>349</v>
      </c>
      <c r="FD6" s="285" t="s">
        <v>348</v>
      </c>
      <c r="FF6" s="289" t="s">
        <v>352</v>
      </c>
      <c r="FG6" s="288" t="s">
        <v>351</v>
      </c>
      <c r="FH6" s="287"/>
      <c r="FI6" s="287" t="s">
        <v>350</v>
      </c>
      <c r="FJ6" s="287" t="s">
        <v>349</v>
      </c>
      <c r="FK6" s="286" t="s">
        <v>348</v>
      </c>
      <c r="FM6" s="227" t="s">
        <v>352</v>
      </c>
      <c r="FN6" s="285" t="s">
        <v>351</v>
      </c>
      <c r="FO6" s="285"/>
      <c r="FP6" s="285" t="s">
        <v>350</v>
      </c>
      <c r="FQ6" s="285" t="s">
        <v>349</v>
      </c>
      <c r="FR6" s="285" t="s">
        <v>348</v>
      </c>
      <c r="FT6" s="227" t="s">
        <v>352</v>
      </c>
      <c r="FU6" s="285" t="s">
        <v>351</v>
      </c>
      <c r="FV6" s="285"/>
      <c r="FW6" s="285" t="s">
        <v>350</v>
      </c>
      <c r="FX6" s="285" t="s">
        <v>349</v>
      </c>
      <c r="FY6" s="285" t="s">
        <v>348</v>
      </c>
      <c r="GA6" s="227" t="s">
        <v>352</v>
      </c>
      <c r="GB6" s="285" t="s">
        <v>351</v>
      </c>
      <c r="GC6" s="285"/>
      <c r="GD6" s="285" t="s">
        <v>350</v>
      </c>
      <c r="GE6" s="285" t="s">
        <v>349</v>
      </c>
      <c r="GF6" s="285" t="s">
        <v>348</v>
      </c>
      <c r="GH6" s="227" t="s">
        <v>352</v>
      </c>
      <c r="GI6" s="285" t="s">
        <v>351</v>
      </c>
      <c r="GJ6" s="285"/>
      <c r="GK6" s="285" t="s">
        <v>350</v>
      </c>
      <c r="GL6" s="285" t="s">
        <v>349</v>
      </c>
      <c r="GM6" s="285" t="s">
        <v>348</v>
      </c>
      <c r="GO6" s="227" t="s">
        <v>352</v>
      </c>
      <c r="GP6" s="285" t="s">
        <v>351</v>
      </c>
      <c r="GQ6" s="285"/>
      <c r="GR6" s="285" t="s">
        <v>350</v>
      </c>
      <c r="GS6" s="285" t="s">
        <v>349</v>
      </c>
      <c r="GT6" s="285" t="s">
        <v>348</v>
      </c>
      <c r="GV6" s="227" t="s">
        <v>352</v>
      </c>
      <c r="GW6" s="285" t="s">
        <v>351</v>
      </c>
      <c r="GX6" s="285"/>
      <c r="GY6" s="285" t="s">
        <v>350</v>
      </c>
      <c r="GZ6" s="285" t="s">
        <v>349</v>
      </c>
      <c r="HA6" s="285" t="s">
        <v>348</v>
      </c>
      <c r="HC6" s="227" t="s">
        <v>352</v>
      </c>
      <c r="HD6" s="285" t="s">
        <v>351</v>
      </c>
      <c r="HE6" s="285"/>
      <c r="HF6" s="285" t="s">
        <v>350</v>
      </c>
      <c r="HG6" s="285" t="s">
        <v>349</v>
      </c>
      <c r="HH6" s="285" t="s">
        <v>348</v>
      </c>
      <c r="HJ6" s="227" t="s">
        <v>352</v>
      </c>
      <c r="HK6" s="285" t="s">
        <v>351</v>
      </c>
      <c r="HL6" s="285"/>
      <c r="HM6" s="285" t="s">
        <v>350</v>
      </c>
      <c r="HN6" s="285" t="s">
        <v>349</v>
      </c>
      <c r="HO6" s="285" t="s">
        <v>348</v>
      </c>
      <c r="HQ6" s="227" t="s">
        <v>352</v>
      </c>
      <c r="HR6" s="285" t="s">
        <v>351</v>
      </c>
      <c r="HS6" s="285"/>
      <c r="HT6" s="285" t="s">
        <v>350</v>
      </c>
      <c r="HU6" s="285" t="s">
        <v>349</v>
      </c>
      <c r="HV6" s="285" t="s">
        <v>348</v>
      </c>
      <c r="HX6" s="227" t="s">
        <v>352</v>
      </c>
      <c r="HY6" s="285" t="s">
        <v>351</v>
      </c>
      <c r="HZ6" s="285"/>
      <c r="IA6" s="285" t="s">
        <v>350</v>
      </c>
      <c r="IB6" s="285" t="s">
        <v>349</v>
      </c>
      <c r="IC6" s="285" t="s">
        <v>348</v>
      </c>
      <c r="IE6" s="227" t="s">
        <v>352</v>
      </c>
      <c r="IF6" s="285" t="s">
        <v>351</v>
      </c>
      <c r="IG6" s="285"/>
      <c r="IH6" s="285" t="s">
        <v>350</v>
      </c>
      <c r="II6" s="285" t="s">
        <v>349</v>
      </c>
      <c r="IJ6" s="285" t="s">
        <v>348</v>
      </c>
    </row>
    <row r="7" spans="1:244" x14ac:dyDescent="0.45">
      <c r="A7" s="227">
        <v>1</v>
      </c>
      <c r="B7" s="226">
        <v>43538</v>
      </c>
      <c r="C7" s="227" t="s">
        <v>347</v>
      </c>
      <c r="D7" s="229">
        <v>457</v>
      </c>
      <c r="E7" s="228">
        <v>11599</v>
      </c>
      <c r="F7" s="228">
        <v>12906</v>
      </c>
      <c r="G7" s="270"/>
      <c r="H7" s="227">
        <v>1</v>
      </c>
      <c r="I7" s="226">
        <v>43544</v>
      </c>
      <c r="J7" s="227" t="s">
        <v>347</v>
      </c>
      <c r="K7" s="229">
        <v>833</v>
      </c>
      <c r="L7" s="228">
        <v>33072</v>
      </c>
      <c r="M7" s="228">
        <v>36155</v>
      </c>
      <c r="N7" s="270"/>
      <c r="O7" s="227">
        <v>1</v>
      </c>
      <c r="P7" s="226">
        <v>43502</v>
      </c>
      <c r="Q7" s="227" t="s">
        <v>347</v>
      </c>
      <c r="R7" s="229">
        <v>442</v>
      </c>
      <c r="S7" s="228">
        <v>23045</v>
      </c>
      <c r="T7" s="228">
        <v>25574</v>
      </c>
      <c r="U7" s="270"/>
      <c r="V7" s="227">
        <v>1</v>
      </c>
      <c r="W7" s="226">
        <v>43453</v>
      </c>
      <c r="X7" s="227" t="s">
        <v>347</v>
      </c>
      <c r="Y7" s="229">
        <v>993</v>
      </c>
      <c r="Z7" s="228">
        <v>145383</v>
      </c>
      <c r="AA7" s="228">
        <v>151184</v>
      </c>
      <c r="AB7" s="270"/>
      <c r="AC7" s="227">
        <v>1</v>
      </c>
      <c r="AD7" s="226">
        <v>43418</v>
      </c>
      <c r="AE7" s="227" t="s">
        <v>347</v>
      </c>
      <c r="AF7" s="229">
        <v>1564</v>
      </c>
      <c r="AG7" s="228">
        <v>272339</v>
      </c>
      <c r="AH7" s="228">
        <v>275052</v>
      </c>
      <c r="AI7" s="270"/>
      <c r="AJ7" s="227">
        <v>1</v>
      </c>
      <c r="AK7" s="226">
        <v>43398</v>
      </c>
      <c r="AL7" s="227" t="s">
        <v>316</v>
      </c>
      <c r="AM7" s="229">
        <v>479</v>
      </c>
      <c r="AN7" s="228">
        <v>18773</v>
      </c>
      <c r="AO7" s="228">
        <v>19605</v>
      </c>
      <c r="AP7" s="270"/>
      <c r="AQ7" s="227">
        <v>1</v>
      </c>
      <c r="AR7" s="226">
        <v>43382</v>
      </c>
      <c r="AS7" s="227" t="s">
        <v>312</v>
      </c>
      <c r="AT7" s="229">
        <v>525</v>
      </c>
      <c r="AU7" s="228">
        <v>35127</v>
      </c>
      <c r="AV7" s="228">
        <v>37672</v>
      </c>
      <c r="AW7" s="270"/>
      <c r="AX7" s="227">
        <v>1</v>
      </c>
      <c r="AY7" s="226">
        <v>43362</v>
      </c>
      <c r="AZ7" s="227" t="s">
        <v>304</v>
      </c>
      <c r="BA7" s="229">
        <v>682</v>
      </c>
      <c r="BB7" s="230">
        <v>98719</v>
      </c>
      <c r="BC7" s="230">
        <v>102370</v>
      </c>
      <c r="BD7" s="270"/>
      <c r="BE7" s="227">
        <v>1</v>
      </c>
      <c r="BF7" s="226">
        <v>43327</v>
      </c>
      <c r="BG7" s="227" t="s">
        <v>304</v>
      </c>
      <c r="BH7" s="229">
        <v>601</v>
      </c>
      <c r="BI7" s="230">
        <v>157303</v>
      </c>
      <c r="BJ7" s="230">
        <v>160321</v>
      </c>
      <c r="BK7" s="270"/>
      <c r="BL7" s="227">
        <v>1</v>
      </c>
      <c r="BM7" s="226">
        <v>43306</v>
      </c>
      <c r="BN7" s="227" t="s">
        <v>304</v>
      </c>
      <c r="BO7" s="229">
        <v>1085</v>
      </c>
      <c r="BP7" s="230">
        <v>274510</v>
      </c>
      <c r="BQ7" s="230">
        <v>294176</v>
      </c>
      <c r="BR7" s="270"/>
      <c r="BS7" s="227">
        <v>1</v>
      </c>
      <c r="BT7" s="226">
        <v>43278</v>
      </c>
      <c r="BU7" s="227" t="s">
        <v>304</v>
      </c>
      <c r="BV7" s="229">
        <v>880</v>
      </c>
      <c r="BW7" s="230">
        <v>121990</v>
      </c>
      <c r="BX7" s="230">
        <v>129826</v>
      </c>
      <c r="BY7" s="270"/>
      <c r="BZ7" s="227">
        <v>1</v>
      </c>
      <c r="CA7" s="226">
        <v>43264</v>
      </c>
      <c r="CB7" s="227" t="s">
        <v>304</v>
      </c>
      <c r="CC7" s="229">
        <v>837</v>
      </c>
      <c r="CD7" s="230">
        <v>195523</v>
      </c>
      <c r="CE7" s="230">
        <v>200254</v>
      </c>
      <c r="CF7" s="270"/>
      <c r="CG7" s="227">
        <v>1</v>
      </c>
      <c r="CH7" s="226">
        <v>43221</v>
      </c>
      <c r="CI7" s="227" t="s">
        <v>305</v>
      </c>
      <c r="CJ7" s="229">
        <v>795</v>
      </c>
      <c r="CK7" s="230">
        <v>139965</v>
      </c>
      <c r="CL7" s="230">
        <v>143420</v>
      </c>
      <c r="CM7" s="270"/>
      <c r="CN7" s="227">
        <v>1</v>
      </c>
      <c r="CO7" s="226">
        <v>43202</v>
      </c>
      <c r="CP7" s="227" t="s">
        <v>303</v>
      </c>
      <c r="CQ7" s="229">
        <v>784</v>
      </c>
      <c r="CR7" s="230">
        <v>74779</v>
      </c>
      <c r="CS7" s="230">
        <v>78506</v>
      </c>
      <c r="CT7" s="270"/>
      <c r="CU7" s="227">
        <v>1</v>
      </c>
      <c r="CV7" s="226">
        <v>43187</v>
      </c>
      <c r="CW7" s="227" t="s">
        <v>304</v>
      </c>
      <c r="CX7" s="229">
        <v>985</v>
      </c>
      <c r="CY7" s="230">
        <v>149784</v>
      </c>
      <c r="CZ7" s="230">
        <v>153331</v>
      </c>
      <c r="DA7" s="270"/>
      <c r="DB7" s="227">
        <v>1</v>
      </c>
      <c r="DC7" s="226">
        <v>43054</v>
      </c>
      <c r="DD7" s="227" t="s">
        <v>304</v>
      </c>
      <c r="DE7" s="229">
        <v>1192</v>
      </c>
      <c r="DF7" s="230">
        <v>153553</v>
      </c>
      <c r="DG7" s="230">
        <v>155646</v>
      </c>
      <c r="DH7" s="270"/>
      <c r="DI7" s="227">
        <v>1</v>
      </c>
      <c r="DJ7" s="226">
        <v>42936</v>
      </c>
      <c r="DK7" s="227" t="s">
        <v>303</v>
      </c>
      <c r="DL7" s="229">
        <v>1252</v>
      </c>
      <c r="DM7" s="230">
        <v>224242</v>
      </c>
      <c r="DN7" s="230">
        <v>230263</v>
      </c>
      <c r="DO7" s="270"/>
      <c r="DP7" s="227">
        <v>1</v>
      </c>
      <c r="DQ7" s="226">
        <v>43027</v>
      </c>
      <c r="DR7" s="227" t="s">
        <v>303</v>
      </c>
      <c r="DS7" s="229">
        <v>669</v>
      </c>
      <c r="DT7" s="230">
        <v>87805</v>
      </c>
      <c r="DU7" s="230">
        <v>89261</v>
      </c>
      <c r="DV7" s="270"/>
      <c r="DW7" s="227">
        <v>1</v>
      </c>
      <c r="DX7" s="226">
        <v>43006</v>
      </c>
      <c r="DY7" s="227" t="s">
        <v>303</v>
      </c>
      <c r="DZ7" s="229">
        <v>296</v>
      </c>
      <c r="EA7" s="230">
        <v>3588</v>
      </c>
      <c r="EB7" s="230">
        <v>7966</v>
      </c>
      <c r="EC7" s="270"/>
      <c r="ED7" s="227">
        <v>1</v>
      </c>
      <c r="EE7" s="226">
        <v>42984</v>
      </c>
      <c r="EF7" s="227" t="s">
        <v>304</v>
      </c>
      <c r="EG7" s="232">
        <v>752</v>
      </c>
      <c r="EH7" s="230">
        <v>76925</v>
      </c>
      <c r="EI7" s="230">
        <v>78193</v>
      </c>
      <c r="EJ7" s="270"/>
      <c r="EK7" s="227">
        <v>1</v>
      </c>
      <c r="EL7" s="226">
        <v>42970</v>
      </c>
      <c r="EM7" s="227" t="s">
        <v>304</v>
      </c>
      <c r="EN7" s="229">
        <v>851</v>
      </c>
      <c r="EO7" s="230">
        <v>174011</v>
      </c>
      <c r="EP7" s="230">
        <v>181491</v>
      </c>
      <c r="EQ7" s="270"/>
      <c r="ER7" s="227">
        <v>1</v>
      </c>
      <c r="ES7" s="226">
        <v>42957</v>
      </c>
      <c r="ET7" s="227" t="s">
        <v>303</v>
      </c>
      <c r="EU7" s="232">
        <v>593</v>
      </c>
      <c r="EV7" s="224">
        <v>154719</v>
      </c>
      <c r="EW7" s="224">
        <v>183737</v>
      </c>
      <c r="EX7" s="270"/>
      <c r="EY7" s="227">
        <v>1</v>
      </c>
      <c r="EZ7" s="225">
        <v>42886</v>
      </c>
      <c r="FA7" s="227" t="s">
        <v>310</v>
      </c>
      <c r="FB7" s="234">
        <v>941</v>
      </c>
      <c r="FC7" s="236">
        <v>206944</v>
      </c>
      <c r="FD7" s="236">
        <v>210260</v>
      </c>
      <c r="FF7" s="227">
        <v>1</v>
      </c>
      <c r="FG7" s="274">
        <v>42872</v>
      </c>
      <c r="FH7" s="274" t="s">
        <v>310</v>
      </c>
      <c r="FI7" s="232">
        <v>554</v>
      </c>
      <c r="FJ7" s="229">
        <v>31067</v>
      </c>
      <c r="FK7" s="273">
        <v>88504</v>
      </c>
      <c r="FM7" s="227">
        <v>1</v>
      </c>
      <c r="FN7" s="226">
        <v>42802</v>
      </c>
      <c r="FO7" s="225" t="s">
        <v>304</v>
      </c>
      <c r="FP7" s="224">
        <v>780</v>
      </c>
      <c r="FQ7" s="224">
        <v>93804</v>
      </c>
      <c r="FR7" s="224">
        <v>98822</v>
      </c>
      <c r="FT7" s="227">
        <v>1</v>
      </c>
      <c r="FU7" s="226">
        <v>42775</v>
      </c>
      <c r="FV7" s="225" t="s">
        <v>316</v>
      </c>
      <c r="FW7" s="232">
        <v>381</v>
      </c>
      <c r="FX7" s="229">
        <v>7285</v>
      </c>
      <c r="FY7" s="229">
        <v>36865</v>
      </c>
      <c r="GA7" s="227">
        <v>1</v>
      </c>
      <c r="GB7" s="226">
        <v>42788</v>
      </c>
      <c r="GC7" s="225" t="s">
        <v>304</v>
      </c>
      <c r="GD7" s="224">
        <v>554</v>
      </c>
      <c r="GE7" s="224">
        <v>65584</v>
      </c>
      <c r="GF7" s="224">
        <v>71037</v>
      </c>
      <c r="GH7" s="227">
        <v>1</v>
      </c>
      <c r="GI7" s="226">
        <v>42711</v>
      </c>
      <c r="GJ7" s="225" t="s">
        <v>310</v>
      </c>
      <c r="GK7" s="232">
        <v>365</v>
      </c>
      <c r="GL7" s="229">
        <v>6569</v>
      </c>
      <c r="GM7" s="229">
        <v>10374</v>
      </c>
      <c r="GO7" s="227">
        <v>1</v>
      </c>
      <c r="GP7" s="226">
        <v>42690</v>
      </c>
      <c r="GQ7" s="225" t="s">
        <v>310</v>
      </c>
      <c r="GR7" s="229">
        <v>1091</v>
      </c>
      <c r="GS7" s="229">
        <v>242775</v>
      </c>
      <c r="GT7" s="229">
        <v>245259</v>
      </c>
      <c r="GV7" s="227">
        <v>1</v>
      </c>
      <c r="GW7" s="226">
        <v>42656</v>
      </c>
      <c r="GX7" s="225" t="s">
        <v>316</v>
      </c>
      <c r="GY7" s="232">
        <v>365</v>
      </c>
      <c r="GZ7" s="229">
        <v>9069</v>
      </c>
      <c r="HA7" s="229">
        <v>9497</v>
      </c>
      <c r="HC7" s="227">
        <v>1</v>
      </c>
      <c r="HD7" s="226">
        <v>42641</v>
      </c>
      <c r="HE7" s="225" t="s">
        <v>310</v>
      </c>
      <c r="HF7" s="232">
        <v>537</v>
      </c>
      <c r="HG7" s="229">
        <v>33583</v>
      </c>
      <c r="HH7" s="229">
        <v>78692</v>
      </c>
      <c r="HJ7" s="227">
        <v>1</v>
      </c>
      <c r="HK7" s="226">
        <v>42620</v>
      </c>
      <c r="HL7" s="225" t="s">
        <v>310</v>
      </c>
      <c r="HM7" s="224">
        <v>1221</v>
      </c>
      <c r="HN7" s="224">
        <v>287228</v>
      </c>
      <c r="HO7" s="224">
        <v>305761</v>
      </c>
      <c r="HQ7" s="227">
        <v>1</v>
      </c>
      <c r="HR7" s="226">
        <v>42606</v>
      </c>
      <c r="HS7" s="225" t="s">
        <v>310</v>
      </c>
      <c r="HT7" s="224">
        <v>425</v>
      </c>
      <c r="HU7" s="224">
        <v>57997</v>
      </c>
      <c r="HV7" s="224">
        <v>70542</v>
      </c>
      <c r="HX7" s="227">
        <v>1</v>
      </c>
      <c r="HY7" s="225">
        <v>42585</v>
      </c>
      <c r="HZ7" s="225" t="s">
        <v>310</v>
      </c>
      <c r="IA7" s="234">
        <v>733</v>
      </c>
      <c r="IB7" s="236">
        <v>397666</v>
      </c>
      <c r="IC7" s="236">
        <v>399808</v>
      </c>
      <c r="IE7" s="227">
        <v>1</v>
      </c>
      <c r="IF7" s="226">
        <v>42453</v>
      </c>
      <c r="IG7" s="225" t="s">
        <v>316</v>
      </c>
      <c r="IH7" s="229">
        <v>1625</v>
      </c>
      <c r="II7" s="229">
        <v>219794</v>
      </c>
      <c r="IJ7" s="229">
        <v>238644</v>
      </c>
    </row>
    <row r="8" spans="1:244" x14ac:dyDescent="0.45">
      <c r="A8" s="227">
        <v>2</v>
      </c>
      <c r="B8" s="226">
        <v>43539</v>
      </c>
      <c r="C8" s="227" t="s">
        <v>316</v>
      </c>
      <c r="D8" s="229">
        <v>462</v>
      </c>
      <c r="E8" s="228">
        <v>11572</v>
      </c>
      <c r="F8" s="228">
        <v>24478</v>
      </c>
      <c r="G8" s="270"/>
      <c r="H8" s="227">
        <v>2</v>
      </c>
      <c r="I8" s="226">
        <v>43545</v>
      </c>
      <c r="J8" s="227" t="s">
        <v>316</v>
      </c>
      <c r="K8" s="229">
        <v>807</v>
      </c>
      <c r="L8" s="228">
        <v>29275</v>
      </c>
      <c r="M8" s="228">
        <v>65430</v>
      </c>
      <c r="N8" s="270"/>
      <c r="O8" s="227">
        <v>2</v>
      </c>
      <c r="P8" s="226">
        <v>43503</v>
      </c>
      <c r="Q8" s="227" t="s">
        <v>316</v>
      </c>
      <c r="R8" s="229">
        <v>408</v>
      </c>
      <c r="S8" s="228">
        <v>5639</v>
      </c>
      <c r="T8" s="228">
        <v>31213</v>
      </c>
      <c r="U8" s="270"/>
      <c r="V8" s="227">
        <v>2</v>
      </c>
      <c r="W8" s="226">
        <v>43454</v>
      </c>
      <c r="X8" s="227" t="s">
        <v>316</v>
      </c>
      <c r="Y8" s="229">
        <v>1060</v>
      </c>
      <c r="Z8" s="228">
        <v>132636</v>
      </c>
      <c r="AA8" s="228">
        <v>283820</v>
      </c>
      <c r="AB8" s="270"/>
      <c r="AC8" s="227">
        <v>2</v>
      </c>
      <c r="AD8" s="226">
        <v>43419</v>
      </c>
      <c r="AE8" s="227" t="s">
        <v>316</v>
      </c>
      <c r="AF8" s="229">
        <v>1601</v>
      </c>
      <c r="AG8" s="228">
        <v>221661</v>
      </c>
      <c r="AH8" s="228">
        <v>496713</v>
      </c>
      <c r="AI8" s="270"/>
      <c r="AJ8" s="227">
        <v>2</v>
      </c>
      <c r="AK8" s="226">
        <v>43399</v>
      </c>
      <c r="AL8" s="227" t="s">
        <v>320</v>
      </c>
      <c r="AM8" s="229">
        <v>500</v>
      </c>
      <c r="AN8" s="228">
        <v>23916</v>
      </c>
      <c r="AO8" s="228">
        <v>43521</v>
      </c>
      <c r="AP8" s="270"/>
      <c r="AQ8" s="227">
        <v>2</v>
      </c>
      <c r="AR8" s="226">
        <v>43383</v>
      </c>
      <c r="AS8" s="227" t="s">
        <v>310</v>
      </c>
      <c r="AT8" s="229">
        <v>515</v>
      </c>
      <c r="AU8" s="228">
        <v>15485</v>
      </c>
      <c r="AV8" s="228">
        <v>53157</v>
      </c>
      <c r="AW8" s="270"/>
      <c r="AX8" s="227">
        <v>2</v>
      </c>
      <c r="AY8" s="226">
        <v>43363</v>
      </c>
      <c r="AZ8" s="227" t="s">
        <v>303</v>
      </c>
      <c r="BA8" s="232">
        <v>701</v>
      </c>
      <c r="BB8" s="230">
        <v>76112</v>
      </c>
      <c r="BC8" s="230">
        <v>178482</v>
      </c>
      <c r="BD8" s="270"/>
      <c r="BE8" s="227">
        <v>2</v>
      </c>
      <c r="BF8" s="226">
        <v>43328</v>
      </c>
      <c r="BG8" s="227" t="s">
        <v>303</v>
      </c>
      <c r="BH8" s="232">
        <v>595</v>
      </c>
      <c r="BI8" s="230">
        <v>52752</v>
      </c>
      <c r="BJ8" s="230">
        <v>213073</v>
      </c>
      <c r="BK8" s="270"/>
      <c r="BL8" s="227">
        <v>2</v>
      </c>
      <c r="BM8" s="226">
        <v>43307</v>
      </c>
      <c r="BN8" s="227" t="s">
        <v>303</v>
      </c>
      <c r="BO8" s="232">
        <v>1029</v>
      </c>
      <c r="BP8" s="230">
        <v>101715</v>
      </c>
      <c r="BQ8" s="230">
        <v>395891</v>
      </c>
      <c r="BR8" s="270"/>
      <c r="BS8" s="227">
        <v>2</v>
      </c>
      <c r="BT8" s="226">
        <v>43279</v>
      </c>
      <c r="BU8" s="227" t="s">
        <v>303</v>
      </c>
      <c r="BV8" s="232">
        <v>864</v>
      </c>
      <c r="BW8" s="230">
        <v>94414</v>
      </c>
      <c r="BX8" s="230">
        <v>224240</v>
      </c>
      <c r="BY8" s="270"/>
      <c r="BZ8" s="227">
        <v>2</v>
      </c>
      <c r="CA8" s="226">
        <v>43265</v>
      </c>
      <c r="CB8" s="227" t="s">
        <v>303</v>
      </c>
      <c r="CC8" s="232">
        <v>799</v>
      </c>
      <c r="CD8" s="230">
        <v>65614</v>
      </c>
      <c r="CE8" s="230">
        <v>265868</v>
      </c>
      <c r="CF8" s="270"/>
      <c r="CG8" s="227">
        <v>2</v>
      </c>
      <c r="CH8" s="226">
        <v>43222</v>
      </c>
      <c r="CI8" s="227" t="s">
        <v>304</v>
      </c>
      <c r="CJ8" s="229">
        <v>816</v>
      </c>
      <c r="CK8" s="230">
        <v>62830</v>
      </c>
      <c r="CL8" s="230">
        <v>206250</v>
      </c>
      <c r="CM8" s="270"/>
      <c r="CN8" s="227">
        <v>2</v>
      </c>
      <c r="CO8" s="226">
        <v>43203</v>
      </c>
      <c r="CP8" s="227" t="s">
        <v>302</v>
      </c>
      <c r="CQ8" s="232">
        <v>836</v>
      </c>
      <c r="CR8" s="230">
        <v>104368</v>
      </c>
      <c r="CS8" s="230">
        <v>182874</v>
      </c>
      <c r="CT8" s="270"/>
      <c r="CU8" s="227">
        <v>2</v>
      </c>
      <c r="CV8" s="226">
        <v>43188</v>
      </c>
      <c r="CW8" s="227" t="s">
        <v>303</v>
      </c>
      <c r="CX8" s="232">
        <v>965</v>
      </c>
      <c r="CY8" s="230">
        <v>91641</v>
      </c>
      <c r="CZ8" s="230">
        <v>244972</v>
      </c>
      <c r="DA8" s="270"/>
      <c r="DB8" s="227">
        <v>2</v>
      </c>
      <c r="DC8" s="226">
        <v>43055</v>
      </c>
      <c r="DD8" s="227" t="s">
        <v>303</v>
      </c>
      <c r="DE8" s="232">
        <v>1261</v>
      </c>
      <c r="DF8" s="230">
        <v>164133</v>
      </c>
      <c r="DG8" s="230">
        <v>319779</v>
      </c>
      <c r="DH8" s="270"/>
      <c r="DI8" s="227">
        <v>2</v>
      </c>
      <c r="DJ8" s="226">
        <v>42937</v>
      </c>
      <c r="DK8" s="227" t="s">
        <v>302</v>
      </c>
      <c r="DL8" s="229">
        <v>1245</v>
      </c>
      <c r="DM8" s="230">
        <v>248042</v>
      </c>
      <c r="DN8" s="230">
        <v>478305</v>
      </c>
      <c r="DO8" s="270"/>
      <c r="DP8" s="227">
        <v>2</v>
      </c>
      <c r="DQ8" s="226">
        <v>43028</v>
      </c>
      <c r="DR8" s="227" t="s">
        <v>302</v>
      </c>
      <c r="DS8" s="229">
        <v>780</v>
      </c>
      <c r="DT8" s="230">
        <v>133276</v>
      </c>
      <c r="DU8" s="230">
        <v>222537</v>
      </c>
      <c r="DV8" s="270"/>
      <c r="DW8" s="227">
        <v>2</v>
      </c>
      <c r="DX8" s="226">
        <v>43007</v>
      </c>
      <c r="DY8" s="227" t="s">
        <v>302</v>
      </c>
      <c r="DZ8" s="229">
        <v>304</v>
      </c>
      <c r="EA8" s="230">
        <v>3861</v>
      </c>
      <c r="EB8" s="230">
        <v>11827</v>
      </c>
      <c r="EC8" s="270"/>
      <c r="ED8" s="227">
        <v>2</v>
      </c>
      <c r="EE8" s="226">
        <v>42985</v>
      </c>
      <c r="EF8" s="227" t="s">
        <v>303</v>
      </c>
      <c r="EG8" s="232">
        <v>785</v>
      </c>
      <c r="EH8" s="230">
        <v>75819</v>
      </c>
      <c r="EI8" s="230">
        <v>154012</v>
      </c>
      <c r="EJ8" s="270"/>
      <c r="EK8" s="227">
        <v>2</v>
      </c>
      <c r="EL8" s="226">
        <v>42971</v>
      </c>
      <c r="EM8" s="227" t="s">
        <v>303</v>
      </c>
      <c r="EN8" s="229">
        <v>897</v>
      </c>
      <c r="EO8" s="230">
        <v>160139</v>
      </c>
      <c r="EP8" s="230">
        <v>341630</v>
      </c>
      <c r="EQ8" s="270"/>
      <c r="ER8" s="227">
        <v>2</v>
      </c>
      <c r="ES8" s="226">
        <v>42958</v>
      </c>
      <c r="ET8" s="227" t="s">
        <v>302</v>
      </c>
      <c r="EU8" s="232">
        <v>742</v>
      </c>
      <c r="EV8" s="224">
        <v>197805</v>
      </c>
      <c r="EW8" s="224">
        <v>381542</v>
      </c>
      <c r="EX8" s="270"/>
      <c r="EY8" s="227">
        <v>2</v>
      </c>
      <c r="EZ8" s="225">
        <v>42887</v>
      </c>
      <c r="FA8" s="227" t="s">
        <v>303</v>
      </c>
      <c r="FB8" s="234">
        <v>913</v>
      </c>
      <c r="FC8" s="236">
        <v>116916</v>
      </c>
      <c r="FD8" s="236">
        <v>327176</v>
      </c>
      <c r="FF8" s="227">
        <v>2</v>
      </c>
      <c r="FG8" s="274">
        <v>42873</v>
      </c>
      <c r="FH8" s="274" t="s">
        <v>303</v>
      </c>
      <c r="FI8" s="232">
        <v>567</v>
      </c>
      <c r="FJ8" s="229">
        <v>31813</v>
      </c>
      <c r="FK8" s="273">
        <v>120317</v>
      </c>
      <c r="FM8" s="227">
        <v>2</v>
      </c>
      <c r="FN8" s="226">
        <v>42803</v>
      </c>
      <c r="FO8" s="225" t="s">
        <v>303</v>
      </c>
      <c r="FP8" s="224">
        <v>821</v>
      </c>
      <c r="FQ8" s="224">
        <v>89323</v>
      </c>
      <c r="FR8" s="224">
        <v>188145</v>
      </c>
      <c r="FT8" s="227">
        <v>2</v>
      </c>
      <c r="FU8" s="226">
        <v>42776</v>
      </c>
      <c r="FV8" s="225" t="s">
        <v>302</v>
      </c>
      <c r="FW8" s="232">
        <v>373</v>
      </c>
      <c r="FX8" s="229">
        <v>8404</v>
      </c>
      <c r="FY8" s="229">
        <v>45269</v>
      </c>
      <c r="GA8" s="227">
        <v>2</v>
      </c>
      <c r="GB8" s="226">
        <v>42789</v>
      </c>
      <c r="GC8" s="225" t="s">
        <v>303</v>
      </c>
      <c r="GD8" s="224">
        <v>531</v>
      </c>
      <c r="GE8" s="224">
        <v>35835</v>
      </c>
      <c r="GF8" s="224">
        <v>106872</v>
      </c>
      <c r="GH8" s="227">
        <v>2</v>
      </c>
      <c r="GI8" s="226">
        <v>42712</v>
      </c>
      <c r="GJ8" s="225" t="s">
        <v>303</v>
      </c>
      <c r="GK8" s="232">
        <v>391</v>
      </c>
      <c r="GL8" s="229">
        <v>9074</v>
      </c>
      <c r="GM8" s="229">
        <v>19448</v>
      </c>
      <c r="GO8" s="227">
        <v>2</v>
      </c>
      <c r="GP8" s="226">
        <v>42691</v>
      </c>
      <c r="GQ8" s="225" t="s">
        <v>303</v>
      </c>
      <c r="GR8" s="229">
        <v>1260</v>
      </c>
      <c r="GS8" s="229">
        <v>274088</v>
      </c>
      <c r="GT8" s="229">
        <v>519347</v>
      </c>
      <c r="GV8" s="227">
        <v>2</v>
      </c>
      <c r="GW8" s="226">
        <v>42657</v>
      </c>
      <c r="GX8" s="225" t="s">
        <v>302</v>
      </c>
      <c r="GY8" s="232">
        <v>365</v>
      </c>
      <c r="GZ8" s="229">
        <v>10410</v>
      </c>
      <c r="HA8" s="229">
        <v>19907</v>
      </c>
      <c r="HC8" s="227">
        <v>2</v>
      </c>
      <c r="HD8" s="226">
        <v>42642</v>
      </c>
      <c r="HE8" s="225" t="s">
        <v>303</v>
      </c>
      <c r="HF8" s="232">
        <v>536</v>
      </c>
      <c r="HG8" s="229">
        <v>28762</v>
      </c>
      <c r="HH8" s="229">
        <v>107454</v>
      </c>
      <c r="HJ8" s="227">
        <v>2</v>
      </c>
      <c r="HK8" s="226">
        <v>42621</v>
      </c>
      <c r="HL8" s="225" t="s">
        <v>303</v>
      </c>
      <c r="HM8" s="224">
        <v>1246</v>
      </c>
      <c r="HN8" s="224">
        <v>260642</v>
      </c>
      <c r="HO8" s="224">
        <v>566403</v>
      </c>
      <c r="HQ8" s="227">
        <v>2</v>
      </c>
      <c r="HR8" s="226">
        <v>42607</v>
      </c>
      <c r="HS8" s="225" t="s">
        <v>303</v>
      </c>
      <c r="HT8" s="224">
        <v>476</v>
      </c>
      <c r="HU8" s="224">
        <v>66423</v>
      </c>
      <c r="HV8" s="224">
        <v>136965</v>
      </c>
      <c r="HX8" s="227">
        <v>2</v>
      </c>
      <c r="HY8" s="225">
        <v>42586</v>
      </c>
      <c r="HZ8" s="225" t="s">
        <v>303</v>
      </c>
      <c r="IA8" s="234">
        <v>823</v>
      </c>
      <c r="IB8" s="236">
        <v>255185</v>
      </c>
      <c r="IC8" s="236">
        <v>654993</v>
      </c>
      <c r="IE8" s="227">
        <v>2</v>
      </c>
      <c r="IF8" s="226">
        <v>42454</v>
      </c>
      <c r="IG8" s="225" t="s">
        <v>302</v>
      </c>
      <c r="IH8" s="229">
        <v>1622</v>
      </c>
      <c r="II8" s="229">
        <v>228198</v>
      </c>
      <c r="IJ8" s="229">
        <v>466842</v>
      </c>
    </row>
    <row r="9" spans="1:244" x14ac:dyDescent="0.45">
      <c r="A9" s="227">
        <v>3</v>
      </c>
      <c r="B9" s="226">
        <v>43540</v>
      </c>
      <c r="C9" s="227" t="s">
        <v>320</v>
      </c>
      <c r="D9" s="229">
        <v>472</v>
      </c>
      <c r="E9" s="228">
        <v>21532</v>
      </c>
      <c r="F9" s="228">
        <v>46010</v>
      </c>
      <c r="G9" s="270"/>
      <c r="H9" s="227">
        <v>3</v>
      </c>
      <c r="I9" s="226">
        <v>43546</v>
      </c>
      <c r="J9" s="227" t="s">
        <v>320</v>
      </c>
      <c r="K9" s="229">
        <v>772</v>
      </c>
      <c r="L9" s="228">
        <v>27478</v>
      </c>
      <c r="M9" s="228">
        <v>92908</v>
      </c>
      <c r="N9" s="270"/>
      <c r="O9" s="227">
        <v>3</v>
      </c>
      <c r="P9" s="226">
        <v>43504</v>
      </c>
      <c r="Q9" s="227" t="s">
        <v>320</v>
      </c>
      <c r="R9" s="229">
        <v>379</v>
      </c>
      <c r="S9" s="228">
        <v>5610</v>
      </c>
      <c r="T9" s="228">
        <v>36823</v>
      </c>
      <c r="U9" s="270"/>
      <c r="V9" s="227">
        <v>3</v>
      </c>
      <c r="W9" s="226">
        <v>43455</v>
      </c>
      <c r="X9" s="227" t="s">
        <v>320</v>
      </c>
      <c r="Y9" s="229">
        <v>1114</v>
      </c>
      <c r="Z9" s="228">
        <v>181806</v>
      </c>
      <c r="AA9" s="228">
        <v>465626</v>
      </c>
      <c r="AB9" s="270"/>
      <c r="AC9" s="227">
        <v>3</v>
      </c>
      <c r="AD9" s="226">
        <v>43420</v>
      </c>
      <c r="AE9" s="227" t="s">
        <v>320</v>
      </c>
      <c r="AF9" s="229">
        <v>1577</v>
      </c>
      <c r="AG9" s="228">
        <v>231881</v>
      </c>
      <c r="AH9" s="228">
        <v>728594</v>
      </c>
      <c r="AI9" s="270"/>
      <c r="AJ9" s="227">
        <v>3</v>
      </c>
      <c r="AK9" s="226">
        <v>43400</v>
      </c>
      <c r="AL9" s="227" t="s">
        <v>319</v>
      </c>
      <c r="AM9" s="229">
        <v>531</v>
      </c>
      <c r="AN9" s="228">
        <v>33762</v>
      </c>
      <c r="AO9" s="228">
        <v>77283</v>
      </c>
      <c r="AP9" s="270"/>
      <c r="AQ9" s="227">
        <v>3</v>
      </c>
      <c r="AR9" s="226">
        <v>43384</v>
      </c>
      <c r="AS9" s="227" t="s">
        <v>316</v>
      </c>
      <c r="AT9" s="229">
        <v>495</v>
      </c>
      <c r="AU9" s="228">
        <v>13479</v>
      </c>
      <c r="AV9" s="228">
        <v>66636</v>
      </c>
      <c r="AW9" s="270"/>
      <c r="AX9" s="227">
        <v>3</v>
      </c>
      <c r="AY9" s="226">
        <v>43364</v>
      </c>
      <c r="AZ9" s="227" t="s">
        <v>302</v>
      </c>
      <c r="BA9" s="232">
        <v>760</v>
      </c>
      <c r="BB9" s="230">
        <v>118624</v>
      </c>
      <c r="BC9" s="230">
        <v>297106</v>
      </c>
      <c r="BD9" s="270"/>
      <c r="BE9" s="227">
        <v>3</v>
      </c>
      <c r="BF9" s="226">
        <v>43329</v>
      </c>
      <c r="BG9" s="227" t="s">
        <v>302</v>
      </c>
      <c r="BH9" s="232">
        <v>597</v>
      </c>
      <c r="BI9" s="230">
        <v>48008</v>
      </c>
      <c r="BJ9" s="230">
        <v>261081</v>
      </c>
      <c r="BK9" s="270"/>
      <c r="BL9" s="227">
        <v>3</v>
      </c>
      <c r="BM9" s="226">
        <v>43308</v>
      </c>
      <c r="BN9" s="227" t="s">
        <v>302</v>
      </c>
      <c r="BO9" s="232">
        <v>977</v>
      </c>
      <c r="BP9" s="230">
        <v>88857</v>
      </c>
      <c r="BQ9" s="230">
        <v>484748</v>
      </c>
      <c r="BR9" s="270"/>
      <c r="BS9" s="227">
        <v>3</v>
      </c>
      <c r="BT9" s="226">
        <v>43280</v>
      </c>
      <c r="BU9" s="227" t="s">
        <v>302</v>
      </c>
      <c r="BV9" s="232">
        <v>921</v>
      </c>
      <c r="BW9" s="230">
        <v>136113</v>
      </c>
      <c r="BX9" s="230">
        <v>360353</v>
      </c>
      <c r="BY9" s="270"/>
      <c r="BZ9" s="227">
        <v>3</v>
      </c>
      <c r="CA9" s="226">
        <v>43266</v>
      </c>
      <c r="CB9" s="227" t="s">
        <v>302</v>
      </c>
      <c r="CC9" s="232">
        <v>821</v>
      </c>
      <c r="CD9" s="230">
        <v>84362</v>
      </c>
      <c r="CE9" s="230">
        <v>350230</v>
      </c>
      <c r="CF9" s="270"/>
      <c r="CG9" s="227">
        <v>3</v>
      </c>
      <c r="CH9" s="226">
        <v>43223</v>
      </c>
      <c r="CI9" s="227" t="s">
        <v>303</v>
      </c>
      <c r="CJ9" s="229">
        <v>815</v>
      </c>
      <c r="CK9" s="230">
        <v>54305</v>
      </c>
      <c r="CL9" s="230">
        <v>260555</v>
      </c>
      <c r="CM9" s="270"/>
      <c r="CN9" s="227">
        <v>3</v>
      </c>
      <c r="CO9" s="226">
        <v>43204</v>
      </c>
      <c r="CP9" s="227" t="s">
        <v>301</v>
      </c>
      <c r="CQ9" s="232">
        <v>895</v>
      </c>
      <c r="CR9" s="230">
        <v>274338</v>
      </c>
      <c r="CS9" s="230">
        <v>457212</v>
      </c>
      <c r="CT9" s="270"/>
      <c r="CU9" s="227">
        <v>3</v>
      </c>
      <c r="CV9" s="226">
        <v>43189</v>
      </c>
      <c r="CW9" s="227" t="s">
        <v>302</v>
      </c>
      <c r="CX9" s="229">
        <v>980</v>
      </c>
      <c r="CY9" s="230">
        <v>134675</v>
      </c>
      <c r="CZ9" s="230">
        <v>379647</v>
      </c>
      <c r="DA9" s="270"/>
      <c r="DB9" s="227">
        <v>3</v>
      </c>
      <c r="DC9" s="226">
        <v>43056</v>
      </c>
      <c r="DD9" s="227" t="s">
        <v>302</v>
      </c>
      <c r="DE9" s="229">
        <v>1308</v>
      </c>
      <c r="DF9" s="230">
        <v>183255</v>
      </c>
      <c r="DG9" s="230">
        <v>503034</v>
      </c>
      <c r="DH9" s="270"/>
      <c r="DI9" s="227">
        <v>3</v>
      </c>
      <c r="DJ9" s="226">
        <v>42938</v>
      </c>
      <c r="DK9" s="227" t="s">
        <v>301</v>
      </c>
      <c r="DL9" s="229">
        <v>1207</v>
      </c>
      <c r="DM9" s="230">
        <v>460182</v>
      </c>
      <c r="DN9" s="230">
        <v>938487</v>
      </c>
      <c r="DO9" s="270"/>
      <c r="DP9" s="227">
        <v>3</v>
      </c>
      <c r="DQ9" s="226">
        <v>43029</v>
      </c>
      <c r="DR9" s="227" t="s">
        <v>301</v>
      </c>
      <c r="DS9" s="229">
        <v>847</v>
      </c>
      <c r="DT9" s="230">
        <v>249965</v>
      </c>
      <c r="DU9" s="230">
        <v>472502</v>
      </c>
      <c r="DV9" s="270"/>
      <c r="DW9" s="227">
        <v>3</v>
      </c>
      <c r="DX9" s="226">
        <v>43008</v>
      </c>
      <c r="DY9" s="227" t="s">
        <v>301</v>
      </c>
      <c r="DZ9" s="229">
        <v>436</v>
      </c>
      <c r="EA9" s="230">
        <v>31201</v>
      </c>
      <c r="EB9" s="230">
        <v>43028</v>
      </c>
      <c r="EC9" s="270"/>
      <c r="ED9" s="227">
        <v>3</v>
      </c>
      <c r="EE9" s="226">
        <v>42986</v>
      </c>
      <c r="EF9" s="227" t="s">
        <v>302</v>
      </c>
      <c r="EG9" s="232">
        <v>804</v>
      </c>
      <c r="EH9" s="230">
        <v>100066</v>
      </c>
      <c r="EI9" s="230">
        <v>254078</v>
      </c>
      <c r="EJ9" s="270"/>
      <c r="EK9" s="227">
        <v>3</v>
      </c>
      <c r="EL9" s="226">
        <v>42972</v>
      </c>
      <c r="EM9" s="227" t="s">
        <v>302</v>
      </c>
      <c r="EN9" s="229">
        <v>958</v>
      </c>
      <c r="EO9" s="230">
        <v>146348</v>
      </c>
      <c r="EP9" s="230">
        <v>487978</v>
      </c>
      <c r="EQ9" s="270"/>
      <c r="ER9" s="227">
        <v>3</v>
      </c>
      <c r="ES9" s="226">
        <v>42959</v>
      </c>
      <c r="ET9" s="227" t="s">
        <v>301</v>
      </c>
      <c r="EU9" s="232">
        <v>947</v>
      </c>
      <c r="EV9" s="224">
        <v>281643</v>
      </c>
      <c r="EW9" s="224">
        <v>663185</v>
      </c>
      <c r="EX9" s="270"/>
      <c r="EY9" s="227">
        <v>3</v>
      </c>
      <c r="EZ9" s="225">
        <v>42888</v>
      </c>
      <c r="FA9" s="227" t="s">
        <v>302</v>
      </c>
      <c r="FB9" s="234">
        <v>958</v>
      </c>
      <c r="FC9" s="236">
        <v>154174</v>
      </c>
      <c r="FD9" s="236">
        <v>481350</v>
      </c>
      <c r="FF9" s="227">
        <v>3</v>
      </c>
      <c r="FG9" s="274">
        <v>42874</v>
      </c>
      <c r="FH9" s="274" t="s">
        <v>302</v>
      </c>
      <c r="FI9" s="232">
        <v>588</v>
      </c>
      <c r="FJ9" s="229">
        <v>41481</v>
      </c>
      <c r="FK9" s="273">
        <v>161798</v>
      </c>
      <c r="FM9" s="227">
        <v>3</v>
      </c>
      <c r="FN9" s="226">
        <v>42804</v>
      </c>
      <c r="FO9" s="225" t="s">
        <v>302</v>
      </c>
      <c r="FP9" s="224">
        <v>846</v>
      </c>
      <c r="FQ9" s="224">
        <v>120878</v>
      </c>
      <c r="FR9" s="224">
        <v>309023</v>
      </c>
      <c r="FT9" s="227">
        <v>3</v>
      </c>
      <c r="FU9" s="226">
        <v>42777</v>
      </c>
      <c r="FV9" s="225" t="s">
        <v>301</v>
      </c>
      <c r="FW9" s="232">
        <v>427</v>
      </c>
      <c r="FX9" s="229">
        <v>28669</v>
      </c>
      <c r="FY9" s="229">
        <v>73938</v>
      </c>
      <c r="GA9" s="227">
        <v>3</v>
      </c>
      <c r="GB9" s="226">
        <v>42790</v>
      </c>
      <c r="GC9" s="225" t="s">
        <v>302</v>
      </c>
      <c r="GD9" s="224">
        <v>546</v>
      </c>
      <c r="GE9" s="224">
        <v>39873</v>
      </c>
      <c r="GF9" s="224">
        <v>146745</v>
      </c>
      <c r="GH9" s="227">
        <v>3</v>
      </c>
      <c r="GI9" s="226">
        <v>42713</v>
      </c>
      <c r="GJ9" s="225" t="s">
        <v>302</v>
      </c>
      <c r="GK9" s="232">
        <v>411</v>
      </c>
      <c r="GL9" s="229">
        <v>11730</v>
      </c>
      <c r="GM9" s="229">
        <v>31178</v>
      </c>
      <c r="GO9" s="227">
        <v>3</v>
      </c>
      <c r="GP9" s="226">
        <v>42692</v>
      </c>
      <c r="GQ9" s="225" t="s">
        <v>302</v>
      </c>
      <c r="GR9" s="229">
        <v>1345</v>
      </c>
      <c r="GS9" s="229">
        <v>296835</v>
      </c>
      <c r="GT9" s="229">
        <v>816182</v>
      </c>
      <c r="GV9" s="227">
        <v>3</v>
      </c>
      <c r="GW9" s="226">
        <v>42658</v>
      </c>
      <c r="GX9" s="225" t="s">
        <v>301</v>
      </c>
      <c r="GY9" s="232">
        <v>372</v>
      </c>
      <c r="GZ9" s="229">
        <v>14717</v>
      </c>
      <c r="HA9" s="229">
        <v>34624</v>
      </c>
      <c r="HC9" s="227">
        <v>3</v>
      </c>
      <c r="HD9" s="226">
        <v>42643</v>
      </c>
      <c r="HE9" s="225" t="s">
        <v>302</v>
      </c>
      <c r="HF9" s="232">
        <v>544</v>
      </c>
      <c r="HG9" s="229">
        <v>43145</v>
      </c>
      <c r="HH9" s="229">
        <v>150599</v>
      </c>
      <c r="HJ9" s="227">
        <v>3</v>
      </c>
      <c r="HK9" s="226">
        <v>42622</v>
      </c>
      <c r="HL9" s="225" t="s">
        <v>302</v>
      </c>
      <c r="HM9" s="224">
        <v>1333</v>
      </c>
      <c r="HN9" s="224">
        <v>337358</v>
      </c>
      <c r="HO9" s="224">
        <v>903761</v>
      </c>
      <c r="HQ9" s="227">
        <v>3</v>
      </c>
      <c r="HR9" s="226">
        <v>42608</v>
      </c>
      <c r="HS9" s="225" t="s">
        <v>302</v>
      </c>
      <c r="HT9" s="224">
        <v>526</v>
      </c>
      <c r="HU9" s="224">
        <v>92118</v>
      </c>
      <c r="HV9" s="224">
        <v>229083</v>
      </c>
      <c r="HX9" s="227">
        <v>3</v>
      </c>
      <c r="HY9" s="225">
        <v>42587</v>
      </c>
      <c r="HZ9" s="225" t="s">
        <v>302</v>
      </c>
      <c r="IA9" s="234">
        <v>817</v>
      </c>
      <c r="IB9" s="236">
        <v>219875</v>
      </c>
      <c r="IC9" s="236">
        <v>874868</v>
      </c>
      <c r="IE9" s="227">
        <v>3</v>
      </c>
      <c r="IF9" s="226">
        <v>42455</v>
      </c>
      <c r="IG9" s="225" t="s">
        <v>301</v>
      </c>
      <c r="IH9" s="229">
        <v>1709</v>
      </c>
      <c r="II9" s="229">
        <v>511107</v>
      </c>
      <c r="IJ9" s="229">
        <v>977949</v>
      </c>
    </row>
    <row r="10" spans="1:244" x14ac:dyDescent="0.45">
      <c r="A10" s="227">
        <v>4</v>
      </c>
      <c r="B10" s="226">
        <v>43541</v>
      </c>
      <c r="C10" s="227" t="s">
        <v>319</v>
      </c>
      <c r="D10" s="229">
        <v>460</v>
      </c>
      <c r="E10" s="228">
        <v>18292</v>
      </c>
      <c r="F10" s="228">
        <v>64302</v>
      </c>
      <c r="G10" s="270"/>
      <c r="H10" s="227">
        <v>4</v>
      </c>
      <c r="I10" s="226">
        <v>43547</v>
      </c>
      <c r="J10" s="227" t="s">
        <v>319</v>
      </c>
      <c r="K10" s="229">
        <v>731</v>
      </c>
      <c r="L10" s="228">
        <v>50107</v>
      </c>
      <c r="M10" s="228">
        <v>143015</v>
      </c>
      <c r="N10" s="270"/>
      <c r="O10" s="227">
        <v>4</v>
      </c>
      <c r="P10" s="226">
        <v>43505</v>
      </c>
      <c r="Q10" s="227" t="s">
        <v>319</v>
      </c>
      <c r="R10" s="229">
        <v>414</v>
      </c>
      <c r="S10" s="228">
        <v>16994</v>
      </c>
      <c r="T10" s="228">
        <v>53817</v>
      </c>
      <c r="U10" s="270"/>
      <c r="V10" s="227">
        <v>4</v>
      </c>
      <c r="W10" s="226">
        <v>43456</v>
      </c>
      <c r="X10" s="227" t="s">
        <v>319</v>
      </c>
      <c r="Y10" s="229">
        <v>1192</v>
      </c>
      <c r="Z10" s="228">
        <v>378681</v>
      </c>
      <c r="AA10" s="228">
        <v>844307</v>
      </c>
      <c r="AB10" s="270"/>
      <c r="AC10" s="227">
        <v>4</v>
      </c>
      <c r="AD10" s="226">
        <v>43421</v>
      </c>
      <c r="AE10" s="227" t="s">
        <v>319</v>
      </c>
      <c r="AF10" s="229">
        <v>1512</v>
      </c>
      <c r="AG10" s="228">
        <v>434010</v>
      </c>
      <c r="AH10" s="228">
        <v>1162604</v>
      </c>
      <c r="AI10" s="270"/>
      <c r="AJ10" s="227">
        <v>4</v>
      </c>
      <c r="AK10" s="226">
        <v>43401</v>
      </c>
      <c r="AL10" s="227" t="s">
        <v>317</v>
      </c>
      <c r="AM10" s="229">
        <v>509</v>
      </c>
      <c r="AN10" s="228">
        <v>29002</v>
      </c>
      <c r="AO10" s="228">
        <v>106285</v>
      </c>
      <c r="AP10" s="270"/>
      <c r="AQ10" s="227">
        <v>4</v>
      </c>
      <c r="AR10" s="226">
        <v>43385</v>
      </c>
      <c r="AS10" s="227" t="s">
        <v>320</v>
      </c>
      <c r="AT10" s="229">
        <v>510</v>
      </c>
      <c r="AU10" s="228">
        <v>18525</v>
      </c>
      <c r="AV10" s="228">
        <v>85161</v>
      </c>
      <c r="AW10" s="270"/>
      <c r="AX10" s="227">
        <v>4</v>
      </c>
      <c r="AY10" s="226">
        <v>43365</v>
      </c>
      <c r="AZ10" s="227" t="s">
        <v>301</v>
      </c>
      <c r="BA10" s="232">
        <v>824</v>
      </c>
      <c r="BB10" s="230">
        <v>150142</v>
      </c>
      <c r="BC10" s="230">
        <v>447248</v>
      </c>
      <c r="BD10" s="270"/>
      <c r="BE10" s="227">
        <v>4</v>
      </c>
      <c r="BF10" s="226">
        <v>43330</v>
      </c>
      <c r="BG10" s="227" t="s">
        <v>301</v>
      </c>
      <c r="BH10" s="232">
        <v>570</v>
      </c>
      <c r="BI10" s="230">
        <v>81822</v>
      </c>
      <c r="BJ10" s="230">
        <v>342903</v>
      </c>
      <c r="BK10" s="270"/>
      <c r="BL10" s="227">
        <v>4</v>
      </c>
      <c r="BM10" s="226">
        <v>43309</v>
      </c>
      <c r="BN10" s="227" t="s">
        <v>301</v>
      </c>
      <c r="BO10" s="232">
        <v>829</v>
      </c>
      <c r="BP10" s="230">
        <v>145053</v>
      </c>
      <c r="BQ10" s="230">
        <v>629801</v>
      </c>
      <c r="BR10" s="270"/>
      <c r="BS10" s="227">
        <v>4</v>
      </c>
      <c r="BT10" s="226">
        <v>43281</v>
      </c>
      <c r="BU10" s="227" t="s">
        <v>301</v>
      </c>
      <c r="BV10" s="232">
        <v>1054</v>
      </c>
      <c r="BW10" s="230">
        <v>301612</v>
      </c>
      <c r="BX10" s="230">
        <v>661965</v>
      </c>
      <c r="BY10" s="270"/>
      <c r="BZ10" s="227">
        <v>4</v>
      </c>
      <c r="CA10" s="226">
        <v>43267</v>
      </c>
      <c r="CB10" s="227" t="s">
        <v>301</v>
      </c>
      <c r="CC10" s="232">
        <v>788</v>
      </c>
      <c r="CD10" s="230">
        <v>150590</v>
      </c>
      <c r="CE10" s="230">
        <v>500820</v>
      </c>
      <c r="CF10" s="270"/>
      <c r="CG10" s="227">
        <v>4</v>
      </c>
      <c r="CH10" s="226">
        <v>43224</v>
      </c>
      <c r="CI10" s="227" t="s">
        <v>302</v>
      </c>
      <c r="CJ10" s="229">
        <v>812</v>
      </c>
      <c r="CK10" s="230">
        <v>75687</v>
      </c>
      <c r="CL10" s="230">
        <v>336242</v>
      </c>
      <c r="CM10" s="270"/>
      <c r="CN10" s="227">
        <v>4</v>
      </c>
      <c r="CO10" s="226">
        <v>43205</v>
      </c>
      <c r="CP10" s="227" t="s">
        <v>300</v>
      </c>
      <c r="CQ10" s="232">
        <v>909</v>
      </c>
      <c r="CR10" s="230">
        <v>229406</v>
      </c>
      <c r="CS10" s="230">
        <v>686618</v>
      </c>
      <c r="CT10" s="270"/>
      <c r="CU10" s="227">
        <v>4</v>
      </c>
      <c r="CV10" s="226">
        <v>43190</v>
      </c>
      <c r="CW10" s="227" t="s">
        <v>301</v>
      </c>
      <c r="CX10" s="229">
        <v>1079</v>
      </c>
      <c r="CY10" s="230">
        <v>323881</v>
      </c>
      <c r="CZ10" s="230">
        <v>703528</v>
      </c>
      <c r="DA10" s="270"/>
      <c r="DB10" s="227">
        <v>4</v>
      </c>
      <c r="DC10" s="226">
        <v>43057</v>
      </c>
      <c r="DD10" s="227" t="s">
        <v>301</v>
      </c>
      <c r="DE10" s="229">
        <v>1260</v>
      </c>
      <c r="DF10" s="230">
        <v>347934</v>
      </c>
      <c r="DG10" s="230">
        <v>850968</v>
      </c>
      <c r="DH10" s="270"/>
      <c r="DI10" s="227">
        <v>4</v>
      </c>
      <c r="DJ10" s="226">
        <v>42939</v>
      </c>
      <c r="DK10" s="227" t="s">
        <v>300</v>
      </c>
      <c r="DL10" s="229">
        <v>1181</v>
      </c>
      <c r="DM10" s="230">
        <v>411132</v>
      </c>
      <c r="DN10" s="230">
        <v>1349619</v>
      </c>
      <c r="DO10" s="270"/>
      <c r="DP10" s="227">
        <v>4</v>
      </c>
      <c r="DQ10" s="226">
        <v>43030</v>
      </c>
      <c r="DR10" s="227" t="s">
        <v>300</v>
      </c>
      <c r="DS10" s="229">
        <v>854</v>
      </c>
      <c r="DT10" s="230">
        <v>222256</v>
      </c>
      <c r="DU10" s="230">
        <v>694758</v>
      </c>
      <c r="DV10" s="270"/>
      <c r="DW10" s="227">
        <v>4</v>
      </c>
      <c r="DX10" s="226">
        <v>43009</v>
      </c>
      <c r="DY10" s="227" t="s">
        <v>300</v>
      </c>
      <c r="DZ10" s="229">
        <v>459</v>
      </c>
      <c r="EA10" s="230">
        <v>32228</v>
      </c>
      <c r="EB10" s="230">
        <v>75256</v>
      </c>
      <c r="EC10" s="270"/>
      <c r="ED10" s="227">
        <v>4</v>
      </c>
      <c r="EE10" s="226">
        <v>42987</v>
      </c>
      <c r="EF10" s="227" t="s">
        <v>301</v>
      </c>
      <c r="EG10" s="232">
        <v>837</v>
      </c>
      <c r="EH10" s="230">
        <v>181519</v>
      </c>
      <c r="EI10" s="230">
        <v>435597</v>
      </c>
      <c r="EJ10" s="270"/>
      <c r="EK10" s="227">
        <v>4</v>
      </c>
      <c r="EL10" s="226">
        <v>42973</v>
      </c>
      <c r="EM10" s="227" t="s">
        <v>301</v>
      </c>
      <c r="EN10" s="229">
        <v>996</v>
      </c>
      <c r="EO10" s="230">
        <v>244541</v>
      </c>
      <c r="EP10" s="230">
        <v>732519</v>
      </c>
      <c r="EQ10" s="270"/>
      <c r="ER10" s="227">
        <v>4</v>
      </c>
      <c r="ES10" s="226">
        <v>42960</v>
      </c>
      <c r="ET10" s="227" t="s">
        <v>300</v>
      </c>
      <c r="EU10" s="229">
        <v>1006</v>
      </c>
      <c r="EV10" s="224">
        <v>271589</v>
      </c>
      <c r="EW10" s="224">
        <v>934774</v>
      </c>
      <c r="EX10" s="270"/>
      <c r="EY10" s="227">
        <v>4</v>
      </c>
      <c r="EZ10" s="225">
        <v>42889</v>
      </c>
      <c r="FA10" s="227" t="s">
        <v>301</v>
      </c>
      <c r="FB10" s="236">
        <v>1030</v>
      </c>
      <c r="FC10" s="236">
        <v>356553</v>
      </c>
      <c r="FD10" s="236">
        <v>837903</v>
      </c>
      <c r="FF10" s="227">
        <v>4</v>
      </c>
      <c r="FG10" s="274">
        <v>42875</v>
      </c>
      <c r="FH10" s="274" t="s">
        <v>301</v>
      </c>
      <c r="FI10" s="232">
        <v>580</v>
      </c>
      <c r="FJ10" s="229">
        <v>85119</v>
      </c>
      <c r="FK10" s="273">
        <v>246917</v>
      </c>
      <c r="FM10" s="227">
        <v>4</v>
      </c>
      <c r="FN10" s="226">
        <v>42805</v>
      </c>
      <c r="FO10" s="225" t="s">
        <v>301</v>
      </c>
      <c r="FP10" s="224">
        <v>984</v>
      </c>
      <c r="FQ10" s="224">
        <v>365391</v>
      </c>
      <c r="FR10" s="224">
        <v>674414</v>
      </c>
      <c r="FT10" s="227">
        <v>4</v>
      </c>
      <c r="FU10" s="226">
        <v>42778</v>
      </c>
      <c r="FV10" s="225" t="s">
        <v>300</v>
      </c>
      <c r="FW10" s="232">
        <v>425</v>
      </c>
      <c r="FX10" s="229">
        <v>32024</v>
      </c>
      <c r="FY10" s="229">
        <v>105962</v>
      </c>
      <c r="GA10" s="227">
        <v>4</v>
      </c>
      <c r="GB10" s="226">
        <v>42791</v>
      </c>
      <c r="GC10" s="225" t="s">
        <v>301</v>
      </c>
      <c r="GD10" s="224">
        <v>570</v>
      </c>
      <c r="GE10" s="224">
        <v>60277</v>
      </c>
      <c r="GF10" s="224">
        <v>207022</v>
      </c>
      <c r="GH10" s="227">
        <v>4</v>
      </c>
      <c r="GI10" s="226">
        <v>42714</v>
      </c>
      <c r="GJ10" s="225" t="s">
        <v>301</v>
      </c>
      <c r="GK10" s="232">
        <v>510</v>
      </c>
      <c r="GL10" s="229">
        <v>64485</v>
      </c>
      <c r="GM10" s="229">
        <v>95663</v>
      </c>
      <c r="GO10" s="227">
        <v>4</v>
      </c>
      <c r="GP10" s="226">
        <v>42693</v>
      </c>
      <c r="GQ10" s="225" t="s">
        <v>301</v>
      </c>
      <c r="GR10" s="229">
        <v>1431</v>
      </c>
      <c r="GS10" s="229">
        <v>591683</v>
      </c>
      <c r="GT10" s="229">
        <v>1407865</v>
      </c>
      <c r="GV10" s="227">
        <v>4</v>
      </c>
      <c r="GW10" s="226">
        <v>42659</v>
      </c>
      <c r="GX10" s="225" t="s">
        <v>300</v>
      </c>
      <c r="GY10" s="232">
        <v>375</v>
      </c>
      <c r="GZ10" s="229">
        <v>14091</v>
      </c>
      <c r="HA10" s="229">
        <v>48715</v>
      </c>
      <c r="HC10" s="227">
        <v>4</v>
      </c>
      <c r="HD10" s="226">
        <v>42644</v>
      </c>
      <c r="HE10" s="225" t="s">
        <v>301</v>
      </c>
      <c r="HF10" s="232">
        <v>565</v>
      </c>
      <c r="HG10" s="229">
        <v>62079</v>
      </c>
      <c r="HH10" s="229">
        <v>212678</v>
      </c>
      <c r="HJ10" s="227">
        <v>4</v>
      </c>
      <c r="HK10" s="226">
        <v>42623</v>
      </c>
      <c r="HL10" s="225" t="s">
        <v>301</v>
      </c>
      <c r="HM10" s="224">
        <v>1444</v>
      </c>
      <c r="HN10" s="224">
        <v>661311</v>
      </c>
      <c r="HO10" s="224">
        <v>1565072</v>
      </c>
      <c r="HQ10" s="227">
        <v>4</v>
      </c>
      <c r="HR10" s="226">
        <v>42609</v>
      </c>
      <c r="HS10" s="225" t="s">
        <v>301</v>
      </c>
      <c r="HT10" s="224">
        <v>640</v>
      </c>
      <c r="HU10" s="224">
        <v>164127</v>
      </c>
      <c r="HV10" s="224">
        <v>393210</v>
      </c>
      <c r="HX10" s="227">
        <v>4</v>
      </c>
      <c r="HY10" s="225">
        <v>42588</v>
      </c>
      <c r="HZ10" s="225" t="s">
        <v>301</v>
      </c>
      <c r="IA10" s="234">
        <v>770</v>
      </c>
      <c r="IB10" s="236">
        <v>298947</v>
      </c>
      <c r="IC10" s="236">
        <v>1173815</v>
      </c>
      <c r="IE10" s="227">
        <v>4</v>
      </c>
      <c r="IF10" s="226">
        <v>42456</v>
      </c>
      <c r="IG10" s="225" t="s">
        <v>300</v>
      </c>
      <c r="IH10" s="229">
        <v>1683</v>
      </c>
      <c r="II10" s="229">
        <v>408709</v>
      </c>
      <c r="IJ10" s="229">
        <v>1386658</v>
      </c>
    </row>
    <row r="11" spans="1:244" s="260" customFormat="1" x14ac:dyDescent="0.45">
      <c r="A11" s="227">
        <v>5</v>
      </c>
      <c r="B11" s="226">
        <v>43542</v>
      </c>
      <c r="C11" s="227" t="s">
        <v>317</v>
      </c>
      <c r="D11" s="229">
        <v>460</v>
      </c>
      <c r="E11" s="228">
        <v>8243</v>
      </c>
      <c r="F11" s="228">
        <v>72545</v>
      </c>
      <c r="G11" s="270"/>
      <c r="H11" s="227">
        <v>5</v>
      </c>
      <c r="I11" s="226">
        <v>43548</v>
      </c>
      <c r="J11" s="227" t="s">
        <v>317</v>
      </c>
      <c r="K11" s="229">
        <v>718</v>
      </c>
      <c r="L11" s="228">
        <v>46589</v>
      </c>
      <c r="M11" s="228">
        <v>189604</v>
      </c>
      <c r="N11" s="270"/>
      <c r="O11" s="227">
        <v>5</v>
      </c>
      <c r="P11" s="226">
        <v>43506</v>
      </c>
      <c r="Q11" s="227" t="s">
        <v>317</v>
      </c>
      <c r="R11" s="229">
        <v>403</v>
      </c>
      <c r="S11" s="228">
        <v>17213</v>
      </c>
      <c r="T11" s="228">
        <v>71030</v>
      </c>
      <c r="U11" s="270"/>
      <c r="V11" s="227">
        <v>5</v>
      </c>
      <c r="W11" s="226">
        <v>43457</v>
      </c>
      <c r="X11" s="227" t="s">
        <v>317</v>
      </c>
      <c r="Y11" s="229">
        <v>1272</v>
      </c>
      <c r="Z11" s="228">
        <v>405753</v>
      </c>
      <c r="AA11" s="228">
        <v>1250060</v>
      </c>
      <c r="AB11" s="270"/>
      <c r="AC11" s="227">
        <v>5</v>
      </c>
      <c r="AD11" s="226">
        <v>43422</v>
      </c>
      <c r="AE11" s="227" t="s">
        <v>317</v>
      </c>
      <c r="AF11" s="229">
        <v>1461</v>
      </c>
      <c r="AG11" s="228">
        <v>357249</v>
      </c>
      <c r="AH11" s="228">
        <v>1519853</v>
      </c>
      <c r="AI11" s="270"/>
      <c r="AJ11" s="227">
        <v>5</v>
      </c>
      <c r="AK11" s="226">
        <v>43402</v>
      </c>
      <c r="AL11" s="227" t="s">
        <v>315</v>
      </c>
      <c r="AM11" s="229">
        <v>475</v>
      </c>
      <c r="AN11" s="228">
        <v>12381</v>
      </c>
      <c r="AO11" s="228">
        <v>118666</v>
      </c>
      <c r="AP11" s="270"/>
      <c r="AQ11" s="227">
        <v>5</v>
      </c>
      <c r="AR11" s="226">
        <v>43386</v>
      </c>
      <c r="AS11" s="227" t="s">
        <v>319</v>
      </c>
      <c r="AT11" s="229">
        <v>552</v>
      </c>
      <c r="AU11" s="228">
        <v>35649</v>
      </c>
      <c r="AV11" s="228">
        <v>120810</v>
      </c>
      <c r="AW11" s="270"/>
      <c r="AX11" s="227">
        <v>5</v>
      </c>
      <c r="AY11" s="226">
        <v>43366</v>
      </c>
      <c r="AZ11" s="227" t="s">
        <v>300</v>
      </c>
      <c r="BA11" s="232">
        <v>775</v>
      </c>
      <c r="BB11" s="230">
        <v>97586</v>
      </c>
      <c r="BC11" s="230">
        <v>544834</v>
      </c>
      <c r="BD11" s="270"/>
      <c r="BE11" s="227">
        <v>5</v>
      </c>
      <c r="BF11" s="226">
        <v>43331</v>
      </c>
      <c r="BG11" s="227" t="s">
        <v>300</v>
      </c>
      <c r="BH11" s="232">
        <v>568</v>
      </c>
      <c r="BI11" s="230">
        <v>70523</v>
      </c>
      <c r="BJ11" s="230">
        <v>413426</v>
      </c>
      <c r="BK11" s="270"/>
      <c r="BL11" s="227">
        <v>5</v>
      </c>
      <c r="BM11" s="226">
        <v>43310</v>
      </c>
      <c r="BN11" s="227" t="s">
        <v>300</v>
      </c>
      <c r="BO11" s="232">
        <v>805</v>
      </c>
      <c r="BP11" s="230">
        <v>129514</v>
      </c>
      <c r="BQ11" s="230">
        <v>759315</v>
      </c>
      <c r="BR11" s="270"/>
      <c r="BS11" s="227">
        <v>5</v>
      </c>
      <c r="BT11" s="226">
        <v>43282</v>
      </c>
      <c r="BU11" s="227" t="s">
        <v>300</v>
      </c>
      <c r="BV11" s="232">
        <v>1117</v>
      </c>
      <c r="BW11" s="230">
        <v>296821</v>
      </c>
      <c r="BX11" s="230">
        <v>958786</v>
      </c>
      <c r="BY11" s="270"/>
      <c r="BZ11" s="227">
        <v>5</v>
      </c>
      <c r="CA11" s="226">
        <v>43268</v>
      </c>
      <c r="CB11" s="227" t="s">
        <v>300</v>
      </c>
      <c r="CC11" s="232">
        <v>778</v>
      </c>
      <c r="CD11" s="230">
        <v>120240</v>
      </c>
      <c r="CE11" s="230">
        <v>621060</v>
      </c>
      <c r="CF11" s="270"/>
      <c r="CG11" s="227">
        <v>5</v>
      </c>
      <c r="CH11" s="226">
        <v>43225</v>
      </c>
      <c r="CI11" s="227" t="s">
        <v>301</v>
      </c>
      <c r="CJ11" s="229">
        <v>806</v>
      </c>
      <c r="CK11" s="230">
        <v>170126</v>
      </c>
      <c r="CL11" s="230">
        <v>506368</v>
      </c>
      <c r="CM11" s="270"/>
      <c r="CN11" s="227">
        <v>5</v>
      </c>
      <c r="CO11" s="226">
        <v>43206</v>
      </c>
      <c r="CP11" s="227" t="s">
        <v>307</v>
      </c>
      <c r="CQ11" s="232">
        <v>829</v>
      </c>
      <c r="CR11" s="230">
        <v>59825</v>
      </c>
      <c r="CS11" s="230">
        <v>746443</v>
      </c>
      <c r="CT11" s="270"/>
      <c r="CU11" s="227">
        <v>5</v>
      </c>
      <c r="CV11" s="226">
        <v>43191</v>
      </c>
      <c r="CW11" s="227" t="s">
        <v>300</v>
      </c>
      <c r="CX11" s="229">
        <v>1058</v>
      </c>
      <c r="CY11" s="230">
        <v>283181</v>
      </c>
      <c r="CZ11" s="230">
        <v>986709</v>
      </c>
      <c r="DA11" s="270"/>
      <c r="DB11" s="227">
        <v>5</v>
      </c>
      <c r="DC11" s="226">
        <v>43058</v>
      </c>
      <c r="DD11" s="227" t="s">
        <v>300</v>
      </c>
      <c r="DE11" s="229">
        <v>1237</v>
      </c>
      <c r="DF11" s="230">
        <v>290944</v>
      </c>
      <c r="DG11" s="230">
        <v>1141912</v>
      </c>
      <c r="DH11" s="270"/>
      <c r="DI11" s="227">
        <v>5</v>
      </c>
      <c r="DJ11" s="226">
        <v>42940</v>
      </c>
      <c r="DK11" s="227" t="s">
        <v>307</v>
      </c>
      <c r="DL11" s="229">
        <v>1135</v>
      </c>
      <c r="DM11" s="230">
        <v>154426</v>
      </c>
      <c r="DN11" s="230">
        <v>1504045</v>
      </c>
      <c r="DO11" s="270"/>
      <c r="DP11" s="227">
        <v>5</v>
      </c>
      <c r="DQ11" s="226">
        <v>43031</v>
      </c>
      <c r="DR11" s="227" t="s">
        <v>307</v>
      </c>
      <c r="DS11" s="229">
        <v>774</v>
      </c>
      <c r="DT11" s="230">
        <v>57979</v>
      </c>
      <c r="DU11" s="230">
        <v>752737</v>
      </c>
      <c r="DV11" s="270"/>
      <c r="DW11" s="227">
        <v>5</v>
      </c>
      <c r="DX11" s="226">
        <v>43010</v>
      </c>
      <c r="DY11" s="227" t="s">
        <v>307</v>
      </c>
      <c r="DZ11" s="229">
        <v>453</v>
      </c>
      <c r="EA11" s="230">
        <v>28597</v>
      </c>
      <c r="EB11" s="230">
        <v>103853</v>
      </c>
      <c r="EC11" s="270"/>
      <c r="ED11" s="227">
        <v>5</v>
      </c>
      <c r="EE11" s="226">
        <v>42988</v>
      </c>
      <c r="EF11" s="227" t="s">
        <v>300</v>
      </c>
      <c r="EG11" s="232">
        <v>805</v>
      </c>
      <c r="EH11" s="230">
        <v>136830</v>
      </c>
      <c r="EI11" s="230">
        <v>572427</v>
      </c>
      <c r="EJ11" s="270"/>
      <c r="EK11" s="227">
        <v>5</v>
      </c>
      <c r="EL11" s="226">
        <v>42974</v>
      </c>
      <c r="EM11" s="227" t="s">
        <v>300</v>
      </c>
      <c r="EN11" s="229">
        <v>951</v>
      </c>
      <c r="EO11" s="230">
        <v>207804</v>
      </c>
      <c r="EP11" s="230">
        <v>940323</v>
      </c>
      <c r="EQ11" s="270"/>
      <c r="ER11" s="227">
        <v>5</v>
      </c>
      <c r="ES11" s="226">
        <v>42961</v>
      </c>
      <c r="ET11" s="227" t="s">
        <v>307</v>
      </c>
      <c r="EU11" s="232">
        <v>922</v>
      </c>
      <c r="EV11" s="224">
        <v>210169</v>
      </c>
      <c r="EW11" s="224">
        <v>1144943</v>
      </c>
      <c r="EX11" s="270"/>
      <c r="EY11" s="227">
        <v>5</v>
      </c>
      <c r="EZ11" s="225">
        <v>42890</v>
      </c>
      <c r="FA11" s="227" t="s">
        <v>300</v>
      </c>
      <c r="FB11" s="236">
        <v>1034</v>
      </c>
      <c r="FC11" s="236">
        <v>320497</v>
      </c>
      <c r="FD11" s="236">
        <v>1158400</v>
      </c>
      <c r="FF11" s="227">
        <v>5</v>
      </c>
      <c r="FG11" s="274">
        <v>42876</v>
      </c>
      <c r="FH11" s="274" t="s">
        <v>300</v>
      </c>
      <c r="FI11" s="232">
        <v>567</v>
      </c>
      <c r="FJ11" s="229">
        <v>82972</v>
      </c>
      <c r="FK11" s="273">
        <v>329889</v>
      </c>
      <c r="FM11" s="227">
        <v>5</v>
      </c>
      <c r="FN11" s="226">
        <v>42806</v>
      </c>
      <c r="FO11" s="225" t="s">
        <v>300</v>
      </c>
      <c r="FP11" s="224">
        <v>984</v>
      </c>
      <c r="FQ11" s="224">
        <v>336936</v>
      </c>
      <c r="FR11" s="224">
        <v>1011350</v>
      </c>
      <c r="FT11" s="227">
        <v>5</v>
      </c>
      <c r="FU11" s="226">
        <v>42779</v>
      </c>
      <c r="FV11" s="225" t="s">
        <v>307</v>
      </c>
      <c r="FW11" s="232">
        <v>359</v>
      </c>
      <c r="FX11" s="229">
        <v>5822</v>
      </c>
      <c r="FY11" s="229">
        <v>111784</v>
      </c>
      <c r="GA11" s="227">
        <v>5</v>
      </c>
      <c r="GB11" s="226">
        <v>42792</v>
      </c>
      <c r="GC11" s="225" t="s">
        <v>300</v>
      </c>
      <c r="GD11" s="224">
        <v>576</v>
      </c>
      <c r="GE11" s="224">
        <v>55284</v>
      </c>
      <c r="GF11" s="224">
        <v>262306</v>
      </c>
      <c r="GH11" s="227">
        <v>5</v>
      </c>
      <c r="GI11" s="226">
        <v>42715</v>
      </c>
      <c r="GJ11" s="225" t="s">
        <v>300</v>
      </c>
      <c r="GK11" s="232">
        <v>538</v>
      </c>
      <c r="GL11" s="229">
        <v>70966</v>
      </c>
      <c r="GM11" s="229">
        <v>166629</v>
      </c>
      <c r="GO11" s="227">
        <v>5</v>
      </c>
      <c r="GP11" s="226">
        <v>42694</v>
      </c>
      <c r="GQ11" s="225" t="s">
        <v>300</v>
      </c>
      <c r="GR11" s="229">
        <v>1403</v>
      </c>
      <c r="GS11" s="229">
        <v>528543</v>
      </c>
      <c r="GT11" s="229">
        <v>1936408</v>
      </c>
      <c r="GV11" s="227">
        <v>5</v>
      </c>
      <c r="GW11" s="226">
        <v>42660</v>
      </c>
      <c r="GX11" s="225" t="s">
        <v>307</v>
      </c>
      <c r="GY11" s="232">
        <v>360</v>
      </c>
      <c r="GZ11" s="229">
        <v>6198</v>
      </c>
      <c r="HA11" s="229">
        <v>54913</v>
      </c>
      <c r="HC11" s="227">
        <v>5</v>
      </c>
      <c r="HD11" s="226">
        <v>42645</v>
      </c>
      <c r="HE11" s="225" t="s">
        <v>300</v>
      </c>
      <c r="HF11" s="259">
        <v>573</v>
      </c>
      <c r="HG11" s="284">
        <v>80535</v>
      </c>
      <c r="HH11" s="284">
        <v>293213</v>
      </c>
      <c r="HJ11" s="227">
        <v>5</v>
      </c>
      <c r="HK11" s="226">
        <v>42624</v>
      </c>
      <c r="HL11" s="225" t="s">
        <v>300</v>
      </c>
      <c r="HM11" s="224">
        <v>1435</v>
      </c>
      <c r="HN11" s="224">
        <v>609044</v>
      </c>
      <c r="HO11" s="224">
        <v>2174116</v>
      </c>
      <c r="HQ11" s="227">
        <v>5</v>
      </c>
      <c r="HR11" s="226">
        <v>42610</v>
      </c>
      <c r="HS11" s="225" t="s">
        <v>300</v>
      </c>
      <c r="HT11" s="224">
        <v>659</v>
      </c>
      <c r="HU11" s="224">
        <v>141213</v>
      </c>
      <c r="HV11" s="224">
        <v>534423</v>
      </c>
      <c r="HX11" s="227">
        <v>5</v>
      </c>
      <c r="HY11" s="225">
        <v>42589</v>
      </c>
      <c r="HZ11" s="225" t="s">
        <v>300</v>
      </c>
      <c r="IA11" s="234">
        <v>733</v>
      </c>
      <c r="IB11" s="236">
        <v>243153</v>
      </c>
      <c r="IC11" s="236">
        <v>1416968</v>
      </c>
      <c r="IE11" s="227">
        <v>5</v>
      </c>
      <c r="IF11" s="226">
        <v>42457</v>
      </c>
      <c r="IG11" s="225" t="s">
        <v>307</v>
      </c>
      <c r="IH11" s="229">
        <v>1543</v>
      </c>
      <c r="II11" s="229">
        <v>76499</v>
      </c>
      <c r="IJ11" s="229">
        <v>1463157</v>
      </c>
    </row>
    <row r="12" spans="1:244" s="260" customFormat="1" x14ac:dyDescent="0.45">
      <c r="A12" s="227">
        <v>6</v>
      </c>
      <c r="B12" s="226">
        <v>43543</v>
      </c>
      <c r="C12" s="227" t="s">
        <v>315</v>
      </c>
      <c r="D12" s="229">
        <v>455</v>
      </c>
      <c r="E12" s="228">
        <v>7829</v>
      </c>
      <c r="F12" s="228">
        <v>80374</v>
      </c>
      <c r="G12" s="270"/>
      <c r="H12" s="227">
        <v>6</v>
      </c>
      <c r="I12" s="226">
        <v>43549</v>
      </c>
      <c r="J12" s="227" t="s">
        <v>315</v>
      </c>
      <c r="K12" s="229">
        <v>687</v>
      </c>
      <c r="L12" s="228">
        <v>18692</v>
      </c>
      <c r="M12" s="228">
        <v>208296</v>
      </c>
      <c r="N12" s="270"/>
      <c r="O12" s="227">
        <v>6</v>
      </c>
      <c r="P12" s="226">
        <v>43507</v>
      </c>
      <c r="Q12" s="227" t="s">
        <v>315</v>
      </c>
      <c r="R12" s="229">
        <v>329</v>
      </c>
      <c r="S12" s="228">
        <v>2764</v>
      </c>
      <c r="T12" s="228">
        <v>73794</v>
      </c>
      <c r="U12" s="270"/>
      <c r="V12" s="227">
        <v>6</v>
      </c>
      <c r="W12" s="226">
        <v>43458</v>
      </c>
      <c r="X12" s="227" t="s">
        <v>315</v>
      </c>
      <c r="Y12" s="229">
        <v>1285</v>
      </c>
      <c r="Z12" s="228">
        <v>343758</v>
      </c>
      <c r="AA12" s="228">
        <v>1593818</v>
      </c>
      <c r="AB12" s="270"/>
      <c r="AC12" s="227">
        <v>6</v>
      </c>
      <c r="AD12" s="226">
        <v>43423</v>
      </c>
      <c r="AE12" s="227" t="s">
        <v>315</v>
      </c>
      <c r="AF12" s="229">
        <v>1308</v>
      </c>
      <c r="AG12" s="228">
        <v>88565</v>
      </c>
      <c r="AH12" s="228">
        <v>1608418</v>
      </c>
      <c r="AI12" s="270"/>
      <c r="AJ12" s="227">
        <v>6</v>
      </c>
      <c r="AK12" s="226">
        <v>43403</v>
      </c>
      <c r="AL12" s="227" t="s">
        <v>312</v>
      </c>
      <c r="AM12" s="229">
        <v>487</v>
      </c>
      <c r="AN12" s="228">
        <v>13217</v>
      </c>
      <c r="AO12" s="228">
        <v>131883</v>
      </c>
      <c r="AP12" s="270"/>
      <c r="AQ12" s="227">
        <v>6</v>
      </c>
      <c r="AR12" s="226">
        <v>43387</v>
      </c>
      <c r="AS12" s="227" t="s">
        <v>317</v>
      </c>
      <c r="AT12" s="229">
        <v>555</v>
      </c>
      <c r="AU12" s="228">
        <v>32585</v>
      </c>
      <c r="AV12" s="228">
        <v>153395</v>
      </c>
      <c r="AW12" s="270"/>
      <c r="AX12" s="227">
        <v>6</v>
      </c>
      <c r="AY12" s="226">
        <v>43367</v>
      </c>
      <c r="AZ12" s="227" t="s">
        <v>307</v>
      </c>
      <c r="BA12" s="232">
        <v>698</v>
      </c>
      <c r="BB12" s="230">
        <v>82000</v>
      </c>
      <c r="BC12" s="230">
        <v>626834</v>
      </c>
      <c r="BD12" s="270"/>
      <c r="BE12" s="227">
        <v>6</v>
      </c>
      <c r="BF12" s="226">
        <v>43332</v>
      </c>
      <c r="BG12" s="227" t="s">
        <v>307</v>
      </c>
      <c r="BH12" s="232">
        <v>544</v>
      </c>
      <c r="BI12" s="230">
        <v>24240</v>
      </c>
      <c r="BJ12" s="230">
        <v>437666</v>
      </c>
      <c r="BK12" s="270"/>
      <c r="BL12" s="227">
        <v>6</v>
      </c>
      <c r="BM12" s="226">
        <v>43311</v>
      </c>
      <c r="BN12" s="227" t="s">
        <v>307</v>
      </c>
      <c r="BO12" s="232">
        <v>712</v>
      </c>
      <c r="BP12" s="230">
        <v>53845</v>
      </c>
      <c r="BQ12" s="230">
        <v>813160</v>
      </c>
      <c r="BR12" s="270"/>
      <c r="BS12" s="227">
        <v>6</v>
      </c>
      <c r="BT12" s="226">
        <v>43283</v>
      </c>
      <c r="BU12" s="227" t="s">
        <v>307</v>
      </c>
      <c r="BV12" s="232">
        <v>1017</v>
      </c>
      <c r="BW12" s="230">
        <v>124470</v>
      </c>
      <c r="BX12" s="230">
        <v>1083256</v>
      </c>
      <c r="BY12" s="270"/>
      <c r="BZ12" s="227">
        <v>6</v>
      </c>
      <c r="CA12" s="226">
        <v>43269</v>
      </c>
      <c r="CB12" s="227" t="s">
        <v>307</v>
      </c>
      <c r="CC12" s="232">
        <v>777</v>
      </c>
      <c r="CD12" s="230">
        <v>38237</v>
      </c>
      <c r="CE12" s="230">
        <v>659297</v>
      </c>
      <c r="CF12" s="270"/>
      <c r="CG12" s="227">
        <v>6</v>
      </c>
      <c r="CH12" s="226">
        <v>43226</v>
      </c>
      <c r="CI12" s="227" t="s">
        <v>300</v>
      </c>
      <c r="CJ12" s="229">
        <v>839</v>
      </c>
      <c r="CK12" s="230">
        <v>194847</v>
      </c>
      <c r="CL12" s="230">
        <v>701215</v>
      </c>
      <c r="CM12" s="270"/>
      <c r="CN12" s="227">
        <v>6</v>
      </c>
      <c r="CO12" s="226">
        <v>43207</v>
      </c>
      <c r="CP12" s="227" t="s">
        <v>305</v>
      </c>
      <c r="CQ12" s="232">
        <v>836</v>
      </c>
      <c r="CR12" s="230">
        <v>51625</v>
      </c>
      <c r="CS12" s="230">
        <v>798068</v>
      </c>
      <c r="CT12" s="270"/>
      <c r="CU12" s="227">
        <v>6</v>
      </c>
      <c r="CV12" s="226">
        <v>43192</v>
      </c>
      <c r="CW12" s="227" t="s">
        <v>307</v>
      </c>
      <c r="CX12" s="229">
        <v>959</v>
      </c>
      <c r="CY12" s="230">
        <v>74329</v>
      </c>
      <c r="CZ12" s="230">
        <v>1061038</v>
      </c>
      <c r="DA12" s="270"/>
      <c r="DB12" s="227">
        <v>6</v>
      </c>
      <c r="DC12" s="226">
        <v>43059</v>
      </c>
      <c r="DD12" s="227" t="s">
        <v>307</v>
      </c>
      <c r="DE12" s="229">
        <v>1168</v>
      </c>
      <c r="DF12" s="230">
        <v>72978</v>
      </c>
      <c r="DG12" s="230">
        <v>1214890</v>
      </c>
      <c r="DH12" s="270"/>
      <c r="DI12" s="227">
        <v>6</v>
      </c>
      <c r="DJ12" s="226">
        <v>42941</v>
      </c>
      <c r="DK12" s="227" t="s">
        <v>305</v>
      </c>
      <c r="DL12" s="229">
        <v>1153</v>
      </c>
      <c r="DM12" s="230">
        <v>141556</v>
      </c>
      <c r="DN12" s="230">
        <v>1645601</v>
      </c>
      <c r="DO12" s="270"/>
      <c r="DP12" s="227">
        <v>6</v>
      </c>
      <c r="DQ12" s="226">
        <v>43032</v>
      </c>
      <c r="DR12" s="227" t="s">
        <v>305</v>
      </c>
      <c r="DS12" s="229">
        <v>768</v>
      </c>
      <c r="DT12" s="230">
        <v>50612</v>
      </c>
      <c r="DU12" s="230">
        <v>803349</v>
      </c>
      <c r="DV12" s="270"/>
      <c r="DW12" s="227">
        <v>6</v>
      </c>
      <c r="DX12" s="226">
        <v>43011</v>
      </c>
      <c r="DY12" s="227" t="s">
        <v>305</v>
      </c>
      <c r="DZ12" s="229">
        <v>180</v>
      </c>
      <c r="EA12" s="230">
        <v>6694</v>
      </c>
      <c r="EB12" s="230">
        <v>110547</v>
      </c>
      <c r="EC12" s="270"/>
      <c r="ED12" s="227">
        <v>6</v>
      </c>
      <c r="EE12" s="226">
        <v>42989</v>
      </c>
      <c r="EF12" s="227" t="s">
        <v>307</v>
      </c>
      <c r="EG12" s="232">
        <v>731</v>
      </c>
      <c r="EH12" s="230">
        <v>40529</v>
      </c>
      <c r="EI12" s="230">
        <v>612956</v>
      </c>
      <c r="EJ12" s="270"/>
      <c r="EK12" s="227">
        <v>6</v>
      </c>
      <c r="EL12" s="226">
        <v>42975</v>
      </c>
      <c r="EM12" s="227" t="s">
        <v>307</v>
      </c>
      <c r="EN12" s="229">
        <v>890</v>
      </c>
      <c r="EO12" s="230">
        <v>77647</v>
      </c>
      <c r="EP12" s="230">
        <v>1017970</v>
      </c>
      <c r="EQ12" s="270"/>
      <c r="ER12" s="227">
        <v>6</v>
      </c>
      <c r="ES12" s="226">
        <v>42962</v>
      </c>
      <c r="ET12" s="227" t="s">
        <v>305</v>
      </c>
      <c r="EU12" s="232">
        <v>742</v>
      </c>
      <c r="EV12" s="224">
        <v>208675</v>
      </c>
      <c r="EW12" s="224">
        <v>1353618</v>
      </c>
      <c r="EX12" s="270"/>
      <c r="EY12" s="227">
        <v>6</v>
      </c>
      <c r="EZ12" s="225">
        <v>42891</v>
      </c>
      <c r="FA12" s="227" t="s">
        <v>307</v>
      </c>
      <c r="FB12" s="234">
        <v>996</v>
      </c>
      <c r="FC12" s="236">
        <v>182793</v>
      </c>
      <c r="FD12" s="236">
        <v>1341193</v>
      </c>
      <c r="FF12" s="227">
        <v>6</v>
      </c>
      <c r="FG12" s="274">
        <v>42877</v>
      </c>
      <c r="FH12" s="274" t="s">
        <v>307</v>
      </c>
      <c r="FI12" s="232">
        <v>517</v>
      </c>
      <c r="FJ12" s="229">
        <v>24017</v>
      </c>
      <c r="FK12" s="273">
        <v>353906</v>
      </c>
      <c r="FM12" s="227">
        <v>6</v>
      </c>
      <c r="FN12" s="226">
        <v>42807</v>
      </c>
      <c r="FO12" s="225" t="s">
        <v>307</v>
      </c>
      <c r="FP12" s="224">
        <v>874</v>
      </c>
      <c r="FQ12" s="224">
        <v>64860</v>
      </c>
      <c r="FR12" s="224">
        <v>1076210</v>
      </c>
      <c r="FT12" s="227">
        <v>6</v>
      </c>
      <c r="FU12" s="226">
        <v>42780</v>
      </c>
      <c r="FV12" s="225" t="s">
        <v>305</v>
      </c>
      <c r="FW12" s="232">
        <v>366</v>
      </c>
      <c r="FX12" s="229">
        <v>6725</v>
      </c>
      <c r="FY12" s="229">
        <v>118509</v>
      </c>
      <c r="GA12" s="227">
        <v>6</v>
      </c>
      <c r="GB12" s="226">
        <v>42793</v>
      </c>
      <c r="GC12" s="225" t="s">
        <v>307</v>
      </c>
      <c r="GD12" s="224">
        <v>507</v>
      </c>
      <c r="GE12" s="224">
        <v>25585</v>
      </c>
      <c r="GF12" s="224">
        <v>287891</v>
      </c>
      <c r="GH12" s="227">
        <v>6</v>
      </c>
      <c r="GI12" s="226">
        <v>42716</v>
      </c>
      <c r="GJ12" s="225" t="s">
        <v>307</v>
      </c>
      <c r="GK12" s="232">
        <v>376</v>
      </c>
      <c r="GL12" s="229">
        <v>6834</v>
      </c>
      <c r="GM12" s="229">
        <v>173463</v>
      </c>
      <c r="GO12" s="227">
        <v>6</v>
      </c>
      <c r="GP12" s="226">
        <v>42695</v>
      </c>
      <c r="GQ12" s="225" t="s">
        <v>307</v>
      </c>
      <c r="GR12" s="229">
        <v>1250</v>
      </c>
      <c r="GS12" s="229">
        <v>158553</v>
      </c>
      <c r="GT12" s="229">
        <v>2094961</v>
      </c>
      <c r="GV12" s="227">
        <v>6</v>
      </c>
      <c r="GW12" s="226">
        <v>42661</v>
      </c>
      <c r="GX12" s="225" t="s">
        <v>305</v>
      </c>
      <c r="GY12" s="232">
        <v>358</v>
      </c>
      <c r="GZ12" s="229">
        <v>6216</v>
      </c>
      <c r="HA12" s="229">
        <v>61129</v>
      </c>
      <c r="HC12" s="227">
        <v>6</v>
      </c>
      <c r="HD12" s="226">
        <v>42646</v>
      </c>
      <c r="HE12" s="225" t="s">
        <v>307</v>
      </c>
      <c r="HF12" s="234">
        <v>569</v>
      </c>
      <c r="HG12" s="236">
        <v>79467</v>
      </c>
      <c r="HH12" s="236">
        <v>372680</v>
      </c>
      <c r="HJ12" s="227">
        <v>6</v>
      </c>
      <c r="HK12" s="226">
        <v>42625</v>
      </c>
      <c r="HL12" s="225" t="s">
        <v>307</v>
      </c>
      <c r="HM12" s="224">
        <v>1320</v>
      </c>
      <c r="HN12" s="224">
        <v>194553</v>
      </c>
      <c r="HO12" s="224">
        <v>2368669</v>
      </c>
      <c r="HQ12" s="227">
        <v>6</v>
      </c>
      <c r="HR12" s="226">
        <v>42611</v>
      </c>
      <c r="HS12" s="225" t="s">
        <v>307</v>
      </c>
      <c r="HT12" s="224">
        <v>516</v>
      </c>
      <c r="HU12" s="224">
        <v>53191</v>
      </c>
      <c r="HV12" s="224">
        <v>587614</v>
      </c>
      <c r="HX12" s="227">
        <v>6</v>
      </c>
      <c r="HY12" s="225">
        <v>42590</v>
      </c>
      <c r="HZ12" s="225" t="s">
        <v>307</v>
      </c>
      <c r="IA12" s="234">
        <v>652</v>
      </c>
      <c r="IB12" s="236">
        <v>103011</v>
      </c>
      <c r="IC12" s="236">
        <v>1519979</v>
      </c>
      <c r="IE12" s="227">
        <v>6</v>
      </c>
      <c r="IF12" s="226">
        <v>42458</v>
      </c>
      <c r="IG12" s="225" t="s">
        <v>305</v>
      </c>
      <c r="IH12" s="229">
        <v>1533</v>
      </c>
      <c r="II12" s="229">
        <v>62684</v>
      </c>
      <c r="IJ12" s="229">
        <v>1525841</v>
      </c>
    </row>
    <row r="13" spans="1:244" s="260" customFormat="1" x14ac:dyDescent="0.45">
      <c r="A13" s="227">
        <v>7</v>
      </c>
      <c r="B13" s="226">
        <v>43544</v>
      </c>
      <c r="C13" s="227" t="s">
        <v>312</v>
      </c>
      <c r="D13" s="229">
        <v>177</v>
      </c>
      <c r="E13" s="228">
        <v>2010</v>
      </c>
      <c r="F13" s="228">
        <v>82384</v>
      </c>
      <c r="G13" s="270"/>
      <c r="H13" s="227">
        <v>7</v>
      </c>
      <c r="I13" s="226">
        <v>43550</v>
      </c>
      <c r="J13" s="227" t="s">
        <v>312</v>
      </c>
      <c r="K13" s="229">
        <v>691</v>
      </c>
      <c r="L13" s="228">
        <v>16565</v>
      </c>
      <c r="M13" s="228">
        <v>224861</v>
      </c>
      <c r="N13" s="270"/>
      <c r="O13" s="227">
        <v>7</v>
      </c>
      <c r="P13" s="226">
        <v>43508</v>
      </c>
      <c r="Q13" s="227" t="s">
        <v>312</v>
      </c>
      <c r="R13" s="229">
        <v>340</v>
      </c>
      <c r="S13" s="228">
        <v>4116</v>
      </c>
      <c r="T13" s="228">
        <v>77910</v>
      </c>
      <c r="U13" s="270"/>
      <c r="V13" s="227">
        <v>7</v>
      </c>
      <c r="W13" s="226">
        <v>43459</v>
      </c>
      <c r="X13" s="227" t="s">
        <v>312</v>
      </c>
      <c r="Y13" s="229">
        <v>1174</v>
      </c>
      <c r="Z13" s="228">
        <v>507940</v>
      </c>
      <c r="AA13" s="228">
        <v>2101758</v>
      </c>
      <c r="AB13" s="270"/>
      <c r="AC13" s="227">
        <v>7</v>
      </c>
      <c r="AD13" s="226">
        <v>43424</v>
      </c>
      <c r="AE13" s="227" t="s">
        <v>312</v>
      </c>
      <c r="AF13" s="229">
        <v>1322</v>
      </c>
      <c r="AG13" s="228">
        <v>72181</v>
      </c>
      <c r="AH13" s="228">
        <v>1680599</v>
      </c>
      <c r="AI13" s="270"/>
      <c r="AJ13" s="227">
        <v>7</v>
      </c>
      <c r="AK13" s="226">
        <v>43404</v>
      </c>
      <c r="AL13" s="227" t="s">
        <v>310</v>
      </c>
      <c r="AM13" s="229">
        <v>204</v>
      </c>
      <c r="AN13" s="228">
        <v>4326</v>
      </c>
      <c r="AO13" s="228">
        <v>136209</v>
      </c>
      <c r="AP13" s="270"/>
      <c r="AQ13" s="227">
        <v>7</v>
      </c>
      <c r="AR13" s="226">
        <v>43388</v>
      </c>
      <c r="AS13" s="227" t="s">
        <v>315</v>
      </c>
      <c r="AT13" s="229">
        <v>526</v>
      </c>
      <c r="AU13" s="228">
        <v>15805</v>
      </c>
      <c r="AV13" s="228">
        <v>169200</v>
      </c>
      <c r="AW13" s="270"/>
      <c r="AX13" s="227">
        <v>7</v>
      </c>
      <c r="AY13" s="226">
        <v>43368</v>
      </c>
      <c r="AZ13" s="227" t="s">
        <v>305</v>
      </c>
      <c r="BA13" s="232">
        <v>679</v>
      </c>
      <c r="BB13" s="230">
        <v>104359</v>
      </c>
      <c r="BC13" s="230">
        <v>731193</v>
      </c>
      <c r="BD13" s="270"/>
      <c r="BE13" s="227">
        <v>7</v>
      </c>
      <c r="BF13" s="226">
        <v>43333</v>
      </c>
      <c r="BG13" s="227" t="s">
        <v>305</v>
      </c>
      <c r="BH13" s="232">
        <v>549</v>
      </c>
      <c r="BI13" s="230">
        <v>21531</v>
      </c>
      <c r="BJ13" s="230">
        <v>459197</v>
      </c>
      <c r="BK13" s="270"/>
      <c r="BL13" s="227">
        <v>7</v>
      </c>
      <c r="BM13" s="226">
        <v>43312</v>
      </c>
      <c r="BN13" s="227" t="s">
        <v>305</v>
      </c>
      <c r="BO13" s="232">
        <v>694</v>
      </c>
      <c r="BP13" s="230">
        <v>49925</v>
      </c>
      <c r="BQ13" s="230">
        <v>863085</v>
      </c>
      <c r="BR13" s="270"/>
      <c r="BS13" s="227">
        <v>7</v>
      </c>
      <c r="BT13" s="226">
        <v>43284</v>
      </c>
      <c r="BU13" s="227" t="s">
        <v>305</v>
      </c>
      <c r="BV13" s="232">
        <v>1033</v>
      </c>
      <c r="BW13" s="230">
        <v>115689</v>
      </c>
      <c r="BX13" s="230">
        <v>1198945</v>
      </c>
      <c r="BY13" s="270"/>
      <c r="BZ13" s="227">
        <v>7</v>
      </c>
      <c r="CA13" s="226">
        <v>43270</v>
      </c>
      <c r="CB13" s="227" t="s">
        <v>305</v>
      </c>
      <c r="CC13" s="232">
        <v>775</v>
      </c>
      <c r="CD13" s="230">
        <v>46821</v>
      </c>
      <c r="CE13" s="230">
        <v>706118</v>
      </c>
      <c r="CF13" s="270"/>
      <c r="CG13" s="227">
        <v>7</v>
      </c>
      <c r="CH13" s="226">
        <v>43227</v>
      </c>
      <c r="CI13" s="227" t="s">
        <v>307</v>
      </c>
      <c r="CJ13" s="229">
        <v>874</v>
      </c>
      <c r="CK13" s="230">
        <v>147452</v>
      </c>
      <c r="CL13" s="230">
        <v>848667</v>
      </c>
      <c r="CM13" s="270"/>
      <c r="CN13" s="227">
        <v>7</v>
      </c>
      <c r="CO13" s="226">
        <v>43208</v>
      </c>
      <c r="CP13" s="227" t="s">
        <v>304</v>
      </c>
      <c r="CQ13" s="232">
        <v>857</v>
      </c>
      <c r="CR13" s="230">
        <v>53267</v>
      </c>
      <c r="CS13" s="230">
        <v>851335</v>
      </c>
      <c r="CT13" s="270"/>
      <c r="CU13" s="227">
        <v>7</v>
      </c>
      <c r="CV13" s="226">
        <v>43193</v>
      </c>
      <c r="CW13" s="227" t="s">
        <v>305</v>
      </c>
      <c r="CX13" s="229">
        <v>982</v>
      </c>
      <c r="CY13" s="230">
        <v>63033</v>
      </c>
      <c r="CZ13" s="230">
        <v>1124071</v>
      </c>
      <c r="DA13" s="270"/>
      <c r="DB13" s="227">
        <v>7</v>
      </c>
      <c r="DC13" s="226">
        <v>43060</v>
      </c>
      <c r="DD13" s="227" t="s">
        <v>305</v>
      </c>
      <c r="DE13" s="229">
        <v>1174</v>
      </c>
      <c r="DF13" s="230">
        <v>60926</v>
      </c>
      <c r="DG13" s="230">
        <v>1275816</v>
      </c>
      <c r="DH13" s="270"/>
      <c r="DI13" s="227">
        <v>7</v>
      </c>
      <c r="DJ13" s="226">
        <v>42942</v>
      </c>
      <c r="DK13" s="227" t="s">
        <v>304</v>
      </c>
      <c r="DL13" s="229">
        <v>628</v>
      </c>
      <c r="DM13" s="230">
        <v>97068</v>
      </c>
      <c r="DN13" s="230">
        <v>1742669</v>
      </c>
      <c r="DO13" s="270"/>
      <c r="DP13" s="227">
        <v>7</v>
      </c>
      <c r="DQ13" s="226">
        <v>43033</v>
      </c>
      <c r="DR13" s="227" t="s">
        <v>304</v>
      </c>
      <c r="DS13" s="229">
        <v>572</v>
      </c>
      <c r="DT13" s="230">
        <v>36023</v>
      </c>
      <c r="DU13" s="230">
        <v>839372</v>
      </c>
      <c r="DV13" s="270"/>
      <c r="DW13" s="227">
        <v>7</v>
      </c>
      <c r="DX13" s="226">
        <v>43012</v>
      </c>
      <c r="DY13" s="227" t="s">
        <v>304</v>
      </c>
      <c r="DZ13" s="229">
        <v>150</v>
      </c>
      <c r="EA13" s="230">
        <v>4140</v>
      </c>
      <c r="EB13" s="230">
        <v>114687</v>
      </c>
      <c r="EC13" s="270"/>
      <c r="ED13" s="227">
        <v>7</v>
      </c>
      <c r="EE13" s="226">
        <v>42990</v>
      </c>
      <c r="EF13" s="227" t="s">
        <v>305</v>
      </c>
      <c r="EG13" s="232">
        <v>739</v>
      </c>
      <c r="EH13" s="230">
        <v>33140</v>
      </c>
      <c r="EI13" s="230">
        <v>646096</v>
      </c>
      <c r="EJ13" s="270"/>
      <c r="EK13" s="227">
        <v>7</v>
      </c>
      <c r="EL13" s="226">
        <v>42976</v>
      </c>
      <c r="EM13" s="227" t="s">
        <v>305</v>
      </c>
      <c r="EN13" s="229">
        <v>896</v>
      </c>
      <c r="EO13" s="230">
        <v>68261</v>
      </c>
      <c r="EP13" s="230">
        <v>1086231</v>
      </c>
      <c r="EQ13" s="270"/>
      <c r="ER13" s="227">
        <v>7</v>
      </c>
      <c r="ES13" s="226">
        <v>42963</v>
      </c>
      <c r="ET13" s="227" t="s">
        <v>304</v>
      </c>
      <c r="EU13" s="232">
        <v>672</v>
      </c>
      <c r="EV13" s="224">
        <v>90651</v>
      </c>
      <c r="EW13" s="224">
        <v>1444269</v>
      </c>
      <c r="EX13" s="270"/>
      <c r="EY13" s="227">
        <v>7</v>
      </c>
      <c r="EZ13" s="225">
        <v>42892</v>
      </c>
      <c r="FA13" s="227" t="s">
        <v>305</v>
      </c>
      <c r="FB13" s="234">
        <v>750</v>
      </c>
      <c r="FC13" s="236">
        <v>203840</v>
      </c>
      <c r="FD13" s="236">
        <v>1545033</v>
      </c>
      <c r="FF13" s="227">
        <v>7</v>
      </c>
      <c r="FG13" s="274">
        <v>42878</v>
      </c>
      <c r="FH13" s="274" t="s">
        <v>305</v>
      </c>
      <c r="FI13" s="232">
        <v>532</v>
      </c>
      <c r="FJ13" s="229">
        <v>21546</v>
      </c>
      <c r="FK13" s="273">
        <v>375452</v>
      </c>
      <c r="FM13" s="227">
        <v>7</v>
      </c>
      <c r="FN13" s="226">
        <v>42808</v>
      </c>
      <c r="FO13" s="225" t="s">
        <v>305</v>
      </c>
      <c r="FP13" s="224">
        <v>893</v>
      </c>
      <c r="FQ13" s="224">
        <v>63930</v>
      </c>
      <c r="FR13" s="224">
        <v>1140140</v>
      </c>
      <c r="FT13" s="227">
        <v>7</v>
      </c>
      <c r="FU13" s="226">
        <v>42781</v>
      </c>
      <c r="FV13" s="225" t="s">
        <v>304</v>
      </c>
      <c r="FW13" s="232">
        <v>209</v>
      </c>
      <c r="FX13" s="229">
        <v>4108</v>
      </c>
      <c r="FY13" s="229">
        <v>122617</v>
      </c>
      <c r="GA13" s="227">
        <v>7</v>
      </c>
      <c r="GB13" s="226">
        <v>42794</v>
      </c>
      <c r="GC13" s="225" t="s">
        <v>305</v>
      </c>
      <c r="GD13" s="224">
        <v>541</v>
      </c>
      <c r="GE13" s="224">
        <v>24027</v>
      </c>
      <c r="GF13" s="224">
        <v>311918</v>
      </c>
      <c r="GH13" s="227">
        <v>7</v>
      </c>
      <c r="GI13" s="226">
        <v>42717</v>
      </c>
      <c r="GJ13" s="225" t="s">
        <v>305</v>
      </c>
      <c r="GK13" s="232">
        <v>397</v>
      </c>
      <c r="GL13" s="229">
        <v>9368</v>
      </c>
      <c r="GM13" s="229">
        <v>182831</v>
      </c>
      <c r="GO13" s="227">
        <v>7</v>
      </c>
      <c r="GP13" s="226">
        <v>42696</v>
      </c>
      <c r="GQ13" s="225" t="s">
        <v>305</v>
      </c>
      <c r="GR13" s="229">
        <v>1258</v>
      </c>
      <c r="GS13" s="229">
        <v>143656</v>
      </c>
      <c r="GT13" s="229">
        <v>2238617</v>
      </c>
      <c r="GV13" s="227">
        <v>7</v>
      </c>
      <c r="GW13" s="226">
        <v>42662</v>
      </c>
      <c r="GX13" s="225" t="s">
        <v>304</v>
      </c>
      <c r="GY13" s="232">
        <v>183</v>
      </c>
      <c r="GZ13" s="229">
        <v>1680</v>
      </c>
      <c r="HA13" s="229">
        <v>62809</v>
      </c>
      <c r="HC13" s="227">
        <v>7</v>
      </c>
      <c r="HD13" s="226">
        <v>42647</v>
      </c>
      <c r="HE13" s="225" t="s">
        <v>305</v>
      </c>
      <c r="HF13" s="234">
        <v>526</v>
      </c>
      <c r="HG13" s="236">
        <v>23811</v>
      </c>
      <c r="HH13" s="236">
        <v>396491</v>
      </c>
      <c r="HJ13" s="227">
        <v>7</v>
      </c>
      <c r="HK13" s="226">
        <v>42626</v>
      </c>
      <c r="HL13" s="225" t="s">
        <v>305</v>
      </c>
      <c r="HM13" s="224">
        <v>1264</v>
      </c>
      <c r="HN13" s="224">
        <v>309009</v>
      </c>
      <c r="HO13" s="224">
        <v>2677678</v>
      </c>
      <c r="HQ13" s="227">
        <v>7</v>
      </c>
      <c r="HR13" s="226">
        <v>42612</v>
      </c>
      <c r="HS13" s="225" t="s">
        <v>305</v>
      </c>
      <c r="HT13" s="224">
        <v>540</v>
      </c>
      <c r="HU13" s="224">
        <v>45293</v>
      </c>
      <c r="HV13" s="224">
        <v>632907</v>
      </c>
      <c r="HX13" s="227">
        <v>7</v>
      </c>
      <c r="HY13" s="225">
        <v>42591</v>
      </c>
      <c r="HZ13" s="225" t="s">
        <v>305</v>
      </c>
      <c r="IA13" s="234">
        <v>652</v>
      </c>
      <c r="IB13" s="236">
        <v>88399</v>
      </c>
      <c r="IC13" s="236">
        <v>1608378</v>
      </c>
      <c r="IE13" s="227">
        <v>7</v>
      </c>
      <c r="IF13" s="226">
        <v>42459</v>
      </c>
      <c r="IG13" s="225" t="s">
        <v>304</v>
      </c>
      <c r="IH13" s="229">
        <v>1219</v>
      </c>
      <c r="II13" s="229">
        <v>74021</v>
      </c>
      <c r="IJ13" s="229">
        <v>1599862</v>
      </c>
    </row>
    <row r="14" spans="1:244" s="260" customFormat="1" x14ac:dyDescent="0.45">
      <c r="A14" s="227">
        <v>8</v>
      </c>
      <c r="B14" s="226">
        <v>43545</v>
      </c>
      <c r="C14" s="227" t="s">
        <v>310</v>
      </c>
      <c r="D14" s="229">
        <v>111</v>
      </c>
      <c r="E14" s="228">
        <v>1914</v>
      </c>
      <c r="F14" s="228">
        <v>84298</v>
      </c>
      <c r="G14" s="270"/>
      <c r="H14" s="227">
        <v>8</v>
      </c>
      <c r="I14" s="226">
        <v>43551</v>
      </c>
      <c r="J14" s="227" t="s">
        <v>310</v>
      </c>
      <c r="K14" s="229">
        <v>444</v>
      </c>
      <c r="L14" s="228">
        <v>8176</v>
      </c>
      <c r="M14" s="228">
        <v>233037</v>
      </c>
      <c r="N14" s="270"/>
      <c r="O14" s="227">
        <v>8</v>
      </c>
      <c r="P14" s="226">
        <v>43509</v>
      </c>
      <c r="Q14" s="227" t="s">
        <v>310</v>
      </c>
      <c r="R14" s="229">
        <v>99</v>
      </c>
      <c r="S14" s="228">
        <v>1457</v>
      </c>
      <c r="T14" s="228">
        <v>79367</v>
      </c>
      <c r="U14" s="270"/>
      <c r="V14" s="227">
        <v>8</v>
      </c>
      <c r="W14" s="226">
        <v>43460</v>
      </c>
      <c r="X14" s="227" t="s">
        <v>310</v>
      </c>
      <c r="Y14" s="229">
        <v>985</v>
      </c>
      <c r="Z14" s="228">
        <v>167392</v>
      </c>
      <c r="AA14" s="228">
        <v>2269150</v>
      </c>
      <c r="AB14" s="270"/>
      <c r="AC14" s="227">
        <v>8</v>
      </c>
      <c r="AD14" s="226">
        <v>43425</v>
      </c>
      <c r="AE14" s="227" t="s">
        <v>310</v>
      </c>
      <c r="AF14" s="229">
        <v>1204</v>
      </c>
      <c r="AG14" s="228">
        <v>75571</v>
      </c>
      <c r="AH14" s="228">
        <v>1756170</v>
      </c>
      <c r="AI14" s="270"/>
      <c r="AJ14" s="227">
        <v>8</v>
      </c>
      <c r="AK14" s="226">
        <v>43405</v>
      </c>
      <c r="AL14" s="227" t="s">
        <v>316</v>
      </c>
      <c r="AM14" s="229">
        <v>158</v>
      </c>
      <c r="AN14" s="228">
        <v>2297</v>
      </c>
      <c r="AO14" s="228">
        <v>138506</v>
      </c>
      <c r="AP14" s="270"/>
      <c r="AQ14" s="227">
        <v>8</v>
      </c>
      <c r="AR14" s="226">
        <v>43389</v>
      </c>
      <c r="AS14" s="227" t="s">
        <v>312</v>
      </c>
      <c r="AT14" s="229">
        <v>521</v>
      </c>
      <c r="AU14" s="228">
        <v>15977</v>
      </c>
      <c r="AV14" s="228">
        <v>185177</v>
      </c>
      <c r="AW14" s="270"/>
      <c r="AX14" s="227">
        <v>8</v>
      </c>
      <c r="AY14" s="226">
        <v>43369</v>
      </c>
      <c r="AZ14" s="227" t="s">
        <v>304</v>
      </c>
      <c r="BA14" s="232">
        <v>603</v>
      </c>
      <c r="BB14" s="230">
        <v>89503</v>
      </c>
      <c r="BC14" s="230">
        <v>820696</v>
      </c>
      <c r="BD14" s="270"/>
      <c r="BE14" s="227">
        <v>8</v>
      </c>
      <c r="BF14" s="226">
        <v>43334</v>
      </c>
      <c r="BG14" s="227" t="s">
        <v>304</v>
      </c>
      <c r="BH14" s="232">
        <v>375</v>
      </c>
      <c r="BI14" s="230">
        <v>10229</v>
      </c>
      <c r="BJ14" s="230">
        <v>469426</v>
      </c>
      <c r="BK14" s="270"/>
      <c r="BL14" s="227">
        <v>8</v>
      </c>
      <c r="BM14" s="226">
        <v>43313</v>
      </c>
      <c r="BN14" s="227" t="s">
        <v>304</v>
      </c>
      <c r="BO14" s="232">
        <v>274</v>
      </c>
      <c r="BP14" s="230">
        <v>6072</v>
      </c>
      <c r="BQ14" s="230">
        <v>869157</v>
      </c>
      <c r="BR14" s="270"/>
      <c r="BS14" s="227">
        <v>8</v>
      </c>
      <c r="BT14" s="226">
        <v>43285</v>
      </c>
      <c r="BU14" s="227" t="s">
        <v>304</v>
      </c>
      <c r="BV14" s="232">
        <v>667</v>
      </c>
      <c r="BW14" s="230">
        <v>73312</v>
      </c>
      <c r="BX14" s="230">
        <v>1272257</v>
      </c>
      <c r="BY14" s="270"/>
      <c r="BZ14" s="227">
        <v>8</v>
      </c>
      <c r="CA14" s="226">
        <v>43271</v>
      </c>
      <c r="CB14" s="227" t="s">
        <v>304</v>
      </c>
      <c r="CC14" s="232">
        <v>683</v>
      </c>
      <c r="CD14" s="230">
        <v>51431</v>
      </c>
      <c r="CE14" s="230">
        <v>757549</v>
      </c>
      <c r="CF14" s="270"/>
      <c r="CG14" s="227">
        <v>8</v>
      </c>
      <c r="CH14" s="226">
        <v>43228</v>
      </c>
      <c r="CI14" s="227" t="s">
        <v>305</v>
      </c>
      <c r="CJ14" s="229">
        <v>822</v>
      </c>
      <c r="CK14" s="230">
        <v>42277</v>
      </c>
      <c r="CL14" s="230">
        <v>890944</v>
      </c>
      <c r="CM14" s="270"/>
      <c r="CN14" s="227">
        <v>8</v>
      </c>
      <c r="CO14" s="226">
        <v>43209</v>
      </c>
      <c r="CP14" s="227" t="s">
        <v>303</v>
      </c>
      <c r="CQ14" s="232">
        <v>737</v>
      </c>
      <c r="CR14" s="230">
        <v>44323</v>
      </c>
      <c r="CS14" s="230">
        <v>895658</v>
      </c>
      <c r="CT14" s="270"/>
      <c r="CU14" s="227">
        <v>8</v>
      </c>
      <c r="CV14" s="226">
        <v>43194</v>
      </c>
      <c r="CW14" s="227" t="s">
        <v>304</v>
      </c>
      <c r="CX14" s="229">
        <v>962</v>
      </c>
      <c r="CY14" s="230">
        <v>68144</v>
      </c>
      <c r="CZ14" s="230">
        <v>1192215</v>
      </c>
      <c r="DA14" s="270"/>
      <c r="DB14" s="227">
        <v>8</v>
      </c>
      <c r="DC14" s="226">
        <v>43061</v>
      </c>
      <c r="DD14" s="227" t="s">
        <v>304</v>
      </c>
      <c r="DE14" s="229">
        <v>730</v>
      </c>
      <c r="DF14" s="230">
        <v>44903</v>
      </c>
      <c r="DG14" s="230">
        <v>1320719</v>
      </c>
      <c r="DH14" s="270"/>
      <c r="DI14" s="227">
        <v>8</v>
      </c>
      <c r="DJ14" s="226">
        <v>42943</v>
      </c>
      <c r="DK14" s="227" t="s">
        <v>303</v>
      </c>
      <c r="DL14" s="229">
        <v>619</v>
      </c>
      <c r="DM14" s="230">
        <v>70612</v>
      </c>
      <c r="DN14" s="230">
        <v>1813281</v>
      </c>
      <c r="DO14" s="270"/>
      <c r="DP14" s="227">
        <v>8</v>
      </c>
      <c r="DQ14" s="226">
        <v>43034</v>
      </c>
      <c r="DR14" s="227" t="s">
        <v>303</v>
      </c>
      <c r="DS14" s="229">
        <v>517</v>
      </c>
      <c r="DT14" s="230">
        <v>18643</v>
      </c>
      <c r="DU14" s="230">
        <v>858015</v>
      </c>
      <c r="DV14" s="270"/>
      <c r="DW14" s="227">
        <v>8</v>
      </c>
      <c r="DX14" s="226">
        <v>43013</v>
      </c>
      <c r="DY14" s="227" t="s">
        <v>303</v>
      </c>
      <c r="DZ14" s="229">
        <v>144</v>
      </c>
      <c r="EA14" s="230">
        <v>7208</v>
      </c>
      <c r="EB14" s="230">
        <v>121895</v>
      </c>
      <c r="EC14" s="270"/>
      <c r="ED14" s="227">
        <v>8</v>
      </c>
      <c r="EE14" s="226">
        <v>42991</v>
      </c>
      <c r="EF14" s="227" t="s">
        <v>304</v>
      </c>
      <c r="EG14" s="232">
        <v>690</v>
      </c>
      <c r="EH14" s="230">
        <v>27646</v>
      </c>
      <c r="EI14" s="230">
        <v>673742</v>
      </c>
      <c r="EJ14" s="270"/>
      <c r="EK14" s="227">
        <v>8</v>
      </c>
      <c r="EL14" s="226">
        <v>42977</v>
      </c>
      <c r="EM14" s="227" t="s">
        <v>304</v>
      </c>
      <c r="EN14" s="229">
        <v>601</v>
      </c>
      <c r="EO14" s="230">
        <v>63110</v>
      </c>
      <c r="EP14" s="230">
        <v>1149341</v>
      </c>
      <c r="EQ14" s="270"/>
      <c r="ER14" s="227">
        <v>8</v>
      </c>
      <c r="ES14" s="226">
        <v>42964</v>
      </c>
      <c r="ET14" s="227" t="s">
        <v>303</v>
      </c>
      <c r="EU14" s="232">
        <v>546</v>
      </c>
      <c r="EV14" s="224">
        <v>57319</v>
      </c>
      <c r="EW14" s="224">
        <v>1501588</v>
      </c>
      <c r="EX14" s="270"/>
      <c r="EY14" s="227">
        <v>8</v>
      </c>
      <c r="EZ14" s="225">
        <v>42893</v>
      </c>
      <c r="FA14" s="227" t="s">
        <v>304</v>
      </c>
      <c r="FB14" s="234">
        <v>731</v>
      </c>
      <c r="FC14" s="236">
        <v>42679</v>
      </c>
      <c r="FD14" s="236">
        <v>1587712</v>
      </c>
      <c r="FF14" s="227">
        <v>8</v>
      </c>
      <c r="FG14" s="274">
        <v>42879</v>
      </c>
      <c r="FH14" s="274" t="s">
        <v>304</v>
      </c>
      <c r="FI14" s="232">
        <v>397</v>
      </c>
      <c r="FJ14" s="229">
        <v>8216</v>
      </c>
      <c r="FK14" s="273">
        <v>383668</v>
      </c>
      <c r="FM14" s="227">
        <v>8</v>
      </c>
      <c r="FN14" s="226">
        <v>42809</v>
      </c>
      <c r="FO14" s="225" t="s">
        <v>304</v>
      </c>
      <c r="FP14" s="224">
        <v>899</v>
      </c>
      <c r="FQ14" s="224">
        <v>55370</v>
      </c>
      <c r="FR14" s="224">
        <v>1195510</v>
      </c>
      <c r="FT14" s="227">
        <v>8</v>
      </c>
      <c r="FU14" s="226">
        <v>42782</v>
      </c>
      <c r="FV14" s="225" t="s">
        <v>303</v>
      </c>
      <c r="FW14" s="232">
        <v>96</v>
      </c>
      <c r="FX14" s="229">
        <v>1780</v>
      </c>
      <c r="FY14" s="229">
        <v>124397</v>
      </c>
      <c r="GA14" s="227">
        <v>8</v>
      </c>
      <c r="GB14" s="226">
        <v>42795</v>
      </c>
      <c r="GC14" s="225" t="s">
        <v>304</v>
      </c>
      <c r="GD14" s="224">
        <v>212</v>
      </c>
      <c r="GE14" s="224">
        <v>8161</v>
      </c>
      <c r="GF14" s="224">
        <v>320079</v>
      </c>
      <c r="GH14" s="227">
        <v>8</v>
      </c>
      <c r="GI14" s="226">
        <v>42718</v>
      </c>
      <c r="GJ14" s="225" t="s">
        <v>304</v>
      </c>
      <c r="GK14" s="232">
        <v>274</v>
      </c>
      <c r="GL14" s="229">
        <v>6478</v>
      </c>
      <c r="GM14" s="229">
        <v>189309</v>
      </c>
      <c r="GO14" s="227">
        <v>8</v>
      </c>
      <c r="GP14" s="226">
        <v>42697</v>
      </c>
      <c r="GQ14" s="225" t="s">
        <v>304</v>
      </c>
      <c r="GR14" s="229">
        <v>1236</v>
      </c>
      <c r="GS14" s="229">
        <v>140647</v>
      </c>
      <c r="GT14" s="229">
        <v>2379264</v>
      </c>
      <c r="GV14" s="227">
        <v>8</v>
      </c>
      <c r="GW14" s="226">
        <v>42663</v>
      </c>
      <c r="GX14" s="225" t="s">
        <v>303</v>
      </c>
      <c r="GY14" s="232">
        <v>91</v>
      </c>
      <c r="GZ14" s="232">
        <v>815</v>
      </c>
      <c r="HA14" s="229">
        <v>63624</v>
      </c>
      <c r="HC14" s="227">
        <v>8</v>
      </c>
      <c r="HD14" s="226">
        <v>42648</v>
      </c>
      <c r="HE14" s="225" t="s">
        <v>304</v>
      </c>
      <c r="HF14" s="234">
        <v>472</v>
      </c>
      <c r="HG14" s="236">
        <v>21571</v>
      </c>
      <c r="HH14" s="236">
        <v>418062</v>
      </c>
      <c r="HJ14" s="227">
        <v>8</v>
      </c>
      <c r="HK14" s="226">
        <v>42627</v>
      </c>
      <c r="HL14" s="225" t="s">
        <v>304</v>
      </c>
      <c r="HM14" s="224">
        <v>1300</v>
      </c>
      <c r="HN14" s="224">
        <v>548388</v>
      </c>
      <c r="HO14" s="224">
        <v>3226066</v>
      </c>
      <c r="HQ14" s="227">
        <v>8</v>
      </c>
      <c r="HR14" s="226">
        <v>42613</v>
      </c>
      <c r="HS14" s="225" t="s">
        <v>304</v>
      </c>
      <c r="HT14" s="224">
        <v>520</v>
      </c>
      <c r="HU14" s="224">
        <v>73942</v>
      </c>
      <c r="HV14" s="224">
        <v>706849</v>
      </c>
      <c r="HX14" s="227">
        <v>8</v>
      </c>
      <c r="HY14" s="225">
        <v>42592</v>
      </c>
      <c r="HZ14" s="225" t="s">
        <v>304</v>
      </c>
      <c r="IA14" s="234">
        <v>410</v>
      </c>
      <c r="IB14" s="236">
        <v>36461</v>
      </c>
      <c r="IC14" s="236">
        <v>1644839</v>
      </c>
      <c r="IE14" s="227">
        <v>8</v>
      </c>
      <c r="IF14" s="226">
        <v>42460</v>
      </c>
      <c r="IG14" s="225" t="s">
        <v>303</v>
      </c>
      <c r="IH14" s="229">
        <v>1131</v>
      </c>
      <c r="II14" s="229">
        <v>47078</v>
      </c>
      <c r="IJ14" s="229">
        <v>1646940</v>
      </c>
    </row>
    <row r="15" spans="1:244" s="260" customFormat="1" x14ac:dyDescent="0.45">
      <c r="A15" s="227">
        <v>9</v>
      </c>
      <c r="B15" s="226">
        <v>43546</v>
      </c>
      <c r="C15" s="227" t="s">
        <v>316</v>
      </c>
      <c r="D15" s="229">
        <v>114</v>
      </c>
      <c r="E15" s="228">
        <v>2032</v>
      </c>
      <c r="F15" s="228">
        <v>86330</v>
      </c>
      <c r="G15" s="270"/>
      <c r="H15" s="227">
        <v>9</v>
      </c>
      <c r="I15" s="226">
        <v>43552</v>
      </c>
      <c r="J15" s="227" t="s">
        <v>316</v>
      </c>
      <c r="K15" s="229">
        <v>355</v>
      </c>
      <c r="L15" s="228">
        <v>4120</v>
      </c>
      <c r="M15" s="228">
        <v>237157</v>
      </c>
      <c r="N15" s="270"/>
      <c r="O15" s="227">
        <v>9</v>
      </c>
      <c r="P15" s="226">
        <v>43510</v>
      </c>
      <c r="Q15" s="227" t="s">
        <v>316</v>
      </c>
      <c r="R15" s="229">
        <v>56</v>
      </c>
      <c r="S15" s="228">
        <v>1052</v>
      </c>
      <c r="T15" s="228">
        <v>80419</v>
      </c>
      <c r="U15" s="270"/>
      <c r="V15" s="227">
        <v>9</v>
      </c>
      <c r="W15" s="226">
        <v>43461</v>
      </c>
      <c r="X15" s="227" t="s">
        <v>316</v>
      </c>
      <c r="Y15" s="229">
        <v>1009</v>
      </c>
      <c r="Z15" s="228">
        <v>113341</v>
      </c>
      <c r="AA15" s="228">
        <v>2382491</v>
      </c>
      <c r="AB15" s="270"/>
      <c r="AC15" s="227">
        <v>9</v>
      </c>
      <c r="AD15" s="226">
        <v>43426</v>
      </c>
      <c r="AE15" s="227" t="s">
        <v>316</v>
      </c>
      <c r="AF15" s="229">
        <v>839</v>
      </c>
      <c r="AG15" s="228">
        <v>51520</v>
      </c>
      <c r="AH15" s="228">
        <v>1807690</v>
      </c>
      <c r="AI15" s="270"/>
      <c r="AJ15" s="227">
        <v>9</v>
      </c>
      <c r="AK15" s="226">
        <v>43406</v>
      </c>
      <c r="AL15" s="227" t="s">
        <v>320</v>
      </c>
      <c r="AM15" s="229">
        <v>144</v>
      </c>
      <c r="AN15" s="228">
        <v>3004</v>
      </c>
      <c r="AO15" s="228">
        <v>141510</v>
      </c>
      <c r="AP15" s="270"/>
      <c r="AQ15" s="227">
        <v>9</v>
      </c>
      <c r="AR15" s="226">
        <v>43390</v>
      </c>
      <c r="AS15" s="227" t="s">
        <v>310</v>
      </c>
      <c r="AT15" s="229">
        <v>543</v>
      </c>
      <c r="AU15" s="228">
        <v>17859</v>
      </c>
      <c r="AV15" s="228">
        <v>203036</v>
      </c>
      <c r="AW15" s="270"/>
      <c r="AX15" s="227">
        <v>9</v>
      </c>
      <c r="AY15" s="226">
        <v>43370</v>
      </c>
      <c r="AZ15" s="227" t="s">
        <v>303</v>
      </c>
      <c r="BA15" s="232">
        <v>544</v>
      </c>
      <c r="BB15" s="230">
        <v>26735</v>
      </c>
      <c r="BC15" s="230">
        <v>847431</v>
      </c>
      <c r="BD15" s="270"/>
      <c r="BE15" s="227">
        <v>9</v>
      </c>
      <c r="BF15" s="226">
        <v>43335</v>
      </c>
      <c r="BG15" s="227" t="s">
        <v>303</v>
      </c>
      <c r="BH15" s="232">
        <v>312</v>
      </c>
      <c r="BI15" s="230">
        <v>6703</v>
      </c>
      <c r="BJ15" s="230">
        <v>476129</v>
      </c>
      <c r="BK15" s="270"/>
      <c r="BL15" s="227">
        <v>9</v>
      </c>
      <c r="BM15" s="226">
        <v>43314</v>
      </c>
      <c r="BN15" s="227" t="s">
        <v>303</v>
      </c>
      <c r="BO15" s="232">
        <v>232</v>
      </c>
      <c r="BP15" s="230">
        <v>4966</v>
      </c>
      <c r="BQ15" s="230">
        <v>874123</v>
      </c>
      <c r="BR15" s="270"/>
      <c r="BS15" s="227">
        <v>9</v>
      </c>
      <c r="BT15" s="226">
        <v>43286</v>
      </c>
      <c r="BU15" s="227" t="s">
        <v>303</v>
      </c>
      <c r="BV15" s="232">
        <v>694</v>
      </c>
      <c r="BW15" s="230">
        <v>73342</v>
      </c>
      <c r="BX15" s="230">
        <v>1345599</v>
      </c>
      <c r="BY15" s="270"/>
      <c r="BZ15" s="227">
        <v>9</v>
      </c>
      <c r="CA15" s="226">
        <v>43272</v>
      </c>
      <c r="CB15" s="227" t="s">
        <v>303</v>
      </c>
      <c r="CC15" s="232">
        <v>622</v>
      </c>
      <c r="CD15" s="230">
        <v>48008</v>
      </c>
      <c r="CE15" s="230">
        <v>805557</v>
      </c>
      <c r="CF15" s="270"/>
      <c r="CG15" s="227">
        <v>9</v>
      </c>
      <c r="CH15" s="226">
        <v>43229</v>
      </c>
      <c r="CI15" s="227" t="s">
        <v>304</v>
      </c>
      <c r="CJ15" s="229">
        <v>626</v>
      </c>
      <c r="CK15" s="230">
        <v>22102</v>
      </c>
      <c r="CL15" s="230">
        <v>913046</v>
      </c>
      <c r="CM15" s="270"/>
      <c r="CN15" s="227">
        <v>9</v>
      </c>
      <c r="CO15" s="226">
        <v>43210</v>
      </c>
      <c r="CP15" s="227" t="s">
        <v>302</v>
      </c>
      <c r="CQ15" s="232">
        <v>781</v>
      </c>
      <c r="CR15" s="230">
        <v>66901</v>
      </c>
      <c r="CS15" s="230">
        <v>962559</v>
      </c>
      <c r="CT15" s="270"/>
      <c r="CU15" s="227">
        <v>9</v>
      </c>
      <c r="CV15" s="226">
        <v>43195</v>
      </c>
      <c r="CW15" s="227" t="s">
        <v>303</v>
      </c>
      <c r="CX15" s="229">
        <v>819</v>
      </c>
      <c r="CY15" s="230">
        <v>60436</v>
      </c>
      <c r="CZ15" s="230">
        <v>1252651</v>
      </c>
      <c r="DA15" s="270"/>
      <c r="DB15" s="227">
        <v>9</v>
      </c>
      <c r="DC15" s="226">
        <v>43062</v>
      </c>
      <c r="DD15" s="227" t="s">
        <v>303</v>
      </c>
      <c r="DE15" s="229">
        <v>718</v>
      </c>
      <c r="DF15" s="230">
        <v>42378</v>
      </c>
      <c r="DG15" s="230">
        <v>1363097</v>
      </c>
      <c r="DH15" s="270"/>
      <c r="DI15" s="227">
        <v>9</v>
      </c>
      <c r="DJ15" s="226">
        <v>42944</v>
      </c>
      <c r="DK15" s="227" t="s">
        <v>302</v>
      </c>
      <c r="DL15" s="229">
        <v>602</v>
      </c>
      <c r="DM15" s="230">
        <v>88910</v>
      </c>
      <c r="DN15" s="230">
        <v>1902191</v>
      </c>
      <c r="DO15" s="270"/>
      <c r="DP15" s="227">
        <v>9</v>
      </c>
      <c r="DQ15" s="226">
        <v>43035</v>
      </c>
      <c r="DR15" s="227" t="s">
        <v>302</v>
      </c>
      <c r="DS15" s="229">
        <v>546</v>
      </c>
      <c r="DT15" s="230">
        <v>29376</v>
      </c>
      <c r="DU15" s="230">
        <v>887391</v>
      </c>
      <c r="DV15" s="270"/>
      <c r="DW15" s="227">
        <v>9</v>
      </c>
      <c r="DX15" s="226">
        <v>43014</v>
      </c>
      <c r="DY15" s="227" t="s">
        <v>302</v>
      </c>
      <c r="DZ15" s="229">
        <v>132</v>
      </c>
      <c r="EA15" s="230">
        <v>8394</v>
      </c>
      <c r="EB15" s="230">
        <v>130289</v>
      </c>
      <c r="EC15" s="270"/>
      <c r="ED15" s="227">
        <v>9</v>
      </c>
      <c r="EE15" s="226">
        <v>42992</v>
      </c>
      <c r="EF15" s="227" t="s">
        <v>303</v>
      </c>
      <c r="EG15" s="232">
        <v>456</v>
      </c>
      <c r="EH15" s="230">
        <v>16765</v>
      </c>
      <c r="EI15" s="230">
        <v>690507</v>
      </c>
      <c r="EJ15" s="270"/>
      <c r="EK15" s="227">
        <v>9</v>
      </c>
      <c r="EL15" s="226">
        <v>42978</v>
      </c>
      <c r="EM15" s="227" t="s">
        <v>303</v>
      </c>
      <c r="EN15" s="229">
        <v>576</v>
      </c>
      <c r="EO15" s="230">
        <v>30612</v>
      </c>
      <c r="EP15" s="230">
        <v>1179953</v>
      </c>
      <c r="EQ15" s="270"/>
      <c r="ER15" s="227">
        <v>9</v>
      </c>
      <c r="ES15" s="226">
        <v>42965</v>
      </c>
      <c r="ET15" s="227" t="s">
        <v>302</v>
      </c>
      <c r="EU15" s="232">
        <v>525</v>
      </c>
      <c r="EV15" s="224">
        <v>64836</v>
      </c>
      <c r="EW15" s="224">
        <v>1566424</v>
      </c>
      <c r="EX15" s="270"/>
      <c r="EY15" s="227">
        <v>9</v>
      </c>
      <c r="EZ15" s="225">
        <v>42894</v>
      </c>
      <c r="FA15" s="227" t="s">
        <v>303</v>
      </c>
      <c r="FB15" s="234">
        <v>598</v>
      </c>
      <c r="FC15" s="236">
        <v>31667</v>
      </c>
      <c r="FD15" s="236">
        <v>1619379</v>
      </c>
      <c r="FF15" s="227">
        <v>9</v>
      </c>
      <c r="FG15" s="274">
        <v>42880</v>
      </c>
      <c r="FH15" s="274" t="s">
        <v>303</v>
      </c>
      <c r="FI15" s="232">
        <v>323</v>
      </c>
      <c r="FJ15" s="229">
        <v>4495</v>
      </c>
      <c r="FK15" s="273">
        <v>388163</v>
      </c>
      <c r="FM15" s="227">
        <v>9</v>
      </c>
      <c r="FN15" s="226">
        <v>42810</v>
      </c>
      <c r="FO15" s="225" t="s">
        <v>303</v>
      </c>
      <c r="FP15" s="224">
        <v>619</v>
      </c>
      <c r="FQ15" s="224">
        <v>36007</v>
      </c>
      <c r="FR15" s="224">
        <v>1231517</v>
      </c>
      <c r="FT15" s="227">
        <v>9</v>
      </c>
      <c r="FU15" s="226">
        <v>42783</v>
      </c>
      <c r="FV15" s="225" t="s">
        <v>302</v>
      </c>
      <c r="FW15" s="232">
        <v>129</v>
      </c>
      <c r="FX15" s="229">
        <v>2494</v>
      </c>
      <c r="FY15" s="229">
        <v>126891</v>
      </c>
      <c r="GA15" s="227">
        <v>9</v>
      </c>
      <c r="GB15" s="226">
        <v>42796</v>
      </c>
      <c r="GC15" s="225" t="s">
        <v>303</v>
      </c>
      <c r="GD15" s="224">
        <v>225</v>
      </c>
      <c r="GE15" s="224">
        <v>3661</v>
      </c>
      <c r="GF15" s="224">
        <v>323740</v>
      </c>
      <c r="GH15" s="227">
        <v>9</v>
      </c>
      <c r="GI15" s="226">
        <v>42719</v>
      </c>
      <c r="GJ15" s="225" t="s">
        <v>303</v>
      </c>
      <c r="GK15" s="232">
        <v>259</v>
      </c>
      <c r="GL15" s="229">
        <v>6480</v>
      </c>
      <c r="GM15" s="229">
        <v>195789</v>
      </c>
      <c r="GO15" s="227">
        <v>9</v>
      </c>
      <c r="GP15" s="226">
        <v>42698</v>
      </c>
      <c r="GQ15" s="225" t="s">
        <v>303</v>
      </c>
      <c r="GR15" s="229">
        <v>1093</v>
      </c>
      <c r="GS15" s="229">
        <v>118637</v>
      </c>
      <c r="GT15" s="229">
        <v>2497901</v>
      </c>
      <c r="GV15" s="227">
        <v>9</v>
      </c>
      <c r="GW15" s="226">
        <v>42664</v>
      </c>
      <c r="GX15" s="225" t="s">
        <v>302</v>
      </c>
      <c r="GY15" s="232">
        <v>97</v>
      </c>
      <c r="GZ15" s="229">
        <v>1150</v>
      </c>
      <c r="HA15" s="229">
        <v>64774</v>
      </c>
      <c r="HC15" s="227">
        <v>9</v>
      </c>
      <c r="HD15" s="226">
        <v>42649</v>
      </c>
      <c r="HE15" s="225" t="s">
        <v>303</v>
      </c>
      <c r="HF15" s="234">
        <v>432</v>
      </c>
      <c r="HG15" s="236">
        <v>16942</v>
      </c>
      <c r="HH15" s="236">
        <v>435004</v>
      </c>
      <c r="HJ15" s="227">
        <v>9</v>
      </c>
      <c r="HK15" s="226">
        <v>42628</v>
      </c>
      <c r="HL15" s="225" t="s">
        <v>303</v>
      </c>
      <c r="HM15" s="224">
        <v>1342</v>
      </c>
      <c r="HN15" s="224">
        <v>760862</v>
      </c>
      <c r="HO15" s="224">
        <v>3986928</v>
      </c>
      <c r="HQ15" s="227">
        <v>9</v>
      </c>
      <c r="HR15" s="226">
        <v>42614</v>
      </c>
      <c r="HS15" s="225" t="s">
        <v>303</v>
      </c>
      <c r="HT15" s="224">
        <v>487</v>
      </c>
      <c r="HU15" s="224">
        <v>40493</v>
      </c>
      <c r="HV15" s="224">
        <v>747342</v>
      </c>
      <c r="HX15" s="227">
        <v>9</v>
      </c>
      <c r="HY15" s="225">
        <v>42593</v>
      </c>
      <c r="HZ15" s="225" t="s">
        <v>303</v>
      </c>
      <c r="IA15" s="234">
        <v>412</v>
      </c>
      <c r="IB15" s="236">
        <v>32700</v>
      </c>
      <c r="IC15" s="236">
        <v>1677539</v>
      </c>
      <c r="IE15" s="227">
        <v>9</v>
      </c>
      <c r="IF15" s="226">
        <v>42461</v>
      </c>
      <c r="IG15" s="225" t="s">
        <v>302</v>
      </c>
      <c r="IH15" s="229">
        <v>1160</v>
      </c>
      <c r="II15" s="229">
        <v>62556</v>
      </c>
      <c r="IJ15" s="229">
        <v>1709496</v>
      </c>
    </row>
    <row r="16" spans="1:244" s="260" customFormat="1" x14ac:dyDescent="0.45">
      <c r="A16" s="227">
        <v>10</v>
      </c>
      <c r="B16" s="226">
        <v>43547</v>
      </c>
      <c r="C16" s="227" t="s">
        <v>320</v>
      </c>
      <c r="D16" s="229">
        <v>103</v>
      </c>
      <c r="E16" s="228">
        <v>3801</v>
      </c>
      <c r="F16" s="228">
        <v>90131</v>
      </c>
      <c r="G16" s="270"/>
      <c r="H16" s="227">
        <v>10</v>
      </c>
      <c r="I16" s="226">
        <v>43553</v>
      </c>
      <c r="J16" s="227" t="s">
        <v>320</v>
      </c>
      <c r="K16" s="229">
        <v>346</v>
      </c>
      <c r="L16" s="228">
        <v>4063</v>
      </c>
      <c r="M16" s="228">
        <v>241220</v>
      </c>
      <c r="N16" s="270"/>
      <c r="O16" s="227">
        <v>10</v>
      </c>
      <c r="P16" s="226">
        <v>43511</v>
      </c>
      <c r="Q16" s="227" t="s">
        <v>320</v>
      </c>
      <c r="R16" s="229">
        <v>55</v>
      </c>
      <c r="S16" s="228">
        <v>987</v>
      </c>
      <c r="T16" s="228">
        <v>81406</v>
      </c>
      <c r="U16" s="270"/>
      <c r="V16" s="227">
        <v>10</v>
      </c>
      <c r="W16" s="226">
        <v>43462</v>
      </c>
      <c r="X16" s="227" t="s">
        <v>320</v>
      </c>
      <c r="Y16" s="229">
        <v>1092</v>
      </c>
      <c r="Z16" s="228">
        <v>152165</v>
      </c>
      <c r="AA16" s="228">
        <v>2534656</v>
      </c>
      <c r="AB16" s="270"/>
      <c r="AC16" s="227">
        <v>10</v>
      </c>
      <c r="AD16" s="226">
        <v>43427</v>
      </c>
      <c r="AE16" s="227" t="s">
        <v>320</v>
      </c>
      <c r="AF16" s="229">
        <v>843</v>
      </c>
      <c r="AG16" s="228">
        <v>74067</v>
      </c>
      <c r="AH16" s="228">
        <v>1881757</v>
      </c>
      <c r="AI16" s="270"/>
      <c r="AJ16" s="227">
        <v>10</v>
      </c>
      <c r="AK16" s="226">
        <v>43407</v>
      </c>
      <c r="AL16" s="227" t="s">
        <v>319</v>
      </c>
      <c r="AM16" s="229">
        <v>128</v>
      </c>
      <c r="AN16" s="228">
        <v>3553</v>
      </c>
      <c r="AO16" s="228">
        <v>145063</v>
      </c>
      <c r="AP16" s="270"/>
      <c r="AQ16" s="227">
        <v>10</v>
      </c>
      <c r="AR16" s="226">
        <v>43391</v>
      </c>
      <c r="AS16" s="227" t="s">
        <v>303</v>
      </c>
      <c r="AT16" s="229">
        <v>283</v>
      </c>
      <c r="AU16" s="228">
        <v>7776</v>
      </c>
      <c r="AV16" s="228">
        <v>210812</v>
      </c>
      <c r="AW16" s="270"/>
      <c r="AX16" s="227">
        <v>10</v>
      </c>
      <c r="AY16" s="226">
        <v>43371</v>
      </c>
      <c r="AZ16" s="227" t="s">
        <v>302</v>
      </c>
      <c r="BA16" s="232">
        <v>562</v>
      </c>
      <c r="BB16" s="230">
        <v>30279</v>
      </c>
      <c r="BC16" s="230">
        <v>877710</v>
      </c>
      <c r="BD16" s="270"/>
      <c r="BE16" s="227">
        <v>10</v>
      </c>
      <c r="BF16" s="226">
        <v>43336</v>
      </c>
      <c r="BG16" s="227" t="s">
        <v>302</v>
      </c>
      <c r="BH16" s="232">
        <v>309</v>
      </c>
      <c r="BI16" s="230">
        <v>9490</v>
      </c>
      <c r="BJ16" s="230">
        <v>485619</v>
      </c>
      <c r="BK16" s="270"/>
      <c r="BL16" s="227">
        <v>10</v>
      </c>
      <c r="BM16" s="226">
        <v>43315</v>
      </c>
      <c r="BN16" s="227" t="s">
        <v>302</v>
      </c>
      <c r="BO16" s="232">
        <v>207</v>
      </c>
      <c r="BP16" s="230">
        <v>4267</v>
      </c>
      <c r="BQ16" s="230">
        <v>878390</v>
      </c>
      <c r="BR16" s="270"/>
      <c r="BS16" s="227">
        <v>10</v>
      </c>
      <c r="BT16" s="226">
        <v>43287</v>
      </c>
      <c r="BU16" s="227" t="s">
        <v>302</v>
      </c>
      <c r="BV16" s="232">
        <v>729</v>
      </c>
      <c r="BW16" s="230">
        <v>98836</v>
      </c>
      <c r="BX16" s="230">
        <v>1444435</v>
      </c>
      <c r="BY16" s="270"/>
      <c r="BZ16" s="227">
        <v>10</v>
      </c>
      <c r="CA16" s="226">
        <v>43273</v>
      </c>
      <c r="CB16" s="227" t="s">
        <v>302</v>
      </c>
      <c r="CC16" s="232">
        <v>659</v>
      </c>
      <c r="CD16" s="230">
        <v>60297</v>
      </c>
      <c r="CE16" s="230">
        <v>865854</v>
      </c>
      <c r="CF16" s="270"/>
      <c r="CG16" s="227">
        <v>10</v>
      </c>
      <c r="CH16" s="226">
        <v>43230</v>
      </c>
      <c r="CI16" s="227" t="s">
        <v>303</v>
      </c>
      <c r="CJ16" s="229">
        <v>601</v>
      </c>
      <c r="CK16" s="230">
        <v>17225</v>
      </c>
      <c r="CL16" s="230">
        <v>930271</v>
      </c>
      <c r="CM16" s="270"/>
      <c r="CN16" s="227">
        <v>10</v>
      </c>
      <c r="CO16" s="226">
        <v>43211</v>
      </c>
      <c r="CP16" s="227" t="s">
        <v>301</v>
      </c>
      <c r="CQ16" s="232">
        <v>887</v>
      </c>
      <c r="CR16" s="230">
        <v>149580</v>
      </c>
      <c r="CS16" s="230">
        <v>1112139</v>
      </c>
      <c r="CT16" s="270"/>
      <c r="CU16" s="227">
        <v>10</v>
      </c>
      <c r="CV16" s="226">
        <v>43196</v>
      </c>
      <c r="CW16" s="227" t="s">
        <v>302</v>
      </c>
      <c r="CX16" s="229">
        <v>845</v>
      </c>
      <c r="CY16" s="230">
        <v>87037</v>
      </c>
      <c r="CZ16" s="230">
        <v>1339688</v>
      </c>
      <c r="DA16" s="270"/>
      <c r="DB16" s="227">
        <v>10</v>
      </c>
      <c r="DC16" s="226">
        <v>43063</v>
      </c>
      <c r="DD16" s="227" t="s">
        <v>302</v>
      </c>
      <c r="DE16" s="229">
        <v>730</v>
      </c>
      <c r="DF16" s="230">
        <v>49980</v>
      </c>
      <c r="DG16" s="230">
        <v>1413077</v>
      </c>
      <c r="DH16" s="270"/>
      <c r="DI16" s="227">
        <v>10</v>
      </c>
      <c r="DJ16" s="226">
        <v>42945</v>
      </c>
      <c r="DK16" s="227" t="s">
        <v>301</v>
      </c>
      <c r="DL16" s="229">
        <v>634</v>
      </c>
      <c r="DM16" s="230">
        <v>142131</v>
      </c>
      <c r="DN16" s="230">
        <v>2044322</v>
      </c>
      <c r="DO16" s="270"/>
      <c r="DP16" s="227">
        <v>10</v>
      </c>
      <c r="DQ16" s="226">
        <v>43036</v>
      </c>
      <c r="DR16" s="227" t="s">
        <v>301</v>
      </c>
      <c r="DS16" s="229">
        <v>516</v>
      </c>
      <c r="DT16" s="230">
        <v>42469</v>
      </c>
      <c r="DU16" s="230">
        <v>929860</v>
      </c>
      <c r="DV16" s="270"/>
      <c r="DW16" s="227">
        <v>10</v>
      </c>
      <c r="DX16" s="226">
        <v>43015</v>
      </c>
      <c r="DY16" s="227" t="s">
        <v>301</v>
      </c>
      <c r="DZ16" s="229">
        <v>138</v>
      </c>
      <c r="EA16" s="230">
        <v>7012</v>
      </c>
      <c r="EB16" s="230">
        <v>137301</v>
      </c>
      <c r="EC16" s="270"/>
      <c r="ED16" s="227">
        <v>10</v>
      </c>
      <c r="EE16" s="226">
        <v>42993</v>
      </c>
      <c r="EF16" s="227" t="s">
        <v>302</v>
      </c>
      <c r="EG16" s="232">
        <v>462</v>
      </c>
      <c r="EH16" s="230">
        <v>27068</v>
      </c>
      <c r="EI16" s="230">
        <v>717575</v>
      </c>
      <c r="EJ16" s="270"/>
      <c r="EK16" s="227">
        <v>10</v>
      </c>
      <c r="EL16" s="226">
        <v>42979</v>
      </c>
      <c r="EM16" s="227" t="s">
        <v>302</v>
      </c>
      <c r="EN16" s="229">
        <v>582</v>
      </c>
      <c r="EO16" s="230">
        <v>33664</v>
      </c>
      <c r="EP16" s="230">
        <v>1213617</v>
      </c>
      <c r="EQ16" s="270"/>
      <c r="ER16" s="227">
        <v>10</v>
      </c>
      <c r="ES16" s="226">
        <v>42966</v>
      </c>
      <c r="ET16" s="227" t="s">
        <v>301</v>
      </c>
      <c r="EU16" s="232">
        <v>549</v>
      </c>
      <c r="EV16" s="224">
        <v>106304</v>
      </c>
      <c r="EW16" s="224">
        <v>1672728</v>
      </c>
      <c r="EX16" s="270"/>
      <c r="EY16" s="227">
        <v>10</v>
      </c>
      <c r="EZ16" s="225">
        <v>42895</v>
      </c>
      <c r="FA16" s="227" t="s">
        <v>302</v>
      </c>
      <c r="FB16" s="234">
        <v>607</v>
      </c>
      <c r="FC16" s="236">
        <v>45021</v>
      </c>
      <c r="FD16" s="236">
        <v>1664400</v>
      </c>
      <c r="FF16" s="227">
        <v>10</v>
      </c>
      <c r="FG16" s="274">
        <v>42881</v>
      </c>
      <c r="FH16" s="274" t="s">
        <v>302</v>
      </c>
      <c r="FI16" s="232">
        <v>313</v>
      </c>
      <c r="FJ16" s="229">
        <v>5014</v>
      </c>
      <c r="FK16" s="273">
        <v>393177</v>
      </c>
      <c r="FM16" s="227">
        <v>10</v>
      </c>
      <c r="FN16" s="226">
        <v>42811</v>
      </c>
      <c r="FO16" s="225" t="s">
        <v>302</v>
      </c>
      <c r="FP16" s="224">
        <v>641</v>
      </c>
      <c r="FQ16" s="224">
        <v>51534</v>
      </c>
      <c r="FR16" s="224">
        <v>1283051</v>
      </c>
      <c r="FT16" s="227">
        <v>10</v>
      </c>
      <c r="FU16" s="226">
        <v>42784</v>
      </c>
      <c r="FV16" s="225" t="s">
        <v>301</v>
      </c>
      <c r="FW16" s="232">
        <v>114</v>
      </c>
      <c r="FX16" s="229">
        <v>4969</v>
      </c>
      <c r="FY16" s="229">
        <v>131860</v>
      </c>
      <c r="GA16" s="227">
        <v>10</v>
      </c>
      <c r="GB16" s="226">
        <v>42797</v>
      </c>
      <c r="GC16" s="225" t="s">
        <v>302</v>
      </c>
      <c r="GD16" s="224">
        <v>227</v>
      </c>
      <c r="GE16" s="224">
        <v>4312</v>
      </c>
      <c r="GF16" s="224">
        <v>328052</v>
      </c>
      <c r="GH16" s="227">
        <v>10</v>
      </c>
      <c r="GI16" s="226">
        <v>42720</v>
      </c>
      <c r="GJ16" s="225" t="s">
        <v>302</v>
      </c>
      <c r="GK16" s="232">
        <v>290</v>
      </c>
      <c r="GL16" s="229">
        <v>7874</v>
      </c>
      <c r="GM16" s="229">
        <v>203663</v>
      </c>
      <c r="GO16" s="227">
        <v>10</v>
      </c>
      <c r="GP16" s="226">
        <v>42699</v>
      </c>
      <c r="GQ16" s="225" t="s">
        <v>302</v>
      </c>
      <c r="GR16" s="229">
        <v>1115</v>
      </c>
      <c r="GS16" s="229">
        <v>177519</v>
      </c>
      <c r="GT16" s="229">
        <v>2675420</v>
      </c>
      <c r="GV16" s="227">
        <v>10</v>
      </c>
      <c r="GW16" s="226">
        <v>42665</v>
      </c>
      <c r="GX16" s="225" t="s">
        <v>301</v>
      </c>
      <c r="GY16" s="232">
        <v>80</v>
      </c>
      <c r="GZ16" s="229">
        <v>1538</v>
      </c>
      <c r="HA16" s="229">
        <v>66312</v>
      </c>
      <c r="HC16" s="227">
        <v>10</v>
      </c>
      <c r="HD16" s="226">
        <v>42650</v>
      </c>
      <c r="HE16" s="225" t="s">
        <v>302</v>
      </c>
      <c r="HF16" s="234">
        <v>460</v>
      </c>
      <c r="HG16" s="236">
        <v>24968</v>
      </c>
      <c r="HH16" s="236">
        <v>459972</v>
      </c>
      <c r="HJ16" s="227">
        <v>10</v>
      </c>
      <c r="HK16" s="226">
        <v>42629</v>
      </c>
      <c r="HL16" s="225" t="s">
        <v>302</v>
      </c>
      <c r="HM16" s="224">
        <v>1365</v>
      </c>
      <c r="HN16" s="224">
        <v>860728</v>
      </c>
      <c r="HO16" s="224">
        <v>4847656</v>
      </c>
      <c r="HQ16" s="227">
        <v>10</v>
      </c>
      <c r="HR16" s="226">
        <v>42615</v>
      </c>
      <c r="HS16" s="225" t="s">
        <v>302</v>
      </c>
      <c r="HT16" s="224">
        <v>513</v>
      </c>
      <c r="HU16" s="224">
        <v>50496</v>
      </c>
      <c r="HV16" s="224">
        <v>797838</v>
      </c>
      <c r="HX16" s="227">
        <v>10</v>
      </c>
      <c r="HY16" s="225">
        <v>42594</v>
      </c>
      <c r="HZ16" s="225" t="s">
        <v>302</v>
      </c>
      <c r="IA16" s="234">
        <v>414</v>
      </c>
      <c r="IB16" s="236">
        <v>34381</v>
      </c>
      <c r="IC16" s="236">
        <v>1711920</v>
      </c>
      <c r="IE16" s="227">
        <v>10</v>
      </c>
      <c r="IF16" s="226">
        <v>42462</v>
      </c>
      <c r="IG16" s="225" t="s">
        <v>301</v>
      </c>
      <c r="IH16" s="229">
        <v>1135</v>
      </c>
      <c r="II16" s="229">
        <v>147448</v>
      </c>
      <c r="IJ16" s="229">
        <v>1856944</v>
      </c>
    </row>
    <row r="17" spans="1:244" s="260" customFormat="1" x14ac:dyDescent="0.45">
      <c r="A17" s="227">
        <v>11</v>
      </c>
      <c r="B17" s="226">
        <v>43548</v>
      </c>
      <c r="C17" s="227" t="s">
        <v>319</v>
      </c>
      <c r="D17" s="229">
        <v>101</v>
      </c>
      <c r="E17" s="228">
        <v>3345</v>
      </c>
      <c r="F17" s="228">
        <v>93476</v>
      </c>
      <c r="G17" s="270"/>
      <c r="H17" s="227">
        <v>11</v>
      </c>
      <c r="I17" s="226">
        <v>43554</v>
      </c>
      <c r="J17" s="227" t="s">
        <v>319</v>
      </c>
      <c r="K17" s="229">
        <v>301</v>
      </c>
      <c r="L17" s="228">
        <v>6852</v>
      </c>
      <c r="M17" s="228">
        <v>248072</v>
      </c>
      <c r="N17" s="270"/>
      <c r="O17" s="227">
        <v>11</v>
      </c>
      <c r="P17" s="226">
        <v>43512</v>
      </c>
      <c r="Q17" s="227" t="s">
        <v>319</v>
      </c>
      <c r="R17" s="229">
        <v>53</v>
      </c>
      <c r="S17" s="228">
        <v>1861</v>
      </c>
      <c r="T17" s="228">
        <v>83267</v>
      </c>
      <c r="U17" s="270"/>
      <c r="V17" s="227">
        <v>11</v>
      </c>
      <c r="W17" s="226">
        <v>43463</v>
      </c>
      <c r="X17" s="227" t="s">
        <v>319</v>
      </c>
      <c r="Y17" s="229">
        <v>1159</v>
      </c>
      <c r="Z17" s="228">
        <v>322870</v>
      </c>
      <c r="AA17" s="228">
        <v>2857526</v>
      </c>
      <c r="AB17" s="270"/>
      <c r="AC17" s="227">
        <v>11</v>
      </c>
      <c r="AD17" s="226">
        <v>43428</v>
      </c>
      <c r="AE17" s="227" t="s">
        <v>319</v>
      </c>
      <c r="AF17" s="229">
        <v>825</v>
      </c>
      <c r="AG17" s="228">
        <v>152406</v>
      </c>
      <c r="AH17" s="228">
        <v>2034163</v>
      </c>
      <c r="AI17" s="270"/>
      <c r="AJ17" s="227">
        <v>11</v>
      </c>
      <c r="AK17" s="226">
        <v>43408</v>
      </c>
      <c r="AL17" s="227" t="s">
        <v>317</v>
      </c>
      <c r="AM17" s="229">
        <v>120</v>
      </c>
      <c r="AN17" s="228">
        <v>2743</v>
      </c>
      <c r="AO17" s="228">
        <v>147806</v>
      </c>
      <c r="AP17" s="270"/>
      <c r="AQ17" s="227">
        <v>11</v>
      </c>
      <c r="AR17" s="226">
        <v>43392</v>
      </c>
      <c r="AS17" s="227" t="s">
        <v>302</v>
      </c>
      <c r="AT17" s="229">
        <v>305</v>
      </c>
      <c r="AU17" s="228">
        <v>11890</v>
      </c>
      <c r="AV17" s="228">
        <v>222702</v>
      </c>
      <c r="AW17" s="270"/>
      <c r="AX17" s="227">
        <v>11</v>
      </c>
      <c r="AY17" s="226">
        <v>43372</v>
      </c>
      <c r="AZ17" s="227" t="s">
        <v>301</v>
      </c>
      <c r="BA17" s="232">
        <v>557</v>
      </c>
      <c r="BB17" s="230">
        <v>49428</v>
      </c>
      <c r="BC17" s="230">
        <v>927138</v>
      </c>
      <c r="BD17" s="270"/>
      <c r="BE17" s="227">
        <v>11</v>
      </c>
      <c r="BF17" s="226">
        <v>43337</v>
      </c>
      <c r="BG17" s="227" t="s">
        <v>301</v>
      </c>
      <c r="BH17" s="232">
        <v>291</v>
      </c>
      <c r="BI17" s="230">
        <v>15911</v>
      </c>
      <c r="BJ17" s="230">
        <v>501530</v>
      </c>
      <c r="BK17" s="270"/>
      <c r="BL17" s="227">
        <v>11</v>
      </c>
      <c r="BM17" s="226">
        <v>43316</v>
      </c>
      <c r="BN17" s="227" t="s">
        <v>301</v>
      </c>
      <c r="BO17" s="232">
        <v>152</v>
      </c>
      <c r="BP17" s="230">
        <v>6217</v>
      </c>
      <c r="BQ17" s="230">
        <v>884607</v>
      </c>
      <c r="BR17" s="270"/>
      <c r="BS17" s="227">
        <v>11</v>
      </c>
      <c r="BT17" s="226">
        <v>43288</v>
      </c>
      <c r="BU17" s="227" t="s">
        <v>301</v>
      </c>
      <c r="BV17" s="232">
        <v>801</v>
      </c>
      <c r="BW17" s="230">
        <v>181475</v>
      </c>
      <c r="BX17" s="230">
        <v>1625910</v>
      </c>
      <c r="BY17" s="270"/>
      <c r="BZ17" s="227">
        <v>11</v>
      </c>
      <c r="CA17" s="226">
        <v>43274</v>
      </c>
      <c r="CB17" s="227" t="s">
        <v>301</v>
      </c>
      <c r="CC17" s="232">
        <v>680</v>
      </c>
      <c r="CD17" s="230">
        <v>94855</v>
      </c>
      <c r="CE17" s="230">
        <v>960709</v>
      </c>
      <c r="CF17" s="270"/>
      <c r="CG17" s="227">
        <v>11</v>
      </c>
      <c r="CH17" s="226">
        <v>43231</v>
      </c>
      <c r="CI17" s="227" t="s">
        <v>302</v>
      </c>
      <c r="CJ17" s="229">
        <v>631</v>
      </c>
      <c r="CK17" s="230">
        <v>23799</v>
      </c>
      <c r="CL17" s="230">
        <v>954070</v>
      </c>
      <c r="CM17" s="270"/>
      <c r="CN17" s="227">
        <v>11</v>
      </c>
      <c r="CO17" s="226">
        <v>43212</v>
      </c>
      <c r="CP17" s="227" t="s">
        <v>300</v>
      </c>
      <c r="CQ17" s="232">
        <v>879</v>
      </c>
      <c r="CR17" s="230">
        <v>147341</v>
      </c>
      <c r="CS17" s="230">
        <v>1259480</v>
      </c>
      <c r="CT17" s="270"/>
      <c r="CU17" s="227">
        <v>11</v>
      </c>
      <c r="CV17" s="226">
        <v>43197</v>
      </c>
      <c r="CW17" s="227" t="s">
        <v>301</v>
      </c>
      <c r="CX17" s="229">
        <v>889</v>
      </c>
      <c r="CY17" s="230">
        <v>209751</v>
      </c>
      <c r="CZ17" s="230">
        <v>1549439</v>
      </c>
      <c r="DA17" s="270"/>
      <c r="DB17" s="227">
        <v>11</v>
      </c>
      <c r="DC17" s="226">
        <v>43064</v>
      </c>
      <c r="DD17" s="227" t="s">
        <v>301</v>
      </c>
      <c r="DE17" s="229">
        <v>747</v>
      </c>
      <c r="DF17" s="230">
        <v>109039</v>
      </c>
      <c r="DG17" s="230">
        <v>1522116</v>
      </c>
      <c r="DH17" s="270"/>
      <c r="DI17" s="227">
        <v>11</v>
      </c>
      <c r="DJ17" s="226">
        <v>42946</v>
      </c>
      <c r="DK17" s="227" t="s">
        <v>300</v>
      </c>
      <c r="DL17" s="229">
        <v>664</v>
      </c>
      <c r="DM17" s="230">
        <v>135170</v>
      </c>
      <c r="DN17" s="230">
        <v>2179492</v>
      </c>
      <c r="DO17" s="270"/>
      <c r="DP17" s="227">
        <v>11</v>
      </c>
      <c r="DQ17" s="226">
        <v>43037</v>
      </c>
      <c r="DR17" s="227" t="s">
        <v>300</v>
      </c>
      <c r="DS17" s="229">
        <v>512</v>
      </c>
      <c r="DT17" s="230">
        <v>41114</v>
      </c>
      <c r="DU17" s="230">
        <v>970974</v>
      </c>
      <c r="DV17" s="270"/>
      <c r="DW17" s="227">
        <v>11</v>
      </c>
      <c r="DX17" s="226">
        <v>43016</v>
      </c>
      <c r="DY17" s="227" t="s">
        <v>300</v>
      </c>
      <c r="DZ17" s="229">
        <v>137</v>
      </c>
      <c r="EA17" s="230">
        <v>6053</v>
      </c>
      <c r="EB17" s="230">
        <v>143354</v>
      </c>
      <c r="EC17" s="270"/>
      <c r="ED17" s="227">
        <v>11</v>
      </c>
      <c r="EE17" s="226">
        <v>42994</v>
      </c>
      <c r="EF17" s="227" t="s">
        <v>301</v>
      </c>
      <c r="EG17" s="232">
        <v>481</v>
      </c>
      <c r="EH17" s="230">
        <v>51798</v>
      </c>
      <c r="EI17" s="230">
        <v>769373</v>
      </c>
      <c r="EJ17" s="270"/>
      <c r="EK17" s="227">
        <v>11</v>
      </c>
      <c r="EL17" s="226">
        <v>42980</v>
      </c>
      <c r="EM17" s="227" t="s">
        <v>301</v>
      </c>
      <c r="EN17" s="229">
        <v>581</v>
      </c>
      <c r="EO17" s="230">
        <v>55358</v>
      </c>
      <c r="EP17" s="230">
        <v>1268975</v>
      </c>
      <c r="EQ17" s="270"/>
      <c r="ER17" s="227">
        <v>11</v>
      </c>
      <c r="ES17" s="226">
        <v>42967</v>
      </c>
      <c r="ET17" s="227" t="s">
        <v>300</v>
      </c>
      <c r="EU17" s="232">
        <v>539</v>
      </c>
      <c r="EV17" s="224">
        <v>80878</v>
      </c>
      <c r="EW17" s="224">
        <v>1753606</v>
      </c>
      <c r="EX17" s="270"/>
      <c r="EY17" s="227">
        <v>11</v>
      </c>
      <c r="EZ17" s="225">
        <v>42896</v>
      </c>
      <c r="FA17" s="227" t="s">
        <v>301</v>
      </c>
      <c r="FB17" s="234">
        <v>611</v>
      </c>
      <c r="FC17" s="236">
        <v>103583</v>
      </c>
      <c r="FD17" s="236">
        <v>1767983</v>
      </c>
      <c r="FF17" s="227">
        <v>11</v>
      </c>
      <c r="FG17" s="274">
        <v>42882</v>
      </c>
      <c r="FH17" s="274" t="s">
        <v>301</v>
      </c>
      <c r="FI17" s="232">
        <v>280</v>
      </c>
      <c r="FJ17" s="229">
        <v>7988</v>
      </c>
      <c r="FK17" s="273">
        <v>401165</v>
      </c>
      <c r="FM17" s="227">
        <v>11</v>
      </c>
      <c r="FN17" s="226">
        <v>42812</v>
      </c>
      <c r="FO17" s="225" t="s">
        <v>301</v>
      </c>
      <c r="FP17" s="224">
        <v>644</v>
      </c>
      <c r="FQ17" s="224">
        <v>141266</v>
      </c>
      <c r="FR17" s="224">
        <v>1424317</v>
      </c>
      <c r="FT17" s="227">
        <v>11</v>
      </c>
      <c r="FU17" s="226">
        <v>42785</v>
      </c>
      <c r="FV17" s="225" t="s">
        <v>300</v>
      </c>
      <c r="FW17" s="232">
        <v>113</v>
      </c>
      <c r="FX17" s="229">
        <v>5351</v>
      </c>
      <c r="FY17" s="229">
        <v>137211</v>
      </c>
      <c r="GA17" s="227">
        <v>11</v>
      </c>
      <c r="GB17" s="226">
        <v>42798</v>
      </c>
      <c r="GC17" s="225" t="s">
        <v>301</v>
      </c>
      <c r="GD17" s="224">
        <v>211</v>
      </c>
      <c r="GE17" s="224">
        <v>5727</v>
      </c>
      <c r="GF17" s="224">
        <v>333779</v>
      </c>
      <c r="GH17" s="227">
        <v>11</v>
      </c>
      <c r="GI17" s="226">
        <v>42721</v>
      </c>
      <c r="GJ17" s="225" t="s">
        <v>301</v>
      </c>
      <c r="GK17" s="232">
        <v>473</v>
      </c>
      <c r="GL17" s="229">
        <v>42250</v>
      </c>
      <c r="GM17" s="229">
        <v>245913</v>
      </c>
      <c r="GO17" s="227">
        <v>11</v>
      </c>
      <c r="GP17" s="226">
        <v>42700</v>
      </c>
      <c r="GQ17" s="225" t="s">
        <v>301</v>
      </c>
      <c r="GR17" s="229">
        <v>1159</v>
      </c>
      <c r="GS17" s="229">
        <v>377470</v>
      </c>
      <c r="GT17" s="229">
        <v>3052890</v>
      </c>
      <c r="GV17" s="227">
        <v>11</v>
      </c>
      <c r="GW17" s="226">
        <v>42666</v>
      </c>
      <c r="GX17" s="225" t="s">
        <v>300</v>
      </c>
      <c r="GY17" s="232">
        <v>78</v>
      </c>
      <c r="GZ17" s="229">
        <v>1397</v>
      </c>
      <c r="HA17" s="229">
        <v>67709</v>
      </c>
      <c r="HC17" s="227">
        <v>11</v>
      </c>
      <c r="HD17" s="226">
        <v>42651</v>
      </c>
      <c r="HE17" s="225" t="s">
        <v>301</v>
      </c>
      <c r="HF17" s="234">
        <v>456</v>
      </c>
      <c r="HG17" s="236">
        <v>39655</v>
      </c>
      <c r="HH17" s="236">
        <v>499627</v>
      </c>
      <c r="HJ17" s="227">
        <v>11</v>
      </c>
      <c r="HK17" s="226">
        <v>42630</v>
      </c>
      <c r="HL17" s="225" t="s">
        <v>301</v>
      </c>
      <c r="HM17" s="224">
        <v>1368</v>
      </c>
      <c r="HN17" s="224">
        <v>737834</v>
      </c>
      <c r="HO17" s="224">
        <v>5585490</v>
      </c>
      <c r="HQ17" s="227">
        <v>11</v>
      </c>
      <c r="HR17" s="226">
        <v>42616</v>
      </c>
      <c r="HS17" s="225" t="s">
        <v>301</v>
      </c>
      <c r="HT17" s="224">
        <v>558</v>
      </c>
      <c r="HU17" s="224">
        <v>106548</v>
      </c>
      <c r="HV17" s="224">
        <v>904386</v>
      </c>
      <c r="HX17" s="227">
        <v>11</v>
      </c>
      <c r="HY17" s="225">
        <v>42595</v>
      </c>
      <c r="HZ17" s="225" t="s">
        <v>301</v>
      </c>
      <c r="IA17" s="234">
        <v>354</v>
      </c>
      <c r="IB17" s="236">
        <v>40244</v>
      </c>
      <c r="IC17" s="236">
        <v>1752164</v>
      </c>
      <c r="IE17" s="227">
        <v>11</v>
      </c>
      <c r="IF17" s="226">
        <v>42463</v>
      </c>
      <c r="IG17" s="225" t="s">
        <v>300</v>
      </c>
      <c r="IH17" s="229">
        <v>1110</v>
      </c>
      <c r="II17" s="229">
        <v>134463</v>
      </c>
      <c r="IJ17" s="229">
        <v>1991407</v>
      </c>
    </row>
    <row r="18" spans="1:244" s="260" customFormat="1" x14ac:dyDescent="0.45">
      <c r="A18" s="227">
        <v>12</v>
      </c>
      <c r="B18" s="226">
        <v>43549</v>
      </c>
      <c r="C18" s="227" t="s">
        <v>317</v>
      </c>
      <c r="D18" s="229">
        <v>110</v>
      </c>
      <c r="E18" s="228">
        <v>1656</v>
      </c>
      <c r="F18" s="228">
        <v>95132</v>
      </c>
      <c r="G18" s="270"/>
      <c r="H18" s="227">
        <v>12</v>
      </c>
      <c r="I18" s="226">
        <v>43555</v>
      </c>
      <c r="J18" s="227" t="s">
        <v>317</v>
      </c>
      <c r="K18" s="229">
        <v>290</v>
      </c>
      <c r="L18" s="228">
        <v>6379</v>
      </c>
      <c r="M18" s="228">
        <v>254451</v>
      </c>
      <c r="N18" s="270"/>
      <c r="O18" s="227">
        <v>12</v>
      </c>
      <c r="P18" s="226">
        <v>43513</v>
      </c>
      <c r="Q18" s="227" t="s">
        <v>317</v>
      </c>
      <c r="R18" s="229">
        <v>52</v>
      </c>
      <c r="S18" s="228">
        <v>2033</v>
      </c>
      <c r="T18" s="228">
        <v>85300</v>
      </c>
      <c r="U18" s="270"/>
      <c r="V18" s="227">
        <v>12</v>
      </c>
      <c r="W18" s="226">
        <v>43464</v>
      </c>
      <c r="X18" s="227" t="s">
        <v>317</v>
      </c>
      <c r="Y18" s="229">
        <v>1168</v>
      </c>
      <c r="Z18" s="228">
        <v>346637</v>
      </c>
      <c r="AA18" s="228">
        <v>3204163</v>
      </c>
      <c r="AB18" s="270"/>
      <c r="AC18" s="227">
        <v>12</v>
      </c>
      <c r="AD18" s="226">
        <v>43429</v>
      </c>
      <c r="AE18" s="227" t="s">
        <v>317</v>
      </c>
      <c r="AF18" s="229">
        <v>777</v>
      </c>
      <c r="AG18" s="228">
        <v>131581</v>
      </c>
      <c r="AH18" s="228">
        <v>2165744</v>
      </c>
      <c r="AI18" s="270"/>
      <c r="AJ18" s="227">
        <v>12</v>
      </c>
      <c r="AK18" s="226">
        <v>43409</v>
      </c>
      <c r="AL18" s="227" t="s">
        <v>315</v>
      </c>
      <c r="AM18" s="229">
        <v>114</v>
      </c>
      <c r="AN18" s="228">
        <v>1095</v>
      </c>
      <c r="AO18" s="228">
        <v>148901</v>
      </c>
      <c r="AP18" s="270"/>
      <c r="AQ18" s="227">
        <v>12</v>
      </c>
      <c r="AR18" s="226">
        <v>43393</v>
      </c>
      <c r="AS18" s="227" t="s">
        <v>301</v>
      </c>
      <c r="AT18" s="229">
        <v>379</v>
      </c>
      <c r="AU18" s="228">
        <v>22844</v>
      </c>
      <c r="AV18" s="228">
        <v>245546</v>
      </c>
      <c r="AW18" s="270"/>
      <c r="AX18" s="227">
        <v>12</v>
      </c>
      <c r="AY18" s="226">
        <v>43373</v>
      </c>
      <c r="AZ18" s="227" t="s">
        <v>300</v>
      </c>
      <c r="BA18" s="232">
        <v>562</v>
      </c>
      <c r="BB18" s="230">
        <v>37516</v>
      </c>
      <c r="BC18" s="230">
        <v>964654</v>
      </c>
      <c r="BD18" s="270"/>
      <c r="BE18" s="227">
        <v>12</v>
      </c>
      <c r="BF18" s="226">
        <v>43338</v>
      </c>
      <c r="BG18" s="227" t="s">
        <v>300</v>
      </c>
      <c r="BH18" s="232">
        <v>287</v>
      </c>
      <c r="BI18" s="230">
        <v>14006</v>
      </c>
      <c r="BJ18" s="230">
        <v>515536</v>
      </c>
      <c r="BK18" s="270"/>
      <c r="BL18" s="227">
        <v>12</v>
      </c>
      <c r="BM18" s="226">
        <v>43317</v>
      </c>
      <c r="BN18" s="227" t="s">
        <v>300</v>
      </c>
      <c r="BO18" s="232">
        <v>151</v>
      </c>
      <c r="BP18" s="230">
        <v>6701</v>
      </c>
      <c r="BQ18" s="230">
        <v>891308</v>
      </c>
      <c r="BR18" s="270"/>
      <c r="BS18" s="227">
        <v>12</v>
      </c>
      <c r="BT18" s="226">
        <v>43289</v>
      </c>
      <c r="BU18" s="227" t="s">
        <v>300</v>
      </c>
      <c r="BV18" s="232">
        <v>808</v>
      </c>
      <c r="BW18" s="230">
        <v>170792</v>
      </c>
      <c r="BX18" s="230">
        <v>1796702</v>
      </c>
      <c r="BY18" s="270"/>
      <c r="BZ18" s="227">
        <v>12</v>
      </c>
      <c r="CA18" s="226">
        <v>43275</v>
      </c>
      <c r="CB18" s="227" t="s">
        <v>300</v>
      </c>
      <c r="CC18" s="232">
        <v>676</v>
      </c>
      <c r="CD18" s="230">
        <v>86728</v>
      </c>
      <c r="CE18" s="230">
        <v>1047437</v>
      </c>
      <c r="CF18" s="270"/>
      <c r="CG18" s="227">
        <v>12</v>
      </c>
      <c r="CH18" s="226">
        <v>43232</v>
      </c>
      <c r="CI18" s="227" t="s">
        <v>301</v>
      </c>
      <c r="CJ18" s="229">
        <v>638</v>
      </c>
      <c r="CK18" s="230">
        <v>59670</v>
      </c>
      <c r="CL18" s="230">
        <v>1013740</v>
      </c>
      <c r="CM18" s="270"/>
      <c r="CN18" s="227">
        <v>12</v>
      </c>
      <c r="CO18" s="226">
        <v>43213</v>
      </c>
      <c r="CP18" s="227" t="s">
        <v>307</v>
      </c>
      <c r="CQ18" s="232">
        <v>799</v>
      </c>
      <c r="CR18" s="230">
        <v>43247</v>
      </c>
      <c r="CS18" s="230">
        <v>1302727</v>
      </c>
      <c r="CT18" s="270"/>
      <c r="CU18" s="227">
        <v>12</v>
      </c>
      <c r="CV18" s="226">
        <v>43198</v>
      </c>
      <c r="CW18" s="227" t="s">
        <v>300</v>
      </c>
      <c r="CX18" s="229">
        <v>888</v>
      </c>
      <c r="CY18" s="230">
        <v>176623</v>
      </c>
      <c r="CZ18" s="230">
        <v>1726062</v>
      </c>
      <c r="DA18" s="270"/>
      <c r="DB18" s="227">
        <v>12</v>
      </c>
      <c r="DC18" s="226">
        <v>43065</v>
      </c>
      <c r="DD18" s="227" t="s">
        <v>300</v>
      </c>
      <c r="DE18" s="229">
        <v>727</v>
      </c>
      <c r="DF18" s="230">
        <v>99253</v>
      </c>
      <c r="DG18" s="230">
        <v>1621369</v>
      </c>
      <c r="DH18" s="270"/>
      <c r="DI18" s="227">
        <v>12</v>
      </c>
      <c r="DJ18" s="226">
        <v>42947</v>
      </c>
      <c r="DK18" s="227" t="s">
        <v>307</v>
      </c>
      <c r="DL18" s="229">
        <v>669</v>
      </c>
      <c r="DM18" s="230">
        <v>96408</v>
      </c>
      <c r="DN18" s="230">
        <v>2275900</v>
      </c>
      <c r="DO18" s="270"/>
      <c r="DP18" s="227">
        <v>12</v>
      </c>
      <c r="DQ18" s="226">
        <v>43038</v>
      </c>
      <c r="DR18" s="227" t="s">
        <v>307</v>
      </c>
      <c r="DS18" s="229">
        <v>474</v>
      </c>
      <c r="DT18" s="230">
        <v>13429</v>
      </c>
      <c r="DU18" s="230">
        <v>984403</v>
      </c>
      <c r="DV18" s="270"/>
      <c r="DW18" s="227">
        <v>12</v>
      </c>
      <c r="DX18" s="226">
        <v>43017</v>
      </c>
      <c r="DY18" s="227" t="s">
        <v>307</v>
      </c>
      <c r="DZ18" s="229">
        <v>144</v>
      </c>
      <c r="EA18" s="230">
        <v>7940</v>
      </c>
      <c r="EB18" s="230">
        <v>151294</v>
      </c>
      <c r="EC18" s="270"/>
      <c r="ED18" s="227">
        <v>12</v>
      </c>
      <c r="EE18" s="226">
        <v>42995</v>
      </c>
      <c r="EF18" s="227" t="s">
        <v>300</v>
      </c>
      <c r="EG18" s="232">
        <v>481</v>
      </c>
      <c r="EH18" s="230">
        <v>40416</v>
      </c>
      <c r="EI18" s="230">
        <v>809789</v>
      </c>
      <c r="EJ18" s="270"/>
      <c r="EK18" s="227">
        <v>12</v>
      </c>
      <c r="EL18" s="226">
        <v>42981</v>
      </c>
      <c r="EM18" s="227" t="s">
        <v>300</v>
      </c>
      <c r="EN18" s="229">
        <v>558</v>
      </c>
      <c r="EO18" s="230">
        <v>46508</v>
      </c>
      <c r="EP18" s="230">
        <v>1315483</v>
      </c>
      <c r="EQ18" s="270"/>
      <c r="ER18" s="227">
        <v>12</v>
      </c>
      <c r="ES18" s="226">
        <v>42968</v>
      </c>
      <c r="ET18" s="227" t="s">
        <v>307</v>
      </c>
      <c r="EU18" s="232">
        <v>478</v>
      </c>
      <c r="EV18" s="224">
        <v>30339</v>
      </c>
      <c r="EW18" s="224">
        <v>1783945</v>
      </c>
      <c r="EX18" s="270"/>
      <c r="EY18" s="227">
        <v>12</v>
      </c>
      <c r="EZ18" s="225">
        <v>42897</v>
      </c>
      <c r="FA18" s="227" t="s">
        <v>300</v>
      </c>
      <c r="FB18" s="234">
        <v>604</v>
      </c>
      <c r="FC18" s="236">
        <v>91945</v>
      </c>
      <c r="FD18" s="236">
        <v>1859928</v>
      </c>
      <c r="FF18" s="227">
        <v>12</v>
      </c>
      <c r="FG18" s="274">
        <v>42883</v>
      </c>
      <c r="FH18" s="274" t="s">
        <v>300</v>
      </c>
      <c r="FI18" s="232">
        <v>270</v>
      </c>
      <c r="FJ18" s="229">
        <v>7033</v>
      </c>
      <c r="FK18" s="273">
        <v>408198</v>
      </c>
      <c r="FM18" s="227">
        <v>12</v>
      </c>
      <c r="FN18" s="226">
        <v>42813</v>
      </c>
      <c r="FO18" s="225" t="s">
        <v>300</v>
      </c>
      <c r="FP18" s="224">
        <v>630</v>
      </c>
      <c r="FQ18" s="224">
        <v>124872</v>
      </c>
      <c r="FR18" s="224">
        <v>1549189</v>
      </c>
      <c r="FT18" s="227">
        <v>12</v>
      </c>
      <c r="FU18" s="226">
        <v>42786</v>
      </c>
      <c r="FV18" s="225" t="s">
        <v>307</v>
      </c>
      <c r="FW18" s="232">
        <v>106</v>
      </c>
      <c r="FX18" s="229">
        <v>1916</v>
      </c>
      <c r="FY18" s="229">
        <v>139127</v>
      </c>
      <c r="GA18" s="227">
        <v>12</v>
      </c>
      <c r="GB18" s="226">
        <v>42799</v>
      </c>
      <c r="GC18" s="225" t="s">
        <v>300</v>
      </c>
      <c r="GD18" s="224">
        <v>208</v>
      </c>
      <c r="GE18" s="224">
        <v>4884</v>
      </c>
      <c r="GF18" s="224">
        <v>338663</v>
      </c>
      <c r="GH18" s="227">
        <v>12</v>
      </c>
      <c r="GI18" s="226">
        <v>42722</v>
      </c>
      <c r="GJ18" s="225" t="s">
        <v>300</v>
      </c>
      <c r="GK18" s="232">
        <v>475</v>
      </c>
      <c r="GL18" s="229">
        <v>42230</v>
      </c>
      <c r="GM18" s="229">
        <v>288143</v>
      </c>
      <c r="GO18" s="227">
        <v>12</v>
      </c>
      <c r="GP18" s="226">
        <v>42701</v>
      </c>
      <c r="GQ18" s="225" t="s">
        <v>300</v>
      </c>
      <c r="GR18" s="229">
        <v>1147</v>
      </c>
      <c r="GS18" s="229">
        <v>341041</v>
      </c>
      <c r="GT18" s="229">
        <v>3393931</v>
      </c>
      <c r="GV18" s="227">
        <v>12</v>
      </c>
      <c r="GW18" s="226">
        <v>42667</v>
      </c>
      <c r="GX18" s="225" t="s">
        <v>307</v>
      </c>
      <c r="GY18" s="232">
        <v>87</v>
      </c>
      <c r="GZ18" s="232">
        <v>885</v>
      </c>
      <c r="HA18" s="229">
        <v>68594</v>
      </c>
      <c r="HC18" s="227">
        <v>12</v>
      </c>
      <c r="HD18" s="226">
        <v>42652</v>
      </c>
      <c r="HE18" s="225" t="s">
        <v>300</v>
      </c>
      <c r="HF18" s="234">
        <v>454</v>
      </c>
      <c r="HG18" s="236">
        <v>33317</v>
      </c>
      <c r="HH18" s="236">
        <v>532944</v>
      </c>
      <c r="HJ18" s="227">
        <v>12</v>
      </c>
      <c r="HK18" s="226">
        <v>42631</v>
      </c>
      <c r="HL18" s="225" t="s">
        <v>300</v>
      </c>
      <c r="HM18" s="224">
        <v>1336</v>
      </c>
      <c r="HN18" s="224">
        <v>464352</v>
      </c>
      <c r="HO18" s="224">
        <v>6049842</v>
      </c>
      <c r="HQ18" s="227">
        <v>12</v>
      </c>
      <c r="HR18" s="226">
        <v>42617</v>
      </c>
      <c r="HS18" s="225" t="s">
        <v>300</v>
      </c>
      <c r="HT18" s="224">
        <v>539</v>
      </c>
      <c r="HU18" s="224">
        <v>84269</v>
      </c>
      <c r="HV18" s="224">
        <v>988655</v>
      </c>
      <c r="HX18" s="227">
        <v>12</v>
      </c>
      <c r="HY18" s="225">
        <v>42596</v>
      </c>
      <c r="HZ18" s="225" t="s">
        <v>300</v>
      </c>
      <c r="IA18" s="234">
        <v>357</v>
      </c>
      <c r="IB18" s="236">
        <v>41776</v>
      </c>
      <c r="IC18" s="236">
        <v>1793940</v>
      </c>
      <c r="IE18" s="227">
        <v>12</v>
      </c>
      <c r="IF18" s="226">
        <v>42464</v>
      </c>
      <c r="IG18" s="225" t="s">
        <v>307</v>
      </c>
      <c r="IH18" s="229">
        <v>1027</v>
      </c>
      <c r="II18" s="229">
        <v>27342</v>
      </c>
      <c r="IJ18" s="229">
        <v>2018749</v>
      </c>
    </row>
    <row r="19" spans="1:244" s="260" customFormat="1" x14ac:dyDescent="0.45">
      <c r="A19" s="227">
        <v>13</v>
      </c>
      <c r="B19" s="226">
        <v>43550</v>
      </c>
      <c r="C19" s="227" t="s">
        <v>315</v>
      </c>
      <c r="D19" s="229">
        <v>105</v>
      </c>
      <c r="E19" s="228">
        <v>1465</v>
      </c>
      <c r="F19" s="228">
        <v>96597</v>
      </c>
      <c r="G19" s="270"/>
      <c r="H19" s="227">
        <v>13</v>
      </c>
      <c r="I19" s="226">
        <v>43556</v>
      </c>
      <c r="J19" s="227" t="s">
        <v>315</v>
      </c>
      <c r="K19" s="229">
        <v>305</v>
      </c>
      <c r="L19" s="228">
        <v>3091</v>
      </c>
      <c r="M19" s="228">
        <v>257542</v>
      </c>
      <c r="N19" s="270"/>
      <c r="O19" s="227">
        <v>13</v>
      </c>
      <c r="P19" s="226">
        <v>43514</v>
      </c>
      <c r="Q19" s="227" t="s">
        <v>315</v>
      </c>
      <c r="R19" s="229">
        <v>38</v>
      </c>
      <c r="S19" s="228">
        <v>543</v>
      </c>
      <c r="T19" s="228">
        <v>85843</v>
      </c>
      <c r="U19" s="270"/>
      <c r="V19" s="227">
        <v>13</v>
      </c>
      <c r="W19" s="226">
        <v>43465</v>
      </c>
      <c r="X19" s="227" t="s">
        <v>315</v>
      </c>
      <c r="Y19" s="229">
        <v>1161</v>
      </c>
      <c r="Z19" s="228">
        <v>287694</v>
      </c>
      <c r="AA19" s="228">
        <v>3491857</v>
      </c>
      <c r="AB19" s="270"/>
      <c r="AC19" s="227">
        <v>13</v>
      </c>
      <c r="AD19" s="226">
        <v>43430</v>
      </c>
      <c r="AE19" s="227" t="s">
        <v>315</v>
      </c>
      <c r="AF19" s="229">
        <v>714</v>
      </c>
      <c r="AG19" s="228">
        <v>35476</v>
      </c>
      <c r="AH19" s="228">
        <v>2201220</v>
      </c>
      <c r="AI19" s="270"/>
      <c r="AJ19" s="227">
        <v>13</v>
      </c>
      <c r="AK19" s="226">
        <v>43410</v>
      </c>
      <c r="AL19" s="227" t="s">
        <v>312</v>
      </c>
      <c r="AM19" s="229">
        <v>108</v>
      </c>
      <c r="AN19" s="228">
        <v>1147</v>
      </c>
      <c r="AO19" s="228">
        <v>150048</v>
      </c>
      <c r="AP19" s="270"/>
      <c r="AQ19" s="227">
        <v>13</v>
      </c>
      <c r="AR19" s="226">
        <v>43394</v>
      </c>
      <c r="AS19" s="227" t="s">
        <v>300</v>
      </c>
      <c r="AT19" s="229">
        <v>397</v>
      </c>
      <c r="AU19" s="228">
        <v>22155</v>
      </c>
      <c r="AV19" s="228">
        <v>267701</v>
      </c>
      <c r="AW19" s="270"/>
      <c r="AX19" s="227">
        <v>13</v>
      </c>
      <c r="AY19" s="226">
        <v>43374</v>
      </c>
      <c r="AZ19" s="227" t="s">
        <v>307</v>
      </c>
      <c r="BA19" s="224">
        <v>499</v>
      </c>
      <c r="BB19" s="230">
        <v>12348</v>
      </c>
      <c r="BC19" s="230">
        <v>977002</v>
      </c>
      <c r="BD19" s="270"/>
      <c r="BE19" s="227">
        <v>13</v>
      </c>
      <c r="BF19" s="226">
        <v>43339</v>
      </c>
      <c r="BG19" s="227" t="s">
        <v>307</v>
      </c>
      <c r="BH19" s="232">
        <v>273</v>
      </c>
      <c r="BI19" s="230">
        <v>3957</v>
      </c>
      <c r="BJ19" s="230">
        <v>519493</v>
      </c>
      <c r="BK19" s="270"/>
      <c r="BL19" s="227">
        <v>13</v>
      </c>
      <c r="BM19" s="226">
        <v>43318</v>
      </c>
      <c r="BN19" s="227" t="s">
        <v>307</v>
      </c>
      <c r="BO19" s="224">
        <v>147</v>
      </c>
      <c r="BP19" s="230">
        <v>1857</v>
      </c>
      <c r="BQ19" s="230">
        <v>893165</v>
      </c>
      <c r="BR19" s="270"/>
      <c r="BS19" s="227">
        <v>13</v>
      </c>
      <c r="BT19" s="226">
        <v>43290</v>
      </c>
      <c r="BU19" s="227" t="s">
        <v>307</v>
      </c>
      <c r="BV19" s="224">
        <v>750</v>
      </c>
      <c r="BW19" s="230">
        <v>77886</v>
      </c>
      <c r="BX19" s="230">
        <v>1874588</v>
      </c>
      <c r="BY19" s="270"/>
      <c r="BZ19" s="227">
        <v>13</v>
      </c>
      <c r="CA19" s="226">
        <v>43276</v>
      </c>
      <c r="CB19" s="227" t="s">
        <v>307</v>
      </c>
      <c r="CC19" s="232">
        <v>656</v>
      </c>
      <c r="CD19" s="230">
        <v>39072</v>
      </c>
      <c r="CE19" s="230">
        <v>1086509</v>
      </c>
      <c r="CF19" s="270"/>
      <c r="CG19" s="227">
        <v>13</v>
      </c>
      <c r="CH19" s="226">
        <v>43233</v>
      </c>
      <c r="CI19" s="227" t="s">
        <v>300</v>
      </c>
      <c r="CJ19" s="229">
        <v>633</v>
      </c>
      <c r="CK19" s="230">
        <v>53814</v>
      </c>
      <c r="CL19" s="230">
        <v>1067554</v>
      </c>
      <c r="CM19" s="270"/>
      <c r="CN19" s="227">
        <v>13</v>
      </c>
      <c r="CO19" s="226">
        <v>43214</v>
      </c>
      <c r="CP19" s="227" t="s">
        <v>305</v>
      </c>
      <c r="CQ19" s="224">
        <v>817</v>
      </c>
      <c r="CR19" s="230">
        <v>35186</v>
      </c>
      <c r="CS19" s="230">
        <v>1337913</v>
      </c>
      <c r="CT19" s="270"/>
      <c r="CU19" s="227">
        <v>13</v>
      </c>
      <c r="CV19" s="226">
        <v>43199</v>
      </c>
      <c r="CW19" s="227" t="s">
        <v>307</v>
      </c>
      <c r="CX19" s="229">
        <v>786</v>
      </c>
      <c r="CY19" s="230">
        <v>43926</v>
      </c>
      <c r="CZ19" s="230">
        <v>1769988</v>
      </c>
      <c r="DA19" s="270"/>
      <c r="DB19" s="227">
        <v>13</v>
      </c>
      <c r="DC19" s="226">
        <v>43066</v>
      </c>
      <c r="DD19" s="227" t="s">
        <v>307</v>
      </c>
      <c r="DE19" s="229">
        <v>656</v>
      </c>
      <c r="DF19" s="230">
        <v>23350</v>
      </c>
      <c r="DG19" s="230">
        <v>1644719</v>
      </c>
      <c r="DH19" s="270"/>
      <c r="DI19" s="227">
        <v>13</v>
      </c>
      <c r="DJ19" s="226">
        <v>42948</v>
      </c>
      <c r="DK19" s="227" t="s">
        <v>305</v>
      </c>
      <c r="DL19" s="229">
        <v>691</v>
      </c>
      <c r="DM19" s="230">
        <v>89585</v>
      </c>
      <c r="DN19" s="230">
        <v>2365485</v>
      </c>
      <c r="DO19" s="270"/>
      <c r="DP19" s="227">
        <v>13</v>
      </c>
      <c r="DQ19" s="226">
        <v>43039</v>
      </c>
      <c r="DR19" s="227" t="s">
        <v>305</v>
      </c>
      <c r="DS19" s="229">
        <v>483</v>
      </c>
      <c r="DT19" s="230">
        <v>14776</v>
      </c>
      <c r="DU19" s="230">
        <v>999179</v>
      </c>
      <c r="DV19" s="270"/>
      <c r="DW19" s="227">
        <v>13</v>
      </c>
      <c r="DX19" s="226">
        <v>43018</v>
      </c>
      <c r="DY19" s="227" t="s">
        <v>305</v>
      </c>
      <c r="DZ19" s="229">
        <v>35</v>
      </c>
      <c r="EA19" s="230">
        <v>137</v>
      </c>
      <c r="EB19" s="230">
        <v>151431</v>
      </c>
      <c r="EC19" s="270"/>
      <c r="ED19" s="227">
        <v>13</v>
      </c>
      <c r="EE19" s="226">
        <v>42996</v>
      </c>
      <c r="EF19" s="227" t="s">
        <v>307</v>
      </c>
      <c r="EG19" s="275">
        <v>430</v>
      </c>
      <c r="EH19" s="230">
        <v>10386</v>
      </c>
      <c r="EI19" s="230">
        <v>820175</v>
      </c>
      <c r="EJ19" s="270"/>
      <c r="EK19" s="227">
        <v>13</v>
      </c>
      <c r="EL19" s="226">
        <v>42982</v>
      </c>
      <c r="EM19" s="227" t="s">
        <v>307</v>
      </c>
      <c r="EN19" s="229">
        <v>545</v>
      </c>
      <c r="EO19" s="230">
        <v>16969</v>
      </c>
      <c r="EP19" s="230">
        <v>1332452</v>
      </c>
      <c r="EQ19" s="270"/>
      <c r="ER19" s="227">
        <v>13</v>
      </c>
      <c r="ES19" s="226">
        <v>42969</v>
      </c>
      <c r="ET19" s="227" t="s">
        <v>305</v>
      </c>
      <c r="EU19" s="232">
        <v>483</v>
      </c>
      <c r="EV19" s="224">
        <v>25768</v>
      </c>
      <c r="EW19" s="224">
        <v>1809713</v>
      </c>
      <c r="EX19" s="270"/>
      <c r="EY19" s="227">
        <v>13</v>
      </c>
      <c r="EZ19" s="225">
        <v>42898</v>
      </c>
      <c r="FA19" s="227" t="s">
        <v>307</v>
      </c>
      <c r="FB19" s="234">
        <v>548</v>
      </c>
      <c r="FC19" s="236">
        <v>25772</v>
      </c>
      <c r="FD19" s="236">
        <v>1885700</v>
      </c>
      <c r="FF19" s="227">
        <v>13</v>
      </c>
      <c r="FG19" s="274">
        <v>42884</v>
      </c>
      <c r="FH19" s="274" t="s">
        <v>307</v>
      </c>
      <c r="FI19" s="232">
        <v>289</v>
      </c>
      <c r="FJ19" s="229">
        <v>3075</v>
      </c>
      <c r="FK19" s="273">
        <v>411273</v>
      </c>
      <c r="FM19" s="227">
        <v>13</v>
      </c>
      <c r="FN19" s="226">
        <v>42814</v>
      </c>
      <c r="FO19" s="225" t="s">
        <v>307</v>
      </c>
      <c r="FP19" s="224">
        <v>589</v>
      </c>
      <c r="FQ19" s="224">
        <v>24550</v>
      </c>
      <c r="FR19" s="224">
        <v>1573739</v>
      </c>
      <c r="FT19" s="227">
        <v>13</v>
      </c>
      <c r="FU19" s="226">
        <v>42787</v>
      </c>
      <c r="FV19" s="225" t="s">
        <v>305</v>
      </c>
      <c r="FW19" s="232">
        <v>104</v>
      </c>
      <c r="FX19" s="229">
        <v>2071</v>
      </c>
      <c r="FY19" s="229">
        <v>141198</v>
      </c>
      <c r="GA19" s="227">
        <v>13</v>
      </c>
      <c r="GB19" s="226">
        <v>42800</v>
      </c>
      <c r="GC19" s="225" t="s">
        <v>307</v>
      </c>
      <c r="GD19" s="224">
        <v>217</v>
      </c>
      <c r="GE19" s="224">
        <v>2937</v>
      </c>
      <c r="GF19" s="224">
        <v>341600</v>
      </c>
      <c r="GH19" s="227">
        <v>13</v>
      </c>
      <c r="GI19" s="226">
        <v>42723</v>
      </c>
      <c r="GJ19" s="225" t="s">
        <v>307</v>
      </c>
      <c r="GK19" s="232">
        <v>251</v>
      </c>
      <c r="GL19" s="229">
        <v>3624</v>
      </c>
      <c r="GM19" s="229">
        <v>291767</v>
      </c>
      <c r="GO19" s="227">
        <v>13</v>
      </c>
      <c r="GP19" s="226">
        <v>42702</v>
      </c>
      <c r="GQ19" s="225" t="s">
        <v>307</v>
      </c>
      <c r="GR19" s="229">
        <v>1056</v>
      </c>
      <c r="GS19" s="229">
        <v>92554</v>
      </c>
      <c r="GT19" s="229">
        <v>3486485</v>
      </c>
      <c r="GV19" s="227">
        <v>13</v>
      </c>
      <c r="GW19" s="226">
        <v>42668</v>
      </c>
      <c r="GX19" s="225" t="s">
        <v>305</v>
      </c>
      <c r="GY19" s="232">
        <v>76</v>
      </c>
      <c r="GZ19" s="232">
        <v>653</v>
      </c>
      <c r="HA19" s="229">
        <v>69247</v>
      </c>
      <c r="HC19" s="227">
        <v>13</v>
      </c>
      <c r="HD19" s="226">
        <v>42653</v>
      </c>
      <c r="HE19" s="225" t="s">
        <v>307</v>
      </c>
      <c r="HF19" s="234">
        <v>431</v>
      </c>
      <c r="HG19" s="236">
        <v>14174</v>
      </c>
      <c r="HH19" s="236">
        <v>547118</v>
      </c>
      <c r="HJ19" s="227">
        <v>13</v>
      </c>
      <c r="HK19" s="226">
        <v>42632</v>
      </c>
      <c r="HL19" s="225" t="s">
        <v>307</v>
      </c>
      <c r="HM19" s="224">
        <v>1142</v>
      </c>
      <c r="HN19" s="224">
        <v>116606</v>
      </c>
      <c r="HO19" s="224">
        <v>6166448</v>
      </c>
      <c r="HQ19" s="227">
        <v>13</v>
      </c>
      <c r="HR19" s="226">
        <v>42618</v>
      </c>
      <c r="HS19" s="225" t="s">
        <v>307</v>
      </c>
      <c r="HT19" s="224">
        <v>476</v>
      </c>
      <c r="HU19" s="224">
        <v>21620</v>
      </c>
      <c r="HV19" s="224">
        <v>1010275</v>
      </c>
      <c r="HX19" s="227">
        <v>13</v>
      </c>
      <c r="HY19" s="225">
        <v>42597</v>
      </c>
      <c r="HZ19" s="225" t="s">
        <v>307</v>
      </c>
      <c r="IA19" s="234">
        <v>348</v>
      </c>
      <c r="IB19" s="236">
        <v>34753</v>
      </c>
      <c r="IC19" s="236">
        <v>1828693</v>
      </c>
      <c r="IE19" s="227">
        <v>13</v>
      </c>
      <c r="IF19" s="226">
        <v>42465</v>
      </c>
      <c r="IG19" s="225" t="s">
        <v>305</v>
      </c>
      <c r="IH19" s="232">
        <v>998</v>
      </c>
      <c r="II19" s="229">
        <v>21937</v>
      </c>
      <c r="IJ19" s="229">
        <v>2040686</v>
      </c>
    </row>
    <row r="20" spans="1:244" s="260" customFormat="1" x14ac:dyDescent="0.45">
      <c r="A20" s="227">
        <v>14</v>
      </c>
      <c r="B20" s="226">
        <v>43551</v>
      </c>
      <c r="C20" s="227" t="s">
        <v>312</v>
      </c>
      <c r="D20" s="229">
        <v>37</v>
      </c>
      <c r="E20" s="228">
        <v>757</v>
      </c>
      <c r="F20" s="228">
        <v>97354</v>
      </c>
      <c r="G20" s="282"/>
      <c r="H20" s="227">
        <v>14</v>
      </c>
      <c r="I20" s="226">
        <v>43557</v>
      </c>
      <c r="J20" s="227" t="s">
        <v>312</v>
      </c>
      <c r="K20" s="229">
        <v>291</v>
      </c>
      <c r="L20" s="228">
        <v>2596</v>
      </c>
      <c r="M20" s="228">
        <v>260138</v>
      </c>
      <c r="N20" s="282"/>
      <c r="O20" s="227">
        <v>14</v>
      </c>
      <c r="P20" s="226">
        <v>43515</v>
      </c>
      <c r="Q20" s="227" t="s">
        <v>312</v>
      </c>
      <c r="R20" s="229">
        <v>37</v>
      </c>
      <c r="S20" s="228">
        <v>624</v>
      </c>
      <c r="T20" s="228">
        <v>86467</v>
      </c>
      <c r="U20" s="282"/>
      <c r="V20" s="227">
        <v>14</v>
      </c>
      <c r="W20" s="226">
        <v>43466</v>
      </c>
      <c r="X20" s="227" t="s">
        <v>312</v>
      </c>
      <c r="Y20" s="229">
        <v>1158</v>
      </c>
      <c r="Z20" s="228">
        <v>384106</v>
      </c>
      <c r="AA20" s="228">
        <v>3875963</v>
      </c>
      <c r="AB20" s="282"/>
      <c r="AC20" s="227">
        <v>14</v>
      </c>
      <c r="AD20" s="226">
        <v>43431</v>
      </c>
      <c r="AE20" s="227" t="s">
        <v>312</v>
      </c>
      <c r="AF20" s="229">
        <v>734</v>
      </c>
      <c r="AG20" s="228">
        <v>32107</v>
      </c>
      <c r="AH20" s="228">
        <v>2233327</v>
      </c>
      <c r="AI20" s="282"/>
      <c r="AJ20" s="227">
        <v>14</v>
      </c>
      <c r="AK20" s="226">
        <v>43411</v>
      </c>
      <c r="AL20" s="227" t="s">
        <v>310</v>
      </c>
      <c r="AM20" s="229">
        <v>37</v>
      </c>
      <c r="AN20" s="228">
        <v>638</v>
      </c>
      <c r="AO20" s="228">
        <v>150686</v>
      </c>
      <c r="AP20" s="282"/>
      <c r="AQ20" s="227">
        <v>14</v>
      </c>
      <c r="AR20" s="226">
        <v>43395</v>
      </c>
      <c r="AS20" s="227" t="s">
        <v>307</v>
      </c>
      <c r="AT20" s="229">
        <v>370</v>
      </c>
      <c r="AU20" s="228">
        <v>9869</v>
      </c>
      <c r="AV20" s="228">
        <v>277570</v>
      </c>
      <c r="AW20" s="282"/>
      <c r="AX20" s="239">
        <v>14</v>
      </c>
      <c r="AY20" s="226">
        <v>43375</v>
      </c>
      <c r="AZ20" s="227" t="s">
        <v>305</v>
      </c>
      <c r="BA20" s="224">
        <v>510</v>
      </c>
      <c r="BB20" s="283">
        <v>15950</v>
      </c>
      <c r="BC20" s="283">
        <v>992952</v>
      </c>
      <c r="BD20" s="282"/>
      <c r="BE20" s="239">
        <v>14</v>
      </c>
      <c r="BF20" s="226">
        <v>43340</v>
      </c>
      <c r="BG20" s="227" t="s">
        <v>305</v>
      </c>
      <c r="BH20" s="232">
        <v>278</v>
      </c>
      <c r="BI20" s="283">
        <v>4046</v>
      </c>
      <c r="BJ20" s="283">
        <v>523539</v>
      </c>
      <c r="BK20" s="282"/>
      <c r="BL20" s="239">
        <v>14</v>
      </c>
      <c r="BM20" s="226">
        <v>43319</v>
      </c>
      <c r="BN20" s="227" t="s">
        <v>305</v>
      </c>
      <c r="BO20" s="224">
        <v>153</v>
      </c>
      <c r="BP20" s="283">
        <v>1800</v>
      </c>
      <c r="BQ20" s="283">
        <v>894965</v>
      </c>
      <c r="BR20" s="282"/>
      <c r="BS20" s="227">
        <v>14</v>
      </c>
      <c r="BT20" s="226">
        <v>43291</v>
      </c>
      <c r="BU20" s="227" t="s">
        <v>305</v>
      </c>
      <c r="BV20" s="224">
        <v>772</v>
      </c>
      <c r="BW20" s="283">
        <v>83912</v>
      </c>
      <c r="BX20" s="283">
        <v>1958500</v>
      </c>
      <c r="BY20" s="282"/>
      <c r="BZ20" s="227">
        <v>14</v>
      </c>
      <c r="CA20" s="226">
        <v>43277</v>
      </c>
      <c r="CB20" s="227" t="s">
        <v>305</v>
      </c>
      <c r="CC20" s="232">
        <v>660</v>
      </c>
      <c r="CD20" s="230">
        <v>36906</v>
      </c>
      <c r="CE20" s="230">
        <v>1123415</v>
      </c>
      <c r="CF20" s="282"/>
      <c r="CG20" s="227">
        <v>14</v>
      </c>
      <c r="CH20" s="226">
        <v>43234</v>
      </c>
      <c r="CI20" s="227" t="s">
        <v>307</v>
      </c>
      <c r="CJ20" s="229">
        <v>584</v>
      </c>
      <c r="CK20" s="230">
        <v>13166</v>
      </c>
      <c r="CL20" s="230">
        <v>1080720</v>
      </c>
      <c r="CM20" s="282"/>
      <c r="CN20" s="239">
        <v>14</v>
      </c>
      <c r="CO20" s="226">
        <v>43215</v>
      </c>
      <c r="CP20" s="227" t="s">
        <v>304</v>
      </c>
      <c r="CQ20" s="224">
        <v>362</v>
      </c>
      <c r="CR20" s="283">
        <v>7263</v>
      </c>
      <c r="CS20" s="283">
        <v>1345176</v>
      </c>
      <c r="CT20" s="282"/>
      <c r="CU20" s="227">
        <v>14</v>
      </c>
      <c r="CV20" s="226">
        <v>43200</v>
      </c>
      <c r="CW20" s="227" t="s">
        <v>305</v>
      </c>
      <c r="CX20" s="229">
        <v>777</v>
      </c>
      <c r="CY20" s="230">
        <v>38108</v>
      </c>
      <c r="CZ20" s="230">
        <v>1808096</v>
      </c>
      <c r="DA20" s="282"/>
      <c r="DB20" s="227">
        <v>14</v>
      </c>
      <c r="DC20" s="226">
        <v>43067</v>
      </c>
      <c r="DD20" s="227" t="s">
        <v>305</v>
      </c>
      <c r="DE20" s="229">
        <v>676</v>
      </c>
      <c r="DF20" s="230">
        <v>22695</v>
      </c>
      <c r="DG20" s="230">
        <v>1667414</v>
      </c>
      <c r="DH20" s="282"/>
      <c r="DI20" s="227">
        <v>14</v>
      </c>
      <c r="DJ20" s="226">
        <v>42949</v>
      </c>
      <c r="DK20" s="227" t="s">
        <v>304</v>
      </c>
      <c r="DL20" s="229">
        <v>438</v>
      </c>
      <c r="DM20" s="230">
        <v>40643</v>
      </c>
      <c r="DN20" s="230">
        <v>2406128</v>
      </c>
      <c r="DO20" s="282"/>
      <c r="DP20" s="227">
        <v>14</v>
      </c>
      <c r="DQ20" s="226">
        <v>43040</v>
      </c>
      <c r="DR20" s="227" t="s">
        <v>304</v>
      </c>
      <c r="DS20" s="229">
        <v>462</v>
      </c>
      <c r="DT20" s="230">
        <v>12792</v>
      </c>
      <c r="DU20" s="230">
        <v>1011971</v>
      </c>
      <c r="DV20" s="282"/>
      <c r="DW20" s="227">
        <v>14</v>
      </c>
      <c r="DX20" s="226">
        <v>43019</v>
      </c>
      <c r="DY20" s="227" t="s">
        <v>304</v>
      </c>
      <c r="DZ20" s="229">
        <v>42</v>
      </c>
      <c r="EA20" s="230">
        <v>232</v>
      </c>
      <c r="EB20" s="230">
        <v>151663</v>
      </c>
      <c r="EC20" s="282"/>
      <c r="ED20" s="227">
        <v>14</v>
      </c>
      <c r="EE20" s="226">
        <v>42997</v>
      </c>
      <c r="EF20" s="227" t="s">
        <v>305</v>
      </c>
      <c r="EG20" s="275">
        <v>417</v>
      </c>
      <c r="EH20" s="283">
        <v>9039</v>
      </c>
      <c r="EI20" s="283">
        <v>829214</v>
      </c>
      <c r="EJ20" s="282"/>
      <c r="EK20" s="227">
        <v>14</v>
      </c>
      <c r="EL20" s="226">
        <v>42983</v>
      </c>
      <c r="EM20" s="227" t="s">
        <v>305</v>
      </c>
      <c r="EN20" s="229">
        <v>542</v>
      </c>
      <c r="EO20" s="230">
        <v>14494</v>
      </c>
      <c r="EP20" s="230">
        <v>1346946</v>
      </c>
      <c r="EQ20" s="282"/>
      <c r="ER20" s="227">
        <v>14</v>
      </c>
      <c r="ES20" s="226">
        <v>42970</v>
      </c>
      <c r="ET20" s="227" t="s">
        <v>304</v>
      </c>
      <c r="EU20" s="232">
        <v>316</v>
      </c>
      <c r="EV20" s="224">
        <v>14462</v>
      </c>
      <c r="EW20" s="224">
        <v>1824175</v>
      </c>
      <c r="EX20" s="282"/>
      <c r="EY20" s="239">
        <v>14</v>
      </c>
      <c r="EZ20" s="271">
        <v>42899</v>
      </c>
      <c r="FA20" s="239" t="s">
        <v>305</v>
      </c>
      <c r="FB20" s="277">
        <v>557</v>
      </c>
      <c r="FC20" s="276">
        <v>23181</v>
      </c>
      <c r="FD20" s="276">
        <v>1908881</v>
      </c>
      <c r="FF20" s="239">
        <v>14</v>
      </c>
      <c r="FG20" s="281">
        <v>42885</v>
      </c>
      <c r="FH20" s="281" t="s">
        <v>305</v>
      </c>
      <c r="FI20" s="280">
        <v>288</v>
      </c>
      <c r="FJ20" s="279">
        <v>3160</v>
      </c>
      <c r="FK20" s="278">
        <v>414433</v>
      </c>
      <c r="FM20" s="227">
        <v>14</v>
      </c>
      <c r="FN20" s="226">
        <v>42815</v>
      </c>
      <c r="FO20" s="225" t="s">
        <v>305</v>
      </c>
      <c r="FP20" s="224">
        <v>594</v>
      </c>
      <c r="FQ20" s="224">
        <v>21644</v>
      </c>
      <c r="FR20" s="224">
        <v>1595383</v>
      </c>
      <c r="FT20" s="239">
        <v>14</v>
      </c>
      <c r="FU20" s="226">
        <v>42788</v>
      </c>
      <c r="FV20" s="225" t="s">
        <v>304</v>
      </c>
      <c r="FW20" s="232">
        <v>18</v>
      </c>
      <c r="FX20" s="232">
        <v>576</v>
      </c>
      <c r="FY20" s="229">
        <v>141774</v>
      </c>
      <c r="GA20" s="227">
        <v>14</v>
      </c>
      <c r="GB20" s="226">
        <v>42801</v>
      </c>
      <c r="GC20" s="225" t="s">
        <v>305</v>
      </c>
      <c r="GD20" s="224">
        <v>227</v>
      </c>
      <c r="GE20" s="224">
        <v>2869</v>
      </c>
      <c r="GF20" s="224">
        <v>344469</v>
      </c>
      <c r="GH20" s="227">
        <v>14</v>
      </c>
      <c r="GI20" s="226">
        <v>42724</v>
      </c>
      <c r="GJ20" s="225" t="s">
        <v>305</v>
      </c>
      <c r="GK20" s="232">
        <v>270</v>
      </c>
      <c r="GL20" s="229">
        <v>6276</v>
      </c>
      <c r="GM20" s="229">
        <v>298043</v>
      </c>
      <c r="GO20" s="239">
        <v>14</v>
      </c>
      <c r="GP20" s="226">
        <v>42703</v>
      </c>
      <c r="GQ20" s="225" t="s">
        <v>305</v>
      </c>
      <c r="GR20" s="229">
        <v>1063</v>
      </c>
      <c r="GS20" s="229">
        <v>85513</v>
      </c>
      <c r="GT20" s="229">
        <v>3571998</v>
      </c>
      <c r="GV20" s="239">
        <v>14</v>
      </c>
      <c r="GW20" s="226">
        <v>42669</v>
      </c>
      <c r="GX20" s="225" t="s">
        <v>304</v>
      </c>
      <c r="GY20" s="232">
        <v>4</v>
      </c>
      <c r="GZ20" s="232">
        <v>214</v>
      </c>
      <c r="HA20" s="229">
        <v>69461</v>
      </c>
      <c r="HC20" s="239">
        <v>14</v>
      </c>
      <c r="HD20" s="226">
        <v>42654</v>
      </c>
      <c r="HE20" s="225" t="s">
        <v>305</v>
      </c>
      <c r="HF20" s="234">
        <v>442</v>
      </c>
      <c r="HG20" s="236">
        <v>15086</v>
      </c>
      <c r="HH20" s="236">
        <v>562204</v>
      </c>
      <c r="HJ20" s="227">
        <v>14</v>
      </c>
      <c r="HK20" s="226">
        <v>42633</v>
      </c>
      <c r="HL20" s="225" t="s">
        <v>305</v>
      </c>
      <c r="HM20" s="224">
        <v>1162</v>
      </c>
      <c r="HN20" s="224">
        <v>96608</v>
      </c>
      <c r="HO20" s="224">
        <v>6263056</v>
      </c>
      <c r="HQ20" s="227">
        <v>14</v>
      </c>
      <c r="HR20" s="226">
        <v>42619</v>
      </c>
      <c r="HS20" s="225" t="s">
        <v>305</v>
      </c>
      <c r="HT20" s="224">
        <v>471</v>
      </c>
      <c r="HU20" s="224">
        <v>17850</v>
      </c>
      <c r="HV20" s="224">
        <v>1028125</v>
      </c>
      <c r="HX20" s="227">
        <v>14</v>
      </c>
      <c r="HY20" s="271">
        <v>42598</v>
      </c>
      <c r="HZ20" s="271" t="s">
        <v>305</v>
      </c>
      <c r="IA20" s="277">
        <v>367</v>
      </c>
      <c r="IB20" s="276">
        <v>19491</v>
      </c>
      <c r="IC20" s="276">
        <v>1848184</v>
      </c>
      <c r="IE20" s="239">
        <v>14</v>
      </c>
      <c r="IF20" s="226">
        <v>42466</v>
      </c>
      <c r="IG20" s="225" t="s">
        <v>304</v>
      </c>
      <c r="IH20" s="232">
        <v>968</v>
      </c>
      <c r="II20" s="229">
        <v>18905</v>
      </c>
      <c r="IJ20" s="229">
        <v>2059591</v>
      </c>
    </row>
    <row r="21" spans="1:244" s="260" customFormat="1" x14ac:dyDescent="0.45">
      <c r="A21" s="227">
        <v>15</v>
      </c>
      <c r="B21" s="226">
        <v>43552</v>
      </c>
      <c r="C21" s="227" t="s">
        <v>310</v>
      </c>
      <c r="D21" s="229">
        <v>21</v>
      </c>
      <c r="E21" s="228">
        <v>286</v>
      </c>
      <c r="F21" s="228">
        <v>97640</v>
      </c>
      <c r="G21" s="270"/>
      <c r="H21" s="227">
        <v>15</v>
      </c>
      <c r="I21" s="226">
        <v>43558</v>
      </c>
      <c r="J21" s="227" t="s">
        <v>310</v>
      </c>
      <c r="K21" s="229">
        <v>17</v>
      </c>
      <c r="L21" s="228">
        <v>249</v>
      </c>
      <c r="M21" s="228">
        <v>260387</v>
      </c>
      <c r="N21" s="270"/>
      <c r="O21" s="227">
        <v>15</v>
      </c>
      <c r="P21" s="226">
        <v>43516</v>
      </c>
      <c r="Q21" s="227" t="s">
        <v>310</v>
      </c>
      <c r="R21" s="229">
        <v>7</v>
      </c>
      <c r="S21" s="228">
        <v>157</v>
      </c>
      <c r="T21" s="228">
        <v>86624</v>
      </c>
      <c r="U21" s="270"/>
      <c r="V21" s="227">
        <v>15</v>
      </c>
      <c r="W21" s="226">
        <v>43467</v>
      </c>
      <c r="X21" s="227" t="s">
        <v>310</v>
      </c>
      <c r="Y21" s="229">
        <v>1110</v>
      </c>
      <c r="Z21" s="228">
        <v>105089</v>
      </c>
      <c r="AA21" s="228">
        <v>3981052</v>
      </c>
      <c r="AB21" s="270"/>
      <c r="AC21" s="227">
        <v>15</v>
      </c>
      <c r="AD21" s="226">
        <v>43432</v>
      </c>
      <c r="AE21" s="227" t="s">
        <v>310</v>
      </c>
      <c r="AF21" s="229">
        <v>449</v>
      </c>
      <c r="AG21" s="228">
        <v>25230</v>
      </c>
      <c r="AH21" s="228">
        <v>2258557</v>
      </c>
      <c r="AI21" s="270"/>
      <c r="AJ21" s="227">
        <v>15</v>
      </c>
      <c r="AK21" s="226">
        <v>43412</v>
      </c>
      <c r="AL21" s="227" t="s">
        <v>316</v>
      </c>
      <c r="AM21" s="229">
        <v>18</v>
      </c>
      <c r="AN21" s="228">
        <v>568</v>
      </c>
      <c r="AO21" s="228">
        <v>151254</v>
      </c>
      <c r="AP21" s="270"/>
      <c r="AQ21" s="227">
        <v>15</v>
      </c>
      <c r="AR21" s="226">
        <v>43396</v>
      </c>
      <c r="AS21" s="227" t="s">
        <v>305</v>
      </c>
      <c r="AT21" s="229">
        <v>377</v>
      </c>
      <c r="AU21" s="228">
        <v>10754</v>
      </c>
      <c r="AV21" s="228">
        <v>288324</v>
      </c>
      <c r="AW21" s="270"/>
      <c r="AX21" s="239">
        <v>15</v>
      </c>
      <c r="AY21" s="226">
        <v>43376</v>
      </c>
      <c r="AZ21" s="227" t="s">
        <v>304</v>
      </c>
      <c r="BA21" s="224">
        <v>121</v>
      </c>
      <c r="BB21" s="224">
        <v>4166</v>
      </c>
      <c r="BC21" s="224">
        <v>997118</v>
      </c>
      <c r="BD21" s="270"/>
      <c r="BE21" s="239">
        <v>15</v>
      </c>
      <c r="BF21" s="226">
        <v>43341</v>
      </c>
      <c r="BG21" s="227" t="s">
        <v>304</v>
      </c>
      <c r="BH21" s="232">
        <v>44</v>
      </c>
      <c r="BI21" s="224">
        <v>852</v>
      </c>
      <c r="BJ21" s="224">
        <v>524391</v>
      </c>
      <c r="BK21" s="270"/>
      <c r="BL21" s="239">
        <v>15</v>
      </c>
      <c r="BM21" s="226">
        <v>43320</v>
      </c>
      <c r="BN21" s="227" t="s">
        <v>304</v>
      </c>
      <c r="BO21" s="224">
        <v>8</v>
      </c>
      <c r="BP21" s="224">
        <v>188</v>
      </c>
      <c r="BQ21" s="224">
        <v>895153</v>
      </c>
      <c r="BR21" s="270"/>
      <c r="BS21" s="227">
        <v>15</v>
      </c>
      <c r="BT21" s="226">
        <v>43292</v>
      </c>
      <c r="BU21" s="227" t="s">
        <v>304</v>
      </c>
      <c r="BV21" s="224">
        <v>662</v>
      </c>
      <c r="BW21" s="224">
        <v>70060</v>
      </c>
      <c r="BX21" s="224">
        <v>2028560</v>
      </c>
      <c r="BY21" s="270"/>
      <c r="BZ21" s="227">
        <v>15</v>
      </c>
      <c r="CA21" s="226">
        <v>43278</v>
      </c>
      <c r="CB21" s="227" t="s">
        <v>304</v>
      </c>
      <c r="CC21" s="232">
        <v>451</v>
      </c>
      <c r="CD21" s="230">
        <v>40374</v>
      </c>
      <c r="CE21" s="230">
        <v>1163789</v>
      </c>
      <c r="CF21" s="270"/>
      <c r="CG21" s="227">
        <v>15</v>
      </c>
      <c r="CH21" s="226">
        <v>43235</v>
      </c>
      <c r="CI21" s="227" t="s">
        <v>305</v>
      </c>
      <c r="CJ21" s="229">
        <v>601</v>
      </c>
      <c r="CK21" s="230">
        <v>15443</v>
      </c>
      <c r="CL21" s="230">
        <v>1096163</v>
      </c>
      <c r="CM21" s="270"/>
      <c r="CN21" s="239">
        <v>15</v>
      </c>
      <c r="CO21" s="226">
        <v>43216</v>
      </c>
      <c r="CP21" s="227" t="s">
        <v>303</v>
      </c>
      <c r="CQ21" s="224">
        <v>344</v>
      </c>
      <c r="CR21" s="224">
        <v>4402</v>
      </c>
      <c r="CS21" s="224">
        <v>1349578</v>
      </c>
      <c r="CT21" s="270"/>
      <c r="CU21" s="227">
        <v>15</v>
      </c>
      <c r="CV21" s="226">
        <v>43201</v>
      </c>
      <c r="CW21" s="227" t="s">
        <v>304</v>
      </c>
      <c r="CX21" s="229">
        <v>786</v>
      </c>
      <c r="CY21" s="230">
        <v>43136</v>
      </c>
      <c r="CZ21" s="230">
        <v>1851232</v>
      </c>
      <c r="DA21" s="270"/>
      <c r="DB21" s="227">
        <v>15</v>
      </c>
      <c r="DC21" s="226">
        <v>43068</v>
      </c>
      <c r="DD21" s="227" t="s">
        <v>304</v>
      </c>
      <c r="DE21" s="229">
        <v>464</v>
      </c>
      <c r="DF21" s="230">
        <v>20511</v>
      </c>
      <c r="DG21" s="230">
        <v>1687925</v>
      </c>
      <c r="DH21" s="270"/>
      <c r="DI21" s="227">
        <v>15</v>
      </c>
      <c r="DJ21" s="226">
        <v>42950</v>
      </c>
      <c r="DK21" s="227" t="s">
        <v>303</v>
      </c>
      <c r="DL21" s="229">
        <v>432</v>
      </c>
      <c r="DM21" s="230">
        <v>37230</v>
      </c>
      <c r="DN21" s="230">
        <v>2443358</v>
      </c>
      <c r="DO21" s="270"/>
      <c r="DP21" s="227">
        <v>15</v>
      </c>
      <c r="DQ21" s="226">
        <v>43041</v>
      </c>
      <c r="DR21" s="227" t="s">
        <v>303</v>
      </c>
      <c r="DS21" s="229">
        <v>75</v>
      </c>
      <c r="DT21" s="230">
        <v>1229</v>
      </c>
      <c r="DU21" s="230">
        <v>1013200</v>
      </c>
      <c r="DV21" s="270"/>
      <c r="DW21" s="227">
        <v>15</v>
      </c>
      <c r="DX21" s="226">
        <v>43020</v>
      </c>
      <c r="DY21" s="227" t="s">
        <v>303</v>
      </c>
      <c r="DZ21" s="229">
        <v>9</v>
      </c>
      <c r="EA21" s="230">
        <v>66</v>
      </c>
      <c r="EB21" s="230">
        <v>151729</v>
      </c>
      <c r="EC21" s="270"/>
      <c r="ED21" s="227">
        <v>15</v>
      </c>
      <c r="EE21" s="226">
        <v>42998</v>
      </c>
      <c r="EF21" s="227" t="s">
        <v>304</v>
      </c>
      <c r="EG21" s="275">
        <v>418</v>
      </c>
      <c r="EH21" s="224">
        <v>9148</v>
      </c>
      <c r="EI21" s="224">
        <v>838362</v>
      </c>
      <c r="EJ21" s="270"/>
      <c r="EK21" s="227">
        <v>15</v>
      </c>
      <c r="EL21" s="226">
        <v>42984</v>
      </c>
      <c r="EM21" s="227" t="s">
        <v>304</v>
      </c>
      <c r="EN21" s="229">
        <v>289</v>
      </c>
      <c r="EO21" s="230">
        <v>3849</v>
      </c>
      <c r="EP21" s="230">
        <v>1350795</v>
      </c>
      <c r="EQ21" s="270"/>
      <c r="ER21" s="227">
        <v>15</v>
      </c>
      <c r="ES21" s="226">
        <v>42971</v>
      </c>
      <c r="ET21" s="227" t="s">
        <v>303</v>
      </c>
      <c r="EU21" s="232">
        <v>246</v>
      </c>
      <c r="EV21" s="224">
        <v>10793</v>
      </c>
      <c r="EW21" s="224">
        <v>1834968</v>
      </c>
      <c r="EX21" s="270"/>
      <c r="EY21" s="239">
        <v>15</v>
      </c>
      <c r="EZ21" s="271">
        <v>42900</v>
      </c>
      <c r="FA21" s="239" t="s">
        <v>304</v>
      </c>
      <c r="FB21" s="232">
        <v>550</v>
      </c>
      <c r="FC21" s="229">
        <v>24757</v>
      </c>
      <c r="FD21" s="229">
        <v>1933631</v>
      </c>
      <c r="FF21" s="227">
        <v>15</v>
      </c>
      <c r="FG21" s="274">
        <v>42886</v>
      </c>
      <c r="FH21" s="274" t="s">
        <v>304</v>
      </c>
      <c r="FI21" s="232">
        <v>29</v>
      </c>
      <c r="FJ21" s="232">
        <v>399</v>
      </c>
      <c r="FK21" s="273">
        <v>414832</v>
      </c>
      <c r="FM21" s="227">
        <v>15</v>
      </c>
      <c r="FN21" s="226">
        <v>42816</v>
      </c>
      <c r="FO21" s="225" t="s">
        <v>304</v>
      </c>
      <c r="FP21" s="224">
        <v>609</v>
      </c>
      <c r="FQ21" s="224">
        <v>14507</v>
      </c>
      <c r="FR21" s="224">
        <v>1609890</v>
      </c>
      <c r="FT21" s="227">
        <v>15</v>
      </c>
      <c r="FU21" s="226">
        <v>42789</v>
      </c>
      <c r="FV21" s="225" t="s">
        <v>303</v>
      </c>
      <c r="FW21" s="232">
        <v>23</v>
      </c>
      <c r="FX21" s="232">
        <v>722</v>
      </c>
      <c r="FY21" s="229">
        <v>142496</v>
      </c>
      <c r="GA21" s="227">
        <v>15</v>
      </c>
      <c r="GB21" s="226">
        <v>42802</v>
      </c>
      <c r="GC21" s="225" t="s">
        <v>304</v>
      </c>
      <c r="GD21" s="224">
        <v>88</v>
      </c>
      <c r="GE21" s="224">
        <v>1789</v>
      </c>
      <c r="GF21" s="224">
        <v>346258</v>
      </c>
      <c r="GH21" s="227">
        <v>15</v>
      </c>
      <c r="GI21" s="226">
        <v>42725</v>
      </c>
      <c r="GJ21" s="225" t="s">
        <v>304</v>
      </c>
      <c r="GK21" s="232">
        <v>86</v>
      </c>
      <c r="GL21" s="229">
        <v>2264</v>
      </c>
      <c r="GM21" s="229">
        <v>300307</v>
      </c>
      <c r="GO21" s="227">
        <v>15</v>
      </c>
      <c r="GP21" s="226">
        <v>42704</v>
      </c>
      <c r="GQ21" s="225" t="s">
        <v>304</v>
      </c>
      <c r="GR21" s="232">
        <v>802</v>
      </c>
      <c r="GS21" s="229">
        <v>131030</v>
      </c>
      <c r="GT21" s="229">
        <v>3703028</v>
      </c>
      <c r="GV21" s="227">
        <v>15</v>
      </c>
      <c r="GW21" s="226">
        <v>42670</v>
      </c>
      <c r="GX21" s="225" t="s">
        <v>303</v>
      </c>
      <c r="GY21" s="232">
        <v>2</v>
      </c>
      <c r="GZ21" s="232">
        <v>11</v>
      </c>
      <c r="HA21" s="229">
        <v>69472</v>
      </c>
      <c r="HC21" s="227">
        <v>15</v>
      </c>
      <c r="HD21" s="226">
        <v>42655</v>
      </c>
      <c r="HE21" s="225" t="s">
        <v>304</v>
      </c>
      <c r="HF21" s="234">
        <v>450</v>
      </c>
      <c r="HG21" s="236">
        <v>18077</v>
      </c>
      <c r="HH21" s="236">
        <v>580281</v>
      </c>
      <c r="HJ21" s="227">
        <v>15</v>
      </c>
      <c r="HK21" s="226">
        <v>42634</v>
      </c>
      <c r="HL21" s="225" t="s">
        <v>304</v>
      </c>
      <c r="HM21" s="224">
        <v>1100</v>
      </c>
      <c r="HN21" s="224">
        <v>88955</v>
      </c>
      <c r="HO21" s="224">
        <v>6352011</v>
      </c>
      <c r="HQ21" s="227">
        <v>15</v>
      </c>
      <c r="HR21" s="226">
        <v>42620</v>
      </c>
      <c r="HS21" s="225" t="s">
        <v>304</v>
      </c>
      <c r="HT21" s="224">
        <v>279</v>
      </c>
      <c r="HU21" s="224">
        <v>5743</v>
      </c>
      <c r="HV21" s="224">
        <v>1033868</v>
      </c>
      <c r="HX21" s="227">
        <v>15</v>
      </c>
      <c r="HY21" s="225">
        <v>42599</v>
      </c>
      <c r="HZ21" s="225" t="s">
        <v>304</v>
      </c>
      <c r="IA21" s="234">
        <v>130</v>
      </c>
      <c r="IB21" s="236">
        <v>6462</v>
      </c>
      <c r="IC21" s="236">
        <v>1854646</v>
      </c>
      <c r="IE21" s="227">
        <v>15</v>
      </c>
      <c r="IF21" s="226">
        <v>42467</v>
      </c>
      <c r="IG21" s="225" t="s">
        <v>303</v>
      </c>
      <c r="IH21" s="232">
        <v>530</v>
      </c>
      <c r="II21" s="229">
        <v>13162</v>
      </c>
      <c r="IJ21" s="229">
        <v>2072753</v>
      </c>
    </row>
    <row r="22" spans="1:244" s="260" customFormat="1" x14ac:dyDescent="0.45">
      <c r="A22" s="227">
        <v>16</v>
      </c>
      <c r="B22" s="226">
        <v>43553</v>
      </c>
      <c r="C22" s="227" t="s">
        <v>316</v>
      </c>
      <c r="D22" s="229">
        <v>20</v>
      </c>
      <c r="E22" s="228">
        <v>407</v>
      </c>
      <c r="F22" s="228">
        <v>98047</v>
      </c>
      <c r="G22" s="270"/>
      <c r="H22" s="227">
        <v>16</v>
      </c>
      <c r="I22" s="226">
        <v>43559</v>
      </c>
      <c r="J22" s="227" t="s">
        <v>316</v>
      </c>
      <c r="K22" s="229">
        <v>13</v>
      </c>
      <c r="L22" s="228">
        <v>173</v>
      </c>
      <c r="M22" s="228">
        <v>260560</v>
      </c>
      <c r="N22" s="270"/>
      <c r="O22" s="227">
        <v>16</v>
      </c>
      <c r="P22" s="226">
        <v>43517</v>
      </c>
      <c r="Q22" s="227" t="s">
        <v>316</v>
      </c>
      <c r="R22" s="229">
        <v>4</v>
      </c>
      <c r="S22" s="228">
        <v>87</v>
      </c>
      <c r="T22" s="228">
        <v>86711</v>
      </c>
      <c r="U22" s="270"/>
      <c r="V22" s="227">
        <v>16</v>
      </c>
      <c r="W22" s="226">
        <v>43468</v>
      </c>
      <c r="X22" s="227" t="s">
        <v>316</v>
      </c>
      <c r="Y22" s="229">
        <v>1074</v>
      </c>
      <c r="Z22" s="228">
        <v>81399</v>
      </c>
      <c r="AA22" s="228">
        <v>4062451</v>
      </c>
      <c r="AB22" s="270"/>
      <c r="AC22" s="227">
        <v>16</v>
      </c>
      <c r="AD22" s="226">
        <v>43433</v>
      </c>
      <c r="AE22" s="227" t="s">
        <v>316</v>
      </c>
      <c r="AF22" s="229">
        <v>405</v>
      </c>
      <c r="AG22" s="228">
        <v>15663</v>
      </c>
      <c r="AH22" s="228">
        <v>2274220</v>
      </c>
      <c r="AI22" s="270"/>
      <c r="AJ22" s="227">
        <v>16</v>
      </c>
      <c r="AK22" s="226">
        <v>43413</v>
      </c>
      <c r="AL22" s="227" t="s">
        <v>320</v>
      </c>
      <c r="AM22" s="229">
        <v>13</v>
      </c>
      <c r="AN22" s="228">
        <v>441</v>
      </c>
      <c r="AO22" s="228">
        <v>151695</v>
      </c>
      <c r="AP22" s="270"/>
      <c r="AQ22" s="227">
        <v>16</v>
      </c>
      <c r="AR22" s="226">
        <v>43397</v>
      </c>
      <c r="AS22" s="227" t="s">
        <v>304</v>
      </c>
      <c r="AT22" s="229">
        <v>384</v>
      </c>
      <c r="AU22" s="228">
        <v>12813</v>
      </c>
      <c r="AV22" s="228">
        <v>301137</v>
      </c>
      <c r="AW22" s="270"/>
      <c r="AX22" s="239">
        <v>16</v>
      </c>
      <c r="AY22" s="226">
        <v>43377</v>
      </c>
      <c r="AZ22" s="227" t="s">
        <v>303</v>
      </c>
      <c r="BA22" s="224">
        <v>120</v>
      </c>
      <c r="BB22" s="224">
        <v>1656</v>
      </c>
      <c r="BC22" s="224">
        <v>998774</v>
      </c>
      <c r="BD22" s="270"/>
      <c r="BE22" s="239">
        <v>16</v>
      </c>
      <c r="BF22" s="226">
        <v>43342</v>
      </c>
      <c r="BG22" s="227" t="s">
        <v>303</v>
      </c>
      <c r="BH22" s="232">
        <v>37</v>
      </c>
      <c r="BI22" s="224">
        <v>343</v>
      </c>
      <c r="BJ22" s="224">
        <v>524734</v>
      </c>
      <c r="BK22" s="270"/>
      <c r="BL22" s="239">
        <v>16</v>
      </c>
      <c r="BM22" s="226">
        <v>43321</v>
      </c>
      <c r="BN22" s="227" t="s">
        <v>303</v>
      </c>
      <c r="BO22" s="224">
        <v>4</v>
      </c>
      <c r="BP22" s="224">
        <v>71</v>
      </c>
      <c r="BQ22" s="224">
        <v>895224</v>
      </c>
      <c r="BR22" s="270"/>
      <c r="BS22" s="227">
        <v>16</v>
      </c>
      <c r="BT22" s="226">
        <v>43293</v>
      </c>
      <c r="BU22" s="227" t="s">
        <v>303</v>
      </c>
      <c r="BV22" s="224">
        <v>683</v>
      </c>
      <c r="BW22" s="224">
        <v>61009</v>
      </c>
      <c r="BX22" s="224">
        <v>2089569</v>
      </c>
      <c r="BY22" s="270"/>
      <c r="BZ22" s="227">
        <v>16</v>
      </c>
      <c r="CA22" s="226">
        <v>43279</v>
      </c>
      <c r="CB22" s="227" t="s">
        <v>303</v>
      </c>
      <c r="CC22" s="232">
        <v>429</v>
      </c>
      <c r="CD22" s="230">
        <v>19837</v>
      </c>
      <c r="CE22" s="230">
        <v>1183626</v>
      </c>
      <c r="CF22" s="270"/>
      <c r="CG22" s="227">
        <v>16</v>
      </c>
      <c r="CH22" s="226">
        <v>43236</v>
      </c>
      <c r="CI22" s="227" t="s">
        <v>304</v>
      </c>
      <c r="CJ22" s="229">
        <v>379</v>
      </c>
      <c r="CK22" s="230">
        <v>6550</v>
      </c>
      <c r="CL22" s="230">
        <v>1102713</v>
      </c>
      <c r="CM22" s="270"/>
      <c r="CN22" s="239">
        <v>16</v>
      </c>
      <c r="CO22" s="226">
        <v>43217</v>
      </c>
      <c r="CP22" s="227" t="s">
        <v>302</v>
      </c>
      <c r="CQ22" s="224">
        <v>343</v>
      </c>
      <c r="CR22" s="224">
        <v>5361</v>
      </c>
      <c r="CS22" s="224">
        <v>1354939</v>
      </c>
      <c r="CT22" s="270"/>
      <c r="CU22" s="227">
        <v>16</v>
      </c>
      <c r="CV22" s="226">
        <v>43202</v>
      </c>
      <c r="CW22" s="227" t="s">
        <v>303</v>
      </c>
      <c r="CX22" s="229">
        <v>531</v>
      </c>
      <c r="CY22" s="230">
        <v>23446</v>
      </c>
      <c r="CZ22" s="230">
        <v>1874678</v>
      </c>
      <c r="DA22" s="270"/>
      <c r="DB22" s="227">
        <v>16</v>
      </c>
      <c r="DC22" s="226">
        <v>43069</v>
      </c>
      <c r="DD22" s="227" t="s">
        <v>303</v>
      </c>
      <c r="DE22" s="229">
        <v>423</v>
      </c>
      <c r="DF22" s="230">
        <v>10825</v>
      </c>
      <c r="DG22" s="230">
        <v>1698750</v>
      </c>
      <c r="DH22" s="270"/>
      <c r="DI22" s="227">
        <v>16</v>
      </c>
      <c r="DJ22" s="226">
        <v>42951</v>
      </c>
      <c r="DK22" s="227" t="s">
        <v>302</v>
      </c>
      <c r="DL22" s="229">
        <v>430</v>
      </c>
      <c r="DM22" s="230">
        <v>41859</v>
      </c>
      <c r="DN22" s="230">
        <v>2485217</v>
      </c>
      <c r="DO22" s="270"/>
      <c r="DP22" s="227">
        <v>16</v>
      </c>
      <c r="DQ22" s="226">
        <v>43042</v>
      </c>
      <c r="DR22" s="227" t="s">
        <v>302</v>
      </c>
      <c r="DS22" s="229">
        <v>90</v>
      </c>
      <c r="DT22" s="230">
        <v>1853</v>
      </c>
      <c r="DU22" s="230">
        <v>1015053</v>
      </c>
      <c r="DV22" s="270"/>
      <c r="DW22" s="227">
        <v>16</v>
      </c>
      <c r="DX22" s="226">
        <v>43021</v>
      </c>
      <c r="DY22" s="227" t="s">
        <v>302</v>
      </c>
      <c r="DZ22" s="229">
        <v>10</v>
      </c>
      <c r="EA22" s="230">
        <v>49</v>
      </c>
      <c r="EB22" s="230">
        <v>151778</v>
      </c>
      <c r="EC22" s="270"/>
      <c r="ED22" s="227">
        <v>16</v>
      </c>
      <c r="EE22" s="226">
        <v>42999</v>
      </c>
      <c r="EF22" s="227" t="s">
        <v>303</v>
      </c>
      <c r="EG22" s="275">
        <v>220</v>
      </c>
      <c r="EH22" s="224">
        <v>3979</v>
      </c>
      <c r="EI22" s="224">
        <v>842341</v>
      </c>
      <c r="EJ22" s="270"/>
      <c r="EK22" s="227">
        <v>16</v>
      </c>
      <c r="EL22" s="226">
        <v>42985</v>
      </c>
      <c r="EM22" s="227" t="s">
        <v>303</v>
      </c>
      <c r="EN22" s="229">
        <v>251</v>
      </c>
      <c r="EO22" s="230">
        <v>2537</v>
      </c>
      <c r="EP22" s="230">
        <v>1353332</v>
      </c>
      <c r="EQ22" s="270"/>
      <c r="ER22" s="227">
        <v>16</v>
      </c>
      <c r="ES22" s="226">
        <v>42972</v>
      </c>
      <c r="ET22" s="227" t="s">
        <v>302</v>
      </c>
      <c r="EU22" s="232">
        <v>253</v>
      </c>
      <c r="EV22" s="224">
        <v>14838</v>
      </c>
      <c r="EW22" s="224">
        <v>1849806</v>
      </c>
      <c r="EX22" s="270"/>
      <c r="EY22" s="239">
        <v>16</v>
      </c>
      <c r="EZ22" s="271">
        <v>42901</v>
      </c>
      <c r="FA22" s="239" t="s">
        <v>303</v>
      </c>
      <c r="FB22" s="232">
        <v>468</v>
      </c>
      <c r="FC22" s="229">
        <v>17754</v>
      </c>
      <c r="FD22" s="229">
        <v>1951385</v>
      </c>
      <c r="FF22" s="227">
        <v>16</v>
      </c>
      <c r="FG22" s="274">
        <v>42887</v>
      </c>
      <c r="FH22" s="274" t="s">
        <v>303</v>
      </c>
      <c r="FI22" s="232">
        <v>15</v>
      </c>
      <c r="FJ22" s="232">
        <v>135</v>
      </c>
      <c r="FK22" s="273">
        <v>414967</v>
      </c>
      <c r="FM22" s="227">
        <v>16</v>
      </c>
      <c r="FN22" s="226">
        <v>42817</v>
      </c>
      <c r="FO22" s="225" t="s">
        <v>303</v>
      </c>
      <c r="FP22" s="224">
        <v>386</v>
      </c>
      <c r="FQ22" s="224">
        <v>5696</v>
      </c>
      <c r="FR22" s="224">
        <v>1615586</v>
      </c>
      <c r="FT22" s="227">
        <v>16</v>
      </c>
      <c r="FU22" s="226">
        <v>42790</v>
      </c>
      <c r="FV22" s="225" t="s">
        <v>302</v>
      </c>
      <c r="FW22" s="232">
        <v>23</v>
      </c>
      <c r="FX22" s="232">
        <v>568</v>
      </c>
      <c r="FY22" s="229">
        <v>143064</v>
      </c>
      <c r="GA22" s="243">
        <v>16</v>
      </c>
      <c r="GB22" s="248">
        <v>42803</v>
      </c>
      <c r="GC22" s="247" t="s">
        <v>303</v>
      </c>
      <c r="GD22" s="246">
        <v>37</v>
      </c>
      <c r="GE22" s="246">
        <v>682</v>
      </c>
      <c r="GF22" s="246">
        <v>346940</v>
      </c>
      <c r="GH22" s="227">
        <v>16</v>
      </c>
      <c r="GI22" s="226">
        <v>42726</v>
      </c>
      <c r="GJ22" s="225" t="s">
        <v>303</v>
      </c>
      <c r="GK22" s="232">
        <v>46</v>
      </c>
      <c r="GL22" s="229">
        <v>1732</v>
      </c>
      <c r="GM22" s="229">
        <v>302039</v>
      </c>
      <c r="GO22" s="227">
        <v>16</v>
      </c>
      <c r="GP22" s="226">
        <v>42705</v>
      </c>
      <c r="GQ22" s="225" t="s">
        <v>303</v>
      </c>
      <c r="GR22" s="232">
        <v>750</v>
      </c>
      <c r="GS22" s="229">
        <v>61307</v>
      </c>
      <c r="GT22" s="229">
        <v>3764335</v>
      </c>
      <c r="GV22" s="227">
        <v>16</v>
      </c>
      <c r="GW22" s="226">
        <v>42671</v>
      </c>
      <c r="GX22" s="225" t="s">
        <v>302</v>
      </c>
      <c r="GY22" s="232">
        <v>2</v>
      </c>
      <c r="GZ22" s="232">
        <v>16</v>
      </c>
      <c r="HA22" s="229">
        <v>69488</v>
      </c>
      <c r="HC22" s="227">
        <v>16</v>
      </c>
      <c r="HD22" s="226">
        <v>42656</v>
      </c>
      <c r="HE22" s="225" t="s">
        <v>303</v>
      </c>
      <c r="HF22" s="234">
        <v>214</v>
      </c>
      <c r="HG22" s="236">
        <v>4400</v>
      </c>
      <c r="HH22" s="236">
        <v>584681</v>
      </c>
      <c r="HJ22" s="227">
        <v>16</v>
      </c>
      <c r="HK22" s="226">
        <v>42635</v>
      </c>
      <c r="HL22" s="225" t="s">
        <v>303</v>
      </c>
      <c r="HM22" s="224">
        <v>1026</v>
      </c>
      <c r="HN22" s="224">
        <v>84219</v>
      </c>
      <c r="HO22" s="224">
        <v>6436230</v>
      </c>
      <c r="HQ22" s="227">
        <v>16</v>
      </c>
      <c r="HR22" s="226">
        <v>42621</v>
      </c>
      <c r="HS22" s="225" t="s">
        <v>303</v>
      </c>
      <c r="HT22" s="224">
        <v>281</v>
      </c>
      <c r="HU22" s="224">
        <v>5411</v>
      </c>
      <c r="HV22" s="224">
        <v>1039279</v>
      </c>
      <c r="HX22" s="227">
        <v>16</v>
      </c>
      <c r="HY22" s="225">
        <v>42600</v>
      </c>
      <c r="HZ22" s="225" t="s">
        <v>303</v>
      </c>
      <c r="IA22" s="234">
        <v>124</v>
      </c>
      <c r="IB22" s="236">
        <v>5303</v>
      </c>
      <c r="IC22" s="236">
        <v>1859949</v>
      </c>
      <c r="IE22" s="227">
        <v>16</v>
      </c>
      <c r="IF22" s="226">
        <v>42468</v>
      </c>
      <c r="IG22" s="225" t="s">
        <v>302</v>
      </c>
      <c r="IH22" s="232">
        <v>543</v>
      </c>
      <c r="II22" s="229">
        <v>18676</v>
      </c>
      <c r="IJ22" s="229">
        <v>2091429</v>
      </c>
    </row>
    <row r="23" spans="1:244" s="260" customFormat="1" x14ac:dyDescent="0.45">
      <c r="A23" s="227">
        <v>17</v>
      </c>
      <c r="B23" s="226">
        <v>43554</v>
      </c>
      <c r="C23" s="227" t="s">
        <v>320</v>
      </c>
      <c r="D23" s="229">
        <v>20</v>
      </c>
      <c r="E23" s="228">
        <v>561</v>
      </c>
      <c r="F23" s="228">
        <v>98608</v>
      </c>
      <c r="G23" s="270"/>
      <c r="H23" s="243">
        <v>17</v>
      </c>
      <c r="I23" s="248">
        <v>43560</v>
      </c>
      <c r="J23" s="243" t="s">
        <v>320</v>
      </c>
      <c r="K23" s="240">
        <v>13</v>
      </c>
      <c r="L23" s="258">
        <v>126</v>
      </c>
      <c r="M23" s="258">
        <v>260686</v>
      </c>
      <c r="N23" s="270"/>
      <c r="O23" s="227">
        <v>17</v>
      </c>
      <c r="P23" s="226">
        <v>43518</v>
      </c>
      <c r="Q23" s="227" t="s">
        <v>320</v>
      </c>
      <c r="R23" s="229">
        <v>4</v>
      </c>
      <c r="S23" s="228">
        <v>187</v>
      </c>
      <c r="T23" s="228">
        <v>86898</v>
      </c>
      <c r="U23" s="270"/>
      <c r="V23" s="227">
        <v>17</v>
      </c>
      <c r="W23" s="226">
        <v>43469</v>
      </c>
      <c r="X23" s="227" t="s">
        <v>320</v>
      </c>
      <c r="Y23" s="229">
        <v>1094</v>
      </c>
      <c r="Z23" s="228">
        <v>94390</v>
      </c>
      <c r="AA23" s="228">
        <v>4156841</v>
      </c>
      <c r="AB23" s="270"/>
      <c r="AC23" s="227">
        <v>17</v>
      </c>
      <c r="AD23" s="226">
        <v>43434</v>
      </c>
      <c r="AE23" s="227" t="s">
        <v>320</v>
      </c>
      <c r="AF23" s="229">
        <v>411</v>
      </c>
      <c r="AG23" s="228">
        <v>20743</v>
      </c>
      <c r="AH23" s="228">
        <v>2294963</v>
      </c>
      <c r="AI23" s="270"/>
      <c r="AJ23" s="227">
        <v>17</v>
      </c>
      <c r="AK23" s="226">
        <v>43414</v>
      </c>
      <c r="AL23" s="227" t="s">
        <v>319</v>
      </c>
      <c r="AM23" s="229">
        <v>14</v>
      </c>
      <c r="AN23" s="228">
        <v>647</v>
      </c>
      <c r="AO23" s="228">
        <v>152342</v>
      </c>
      <c r="AP23" s="270"/>
      <c r="AQ23" s="227">
        <v>17</v>
      </c>
      <c r="AR23" s="226">
        <v>43398</v>
      </c>
      <c r="AS23" s="227" t="s">
        <v>303</v>
      </c>
      <c r="AT23" s="229">
        <v>221</v>
      </c>
      <c r="AU23" s="228">
        <v>7595</v>
      </c>
      <c r="AV23" s="228">
        <v>308732</v>
      </c>
      <c r="AW23" s="270"/>
      <c r="AX23" s="239">
        <v>17</v>
      </c>
      <c r="AY23" s="226">
        <v>43378</v>
      </c>
      <c r="AZ23" s="227" t="s">
        <v>302</v>
      </c>
      <c r="BA23" s="232">
        <v>118</v>
      </c>
      <c r="BB23" s="224">
        <v>3352</v>
      </c>
      <c r="BC23" s="224">
        <v>1002126</v>
      </c>
      <c r="BD23" s="270"/>
      <c r="BE23" s="239">
        <v>17</v>
      </c>
      <c r="BF23" s="226">
        <v>43343</v>
      </c>
      <c r="BG23" s="227" t="s">
        <v>302</v>
      </c>
      <c r="BH23" s="232">
        <v>37</v>
      </c>
      <c r="BI23" s="224">
        <v>518</v>
      </c>
      <c r="BJ23" s="224">
        <v>525252</v>
      </c>
      <c r="BK23" s="270"/>
      <c r="BL23" s="239">
        <v>17</v>
      </c>
      <c r="BM23" s="226">
        <v>43322</v>
      </c>
      <c r="BN23" s="227" t="s">
        <v>302</v>
      </c>
      <c r="BO23" s="232">
        <v>7</v>
      </c>
      <c r="BP23" s="224">
        <v>129</v>
      </c>
      <c r="BQ23" s="224">
        <v>895353</v>
      </c>
      <c r="BR23" s="270"/>
      <c r="BS23" s="227">
        <v>17</v>
      </c>
      <c r="BT23" s="226">
        <v>43294</v>
      </c>
      <c r="BU23" s="227" t="s">
        <v>302</v>
      </c>
      <c r="BV23" s="232">
        <v>677</v>
      </c>
      <c r="BW23" s="224">
        <v>79406</v>
      </c>
      <c r="BX23" s="224">
        <v>2168975</v>
      </c>
      <c r="BY23" s="270"/>
      <c r="BZ23" s="227">
        <v>17</v>
      </c>
      <c r="CA23" s="226">
        <v>43280</v>
      </c>
      <c r="CB23" s="227" t="s">
        <v>302</v>
      </c>
      <c r="CC23" s="232">
        <v>438</v>
      </c>
      <c r="CD23" s="230">
        <v>25230</v>
      </c>
      <c r="CE23" s="230">
        <v>1208856</v>
      </c>
      <c r="CF23" s="270"/>
      <c r="CG23" s="227">
        <v>17</v>
      </c>
      <c r="CH23" s="226">
        <v>43237</v>
      </c>
      <c r="CI23" s="227" t="s">
        <v>303</v>
      </c>
      <c r="CJ23" s="229">
        <v>196</v>
      </c>
      <c r="CK23" s="230">
        <v>3595</v>
      </c>
      <c r="CL23" s="230">
        <v>1106308</v>
      </c>
      <c r="CM23" s="270"/>
      <c r="CN23" s="239">
        <v>17</v>
      </c>
      <c r="CO23" s="226">
        <v>43218</v>
      </c>
      <c r="CP23" s="227" t="s">
        <v>301</v>
      </c>
      <c r="CQ23" s="232">
        <v>301</v>
      </c>
      <c r="CR23" s="224">
        <v>9122</v>
      </c>
      <c r="CS23" s="224">
        <v>1364061</v>
      </c>
      <c r="CT23" s="270"/>
      <c r="CU23" s="227">
        <v>17</v>
      </c>
      <c r="CV23" s="226">
        <v>43203</v>
      </c>
      <c r="CW23" s="227" t="s">
        <v>302</v>
      </c>
      <c r="CX23" s="229">
        <v>559</v>
      </c>
      <c r="CY23" s="230">
        <v>37051</v>
      </c>
      <c r="CZ23" s="230">
        <v>1911729</v>
      </c>
      <c r="DA23" s="270"/>
      <c r="DB23" s="227">
        <v>17</v>
      </c>
      <c r="DC23" s="226">
        <v>43070</v>
      </c>
      <c r="DD23" s="227" t="s">
        <v>302</v>
      </c>
      <c r="DE23" s="229">
        <v>416</v>
      </c>
      <c r="DF23" s="230">
        <v>11719</v>
      </c>
      <c r="DG23" s="230">
        <v>1710469</v>
      </c>
      <c r="DH23" s="270"/>
      <c r="DI23" s="227">
        <v>17</v>
      </c>
      <c r="DJ23" s="226">
        <v>42952</v>
      </c>
      <c r="DK23" s="227" t="s">
        <v>301</v>
      </c>
      <c r="DL23" s="229">
        <v>416</v>
      </c>
      <c r="DM23" s="230">
        <v>58495</v>
      </c>
      <c r="DN23" s="230">
        <v>2543712</v>
      </c>
      <c r="DO23" s="270"/>
      <c r="DP23" s="227">
        <v>17</v>
      </c>
      <c r="DQ23" s="226">
        <v>43043</v>
      </c>
      <c r="DR23" s="227" t="s">
        <v>301</v>
      </c>
      <c r="DS23" s="229">
        <v>85</v>
      </c>
      <c r="DT23" s="230">
        <v>5202</v>
      </c>
      <c r="DU23" s="230">
        <v>1020255</v>
      </c>
      <c r="DV23" s="270"/>
      <c r="DW23" s="227">
        <v>17</v>
      </c>
      <c r="DX23" s="226">
        <v>43022</v>
      </c>
      <c r="DY23" s="227" t="s">
        <v>301</v>
      </c>
      <c r="DZ23" s="229">
        <v>46</v>
      </c>
      <c r="EA23" s="230">
        <v>1188</v>
      </c>
      <c r="EB23" s="230">
        <v>152966</v>
      </c>
      <c r="EC23" s="270"/>
      <c r="ED23" s="227">
        <v>17</v>
      </c>
      <c r="EE23" s="226">
        <v>43000</v>
      </c>
      <c r="EF23" s="227" t="s">
        <v>302</v>
      </c>
      <c r="EG23" s="232">
        <v>238</v>
      </c>
      <c r="EH23" s="224">
        <v>7073</v>
      </c>
      <c r="EI23" s="224">
        <v>849414</v>
      </c>
      <c r="EJ23" s="270"/>
      <c r="EK23" s="227">
        <v>17</v>
      </c>
      <c r="EL23" s="226">
        <v>42986</v>
      </c>
      <c r="EM23" s="227" t="s">
        <v>302</v>
      </c>
      <c r="EN23" s="229">
        <v>235</v>
      </c>
      <c r="EO23" s="230">
        <v>2275</v>
      </c>
      <c r="EP23" s="230">
        <v>1355607</v>
      </c>
      <c r="EQ23" s="270"/>
      <c r="ER23" s="227">
        <v>17</v>
      </c>
      <c r="ES23" s="226">
        <v>42973</v>
      </c>
      <c r="ET23" s="227" t="s">
        <v>301</v>
      </c>
      <c r="EU23" s="232">
        <v>265</v>
      </c>
      <c r="EV23" s="224">
        <v>27008</v>
      </c>
      <c r="EW23" s="224">
        <v>1876814</v>
      </c>
      <c r="EX23" s="270"/>
      <c r="EY23" s="239">
        <v>17</v>
      </c>
      <c r="EZ23" s="271">
        <v>42902</v>
      </c>
      <c r="FA23" s="239" t="s">
        <v>302</v>
      </c>
      <c r="FB23" s="232">
        <v>486</v>
      </c>
      <c r="FC23" s="229">
        <v>24054</v>
      </c>
      <c r="FD23" s="229">
        <v>1975439</v>
      </c>
      <c r="FF23" s="227">
        <v>17</v>
      </c>
      <c r="FG23" s="274">
        <v>42888</v>
      </c>
      <c r="FH23" s="274" t="s">
        <v>302</v>
      </c>
      <c r="FI23" s="232">
        <v>12</v>
      </c>
      <c r="FJ23" s="232">
        <v>147</v>
      </c>
      <c r="FK23" s="273">
        <v>415114</v>
      </c>
      <c r="FM23" s="227">
        <v>17</v>
      </c>
      <c r="FN23" s="226">
        <v>42818</v>
      </c>
      <c r="FO23" s="225" t="s">
        <v>302</v>
      </c>
      <c r="FP23" s="224">
        <v>387</v>
      </c>
      <c r="FQ23" s="224">
        <v>8564</v>
      </c>
      <c r="FR23" s="224">
        <v>1624150</v>
      </c>
      <c r="FT23" s="227">
        <v>17</v>
      </c>
      <c r="FU23" s="226">
        <v>42791</v>
      </c>
      <c r="FV23" s="225" t="s">
        <v>301</v>
      </c>
      <c r="FW23" s="232">
        <v>34</v>
      </c>
      <c r="FX23" s="229">
        <v>1340</v>
      </c>
      <c r="FY23" s="229">
        <v>144404</v>
      </c>
      <c r="GA23" s="227">
        <v>17</v>
      </c>
      <c r="GB23" s="226">
        <v>42804</v>
      </c>
      <c r="GC23" s="225" t="s">
        <v>302</v>
      </c>
      <c r="GD23" s="224">
        <v>44</v>
      </c>
      <c r="GE23" s="224">
        <v>586</v>
      </c>
      <c r="GF23" s="224">
        <v>347526</v>
      </c>
      <c r="GH23" s="227">
        <v>17</v>
      </c>
      <c r="GI23" s="226">
        <v>42727</v>
      </c>
      <c r="GJ23" s="225" t="s">
        <v>302</v>
      </c>
      <c r="GK23" s="232">
        <v>57</v>
      </c>
      <c r="GL23" s="229">
        <v>1977</v>
      </c>
      <c r="GM23" s="229">
        <v>304016</v>
      </c>
      <c r="GO23" s="227">
        <v>17</v>
      </c>
      <c r="GP23" s="226">
        <v>42706</v>
      </c>
      <c r="GQ23" s="225" t="s">
        <v>302</v>
      </c>
      <c r="GR23" s="232">
        <v>755</v>
      </c>
      <c r="GS23" s="229">
        <v>84792</v>
      </c>
      <c r="GT23" s="229">
        <v>3849127</v>
      </c>
      <c r="GV23" s="227">
        <v>17</v>
      </c>
      <c r="GW23" s="226">
        <v>42672</v>
      </c>
      <c r="GX23" s="225" t="s">
        <v>301</v>
      </c>
      <c r="GY23" s="232">
        <v>2</v>
      </c>
      <c r="GZ23" s="232">
        <v>26</v>
      </c>
      <c r="HA23" s="229">
        <v>69514</v>
      </c>
      <c r="HC23" s="227">
        <v>17</v>
      </c>
      <c r="HD23" s="226">
        <v>42657</v>
      </c>
      <c r="HE23" s="225" t="s">
        <v>302</v>
      </c>
      <c r="HF23" s="234">
        <v>234</v>
      </c>
      <c r="HG23" s="236">
        <v>6066</v>
      </c>
      <c r="HH23" s="236">
        <v>590747</v>
      </c>
      <c r="HJ23" s="227">
        <v>17</v>
      </c>
      <c r="HK23" s="226">
        <v>42636</v>
      </c>
      <c r="HL23" s="225" t="s">
        <v>302</v>
      </c>
      <c r="HM23" s="224">
        <v>1052</v>
      </c>
      <c r="HN23" s="224">
        <v>105609</v>
      </c>
      <c r="HO23" s="224">
        <v>6541839</v>
      </c>
      <c r="HQ23" s="227">
        <v>17</v>
      </c>
      <c r="HR23" s="226">
        <v>42622</v>
      </c>
      <c r="HS23" s="225" t="s">
        <v>302</v>
      </c>
      <c r="HT23" s="224">
        <v>313</v>
      </c>
      <c r="HU23" s="224">
        <v>9131</v>
      </c>
      <c r="HV23" s="224">
        <v>1048410</v>
      </c>
      <c r="HX23" s="227">
        <v>17</v>
      </c>
      <c r="HY23" s="225">
        <v>42601</v>
      </c>
      <c r="HZ23" s="225" t="s">
        <v>302</v>
      </c>
      <c r="IA23" s="234">
        <v>122</v>
      </c>
      <c r="IB23" s="236">
        <v>5818</v>
      </c>
      <c r="IC23" s="236">
        <v>1865767</v>
      </c>
      <c r="IE23" s="227">
        <v>17</v>
      </c>
      <c r="IF23" s="226">
        <v>42469</v>
      </c>
      <c r="IG23" s="225" t="s">
        <v>301</v>
      </c>
      <c r="IH23" s="232">
        <v>540</v>
      </c>
      <c r="II23" s="229">
        <v>46362</v>
      </c>
      <c r="IJ23" s="229">
        <v>2137791</v>
      </c>
    </row>
    <row r="24" spans="1:244" s="260" customFormat="1" x14ac:dyDescent="0.45">
      <c r="A24" s="227">
        <v>18</v>
      </c>
      <c r="B24" s="226">
        <v>43555</v>
      </c>
      <c r="C24" s="227" t="s">
        <v>319</v>
      </c>
      <c r="D24" s="229">
        <v>22</v>
      </c>
      <c r="E24" s="228">
        <v>691</v>
      </c>
      <c r="F24" s="228">
        <v>99299</v>
      </c>
      <c r="G24" s="270"/>
      <c r="H24" s="227">
        <v>18</v>
      </c>
      <c r="I24" s="226">
        <v>43561</v>
      </c>
      <c r="J24" s="227" t="s">
        <v>319</v>
      </c>
      <c r="K24" s="229">
        <v>10</v>
      </c>
      <c r="L24" s="228">
        <v>158</v>
      </c>
      <c r="M24" s="228">
        <v>260844</v>
      </c>
      <c r="N24" s="270"/>
      <c r="O24" s="227">
        <v>18</v>
      </c>
      <c r="P24" s="226">
        <v>43519</v>
      </c>
      <c r="Q24" s="227" t="s">
        <v>319</v>
      </c>
      <c r="R24" s="229">
        <v>7</v>
      </c>
      <c r="S24" s="228">
        <v>226</v>
      </c>
      <c r="T24" s="228">
        <v>87124</v>
      </c>
      <c r="U24" s="270"/>
      <c r="V24" s="227">
        <v>18</v>
      </c>
      <c r="W24" s="226">
        <v>43470</v>
      </c>
      <c r="X24" s="227" t="s">
        <v>319</v>
      </c>
      <c r="Y24" s="229">
        <v>1123</v>
      </c>
      <c r="Z24" s="228">
        <v>209224</v>
      </c>
      <c r="AA24" s="228">
        <v>4366065</v>
      </c>
      <c r="AB24" s="270"/>
      <c r="AC24" s="227">
        <v>18</v>
      </c>
      <c r="AD24" s="226">
        <v>43435</v>
      </c>
      <c r="AE24" s="227" t="s">
        <v>319</v>
      </c>
      <c r="AF24" s="229">
        <v>409</v>
      </c>
      <c r="AG24" s="228">
        <v>35764</v>
      </c>
      <c r="AH24" s="228">
        <v>2330727</v>
      </c>
      <c r="AI24" s="270"/>
      <c r="AJ24" s="227">
        <v>18</v>
      </c>
      <c r="AK24" s="226">
        <v>43415</v>
      </c>
      <c r="AL24" s="227" t="s">
        <v>317</v>
      </c>
      <c r="AM24" s="229">
        <v>13</v>
      </c>
      <c r="AN24" s="228">
        <v>540</v>
      </c>
      <c r="AO24" s="228">
        <v>152882</v>
      </c>
      <c r="AP24" s="270"/>
      <c r="AQ24" s="227">
        <v>18</v>
      </c>
      <c r="AR24" s="226">
        <v>43399</v>
      </c>
      <c r="AS24" s="227" t="s">
        <v>302</v>
      </c>
      <c r="AT24" s="229">
        <v>234</v>
      </c>
      <c r="AU24" s="228">
        <v>11644</v>
      </c>
      <c r="AV24" s="228">
        <v>320376</v>
      </c>
      <c r="AW24" s="270"/>
      <c r="AX24" s="227">
        <v>18</v>
      </c>
      <c r="AY24" s="226">
        <v>43379</v>
      </c>
      <c r="AZ24" s="227" t="s">
        <v>301</v>
      </c>
      <c r="BA24" s="232">
        <v>97</v>
      </c>
      <c r="BB24" s="224">
        <v>2854</v>
      </c>
      <c r="BC24" s="224">
        <v>1004980</v>
      </c>
      <c r="BD24" s="270"/>
      <c r="BE24" s="239">
        <v>18</v>
      </c>
      <c r="BF24" s="226">
        <v>43344</v>
      </c>
      <c r="BG24" s="227" t="s">
        <v>301</v>
      </c>
      <c r="BH24" s="232">
        <v>30</v>
      </c>
      <c r="BI24" s="224">
        <v>657</v>
      </c>
      <c r="BJ24" s="224">
        <v>525909</v>
      </c>
      <c r="BK24" s="270"/>
      <c r="BL24" s="239">
        <v>18</v>
      </c>
      <c r="BM24" s="226">
        <v>43323</v>
      </c>
      <c r="BN24" s="227" t="s">
        <v>301</v>
      </c>
      <c r="BO24" s="232">
        <v>4</v>
      </c>
      <c r="BP24" s="224">
        <v>72</v>
      </c>
      <c r="BQ24" s="224">
        <v>895425</v>
      </c>
      <c r="BR24" s="270"/>
      <c r="BS24" s="227">
        <v>18</v>
      </c>
      <c r="BT24" s="226">
        <v>43295</v>
      </c>
      <c r="BU24" s="227" t="s">
        <v>301</v>
      </c>
      <c r="BV24" s="232">
        <v>751</v>
      </c>
      <c r="BW24" s="224">
        <v>160607</v>
      </c>
      <c r="BX24" s="224">
        <v>2329582</v>
      </c>
      <c r="BY24" s="270"/>
      <c r="BZ24" s="227">
        <v>18</v>
      </c>
      <c r="CA24" s="226">
        <v>43281</v>
      </c>
      <c r="CB24" s="227" t="s">
        <v>301</v>
      </c>
      <c r="CC24" s="232">
        <v>456</v>
      </c>
      <c r="CD24" s="230">
        <v>43517</v>
      </c>
      <c r="CE24" s="230">
        <v>1252373</v>
      </c>
      <c r="CF24" s="270"/>
      <c r="CG24" s="227">
        <v>18</v>
      </c>
      <c r="CH24" s="226">
        <v>43238</v>
      </c>
      <c r="CI24" s="227" t="s">
        <v>302</v>
      </c>
      <c r="CJ24" s="229">
        <v>175</v>
      </c>
      <c r="CK24" s="230">
        <v>3814</v>
      </c>
      <c r="CL24" s="230">
        <v>1110122</v>
      </c>
      <c r="CM24" s="270"/>
      <c r="CN24" s="239">
        <v>18</v>
      </c>
      <c r="CO24" s="226">
        <v>43219</v>
      </c>
      <c r="CP24" s="227" t="s">
        <v>300</v>
      </c>
      <c r="CQ24" s="232">
        <v>287</v>
      </c>
      <c r="CR24" s="224">
        <v>8596</v>
      </c>
      <c r="CS24" s="224">
        <v>1372657</v>
      </c>
      <c r="CT24" s="270"/>
      <c r="CU24" s="227">
        <v>18</v>
      </c>
      <c r="CV24" s="226">
        <v>43204</v>
      </c>
      <c r="CW24" s="227" t="s">
        <v>301</v>
      </c>
      <c r="CX24" s="229">
        <v>585</v>
      </c>
      <c r="CY24" s="230">
        <v>87743</v>
      </c>
      <c r="CZ24" s="230">
        <v>1999472</v>
      </c>
      <c r="DA24" s="270"/>
      <c r="DB24" s="227">
        <v>18</v>
      </c>
      <c r="DC24" s="226">
        <v>43071</v>
      </c>
      <c r="DD24" s="227" t="s">
        <v>301</v>
      </c>
      <c r="DE24" s="229">
        <v>413</v>
      </c>
      <c r="DF24" s="230">
        <v>23699</v>
      </c>
      <c r="DG24" s="230">
        <v>1734168</v>
      </c>
      <c r="DH24" s="270"/>
      <c r="DI24" s="227">
        <v>18</v>
      </c>
      <c r="DJ24" s="226">
        <v>42953</v>
      </c>
      <c r="DK24" s="227" t="s">
        <v>300</v>
      </c>
      <c r="DL24" s="229">
        <v>412</v>
      </c>
      <c r="DM24" s="230">
        <v>50096</v>
      </c>
      <c r="DN24" s="230">
        <v>2593808</v>
      </c>
      <c r="DO24" s="270"/>
      <c r="DP24" s="227">
        <v>18</v>
      </c>
      <c r="DQ24" s="226">
        <v>43044</v>
      </c>
      <c r="DR24" s="227" t="s">
        <v>300</v>
      </c>
      <c r="DS24" s="229">
        <v>88</v>
      </c>
      <c r="DT24" s="230">
        <v>5067</v>
      </c>
      <c r="DU24" s="230">
        <v>1025322</v>
      </c>
      <c r="DV24" s="270"/>
      <c r="DW24" s="227">
        <v>18</v>
      </c>
      <c r="DX24" s="226">
        <v>43023</v>
      </c>
      <c r="DY24" s="227" t="s">
        <v>300</v>
      </c>
      <c r="DZ24" s="229">
        <v>47</v>
      </c>
      <c r="EA24" s="230">
        <v>1392</v>
      </c>
      <c r="EB24" s="230">
        <v>154358</v>
      </c>
      <c r="EC24" s="270"/>
      <c r="ED24" s="227">
        <v>18</v>
      </c>
      <c r="EE24" s="226">
        <v>43001</v>
      </c>
      <c r="EF24" s="227" t="s">
        <v>301</v>
      </c>
      <c r="EG24" s="232">
        <v>237</v>
      </c>
      <c r="EH24" s="224">
        <v>13134</v>
      </c>
      <c r="EI24" s="224">
        <v>862548</v>
      </c>
      <c r="EJ24" s="270"/>
      <c r="EK24" s="227">
        <v>18</v>
      </c>
      <c r="EL24" s="226">
        <v>42987</v>
      </c>
      <c r="EM24" s="227" t="s">
        <v>301</v>
      </c>
      <c r="EN24" s="229">
        <v>225</v>
      </c>
      <c r="EO24" s="230">
        <v>4289</v>
      </c>
      <c r="EP24" s="230">
        <v>1359896</v>
      </c>
      <c r="EQ24" s="270"/>
      <c r="ER24" s="227">
        <v>18</v>
      </c>
      <c r="ES24" s="226">
        <v>42974</v>
      </c>
      <c r="ET24" s="227" t="s">
        <v>300</v>
      </c>
      <c r="EU24" s="232">
        <v>260</v>
      </c>
      <c r="EV24" s="224">
        <v>21123</v>
      </c>
      <c r="EW24" s="224">
        <v>1897937</v>
      </c>
      <c r="EX24" s="270"/>
      <c r="EY24" s="239">
        <v>18</v>
      </c>
      <c r="EZ24" s="271">
        <v>42903</v>
      </c>
      <c r="FA24" s="239" t="s">
        <v>301</v>
      </c>
      <c r="FB24" s="232">
        <v>510</v>
      </c>
      <c r="FC24" s="229">
        <v>56031</v>
      </c>
      <c r="FD24" s="229">
        <v>2031470</v>
      </c>
      <c r="FF24" s="227">
        <v>18</v>
      </c>
      <c r="FG24" s="274">
        <v>42889</v>
      </c>
      <c r="FH24" s="274" t="s">
        <v>301</v>
      </c>
      <c r="FI24" s="232">
        <v>8</v>
      </c>
      <c r="FJ24" s="232">
        <v>83</v>
      </c>
      <c r="FK24" s="273">
        <v>415197</v>
      </c>
      <c r="FM24" s="227">
        <v>18</v>
      </c>
      <c r="FN24" s="226">
        <v>42819</v>
      </c>
      <c r="FO24" s="225" t="s">
        <v>301</v>
      </c>
      <c r="FP24" s="224">
        <v>399</v>
      </c>
      <c r="FQ24" s="224">
        <v>25654</v>
      </c>
      <c r="FR24" s="224">
        <v>1649804</v>
      </c>
      <c r="FT24" s="227">
        <v>18</v>
      </c>
      <c r="FU24" s="226">
        <v>42792</v>
      </c>
      <c r="FV24" s="225" t="s">
        <v>300</v>
      </c>
      <c r="FW24" s="232">
        <v>34</v>
      </c>
      <c r="FX24" s="229">
        <v>1782</v>
      </c>
      <c r="FY24" s="229">
        <v>146186</v>
      </c>
      <c r="GA24" s="227">
        <v>18</v>
      </c>
      <c r="GB24" s="226">
        <v>42805</v>
      </c>
      <c r="GC24" s="225" t="s">
        <v>301</v>
      </c>
      <c r="GD24" s="224">
        <v>46</v>
      </c>
      <c r="GE24" s="224">
        <v>1093</v>
      </c>
      <c r="GF24" s="224">
        <v>348619</v>
      </c>
      <c r="GH24" s="227">
        <v>18</v>
      </c>
      <c r="GI24" s="226">
        <v>42728</v>
      </c>
      <c r="GJ24" s="225" t="s">
        <v>301</v>
      </c>
      <c r="GK24" s="232">
        <v>135</v>
      </c>
      <c r="GL24" s="229">
        <v>7087</v>
      </c>
      <c r="GM24" s="229">
        <v>311103</v>
      </c>
      <c r="GO24" s="227">
        <v>18</v>
      </c>
      <c r="GP24" s="226">
        <v>42707</v>
      </c>
      <c r="GQ24" s="225" t="s">
        <v>301</v>
      </c>
      <c r="GR24" s="232">
        <v>802</v>
      </c>
      <c r="GS24" s="229">
        <v>186224</v>
      </c>
      <c r="GT24" s="229">
        <v>4035351</v>
      </c>
      <c r="GV24" s="227">
        <v>18</v>
      </c>
      <c r="GW24" s="226">
        <v>42673</v>
      </c>
      <c r="GX24" s="225" t="s">
        <v>300</v>
      </c>
      <c r="GY24" s="232">
        <v>1</v>
      </c>
      <c r="GZ24" s="232">
        <v>3</v>
      </c>
      <c r="HA24" s="229">
        <v>69517</v>
      </c>
      <c r="HC24" s="227">
        <v>18</v>
      </c>
      <c r="HD24" s="226">
        <v>42658</v>
      </c>
      <c r="HE24" s="225" t="s">
        <v>301</v>
      </c>
      <c r="HF24" s="234">
        <v>222</v>
      </c>
      <c r="HG24" s="236">
        <v>8173</v>
      </c>
      <c r="HH24" s="236">
        <v>598920</v>
      </c>
      <c r="HJ24" s="227">
        <v>18</v>
      </c>
      <c r="HK24" s="226">
        <v>42637</v>
      </c>
      <c r="HL24" s="225" t="s">
        <v>301</v>
      </c>
      <c r="HM24" s="224">
        <v>1104</v>
      </c>
      <c r="HN24" s="224">
        <v>192760</v>
      </c>
      <c r="HO24" s="224">
        <v>6734599</v>
      </c>
      <c r="HQ24" s="227">
        <v>18</v>
      </c>
      <c r="HR24" s="226">
        <v>42623</v>
      </c>
      <c r="HS24" s="225" t="s">
        <v>301</v>
      </c>
      <c r="HT24" s="224">
        <v>329</v>
      </c>
      <c r="HU24" s="224">
        <v>18370</v>
      </c>
      <c r="HV24" s="224">
        <v>1066780</v>
      </c>
      <c r="HX24" s="227">
        <v>18</v>
      </c>
      <c r="HY24" s="225">
        <v>42602</v>
      </c>
      <c r="HZ24" s="225" t="s">
        <v>301</v>
      </c>
      <c r="IA24" s="234">
        <v>117</v>
      </c>
      <c r="IB24" s="236">
        <v>8976</v>
      </c>
      <c r="IC24" s="236">
        <v>1874743</v>
      </c>
      <c r="IE24" s="227">
        <v>18</v>
      </c>
      <c r="IF24" s="226">
        <v>42470</v>
      </c>
      <c r="IG24" s="225" t="s">
        <v>300</v>
      </c>
      <c r="IH24" s="232">
        <v>537</v>
      </c>
      <c r="II24" s="229">
        <v>38816</v>
      </c>
      <c r="IJ24" s="229">
        <v>2176607</v>
      </c>
    </row>
    <row r="25" spans="1:244" s="260" customFormat="1" x14ac:dyDescent="0.45">
      <c r="A25" s="227">
        <v>19</v>
      </c>
      <c r="B25" s="226">
        <v>43556</v>
      </c>
      <c r="C25" s="227" t="s">
        <v>317</v>
      </c>
      <c r="D25" s="229">
        <v>19</v>
      </c>
      <c r="E25" s="228">
        <v>271</v>
      </c>
      <c r="F25" s="228">
        <v>99570</v>
      </c>
      <c r="G25" s="270"/>
      <c r="H25" s="227">
        <v>19</v>
      </c>
      <c r="I25" s="226">
        <v>43562</v>
      </c>
      <c r="J25" s="227" t="s">
        <v>317</v>
      </c>
      <c r="K25" s="229">
        <v>9</v>
      </c>
      <c r="L25" s="228">
        <v>147</v>
      </c>
      <c r="M25" s="228">
        <v>260991</v>
      </c>
      <c r="N25" s="270"/>
      <c r="O25" s="227">
        <v>19</v>
      </c>
      <c r="P25" s="226">
        <v>43520</v>
      </c>
      <c r="Q25" s="227" t="s">
        <v>317</v>
      </c>
      <c r="R25" s="229">
        <v>9</v>
      </c>
      <c r="S25" s="228">
        <v>283</v>
      </c>
      <c r="T25" s="228">
        <v>87407</v>
      </c>
      <c r="U25" s="270"/>
      <c r="V25" s="227">
        <v>19</v>
      </c>
      <c r="W25" s="226">
        <v>43471</v>
      </c>
      <c r="X25" s="227" t="s">
        <v>317</v>
      </c>
      <c r="Y25" s="229">
        <v>1121</v>
      </c>
      <c r="Z25" s="228">
        <v>178306</v>
      </c>
      <c r="AA25" s="228">
        <v>4544371</v>
      </c>
      <c r="AB25" s="270"/>
      <c r="AC25" s="227">
        <v>19</v>
      </c>
      <c r="AD25" s="226">
        <v>43436</v>
      </c>
      <c r="AE25" s="227" t="s">
        <v>317</v>
      </c>
      <c r="AF25" s="229">
        <v>401</v>
      </c>
      <c r="AG25" s="228">
        <v>31454</v>
      </c>
      <c r="AH25" s="228">
        <v>2362181</v>
      </c>
      <c r="AI25" s="270"/>
      <c r="AJ25" s="227">
        <v>19</v>
      </c>
      <c r="AK25" s="226">
        <v>43416</v>
      </c>
      <c r="AL25" s="227" t="s">
        <v>315</v>
      </c>
      <c r="AM25" s="229">
        <v>16</v>
      </c>
      <c r="AN25" s="228">
        <v>443</v>
      </c>
      <c r="AO25" s="228">
        <v>153325</v>
      </c>
      <c r="AP25" s="270"/>
      <c r="AQ25" s="227">
        <v>19</v>
      </c>
      <c r="AR25" s="226">
        <v>43400</v>
      </c>
      <c r="AS25" s="227" t="s">
        <v>301</v>
      </c>
      <c r="AT25" s="229">
        <v>269</v>
      </c>
      <c r="AU25" s="228">
        <v>22452</v>
      </c>
      <c r="AV25" s="228">
        <v>342828</v>
      </c>
      <c r="AW25" s="270"/>
      <c r="AX25" s="227">
        <v>19</v>
      </c>
      <c r="AY25" s="226">
        <v>43380</v>
      </c>
      <c r="AZ25" s="227" t="s">
        <v>300</v>
      </c>
      <c r="BA25" s="232">
        <v>93</v>
      </c>
      <c r="BB25" s="224">
        <v>2386</v>
      </c>
      <c r="BC25" s="224">
        <v>1007366</v>
      </c>
      <c r="BD25" s="270"/>
      <c r="BE25" s="239">
        <v>19</v>
      </c>
      <c r="BF25" s="226">
        <v>43345</v>
      </c>
      <c r="BG25" s="227" t="s">
        <v>300</v>
      </c>
      <c r="BH25" s="232">
        <v>28</v>
      </c>
      <c r="BI25" s="224">
        <v>660</v>
      </c>
      <c r="BJ25" s="224">
        <v>526569</v>
      </c>
      <c r="BK25" s="270"/>
      <c r="BL25" s="239">
        <v>19</v>
      </c>
      <c r="BM25" s="226">
        <v>43324</v>
      </c>
      <c r="BN25" s="227" t="s">
        <v>300</v>
      </c>
      <c r="BO25" s="232">
        <v>4</v>
      </c>
      <c r="BP25" s="224">
        <v>127</v>
      </c>
      <c r="BQ25" s="224">
        <v>895552</v>
      </c>
      <c r="BR25" s="270"/>
      <c r="BS25" s="227">
        <v>19</v>
      </c>
      <c r="BT25" s="226">
        <v>43296</v>
      </c>
      <c r="BU25" s="227" t="s">
        <v>300</v>
      </c>
      <c r="BV25" s="232">
        <v>756</v>
      </c>
      <c r="BW25" s="224">
        <v>147295</v>
      </c>
      <c r="BX25" s="224">
        <v>2476877</v>
      </c>
      <c r="BY25" s="270"/>
      <c r="BZ25" s="227">
        <v>19</v>
      </c>
      <c r="CA25" s="226">
        <v>43282</v>
      </c>
      <c r="CB25" s="227" t="s">
        <v>300</v>
      </c>
      <c r="CC25" s="232">
        <v>461</v>
      </c>
      <c r="CD25" s="230">
        <v>32498</v>
      </c>
      <c r="CE25" s="230">
        <v>1284871</v>
      </c>
      <c r="CF25" s="270"/>
      <c r="CG25" s="227">
        <v>19</v>
      </c>
      <c r="CH25" s="226">
        <v>43239</v>
      </c>
      <c r="CI25" s="227" t="s">
        <v>301</v>
      </c>
      <c r="CJ25" s="229">
        <v>156</v>
      </c>
      <c r="CK25" s="230">
        <v>3898</v>
      </c>
      <c r="CL25" s="230">
        <v>1114020</v>
      </c>
      <c r="CM25" s="270"/>
      <c r="CN25" s="239">
        <v>19</v>
      </c>
      <c r="CO25" s="226">
        <v>43220</v>
      </c>
      <c r="CP25" s="227" t="s">
        <v>307</v>
      </c>
      <c r="CQ25" s="232">
        <v>300</v>
      </c>
      <c r="CR25" s="224">
        <v>5614</v>
      </c>
      <c r="CS25" s="224">
        <v>1378271</v>
      </c>
      <c r="CT25" s="270"/>
      <c r="CU25" s="227">
        <v>19</v>
      </c>
      <c r="CV25" s="226">
        <v>43205</v>
      </c>
      <c r="CW25" s="227" t="s">
        <v>300</v>
      </c>
      <c r="CX25" s="229">
        <v>583</v>
      </c>
      <c r="CY25" s="230">
        <v>66630</v>
      </c>
      <c r="CZ25" s="230">
        <v>2066102</v>
      </c>
      <c r="DA25" s="270"/>
      <c r="DB25" s="227">
        <v>19</v>
      </c>
      <c r="DC25" s="226">
        <v>43072</v>
      </c>
      <c r="DD25" s="227" t="s">
        <v>300</v>
      </c>
      <c r="DE25" s="229">
        <v>404</v>
      </c>
      <c r="DF25" s="230">
        <v>20412</v>
      </c>
      <c r="DG25" s="230">
        <v>1754580</v>
      </c>
      <c r="DH25" s="270"/>
      <c r="DI25" s="227">
        <v>19</v>
      </c>
      <c r="DJ25" s="226">
        <v>42954</v>
      </c>
      <c r="DK25" s="227" t="s">
        <v>307</v>
      </c>
      <c r="DL25" s="229">
        <v>413</v>
      </c>
      <c r="DM25" s="230">
        <v>27298</v>
      </c>
      <c r="DN25" s="230">
        <v>2621106</v>
      </c>
      <c r="DO25" s="270"/>
      <c r="DP25" s="227">
        <v>19</v>
      </c>
      <c r="DQ25" s="226">
        <v>43045</v>
      </c>
      <c r="DR25" s="227" t="s">
        <v>307</v>
      </c>
      <c r="DS25" s="229">
        <v>72</v>
      </c>
      <c r="DT25" s="230">
        <v>745</v>
      </c>
      <c r="DU25" s="230">
        <v>1026067</v>
      </c>
      <c r="DV25" s="270"/>
      <c r="DW25" s="227">
        <v>19</v>
      </c>
      <c r="DX25" s="226">
        <v>43024</v>
      </c>
      <c r="DY25" s="227" t="s">
        <v>307</v>
      </c>
      <c r="DZ25" s="229">
        <v>9</v>
      </c>
      <c r="EA25" s="230">
        <v>36</v>
      </c>
      <c r="EB25" s="230">
        <v>154394</v>
      </c>
      <c r="EC25" s="270"/>
      <c r="ED25" s="227">
        <v>19</v>
      </c>
      <c r="EE25" s="226">
        <v>43002</v>
      </c>
      <c r="EF25" s="227" t="s">
        <v>300</v>
      </c>
      <c r="EG25" s="232">
        <v>240</v>
      </c>
      <c r="EH25" s="224">
        <v>10361</v>
      </c>
      <c r="EI25" s="224">
        <v>872909</v>
      </c>
      <c r="EJ25" s="270"/>
      <c r="EK25" s="227">
        <v>19</v>
      </c>
      <c r="EL25" s="226">
        <v>42988</v>
      </c>
      <c r="EM25" s="227" t="s">
        <v>300</v>
      </c>
      <c r="EN25" s="229">
        <v>207</v>
      </c>
      <c r="EO25" s="230">
        <v>5057</v>
      </c>
      <c r="EP25" s="230">
        <v>1364953</v>
      </c>
      <c r="EQ25" s="270"/>
      <c r="ER25" s="227">
        <v>19</v>
      </c>
      <c r="ES25" s="226">
        <v>42975</v>
      </c>
      <c r="ET25" s="227" t="s">
        <v>307</v>
      </c>
      <c r="EU25" s="232">
        <v>248</v>
      </c>
      <c r="EV25" s="224">
        <v>7541</v>
      </c>
      <c r="EW25" s="224">
        <v>1905478</v>
      </c>
      <c r="EX25" s="270"/>
      <c r="EY25" s="239">
        <v>19</v>
      </c>
      <c r="EZ25" s="271">
        <v>42904</v>
      </c>
      <c r="FA25" s="239" t="s">
        <v>300</v>
      </c>
      <c r="FB25" s="232">
        <v>499</v>
      </c>
      <c r="FC25" s="229">
        <v>48553</v>
      </c>
      <c r="FD25" s="229">
        <v>2080023</v>
      </c>
      <c r="FF25" s="227">
        <v>19</v>
      </c>
      <c r="FG25" s="274">
        <v>42890</v>
      </c>
      <c r="FH25" s="274" t="s">
        <v>300</v>
      </c>
      <c r="FI25" s="232">
        <v>9</v>
      </c>
      <c r="FJ25" s="232">
        <v>106</v>
      </c>
      <c r="FK25" s="273">
        <v>415303</v>
      </c>
      <c r="FM25" s="227">
        <v>19</v>
      </c>
      <c r="FN25" s="226">
        <v>42820</v>
      </c>
      <c r="FO25" s="225" t="s">
        <v>300</v>
      </c>
      <c r="FP25" s="224">
        <v>391</v>
      </c>
      <c r="FQ25" s="224">
        <v>24466</v>
      </c>
      <c r="FR25" s="224">
        <v>1674270</v>
      </c>
      <c r="FT25" s="227">
        <v>19</v>
      </c>
      <c r="FU25" s="226">
        <v>42793</v>
      </c>
      <c r="FV25" s="225" t="s">
        <v>307</v>
      </c>
      <c r="FW25" s="232">
        <v>27</v>
      </c>
      <c r="FX25" s="232">
        <v>784</v>
      </c>
      <c r="FY25" s="229">
        <v>146970</v>
      </c>
      <c r="GA25" s="227">
        <v>19</v>
      </c>
      <c r="GB25" s="226">
        <v>42806</v>
      </c>
      <c r="GC25" s="225" t="s">
        <v>300</v>
      </c>
      <c r="GD25" s="224">
        <v>41</v>
      </c>
      <c r="GE25" s="224">
        <v>861</v>
      </c>
      <c r="GF25" s="224">
        <v>349480</v>
      </c>
      <c r="GH25" s="227">
        <v>19</v>
      </c>
      <c r="GI25" s="226">
        <v>42729</v>
      </c>
      <c r="GJ25" s="225" t="s">
        <v>300</v>
      </c>
      <c r="GK25" s="232">
        <v>136</v>
      </c>
      <c r="GL25" s="229">
        <v>8370</v>
      </c>
      <c r="GM25" s="229">
        <v>319473</v>
      </c>
      <c r="GO25" s="227">
        <v>19</v>
      </c>
      <c r="GP25" s="226">
        <v>42708</v>
      </c>
      <c r="GQ25" s="225" t="s">
        <v>300</v>
      </c>
      <c r="GR25" s="232">
        <v>800</v>
      </c>
      <c r="GS25" s="229">
        <v>161587</v>
      </c>
      <c r="GT25" s="229">
        <v>4196938</v>
      </c>
      <c r="GV25" s="227">
        <v>19</v>
      </c>
      <c r="GW25" s="226">
        <v>42674</v>
      </c>
      <c r="GX25" s="225" t="s">
        <v>307</v>
      </c>
      <c r="GY25" s="232">
        <v>2</v>
      </c>
      <c r="GZ25" s="232">
        <v>8</v>
      </c>
      <c r="HA25" s="229">
        <v>69525</v>
      </c>
      <c r="HC25" s="227">
        <v>19</v>
      </c>
      <c r="HD25" s="226">
        <v>42659</v>
      </c>
      <c r="HE25" s="225" t="s">
        <v>300</v>
      </c>
      <c r="HF25" s="234">
        <v>214</v>
      </c>
      <c r="HG25" s="236">
        <v>8921</v>
      </c>
      <c r="HH25" s="236">
        <v>607841</v>
      </c>
      <c r="HJ25" s="227">
        <v>19</v>
      </c>
      <c r="HK25" s="226">
        <v>42638</v>
      </c>
      <c r="HL25" s="225" t="s">
        <v>300</v>
      </c>
      <c r="HM25" s="224">
        <v>1058</v>
      </c>
      <c r="HN25" s="224">
        <v>169406</v>
      </c>
      <c r="HO25" s="224">
        <v>6904005</v>
      </c>
      <c r="HQ25" s="227">
        <v>19</v>
      </c>
      <c r="HR25" s="226">
        <v>42624</v>
      </c>
      <c r="HS25" s="225" t="s">
        <v>300</v>
      </c>
      <c r="HT25" s="224">
        <v>319</v>
      </c>
      <c r="HU25" s="224">
        <v>14258</v>
      </c>
      <c r="HV25" s="224">
        <v>1081038</v>
      </c>
      <c r="HX25" s="227">
        <v>19</v>
      </c>
      <c r="HY25" s="225">
        <v>42603</v>
      </c>
      <c r="HZ25" s="225" t="s">
        <v>300</v>
      </c>
      <c r="IA25" s="234">
        <v>125</v>
      </c>
      <c r="IB25" s="236">
        <v>7975</v>
      </c>
      <c r="IC25" s="236">
        <v>1882718</v>
      </c>
      <c r="IE25" s="227">
        <v>19</v>
      </c>
      <c r="IF25" s="226">
        <v>42471</v>
      </c>
      <c r="IG25" s="225" t="s">
        <v>307</v>
      </c>
      <c r="IH25" s="232">
        <v>491</v>
      </c>
      <c r="II25" s="229">
        <v>9052</v>
      </c>
      <c r="IJ25" s="229">
        <v>2185659</v>
      </c>
    </row>
    <row r="26" spans="1:244" s="260" customFormat="1" x14ac:dyDescent="0.45">
      <c r="A26" s="227">
        <v>20</v>
      </c>
      <c r="B26" s="226">
        <v>43557</v>
      </c>
      <c r="C26" s="227" t="s">
        <v>315</v>
      </c>
      <c r="D26" s="229">
        <v>20</v>
      </c>
      <c r="E26" s="228">
        <v>306</v>
      </c>
      <c r="F26" s="228">
        <v>99876</v>
      </c>
      <c r="G26" s="270"/>
      <c r="H26" s="227">
        <v>20</v>
      </c>
      <c r="I26" s="226">
        <v>43563</v>
      </c>
      <c r="J26" s="227" t="s">
        <v>315</v>
      </c>
      <c r="K26" s="229">
        <v>10</v>
      </c>
      <c r="L26" s="228">
        <v>116</v>
      </c>
      <c r="M26" s="228">
        <v>261107</v>
      </c>
      <c r="N26" s="270"/>
      <c r="O26" s="227">
        <v>20</v>
      </c>
      <c r="P26" s="226">
        <v>43521</v>
      </c>
      <c r="Q26" s="227" t="s">
        <v>315</v>
      </c>
      <c r="R26" s="229">
        <v>3</v>
      </c>
      <c r="S26" s="228">
        <v>72</v>
      </c>
      <c r="T26" s="228">
        <v>87479</v>
      </c>
      <c r="U26" s="270"/>
      <c r="V26" s="227">
        <v>20</v>
      </c>
      <c r="W26" s="226">
        <v>43472</v>
      </c>
      <c r="X26" s="227" t="s">
        <v>315</v>
      </c>
      <c r="Y26" s="229">
        <v>1083</v>
      </c>
      <c r="Z26" s="228">
        <v>60679</v>
      </c>
      <c r="AA26" s="228">
        <v>4605050</v>
      </c>
      <c r="AB26" s="270"/>
      <c r="AC26" s="227">
        <v>20</v>
      </c>
      <c r="AD26" s="226">
        <v>43437</v>
      </c>
      <c r="AE26" s="227" t="s">
        <v>315</v>
      </c>
      <c r="AF26" s="229">
        <v>379</v>
      </c>
      <c r="AG26" s="228">
        <v>9165</v>
      </c>
      <c r="AH26" s="228">
        <v>2371346</v>
      </c>
      <c r="AI26" s="270"/>
      <c r="AJ26" s="227">
        <v>20</v>
      </c>
      <c r="AK26" s="226">
        <v>43417</v>
      </c>
      <c r="AL26" s="227" t="s">
        <v>312</v>
      </c>
      <c r="AM26" s="229">
        <v>17</v>
      </c>
      <c r="AN26" s="228">
        <v>202</v>
      </c>
      <c r="AO26" s="228">
        <v>153527</v>
      </c>
      <c r="AP26" s="270"/>
      <c r="AQ26" s="227">
        <v>20</v>
      </c>
      <c r="AR26" s="226">
        <v>43401</v>
      </c>
      <c r="AS26" s="227" t="s">
        <v>300</v>
      </c>
      <c r="AT26" s="229">
        <v>292</v>
      </c>
      <c r="AU26" s="228">
        <v>24137</v>
      </c>
      <c r="AV26" s="228">
        <v>366965</v>
      </c>
      <c r="AW26" s="270"/>
      <c r="AX26" s="227">
        <v>20</v>
      </c>
      <c r="AY26" s="226">
        <v>43381</v>
      </c>
      <c r="AZ26" s="227" t="s">
        <v>307</v>
      </c>
      <c r="BA26" s="232">
        <v>106</v>
      </c>
      <c r="BB26" s="224">
        <v>2061</v>
      </c>
      <c r="BC26" s="224">
        <v>1009427</v>
      </c>
      <c r="BD26" s="270"/>
      <c r="BE26" s="239">
        <v>20</v>
      </c>
      <c r="BF26" s="226">
        <v>43346</v>
      </c>
      <c r="BG26" s="227" t="s">
        <v>307</v>
      </c>
      <c r="BH26" s="232">
        <v>20</v>
      </c>
      <c r="BI26" s="224">
        <v>143</v>
      </c>
      <c r="BJ26" s="224">
        <v>526712</v>
      </c>
      <c r="BK26" s="270"/>
      <c r="BL26" s="239">
        <v>20</v>
      </c>
      <c r="BM26" s="226">
        <v>43325</v>
      </c>
      <c r="BN26" s="227" t="s">
        <v>307</v>
      </c>
      <c r="BO26" s="232">
        <v>6</v>
      </c>
      <c r="BP26" s="224">
        <v>89</v>
      </c>
      <c r="BQ26" s="224">
        <v>895641</v>
      </c>
      <c r="BR26" s="270"/>
      <c r="BS26" s="227">
        <v>20</v>
      </c>
      <c r="BT26" s="226">
        <v>43297</v>
      </c>
      <c r="BU26" s="227" t="s">
        <v>307</v>
      </c>
      <c r="BV26" s="232">
        <v>724</v>
      </c>
      <c r="BW26" s="224">
        <v>54579</v>
      </c>
      <c r="BX26" s="224">
        <v>2531456</v>
      </c>
      <c r="BY26" s="270"/>
      <c r="BZ26" s="227">
        <v>20</v>
      </c>
      <c r="CA26" s="226">
        <v>43283</v>
      </c>
      <c r="CB26" s="227" t="s">
        <v>307</v>
      </c>
      <c r="CC26" s="232">
        <v>408</v>
      </c>
      <c r="CD26" s="230">
        <v>14222</v>
      </c>
      <c r="CE26" s="230">
        <v>1299093</v>
      </c>
      <c r="CF26" s="270"/>
      <c r="CG26" s="227">
        <v>20</v>
      </c>
      <c r="CH26" s="226">
        <v>43240</v>
      </c>
      <c r="CI26" s="227" t="s">
        <v>300</v>
      </c>
      <c r="CJ26" s="229">
        <v>152</v>
      </c>
      <c r="CK26" s="230">
        <v>3519</v>
      </c>
      <c r="CL26" s="230">
        <v>1117539</v>
      </c>
      <c r="CM26" s="270"/>
      <c r="CN26" s="239">
        <v>20</v>
      </c>
      <c r="CO26" s="226">
        <v>43221</v>
      </c>
      <c r="CP26" s="227" t="s">
        <v>305</v>
      </c>
      <c r="CQ26" s="232">
        <v>110</v>
      </c>
      <c r="CR26" s="224">
        <v>2607</v>
      </c>
      <c r="CS26" s="224">
        <v>1380878</v>
      </c>
      <c r="CT26" s="270"/>
      <c r="CU26" s="227">
        <v>20</v>
      </c>
      <c r="CV26" s="226">
        <v>43206</v>
      </c>
      <c r="CW26" s="227" t="s">
        <v>307</v>
      </c>
      <c r="CX26" s="229">
        <v>507</v>
      </c>
      <c r="CY26" s="230">
        <v>16533</v>
      </c>
      <c r="CZ26" s="230">
        <v>2082635</v>
      </c>
      <c r="DA26" s="270"/>
      <c r="DB26" s="227">
        <v>20</v>
      </c>
      <c r="DC26" s="226">
        <v>43073</v>
      </c>
      <c r="DD26" s="227" t="s">
        <v>307</v>
      </c>
      <c r="DE26" s="229">
        <v>374</v>
      </c>
      <c r="DF26" s="230">
        <v>5030</v>
      </c>
      <c r="DG26" s="230">
        <v>1759610</v>
      </c>
      <c r="DH26" s="270"/>
      <c r="DI26" s="227">
        <v>20</v>
      </c>
      <c r="DJ26" s="226">
        <v>42955</v>
      </c>
      <c r="DK26" s="227" t="s">
        <v>305</v>
      </c>
      <c r="DL26" s="229">
        <v>433</v>
      </c>
      <c r="DM26" s="230">
        <v>28156</v>
      </c>
      <c r="DN26" s="230">
        <v>2649262</v>
      </c>
      <c r="DO26" s="270"/>
      <c r="DP26" s="227">
        <v>20</v>
      </c>
      <c r="DQ26" s="226">
        <v>43046</v>
      </c>
      <c r="DR26" s="227" t="s">
        <v>305</v>
      </c>
      <c r="DS26" s="229">
        <v>67</v>
      </c>
      <c r="DT26" s="230">
        <v>720</v>
      </c>
      <c r="DU26" s="230">
        <v>1026787</v>
      </c>
      <c r="DV26" s="270"/>
      <c r="DW26" s="227">
        <v>20</v>
      </c>
      <c r="DX26" s="226">
        <v>43025</v>
      </c>
      <c r="DY26" s="227" t="s">
        <v>305</v>
      </c>
      <c r="DZ26" s="229">
        <v>10</v>
      </c>
      <c r="EA26" s="230">
        <v>35</v>
      </c>
      <c r="EB26" s="230">
        <v>154429</v>
      </c>
      <c r="EC26" s="270"/>
      <c r="ED26" s="227">
        <v>20</v>
      </c>
      <c r="EE26" s="226">
        <v>43003</v>
      </c>
      <c r="EF26" s="227" t="s">
        <v>307</v>
      </c>
      <c r="EG26" s="232">
        <v>219</v>
      </c>
      <c r="EH26" s="224">
        <v>2992</v>
      </c>
      <c r="EI26" s="224">
        <v>875901</v>
      </c>
      <c r="EJ26" s="270"/>
      <c r="EK26" s="227">
        <v>20</v>
      </c>
      <c r="EL26" s="226">
        <v>42989</v>
      </c>
      <c r="EM26" s="227" t="s">
        <v>307</v>
      </c>
      <c r="EN26" s="229">
        <v>223</v>
      </c>
      <c r="EO26" s="230">
        <v>1689</v>
      </c>
      <c r="EP26" s="230">
        <v>1366642</v>
      </c>
      <c r="EQ26" s="270"/>
      <c r="ER26" s="227">
        <v>20</v>
      </c>
      <c r="ES26" s="226">
        <v>42976</v>
      </c>
      <c r="ET26" s="227" t="s">
        <v>305</v>
      </c>
      <c r="EU26" s="232">
        <v>253</v>
      </c>
      <c r="EV26" s="224">
        <v>6727</v>
      </c>
      <c r="EW26" s="224">
        <v>1912205</v>
      </c>
      <c r="EX26" s="270"/>
      <c r="EY26" s="239">
        <v>20</v>
      </c>
      <c r="EZ26" s="271">
        <v>42905</v>
      </c>
      <c r="FA26" s="239" t="s">
        <v>307</v>
      </c>
      <c r="FB26" s="232">
        <v>440</v>
      </c>
      <c r="FC26" s="229">
        <v>14511</v>
      </c>
      <c r="FD26" s="229">
        <v>2094534</v>
      </c>
      <c r="FF26" s="227">
        <v>20</v>
      </c>
      <c r="FG26" s="274">
        <v>42891</v>
      </c>
      <c r="FH26" s="274" t="s">
        <v>307</v>
      </c>
      <c r="FI26" s="232">
        <v>14</v>
      </c>
      <c r="FJ26" s="232">
        <v>195</v>
      </c>
      <c r="FK26" s="273">
        <v>415498</v>
      </c>
      <c r="FM26" s="227">
        <v>20</v>
      </c>
      <c r="FN26" s="226">
        <v>42821</v>
      </c>
      <c r="FO26" s="225" t="s">
        <v>307</v>
      </c>
      <c r="FP26" s="224">
        <v>337</v>
      </c>
      <c r="FQ26" s="224">
        <v>4034</v>
      </c>
      <c r="FR26" s="224">
        <v>1678304</v>
      </c>
      <c r="FT26" s="227">
        <v>20</v>
      </c>
      <c r="FU26" s="226">
        <v>42794</v>
      </c>
      <c r="FV26" s="225" t="s">
        <v>305</v>
      </c>
      <c r="FW26" s="232">
        <v>23</v>
      </c>
      <c r="FX26" s="232">
        <v>802</v>
      </c>
      <c r="FY26" s="229">
        <v>147772</v>
      </c>
      <c r="GA26" s="227">
        <v>20</v>
      </c>
      <c r="GB26" s="226">
        <v>42807</v>
      </c>
      <c r="GC26" s="225" t="s">
        <v>307</v>
      </c>
      <c r="GD26" s="224">
        <v>41</v>
      </c>
      <c r="GE26" s="224">
        <v>459</v>
      </c>
      <c r="GF26" s="224">
        <v>349939</v>
      </c>
      <c r="GH26" s="227">
        <v>20</v>
      </c>
      <c r="GI26" s="226">
        <v>42730</v>
      </c>
      <c r="GJ26" s="225" t="s">
        <v>307</v>
      </c>
      <c r="GK26" s="232">
        <v>40</v>
      </c>
      <c r="GL26" s="232">
        <v>809</v>
      </c>
      <c r="GM26" s="229">
        <v>320282</v>
      </c>
      <c r="GO26" s="227">
        <v>20</v>
      </c>
      <c r="GP26" s="226">
        <v>42709</v>
      </c>
      <c r="GQ26" s="225" t="s">
        <v>307</v>
      </c>
      <c r="GR26" s="232">
        <v>687</v>
      </c>
      <c r="GS26" s="229">
        <v>42628</v>
      </c>
      <c r="GT26" s="229">
        <v>4239566</v>
      </c>
      <c r="GV26" s="227">
        <v>20</v>
      </c>
      <c r="GW26" s="226">
        <v>42675</v>
      </c>
      <c r="GX26" s="225" t="s">
        <v>305</v>
      </c>
      <c r="GY26" s="232">
        <v>2</v>
      </c>
      <c r="GZ26" s="232">
        <v>4</v>
      </c>
      <c r="HA26" s="229">
        <v>69529</v>
      </c>
      <c r="HC26" s="227">
        <v>20</v>
      </c>
      <c r="HD26" s="226">
        <v>42660</v>
      </c>
      <c r="HE26" s="225" t="s">
        <v>307</v>
      </c>
      <c r="HF26" s="234">
        <v>198</v>
      </c>
      <c r="HG26" s="236">
        <v>3149</v>
      </c>
      <c r="HH26" s="236">
        <v>610990</v>
      </c>
      <c r="HJ26" s="227">
        <v>20</v>
      </c>
      <c r="HK26" s="226">
        <v>42639</v>
      </c>
      <c r="HL26" s="225" t="s">
        <v>307</v>
      </c>
      <c r="HM26" s="224">
        <v>1024</v>
      </c>
      <c r="HN26" s="224">
        <v>62617</v>
      </c>
      <c r="HO26" s="224">
        <v>6966622</v>
      </c>
      <c r="HQ26" s="227">
        <v>20</v>
      </c>
      <c r="HR26" s="226">
        <v>42625</v>
      </c>
      <c r="HS26" s="225" t="s">
        <v>307</v>
      </c>
      <c r="HT26" s="224">
        <v>284</v>
      </c>
      <c r="HU26" s="224">
        <v>5232</v>
      </c>
      <c r="HV26" s="224">
        <v>1086270</v>
      </c>
      <c r="HX26" s="227">
        <v>20</v>
      </c>
      <c r="HY26" s="225">
        <v>42604</v>
      </c>
      <c r="HZ26" s="225" t="s">
        <v>307</v>
      </c>
      <c r="IA26" s="234">
        <v>115</v>
      </c>
      <c r="IB26" s="236">
        <v>3900</v>
      </c>
      <c r="IC26" s="236">
        <v>1886618</v>
      </c>
      <c r="IE26" s="227">
        <v>20</v>
      </c>
      <c r="IF26" s="226">
        <v>42472</v>
      </c>
      <c r="IG26" s="225" t="s">
        <v>305</v>
      </c>
      <c r="IH26" s="232">
        <v>492</v>
      </c>
      <c r="II26" s="229">
        <v>11768</v>
      </c>
      <c r="IJ26" s="229">
        <v>2197427</v>
      </c>
    </row>
    <row r="27" spans="1:244" s="260" customFormat="1" x14ac:dyDescent="0.45">
      <c r="A27" s="227">
        <v>21</v>
      </c>
      <c r="B27" s="226">
        <v>43558</v>
      </c>
      <c r="C27" s="227" t="s">
        <v>312</v>
      </c>
      <c r="D27" s="229">
        <v>11</v>
      </c>
      <c r="E27" s="228">
        <v>138</v>
      </c>
      <c r="F27" s="228">
        <v>100014</v>
      </c>
      <c r="G27" s="270"/>
      <c r="H27" s="227">
        <v>21</v>
      </c>
      <c r="I27" s="226">
        <v>43564</v>
      </c>
      <c r="J27" s="227" t="s">
        <v>312</v>
      </c>
      <c r="K27" s="229">
        <v>9</v>
      </c>
      <c r="L27" s="228">
        <v>85</v>
      </c>
      <c r="M27" s="228">
        <v>261192</v>
      </c>
      <c r="N27" s="270"/>
      <c r="O27" s="227">
        <v>21</v>
      </c>
      <c r="P27" s="226">
        <v>43522</v>
      </c>
      <c r="Q27" s="227" t="s">
        <v>312</v>
      </c>
      <c r="R27" s="229">
        <v>5</v>
      </c>
      <c r="S27" s="228">
        <v>106</v>
      </c>
      <c r="T27" s="228">
        <v>87585</v>
      </c>
      <c r="U27" s="270"/>
      <c r="V27" s="227">
        <v>21</v>
      </c>
      <c r="W27" s="226">
        <v>43473</v>
      </c>
      <c r="X27" s="227" t="s">
        <v>312</v>
      </c>
      <c r="Y27" s="229">
        <v>1086</v>
      </c>
      <c r="Z27" s="228">
        <v>59260</v>
      </c>
      <c r="AA27" s="228">
        <v>4664310</v>
      </c>
      <c r="AB27" s="270"/>
      <c r="AC27" s="227">
        <v>21</v>
      </c>
      <c r="AD27" s="226">
        <v>43438</v>
      </c>
      <c r="AE27" s="227" t="s">
        <v>312</v>
      </c>
      <c r="AF27" s="229">
        <v>385</v>
      </c>
      <c r="AG27" s="228">
        <v>9314</v>
      </c>
      <c r="AH27" s="228">
        <v>2380660</v>
      </c>
      <c r="AI27" s="270"/>
      <c r="AJ27" s="227">
        <v>21</v>
      </c>
      <c r="AK27" s="226">
        <v>43418</v>
      </c>
      <c r="AL27" s="227" t="s">
        <v>310</v>
      </c>
      <c r="AM27" s="229">
        <v>4</v>
      </c>
      <c r="AN27" s="228">
        <v>95</v>
      </c>
      <c r="AO27" s="228">
        <v>153622</v>
      </c>
      <c r="AP27" s="270"/>
      <c r="AQ27" s="227">
        <v>21</v>
      </c>
      <c r="AR27" s="226">
        <v>43402</v>
      </c>
      <c r="AS27" s="227" t="s">
        <v>307</v>
      </c>
      <c r="AT27" s="229">
        <v>263</v>
      </c>
      <c r="AU27" s="228">
        <v>10676</v>
      </c>
      <c r="AV27" s="228">
        <v>377641</v>
      </c>
      <c r="AW27" s="270"/>
      <c r="AX27" s="227">
        <v>21</v>
      </c>
      <c r="AY27" s="226">
        <v>43382</v>
      </c>
      <c r="AZ27" s="227" t="s">
        <v>305</v>
      </c>
      <c r="BA27" s="232">
        <v>38</v>
      </c>
      <c r="BB27" s="224">
        <v>906</v>
      </c>
      <c r="BC27" s="224">
        <v>1010333</v>
      </c>
      <c r="BD27" s="270"/>
      <c r="BE27" s="239">
        <v>21</v>
      </c>
      <c r="BF27" s="226">
        <v>43347</v>
      </c>
      <c r="BG27" s="227" t="s">
        <v>305</v>
      </c>
      <c r="BH27" s="232">
        <v>21</v>
      </c>
      <c r="BI27" s="224">
        <v>144</v>
      </c>
      <c r="BJ27" s="224">
        <v>526856</v>
      </c>
      <c r="BK27" s="270"/>
      <c r="BL27" s="243">
        <v>21</v>
      </c>
      <c r="BM27" s="248">
        <v>43326</v>
      </c>
      <c r="BN27" s="243" t="s">
        <v>305</v>
      </c>
      <c r="BO27" s="257">
        <v>23</v>
      </c>
      <c r="BP27" s="246">
        <v>735</v>
      </c>
      <c r="BQ27" s="246">
        <v>896376</v>
      </c>
      <c r="BR27" s="270"/>
      <c r="BS27" s="227">
        <v>21</v>
      </c>
      <c r="BT27" s="226">
        <v>43298</v>
      </c>
      <c r="BU27" s="227" t="s">
        <v>305</v>
      </c>
      <c r="BV27" s="232">
        <v>728</v>
      </c>
      <c r="BW27" s="224">
        <v>51203</v>
      </c>
      <c r="BX27" s="224">
        <v>2582659</v>
      </c>
      <c r="BY27" s="270"/>
      <c r="BZ27" s="227">
        <v>21</v>
      </c>
      <c r="CA27" s="226">
        <v>43284</v>
      </c>
      <c r="CB27" s="227" t="s">
        <v>305</v>
      </c>
      <c r="CC27" s="232">
        <v>418</v>
      </c>
      <c r="CD27" s="230">
        <v>14628</v>
      </c>
      <c r="CE27" s="230">
        <v>1313721</v>
      </c>
      <c r="CF27" s="270"/>
      <c r="CG27" s="227">
        <v>21</v>
      </c>
      <c r="CH27" s="226">
        <v>43241</v>
      </c>
      <c r="CI27" s="227" t="s">
        <v>307</v>
      </c>
      <c r="CJ27" s="229">
        <v>165</v>
      </c>
      <c r="CK27" s="230">
        <v>3453</v>
      </c>
      <c r="CL27" s="230">
        <v>1120992</v>
      </c>
      <c r="CM27" s="270"/>
      <c r="CN27" s="239">
        <v>21</v>
      </c>
      <c r="CO27" s="226">
        <v>43222</v>
      </c>
      <c r="CP27" s="227" t="s">
        <v>304</v>
      </c>
      <c r="CQ27" s="232">
        <v>93</v>
      </c>
      <c r="CR27" s="224">
        <v>959</v>
      </c>
      <c r="CS27" s="224">
        <v>1381837</v>
      </c>
      <c r="CT27" s="270"/>
      <c r="CU27" s="227">
        <v>21</v>
      </c>
      <c r="CV27" s="226">
        <v>43207</v>
      </c>
      <c r="CW27" s="227" t="s">
        <v>305</v>
      </c>
      <c r="CX27" s="229">
        <v>515</v>
      </c>
      <c r="CY27" s="230">
        <v>14694</v>
      </c>
      <c r="CZ27" s="230">
        <v>2097329</v>
      </c>
      <c r="DA27" s="270"/>
      <c r="DB27" s="227">
        <v>21</v>
      </c>
      <c r="DC27" s="226">
        <v>43074</v>
      </c>
      <c r="DD27" s="227" t="s">
        <v>305</v>
      </c>
      <c r="DE27" s="229">
        <v>372</v>
      </c>
      <c r="DF27" s="230">
        <v>5298</v>
      </c>
      <c r="DG27" s="230">
        <v>1764908</v>
      </c>
      <c r="DH27" s="270"/>
      <c r="DI27" s="227">
        <v>21</v>
      </c>
      <c r="DJ27" s="226">
        <v>42956</v>
      </c>
      <c r="DK27" s="227" t="s">
        <v>304</v>
      </c>
      <c r="DL27" s="229">
        <v>163</v>
      </c>
      <c r="DM27" s="230">
        <v>12309</v>
      </c>
      <c r="DN27" s="230">
        <v>2661571</v>
      </c>
      <c r="DO27" s="270"/>
      <c r="DP27" s="227">
        <v>21</v>
      </c>
      <c r="DQ27" s="226">
        <v>43047</v>
      </c>
      <c r="DR27" s="227" t="s">
        <v>304</v>
      </c>
      <c r="DS27" s="229">
        <v>45</v>
      </c>
      <c r="DT27" s="230">
        <v>458</v>
      </c>
      <c r="DU27" s="230">
        <v>1027245</v>
      </c>
      <c r="DV27" s="270"/>
      <c r="DW27" s="227">
        <v>21</v>
      </c>
      <c r="DX27" s="226">
        <v>43026</v>
      </c>
      <c r="DY27" s="227" t="s">
        <v>304</v>
      </c>
      <c r="DZ27" s="229">
        <v>7</v>
      </c>
      <c r="EA27" s="230">
        <v>47</v>
      </c>
      <c r="EB27" s="230">
        <v>154476</v>
      </c>
      <c r="EC27" s="270"/>
      <c r="ED27" s="227">
        <v>21</v>
      </c>
      <c r="EE27" s="226">
        <v>43004</v>
      </c>
      <c r="EF27" s="227" t="s">
        <v>305</v>
      </c>
      <c r="EG27" s="232">
        <v>215</v>
      </c>
      <c r="EH27" s="224">
        <v>2772</v>
      </c>
      <c r="EI27" s="224">
        <v>878673</v>
      </c>
      <c r="EJ27" s="270"/>
      <c r="EK27" s="227">
        <v>21</v>
      </c>
      <c r="EL27" s="226">
        <v>42990</v>
      </c>
      <c r="EM27" s="227" t="s">
        <v>305</v>
      </c>
      <c r="EN27" s="229">
        <v>212</v>
      </c>
      <c r="EO27" s="230">
        <v>1934</v>
      </c>
      <c r="EP27" s="230">
        <v>1368576</v>
      </c>
      <c r="EQ27" s="270"/>
      <c r="ER27" s="227">
        <v>21</v>
      </c>
      <c r="ES27" s="226">
        <v>42977</v>
      </c>
      <c r="ET27" s="227" t="s">
        <v>304</v>
      </c>
      <c r="EU27" s="232">
        <v>99</v>
      </c>
      <c r="EV27" s="224">
        <v>3934</v>
      </c>
      <c r="EW27" s="224">
        <v>1916139</v>
      </c>
      <c r="EX27" s="270"/>
      <c r="EY27" s="239">
        <v>21</v>
      </c>
      <c r="EZ27" s="271">
        <v>42906</v>
      </c>
      <c r="FA27" s="239" t="s">
        <v>305</v>
      </c>
      <c r="FB27" s="232">
        <v>440</v>
      </c>
      <c r="FC27" s="229">
        <v>14506</v>
      </c>
      <c r="FD27" s="229">
        <v>2109040</v>
      </c>
      <c r="FF27" s="227">
        <v>21</v>
      </c>
      <c r="FG27" s="274">
        <v>42892</v>
      </c>
      <c r="FH27" s="274" t="s">
        <v>305</v>
      </c>
      <c r="FI27" s="232">
        <v>4</v>
      </c>
      <c r="FJ27" s="232">
        <v>66</v>
      </c>
      <c r="FK27" s="273">
        <v>415564</v>
      </c>
      <c r="FM27" s="227">
        <v>21</v>
      </c>
      <c r="FN27" s="226">
        <v>42822</v>
      </c>
      <c r="FO27" s="225" t="s">
        <v>305</v>
      </c>
      <c r="FP27" s="224">
        <v>346</v>
      </c>
      <c r="FQ27" s="224">
        <v>3668</v>
      </c>
      <c r="FR27" s="224">
        <v>1681972</v>
      </c>
      <c r="FT27" s="227">
        <v>21</v>
      </c>
      <c r="FU27" s="226">
        <v>42795</v>
      </c>
      <c r="FV27" s="225" t="s">
        <v>304</v>
      </c>
      <c r="FW27" s="232">
        <v>3</v>
      </c>
      <c r="FX27" s="232">
        <v>250</v>
      </c>
      <c r="FY27" s="229">
        <v>148022</v>
      </c>
      <c r="GA27" s="227">
        <v>21</v>
      </c>
      <c r="GB27" s="226">
        <v>42808</v>
      </c>
      <c r="GC27" s="225" t="s">
        <v>305</v>
      </c>
      <c r="GD27" s="224">
        <v>36</v>
      </c>
      <c r="GE27" s="224">
        <v>367</v>
      </c>
      <c r="GF27" s="224">
        <v>350306</v>
      </c>
      <c r="GH27" s="227">
        <v>21</v>
      </c>
      <c r="GI27" s="226">
        <v>42731</v>
      </c>
      <c r="GJ27" s="225" t="s">
        <v>305</v>
      </c>
      <c r="GK27" s="232">
        <v>44</v>
      </c>
      <c r="GL27" s="229">
        <v>1358</v>
      </c>
      <c r="GM27" s="229">
        <v>321640</v>
      </c>
      <c r="GO27" s="227">
        <v>21</v>
      </c>
      <c r="GP27" s="226">
        <v>42710</v>
      </c>
      <c r="GQ27" s="225" t="s">
        <v>305</v>
      </c>
      <c r="GR27" s="232">
        <v>707</v>
      </c>
      <c r="GS27" s="229">
        <v>42589</v>
      </c>
      <c r="GT27" s="229">
        <v>4282155</v>
      </c>
      <c r="GV27" s="223" t="s">
        <v>346</v>
      </c>
      <c r="GW27" s="221"/>
      <c r="GX27" s="221"/>
      <c r="GY27" s="220"/>
      <c r="GZ27" s="220"/>
      <c r="HA27" s="220"/>
      <c r="HC27" s="227">
        <v>21</v>
      </c>
      <c r="HD27" s="226">
        <v>42661</v>
      </c>
      <c r="HE27" s="225" t="s">
        <v>305</v>
      </c>
      <c r="HF27" s="234">
        <v>209</v>
      </c>
      <c r="HG27" s="236">
        <v>3375</v>
      </c>
      <c r="HH27" s="236">
        <v>614365</v>
      </c>
      <c r="HJ27" s="227">
        <v>21</v>
      </c>
      <c r="HK27" s="226">
        <v>42640</v>
      </c>
      <c r="HL27" s="225" t="s">
        <v>305</v>
      </c>
      <c r="HM27" s="224">
        <v>1059</v>
      </c>
      <c r="HN27" s="224">
        <v>68006</v>
      </c>
      <c r="HO27" s="224">
        <v>7034628</v>
      </c>
      <c r="HQ27" s="227">
        <v>21</v>
      </c>
      <c r="HR27" s="226">
        <v>42626</v>
      </c>
      <c r="HS27" s="225" t="s">
        <v>305</v>
      </c>
      <c r="HT27" s="224">
        <v>218</v>
      </c>
      <c r="HU27" s="224">
        <v>5417</v>
      </c>
      <c r="HV27" s="224">
        <v>1091687</v>
      </c>
      <c r="HX27" s="227">
        <v>21</v>
      </c>
      <c r="HY27" s="225">
        <v>42605</v>
      </c>
      <c r="HZ27" s="225" t="s">
        <v>305</v>
      </c>
      <c r="IA27" s="234">
        <v>110</v>
      </c>
      <c r="IB27" s="236">
        <v>3340</v>
      </c>
      <c r="IC27" s="236">
        <v>1889958</v>
      </c>
      <c r="IE27" s="227">
        <v>21</v>
      </c>
      <c r="IF27" s="226">
        <v>42473</v>
      </c>
      <c r="IG27" s="225" t="s">
        <v>304</v>
      </c>
      <c r="IH27" s="232">
        <v>280</v>
      </c>
      <c r="II27" s="229">
        <v>16800</v>
      </c>
      <c r="IJ27" s="229">
        <v>2214227</v>
      </c>
    </row>
    <row r="28" spans="1:244" s="260" customFormat="1" x14ac:dyDescent="0.45">
      <c r="A28" s="227">
        <v>22</v>
      </c>
      <c r="B28" s="226">
        <v>43559</v>
      </c>
      <c r="C28" s="227" t="s">
        <v>310</v>
      </c>
      <c r="D28" s="229">
        <v>6</v>
      </c>
      <c r="E28" s="228">
        <v>142</v>
      </c>
      <c r="F28" s="228">
        <v>100156</v>
      </c>
      <c r="G28" s="270"/>
      <c r="H28" s="227">
        <v>22</v>
      </c>
      <c r="I28" s="226">
        <v>43565</v>
      </c>
      <c r="J28" s="227" t="s">
        <v>310</v>
      </c>
      <c r="K28" s="229">
        <v>3</v>
      </c>
      <c r="L28" s="228">
        <v>56</v>
      </c>
      <c r="M28" s="228">
        <v>261248</v>
      </c>
      <c r="N28" s="270"/>
      <c r="O28" s="227">
        <v>22</v>
      </c>
      <c r="P28" s="226">
        <v>43523</v>
      </c>
      <c r="Q28" s="227" t="s">
        <v>310</v>
      </c>
      <c r="R28" s="229">
        <v>1</v>
      </c>
      <c r="S28" s="228">
        <v>6</v>
      </c>
      <c r="T28" s="228">
        <v>87591</v>
      </c>
      <c r="U28" s="270"/>
      <c r="V28" s="227">
        <v>22</v>
      </c>
      <c r="W28" s="226">
        <v>43474</v>
      </c>
      <c r="X28" s="227" t="s">
        <v>310</v>
      </c>
      <c r="Y28" s="229">
        <v>749</v>
      </c>
      <c r="Z28" s="228">
        <v>40815</v>
      </c>
      <c r="AA28" s="228">
        <v>4705125</v>
      </c>
      <c r="AB28" s="270"/>
      <c r="AC28" s="227">
        <v>22</v>
      </c>
      <c r="AD28" s="226">
        <v>43439</v>
      </c>
      <c r="AE28" s="227" t="s">
        <v>310</v>
      </c>
      <c r="AF28" s="229">
        <v>146</v>
      </c>
      <c r="AG28" s="228">
        <v>3982</v>
      </c>
      <c r="AH28" s="228">
        <v>2384642</v>
      </c>
      <c r="AI28" s="270"/>
      <c r="AJ28" s="227">
        <v>22</v>
      </c>
      <c r="AK28" s="226">
        <v>43419</v>
      </c>
      <c r="AL28" s="227" t="s">
        <v>316</v>
      </c>
      <c r="AM28" s="229">
        <v>2</v>
      </c>
      <c r="AN28" s="228">
        <v>52</v>
      </c>
      <c r="AO28" s="228">
        <v>153674</v>
      </c>
      <c r="AP28" s="270"/>
      <c r="AQ28" s="227">
        <v>22</v>
      </c>
      <c r="AR28" s="226">
        <v>43403</v>
      </c>
      <c r="AS28" s="227" t="s">
        <v>305</v>
      </c>
      <c r="AT28" s="229">
        <v>272</v>
      </c>
      <c r="AU28" s="228">
        <v>12055</v>
      </c>
      <c r="AV28" s="228">
        <v>389696</v>
      </c>
      <c r="AW28" s="270"/>
      <c r="AX28" s="227">
        <v>22</v>
      </c>
      <c r="AY28" s="226">
        <v>43383</v>
      </c>
      <c r="AZ28" s="227" t="s">
        <v>304</v>
      </c>
      <c r="BA28" s="232">
        <v>25</v>
      </c>
      <c r="BB28" s="224">
        <v>305</v>
      </c>
      <c r="BC28" s="224">
        <v>1010638</v>
      </c>
      <c r="BD28" s="270"/>
      <c r="BE28" s="239">
        <v>22</v>
      </c>
      <c r="BF28" s="226">
        <v>43348</v>
      </c>
      <c r="BG28" s="227" t="s">
        <v>304</v>
      </c>
      <c r="BH28" s="232">
        <v>22</v>
      </c>
      <c r="BI28" s="224">
        <v>180</v>
      </c>
      <c r="BJ28" s="224">
        <v>527036</v>
      </c>
      <c r="BK28" s="270"/>
      <c r="BL28" s="239">
        <v>22</v>
      </c>
      <c r="BM28" s="226">
        <v>43327</v>
      </c>
      <c r="BN28" s="227" t="s">
        <v>304</v>
      </c>
      <c r="BO28" s="232">
        <v>5</v>
      </c>
      <c r="BP28" s="224">
        <v>44</v>
      </c>
      <c r="BQ28" s="224">
        <v>896420</v>
      </c>
      <c r="BR28" s="270"/>
      <c r="BS28" s="227">
        <v>22</v>
      </c>
      <c r="BT28" s="226">
        <v>43299</v>
      </c>
      <c r="BU28" s="227" t="s">
        <v>304</v>
      </c>
      <c r="BV28" s="232">
        <v>582</v>
      </c>
      <c r="BW28" s="224">
        <v>49738</v>
      </c>
      <c r="BX28" s="224">
        <v>2632397</v>
      </c>
      <c r="BY28" s="270"/>
      <c r="BZ28" s="227">
        <v>22</v>
      </c>
      <c r="CA28" s="226">
        <v>43285</v>
      </c>
      <c r="CB28" s="227" t="s">
        <v>304</v>
      </c>
      <c r="CC28" s="232">
        <v>83</v>
      </c>
      <c r="CD28" s="230">
        <v>2416</v>
      </c>
      <c r="CE28" s="230">
        <v>1316137</v>
      </c>
      <c r="CF28" s="270"/>
      <c r="CG28" s="227">
        <v>22</v>
      </c>
      <c r="CH28" s="226">
        <v>43242</v>
      </c>
      <c r="CI28" s="227" t="s">
        <v>305</v>
      </c>
      <c r="CJ28" s="229">
        <v>64</v>
      </c>
      <c r="CK28" s="230">
        <v>1437</v>
      </c>
      <c r="CL28" s="230">
        <v>1122429</v>
      </c>
      <c r="CM28" s="270"/>
      <c r="CN28" s="239">
        <v>22</v>
      </c>
      <c r="CO28" s="226">
        <v>43223</v>
      </c>
      <c r="CP28" s="227" t="s">
        <v>303</v>
      </c>
      <c r="CQ28" s="232">
        <v>36</v>
      </c>
      <c r="CR28" s="224">
        <v>419</v>
      </c>
      <c r="CS28" s="224">
        <v>1382256</v>
      </c>
      <c r="CT28" s="270"/>
      <c r="CU28" s="227">
        <v>22</v>
      </c>
      <c r="CV28" s="226">
        <v>43208</v>
      </c>
      <c r="CW28" s="227" t="s">
        <v>304</v>
      </c>
      <c r="CX28" s="229">
        <v>499</v>
      </c>
      <c r="CY28" s="230">
        <v>14871</v>
      </c>
      <c r="CZ28" s="230">
        <v>2112200</v>
      </c>
      <c r="DA28" s="270"/>
      <c r="DB28" s="227">
        <v>22</v>
      </c>
      <c r="DC28" s="226">
        <v>43075</v>
      </c>
      <c r="DD28" s="227" t="s">
        <v>304</v>
      </c>
      <c r="DE28" s="229">
        <v>361</v>
      </c>
      <c r="DF28" s="230">
        <v>4707</v>
      </c>
      <c r="DG28" s="230">
        <v>1769615</v>
      </c>
      <c r="DH28" s="270"/>
      <c r="DI28" s="227">
        <v>22</v>
      </c>
      <c r="DJ28" s="226">
        <v>42957</v>
      </c>
      <c r="DK28" s="227" t="s">
        <v>303</v>
      </c>
      <c r="DL28" s="229">
        <v>112</v>
      </c>
      <c r="DM28" s="230">
        <v>10111</v>
      </c>
      <c r="DN28" s="230">
        <v>2671682</v>
      </c>
      <c r="DO28" s="270"/>
      <c r="DP28" s="227">
        <v>22</v>
      </c>
      <c r="DQ28" s="226">
        <v>43048</v>
      </c>
      <c r="DR28" s="227" t="s">
        <v>303</v>
      </c>
      <c r="DS28" s="229">
        <v>5</v>
      </c>
      <c r="DT28" s="230">
        <v>216</v>
      </c>
      <c r="DU28" s="230">
        <v>1027461</v>
      </c>
      <c r="DV28" s="270"/>
      <c r="DW28" s="227">
        <v>22</v>
      </c>
      <c r="DX28" s="226">
        <v>43029</v>
      </c>
      <c r="DY28" s="227" t="s">
        <v>303</v>
      </c>
      <c r="DZ28" s="229">
        <v>13</v>
      </c>
      <c r="EA28" s="230">
        <v>219</v>
      </c>
      <c r="EB28" s="230">
        <v>154695</v>
      </c>
      <c r="EC28" s="270"/>
      <c r="ED28" s="227">
        <v>22</v>
      </c>
      <c r="EE28" s="226">
        <v>43005</v>
      </c>
      <c r="EF28" s="227" t="s">
        <v>304</v>
      </c>
      <c r="EG28" s="232">
        <v>35</v>
      </c>
      <c r="EH28" s="224">
        <v>801</v>
      </c>
      <c r="EI28" s="224">
        <v>879474</v>
      </c>
      <c r="EJ28" s="270"/>
      <c r="EK28" s="227">
        <v>22</v>
      </c>
      <c r="EL28" s="226">
        <v>42991</v>
      </c>
      <c r="EM28" s="227" t="s">
        <v>304</v>
      </c>
      <c r="EN28" s="229">
        <v>168</v>
      </c>
      <c r="EO28" s="230">
        <v>1112</v>
      </c>
      <c r="EP28" s="230">
        <v>1369688</v>
      </c>
      <c r="EQ28" s="270"/>
      <c r="ER28" s="227">
        <v>22</v>
      </c>
      <c r="ES28" s="226">
        <v>42978</v>
      </c>
      <c r="ET28" s="227" t="s">
        <v>303</v>
      </c>
      <c r="EU28" s="232">
        <v>81</v>
      </c>
      <c r="EV28" s="224">
        <v>1910</v>
      </c>
      <c r="EW28" s="224">
        <v>1918049</v>
      </c>
      <c r="EX28" s="270"/>
      <c r="EY28" s="239">
        <v>22</v>
      </c>
      <c r="EZ28" s="271">
        <v>42907</v>
      </c>
      <c r="FA28" s="239" t="s">
        <v>304</v>
      </c>
      <c r="FB28" s="232">
        <v>209</v>
      </c>
      <c r="FC28" s="229">
        <v>5170</v>
      </c>
      <c r="FD28" s="229">
        <v>2114210</v>
      </c>
      <c r="FF28" s="227">
        <v>22</v>
      </c>
      <c r="FG28" s="266">
        <v>42893</v>
      </c>
      <c r="FH28" s="266" t="s">
        <v>304</v>
      </c>
      <c r="FI28" s="259">
        <v>3</v>
      </c>
      <c r="FJ28" s="259">
        <v>41</v>
      </c>
      <c r="FK28" s="272">
        <v>415605</v>
      </c>
      <c r="FM28" s="227">
        <v>22</v>
      </c>
      <c r="FN28" s="226">
        <v>42823</v>
      </c>
      <c r="FO28" s="225" t="s">
        <v>304</v>
      </c>
      <c r="FP28" s="224">
        <v>89</v>
      </c>
      <c r="FQ28" s="224">
        <v>1174</v>
      </c>
      <c r="FR28" s="224">
        <v>1683146</v>
      </c>
      <c r="FT28" s="227">
        <v>22</v>
      </c>
      <c r="FU28" s="226">
        <v>42796</v>
      </c>
      <c r="FV28" s="225" t="s">
        <v>303</v>
      </c>
      <c r="FW28" s="232">
        <v>1</v>
      </c>
      <c r="FX28" s="232">
        <v>16</v>
      </c>
      <c r="FY28" s="229">
        <v>148038</v>
      </c>
      <c r="GA28" s="227">
        <v>22</v>
      </c>
      <c r="GB28" s="226">
        <v>42809</v>
      </c>
      <c r="GC28" s="225" t="s">
        <v>304</v>
      </c>
      <c r="GD28" s="224">
        <v>42</v>
      </c>
      <c r="GE28" s="224">
        <v>409</v>
      </c>
      <c r="GF28" s="224">
        <v>350715</v>
      </c>
      <c r="GH28" s="227">
        <v>22</v>
      </c>
      <c r="GI28" s="226">
        <v>42732</v>
      </c>
      <c r="GJ28" s="225" t="s">
        <v>304</v>
      </c>
      <c r="GK28" s="232">
        <v>5</v>
      </c>
      <c r="GL28" s="232">
        <v>121</v>
      </c>
      <c r="GM28" s="229">
        <v>321761</v>
      </c>
      <c r="GO28" s="227">
        <v>22</v>
      </c>
      <c r="GP28" s="226">
        <v>42711</v>
      </c>
      <c r="GQ28" s="225" t="s">
        <v>304</v>
      </c>
      <c r="GR28" s="232">
        <v>439</v>
      </c>
      <c r="GS28" s="229">
        <v>22884</v>
      </c>
      <c r="GT28" s="229">
        <v>4305039</v>
      </c>
      <c r="GV28" s="221"/>
      <c r="GW28" s="221"/>
      <c r="GX28" s="221"/>
      <c r="GY28" s="220"/>
      <c r="GZ28" s="220"/>
      <c r="HA28" s="220"/>
      <c r="HC28" s="227">
        <v>22</v>
      </c>
      <c r="HD28" s="226">
        <v>42662</v>
      </c>
      <c r="HE28" s="225" t="s">
        <v>304</v>
      </c>
      <c r="HF28" s="234">
        <v>86</v>
      </c>
      <c r="HG28" s="236">
        <v>1748</v>
      </c>
      <c r="HH28" s="236">
        <v>616113</v>
      </c>
      <c r="HJ28" s="227">
        <v>22</v>
      </c>
      <c r="HK28" s="226">
        <v>42641</v>
      </c>
      <c r="HL28" s="225" t="s">
        <v>304</v>
      </c>
      <c r="HM28" s="224">
        <v>519</v>
      </c>
      <c r="HN28" s="224">
        <v>42739</v>
      </c>
      <c r="HO28" s="224">
        <v>7077367</v>
      </c>
      <c r="HQ28" s="227">
        <v>22</v>
      </c>
      <c r="HR28" s="226">
        <v>42627</v>
      </c>
      <c r="HS28" s="225" t="s">
        <v>304</v>
      </c>
      <c r="HT28" s="224">
        <v>91</v>
      </c>
      <c r="HU28" s="224">
        <v>3240</v>
      </c>
      <c r="HV28" s="224">
        <v>1094927</v>
      </c>
      <c r="HX28" s="227">
        <v>22</v>
      </c>
      <c r="HY28" s="225">
        <v>42606</v>
      </c>
      <c r="HZ28" s="225" t="s">
        <v>304</v>
      </c>
      <c r="IA28" s="234">
        <v>76</v>
      </c>
      <c r="IB28" s="236">
        <v>2109</v>
      </c>
      <c r="IC28" s="236">
        <v>1892067</v>
      </c>
      <c r="IE28" s="227">
        <v>22</v>
      </c>
      <c r="IF28" s="226">
        <v>42474</v>
      </c>
      <c r="IG28" s="225" t="s">
        <v>303</v>
      </c>
      <c r="IH28" s="232">
        <v>264</v>
      </c>
      <c r="II28" s="229">
        <v>2583</v>
      </c>
      <c r="IJ28" s="229">
        <v>2216810</v>
      </c>
    </row>
    <row r="29" spans="1:244" s="260" customFormat="1" ht="14" x14ac:dyDescent="0.45">
      <c r="A29" s="227">
        <v>23</v>
      </c>
      <c r="B29" s="226">
        <v>43560</v>
      </c>
      <c r="C29" s="227" t="s">
        <v>316</v>
      </c>
      <c r="D29" s="229">
        <v>6</v>
      </c>
      <c r="E29" s="228">
        <v>105</v>
      </c>
      <c r="F29" s="228">
        <v>100261</v>
      </c>
      <c r="G29" s="270"/>
      <c r="H29" s="223" t="s">
        <v>345</v>
      </c>
      <c r="I29" s="222"/>
      <c r="J29" s="222"/>
      <c r="K29" s="222"/>
      <c r="L29" s="222"/>
      <c r="M29" s="222"/>
      <c r="N29" s="270"/>
      <c r="O29" s="227">
        <v>23</v>
      </c>
      <c r="P29" s="226">
        <v>43525</v>
      </c>
      <c r="Q29" s="227" t="s">
        <v>316</v>
      </c>
      <c r="R29" s="229">
        <v>1</v>
      </c>
      <c r="S29" s="228">
        <v>105</v>
      </c>
      <c r="T29" s="228">
        <v>87696</v>
      </c>
      <c r="U29" s="270"/>
      <c r="V29" s="227">
        <v>23</v>
      </c>
      <c r="W29" s="226">
        <v>43475</v>
      </c>
      <c r="X29" s="227" t="s">
        <v>316</v>
      </c>
      <c r="Y29" s="229">
        <v>722</v>
      </c>
      <c r="Z29" s="228">
        <v>33396</v>
      </c>
      <c r="AA29" s="228">
        <v>4738521</v>
      </c>
      <c r="AB29" s="270"/>
      <c r="AC29" s="227">
        <v>23</v>
      </c>
      <c r="AD29" s="226">
        <v>43440</v>
      </c>
      <c r="AE29" s="227" t="s">
        <v>316</v>
      </c>
      <c r="AF29" s="229">
        <v>107</v>
      </c>
      <c r="AG29" s="228">
        <v>3459</v>
      </c>
      <c r="AH29" s="228">
        <v>2388101</v>
      </c>
      <c r="AI29" s="270"/>
      <c r="AJ29" s="227">
        <v>23</v>
      </c>
      <c r="AK29" s="226">
        <v>43420</v>
      </c>
      <c r="AL29" s="227" t="s">
        <v>320</v>
      </c>
      <c r="AM29" s="229">
        <v>3</v>
      </c>
      <c r="AN29" s="228">
        <v>67</v>
      </c>
      <c r="AO29" s="228">
        <v>153741</v>
      </c>
      <c r="AP29" s="270"/>
      <c r="AQ29" s="227">
        <v>23</v>
      </c>
      <c r="AR29" s="226">
        <v>43404</v>
      </c>
      <c r="AS29" s="227" t="s">
        <v>304</v>
      </c>
      <c r="AT29" s="229">
        <v>140</v>
      </c>
      <c r="AU29" s="228">
        <v>7048</v>
      </c>
      <c r="AV29" s="228">
        <v>396744</v>
      </c>
      <c r="AW29" s="270"/>
      <c r="AX29" s="227">
        <v>23</v>
      </c>
      <c r="AY29" s="226">
        <v>43384</v>
      </c>
      <c r="AZ29" s="227" t="s">
        <v>303</v>
      </c>
      <c r="BA29" s="232">
        <v>5</v>
      </c>
      <c r="BB29" s="224">
        <v>52</v>
      </c>
      <c r="BC29" s="224">
        <v>1010690</v>
      </c>
      <c r="BD29" s="270"/>
      <c r="BE29" s="239">
        <v>23</v>
      </c>
      <c r="BF29" s="226">
        <v>43349</v>
      </c>
      <c r="BG29" s="227" t="s">
        <v>303</v>
      </c>
      <c r="BH29" s="232">
        <v>2</v>
      </c>
      <c r="BI29" s="224">
        <v>17</v>
      </c>
      <c r="BJ29" s="224">
        <v>527053</v>
      </c>
      <c r="BK29" s="270"/>
      <c r="BL29" s="239">
        <v>23</v>
      </c>
      <c r="BM29" s="226">
        <v>43328</v>
      </c>
      <c r="BN29" s="227" t="s">
        <v>303</v>
      </c>
      <c r="BO29" s="232">
        <v>19</v>
      </c>
      <c r="BP29" s="224">
        <v>680</v>
      </c>
      <c r="BQ29" s="224">
        <v>897100</v>
      </c>
      <c r="BR29" s="270"/>
      <c r="BS29" s="227">
        <v>23</v>
      </c>
      <c r="BT29" s="226">
        <v>43300</v>
      </c>
      <c r="BU29" s="227" t="s">
        <v>303</v>
      </c>
      <c r="BV29" s="232">
        <v>591</v>
      </c>
      <c r="BW29" s="224">
        <v>47058</v>
      </c>
      <c r="BX29" s="224">
        <v>2679455</v>
      </c>
      <c r="BY29" s="270"/>
      <c r="BZ29" s="227">
        <v>23</v>
      </c>
      <c r="CA29" s="226">
        <v>43286</v>
      </c>
      <c r="CB29" s="227" t="s">
        <v>303</v>
      </c>
      <c r="CC29" s="232">
        <v>81</v>
      </c>
      <c r="CD29" s="230">
        <v>2295</v>
      </c>
      <c r="CE29" s="230">
        <v>1318432</v>
      </c>
      <c r="CF29" s="270"/>
      <c r="CG29" s="227">
        <v>23</v>
      </c>
      <c r="CH29" s="226">
        <v>43243</v>
      </c>
      <c r="CI29" s="227" t="s">
        <v>304</v>
      </c>
      <c r="CJ29" s="229">
        <v>60</v>
      </c>
      <c r="CK29" s="230">
        <v>545</v>
      </c>
      <c r="CL29" s="230">
        <v>1122974</v>
      </c>
      <c r="CM29" s="270"/>
      <c r="CN29" s="239">
        <v>23</v>
      </c>
      <c r="CO29" s="226">
        <v>43224</v>
      </c>
      <c r="CP29" s="227" t="s">
        <v>302</v>
      </c>
      <c r="CQ29" s="232">
        <v>38</v>
      </c>
      <c r="CR29" s="224">
        <v>751</v>
      </c>
      <c r="CS29" s="224">
        <v>1383007</v>
      </c>
      <c r="CT29" s="270"/>
      <c r="CU29" s="227">
        <v>23</v>
      </c>
      <c r="CV29" s="226">
        <v>43209</v>
      </c>
      <c r="CW29" s="227" t="s">
        <v>303</v>
      </c>
      <c r="CX29" s="229">
        <v>429</v>
      </c>
      <c r="CY29" s="230">
        <v>12565</v>
      </c>
      <c r="CZ29" s="230">
        <v>2124765</v>
      </c>
      <c r="DA29" s="270"/>
      <c r="DB29" s="227">
        <v>23</v>
      </c>
      <c r="DC29" s="226">
        <v>43076</v>
      </c>
      <c r="DD29" s="227" t="s">
        <v>303</v>
      </c>
      <c r="DE29" s="229">
        <v>126</v>
      </c>
      <c r="DF29" s="230">
        <v>1638</v>
      </c>
      <c r="DG29" s="230">
        <v>1771253</v>
      </c>
      <c r="DH29" s="270"/>
      <c r="DI29" s="227">
        <v>23</v>
      </c>
      <c r="DJ29" s="226">
        <v>42958</v>
      </c>
      <c r="DK29" s="227" t="s">
        <v>302</v>
      </c>
      <c r="DL29" s="229">
        <v>113</v>
      </c>
      <c r="DM29" s="230">
        <v>11369</v>
      </c>
      <c r="DN29" s="230">
        <v>2683051</v>
      </c>
      <c r="DO29" s="270"/>
      <c r="DP29" s="227">
        <v>23</v>
      </c>
      <c r="DQ29" s="226">
        <v>43049</v>
      </c>
      <c r="DR29" s="227" t="s">
        <v>302</v>
      </c>
      <c r="DS29" s="229">
        <v>10</v>
      </c>
      <c r="DT29" s="230">
        <v>403</v>
      </c>
      <c r="DU29" s="230">
        <v>1027864</v>
      </c>
      <c r="DV29" s="270"/>
      <c r="DW29" s="227">
        <v>23</v>
      </c>
      <c r="DX29" s="226">
        <v>43030</v>
      </c>
      <c r="DY29" s="227" t="s">
        <v>302</v>
      </c>
      <c r="DZ29" s="229">
        <v>12</v>
      </c>
      <c r="EA29" s="230">
        <v>257</v>
      </c>
      <c r="EB29" s="230">
        <v>154952</v>
      </c>
      <c r="EC29" s="270"/>
      <c r="ED29" s="227">
        <v>23</v>
      </c>
      <c r="EE29" s="226">
        <v>43006</v>
      </c>
      <c r="EF29" s="227" t="s">
        <v>303</v>
      </c>
      <c r="EG29" s="252">
        <v>29</v>
      </c>
      <c r="EH29" s="224">
        <v>608</v>
      </c>
      <c r="EI29" s="224">
        <v>880082</v>
      </c>
      <c r="EJ29" s="270"/>
      <c r="EK29" s="227">
        <v>23</v>
      </c>
      <c r="EL29" s="226">
        <v>42992</v>
      </c>
      <c r="EM29" s="227" t="s">
        <v>303</v>
      </c>
      <c r="EN29" s="229">
        <v>49</v>
      </c>
      <c r="EO29" s="230">
        <v>807</v>
      </c>
      <c r="EP29" s="230">
        <v>1370495</v>
      </c>
      <c r="EQ29" s="270"/>
      <c r="ER29" s="227">
        <v>23</v>
      </c>
      <c r="ES29" s="226">
        <v>42979</v>
      </c>
      <c r="ET29" s="227" t="s">
        <v>302</v>
      </c>
      <c r="EU29" s="232">
        <v>85</v>
      </c>
      <c r="EV29" s="224">
        <v>2777</v>
      </c>
      <c r="EW29" s="224">
        <v>1920826</v>
      </c>
      <c r="EX29" s="270"/>
      <c r="EY29" s="239">
        <v>23</v>
      </c>
      <c r="EZ29" s="271">
        <v>42908</v>
      </c>
      <c r="FA29" s="239" t="s">
        <v>303</v>
      </c>
      <c r="FB29" s="232">
        <v>151</v>
      </c>
      <c r="FC29" s="229">
        <v>3803</v>
      </c>
      <c r="FD29" s="229">
        <v>2118013</v>
      </c>
      <c r="FF29" s="227">
        <v>23</v>
      </c>
      <c r="FG29" s="266">
        <v>42894</v>
      </c>
      <c r="FH29" s="266" t="s">
        <v>303</v>
      </c>
      <c r="FI29" s="269">
        <v>0</v>
      </c>
      <c r="FJ29" s="269">
        <v>0</v>
      </c>
      <c r="FK29" s="268">
        <f>+FK28</f>
        <v>415605</v>
      </c>
      <c r="FM29" s="227">
        <v>23</v>
      </c>
      <c r="FN29" s="226">
        <v>42824</v>
      </c>
      <c r="FO29" s="225" t="s">
        <v>303</v>
      </c>
      <c r="FP29" s="224">
        <v>73</v>
      </c>
      <c r="FQ29" s="224">
        <v>1039</v>
      </c>
      <c r="FR29" s="224">
        <v>1684185</v>
      </c>
      <c r="FT29" s="227">
        <v>23</v>
      </c>
      <c r="FU29" s="226">
        <v>42797</v>
      </c>
      <c r="FV29" s="225" t="s">
        <v>302</v>
      </c>
      <c r="FW29" s="232">
        <v>3</v>
      </c>
      <c r="FX29" s="232">
        <v>16</v>
      </c>
      <c r="FY29" s="229">
        <v>148054</v>
      </c>
      <c r="GA29" s="227">
        <v>23</v>
      </c>
      <c r="GB29" s="226">
        <v>42810</v>
      </c>
      <c r="GC29" s="225" t="s">
        <v>303</v>
      </c>
      <c r="GD29" s="224">
        <v>2</v>
      </c>
      <c r="GE29" s="224">
        <v>17</v>
      </c>
      <c r="GF29" s="224">
        <v>350732</v>
      </c>
      <c r="GH29" s="227">
        <v>23</v>
      </c>
      <c r="GI29" s="226">
        <v>42733</v>
      </c>
      <c r="GJ29" s="225" t="s">
        <v>303</v>
      </c>
      <c r="GK29" s="232">
        <v>8</v>
      </c>
      <c r="GL29" s="232">
        <v>101</v>
      </c>
      <c r="GM29" s="229">
        <v>321862</v>
      </c>
      <c r="GO29" s="227">
        <v>23</v>
      </c>
      <c r="GP29" s="226">
        <v>42712</v>
      </c>
      <c r="GQ29" s="225" t="s">
        <v>303</v>
      </c>
      <c r="GR29" s="232">
        <v>431</v>
      </c>
      <c r="GS29" s="229">
        <v>22505</v>
      </c>
      <c r="GT29" s="229">
        <v>4327544</v>
      </c>
      <c r="GV29" s="221"/>
      <c r="GW29" s="221"/>
      <c r="GX29" s="221"/>
      <c r="GY29" s="220"/>
      <c r="GZ29" s="220"/>
      <c r="HA29" s="220"/>
      <c r="HC29" s="227">
        <v>23</v>
      </c>
      <c r="HD29" s="226">
        <v>42663</v>
      </c>
      <c r="HE29" s="225" t="s">
        <v>303</v>
      </c>
      <c r="HF29" s="234">
        <v>52</v>
      </c>
      <c r="HG29" s="236">
        <v>1198</v>
      </c>
      <c r="HH29" s="236">
        <v>617311</v>
      </c>
      <c r="HJ29" s="227">
        <v>23</v>
      </c>
      <c r="HK29" s="226">
        <v>42642</v>
      </c>
      <c r="HL29" s="225" t="s">
        <v>303</v>
      </c>
      <c r="HM29" s="224">
        <v>512</v>
      </c>
      <c r="HN29" s="224">
        <v>33756</v>
      </c>
      <c r="HO29" s="224">
        <v>7111123</v>
      </c>
      <c r="HQ29" s="227">
        <v>23</v>
      </c>
      <c r="HR29" s="226">
        <v>42628</v>
      </c>
      <c r="HS29" s="225" t="s">
        <v>303</v>
      </c>
      <c r="HT29" s="224">
        <v>81</v>
      </c>
      <c r="HU29" s="224">
        <v>3290</v>
      </c>
      <c r="HV29" s="224">
        <v>1098217</v>
      </c>
      <c r="HX29" s="227">
        <v>23</v>
      </c>
      <c r="HY29" s="225">
        <v>42607</v>
      </c>
      <c r="HZ29" s="225" t="s">
        <v>303</v>
      </c>
      <c r="IA29" s="234">
        <v>35</v>
      </c>
      <c r="IB29" s="236">
        <v>1020</v>
      </c>
      <c r="IC29" s="236">
        <v>1893087</v>
      </c>
      <c r="IE29" s="227">
        <v>23</v>
      </c>
      <c r="IF29" s="226">
        <v>42475</v>
      </c>
      <c r="IG29" s="225" t="s">
        <v>302</v>
      </c>
      <c r="IH29" s="232">
        <v>264</v>
      </c>
      <c r="II29" s="229">
        <v>3986</v>
      </c>
      <c r="IJ29" s="229">
        <v>2220796</v>
      </c>
    </row>
    <row r="30" spans="1:244" s="260" customFormat="1" ht="14" x14ac:dyDescent="0.45">
      <c r="A30" s="227">
        <v>24</v>
      </c>
      <c r="B30" s="226">
        <v>43561</v>
      </c>
      <c r="C30" s="227" t="s">
        <v>320</v>
      </c>
      <c r="D30" s="229">
        <v>6</v>
      </c>
      <c r="E30" s="228">
        <v>181</v>
      </c>
      <c r="F30" s="228">
        <v>100442</v>
      </c>
      <c r="G30" s="270"/>
      <c r="H30" s="222"/>
      <c r="I30" s="222"/>
      <c r="J30" s="222"/>
      <c r="K30" s="222"/>
      <c r="L30" s="222"/>
      <c r="M30" s="222"/>
      <c r="N30" s="270"/>
      <c r="O30" s="227">
        <v>24</v>
      </c>
      <c r="P30" s="226">
        <v>43526</v>
      </c>
      <c r="Q30" s="227" t="s">
        <v>320</v>
      </c>
      <c r="R30" s="229">
        <v>2</v>
      </c>
      <c r="S30" s="228">
        <v>87</v>
      </c>
      <c r="T30" s="228">
        <v>87783</v>
      </c>
      <c r="U30" s="270"/>
      <c r="V30" s="227">
        <v>24</v>
      </c>
      <c r="W30" s="226">
        <v>43476</v>
      </c>
      <c r="X30" s="227" t="s">
        <v>320</v>
      </c>
      <c r="Y30" s="229">
        <v>716</v>
      </c>
      <c r="Z30" s="228">
        <v>38741</v>
      </c>
      <c r="AA30" s="228">
        <v>4777262</v>
      </c>
      <c r="AB30" s="270"/>
      <c r="AC30" s="227">
        <v>24</v>
      </c>
      <c r="AD30" s="226">
        <v>43441</v>
      </c>
      <c r="AE30" s="227" t="s">
        <v>320</v>
      </c>
      <c r="AF30" s="229">
        <v>117</v>
      </c>
      <c r="AG30" s="228">
        <v>3558</v>
      </c>
      <c r="AH30" s="228">
        <v>2391659</v>
      </c>
      <c r="AI30" s="270"/>
      <c r="AJ30" s="227">
        <v>24</v>
      </c>
      <c r="AK30" s="226">
        <v>43421</v>
      </c>
      <c r="AL30" s="227" t="s">
        <v>319</v>
      </c>
      <c r="AM30" s="229">
        <v>1</v>
      </c>
      <c r="AN30" s="228">
        <v>59</v>
      </c>
      <c r="AO30" s="228">
        <v>153800</v>
      </c>
      <c r="AP30" s="270"/>
      <c r="AQ30" s="227">
        <v>24</v>
      </c>
      <c r="AR30" s="226">
        <v>43405</v>
      </c>
      <c r="AS30" s="227" t="s">
        <v>303</v>
      </c>
      <c r="AT30" s="229">
        <v>142</v>
      </c>
      <c r="AU30" s="228">
        <v>4889</v>
      </c>
      <c r="AV30" s="228">
        <v>401633</v>
      </c>
      <c r="AW30" s="270"/>
      <c r="AX30" s="227">
        <v>24</v>
      </c>
      <c r="AY30" s="226">
        <v>43385</v>
      </c>
      <c r="AZ30" s="227" t="s">
        <v>302</v>
      </c>
      <c r="BA30" s="232">
        <v>10</v>
      </c>
      <c r="BB30" s="224">
        <v>179</v>
      </c>
      <c r="BC30" s="224">
        <v>1010869</v>
      </c>
      <c r="BD30" s="270"/>
      <c r="BE30" s="239">
        <v>24</v>
      </c>
      <c r="BF30" s="226">
        <v>43350</v>
      </c>
      <c r="BG30" s="227" t="s">
        <v>302</v>
      </c>
      <c r="BH30" s="232">
        <v>2</v>
      </c>
      <c r="BI30" s="224">
        <v>19</v>
      </c>
      <c r="BJ30" s="224">
        <v>527072</v>
      </c>
      <c r="BK30" s="270"/>
      <c r="BL30" s="239">
        <v>24</v>
      </c>
      <c r="BM30" s="226">
        <v>43329</v>
      </c>
      <c r="BN30" s="227" t="s">
        <v>302</v>
      </c>
      <c r="BO30" s="232">
        <v>2</v>
      </c>
      <c r="BP30" s="224">
        <v>35</v>
      </c>
      <c r="BQ30" s="224">
        <v>897135</v>
      </c>
      <c r="BR30" s="270"/>
      <c r="BS30" s="227">
        <v>24</v>
      </c>
      <c r="BT30" s="226">
        <v>43301</v>
      </c>
      <c r="BU30" s="227" t="s">
        <v>302</v>
      </c>
      <c r="BV30" s="232">
        <v>648</v>
      </c>
      <c r="BW30" s="224">
        <v>71362</v>
      </c>
      <c r="BX30" s="224">
        <v>2750817</v>
      </c>
      <c r="BY30" s="270"/>
      <c r="BZ30" s="227">
        <v>24</v>
      </c>
      <c r="CA30" s="226">
        <v>43287</v>
      </c>
      <c r="CB30" s="227" t="s">
        <v>302</v>
      </c>
      <c r="CC30" s="232">
        <v>89</v>
      </c>
      <c r="CD30" s="230">
        <v>3188</v>
      </c>
      <c r="CE30" s="230">
        <v>1321620</v>
      </c>
      <c r="CF30" s="270"/>
      <c r="CG30" s="243">
        <v>24</v>
      </c>
      <c r="CH30" s="248">
        <v>43244</v>
      </c>
      <c r="CI30" s="243" t="s">
        <v>303</v>
      </c>
      <c r="CJ30" s="240">
        <v>53</v>
      </c>
      <c r="CK30" s="256">
        <v>894</v>
      </c>
      <c r="CL30" s="256">
        <v>1123868</v>
      </c>
      <c r="CM30" s="270"/>
      <c r="CN30" s="239">
        <v>24</v>
      </c>
      <c r="CO30" s="226">
        <v>43225</v>
      </c>
      <c r="CP30" s="227" t="s">
        <v>301</v>
      </c>
      <c r="CQ30" s="232">
        <v>29</v>
      </c>
      <c r="CR30" s="224">
        <v>572</v>
      </c>
      <c r="CS30" s="224">
        <v>1383579</v>
      </c>
      <c r="CT30" s="270"/>
      <c r="CU30" s="227">
        <v>24</v>
      </c>
      <c r="CV30" s="226">
        <v>43210</v>
      </c>
      <c r="CW30" s="227" t="s">
        <v>302</v>
      </c>
      <c r="CX30" s="229">
        <v>444</v>
      </c>
      <c r="CY30" s="230">
        <v>19446</v>
      </c>
      <c r="CZ30" s="230">
        <v>2144211</v>
      </c>
      <c r="DA30" s="270"/>
      <c r="DB30" s="227">
        <v>24</v>
      </c>
      <c r="DC30" s="226">
        <v>43077</v>
      </c>
      <c r="DD30" s="227" t="s">
        <v>302</v>
      </c>
      <c r="DE30" s="229">
        <v>141</v>
      </c>
      <c r="DF30" s="230">
        <v>2986</v>
      </c>
      <c r="DG30" s="230">
        <v>1774239</v>
      </c>
      <c r="DH30" s="270"/>
      <c r="DI30" s="227">
        <v>24</v>
      </c>
      <c r="DJ30" s="226">
        <v>42959</v>
      </c>
      <c r="DK30" s="227" t="s">
        <v>301</v>
      </c>
      <c r="DL30" s="229">
        <v>117</v>
      </c>
      <c r="DM30" s="230">
        <v>18052</v>
      </c>
      <c r="DN30" s="230">
        <v>2701103</v>
      </c>
      <c r="DO30" s="270"/>
      <c r="DP30" s="227">
        <v>24</v>
      </c>
      <c r="DQ30" s="226">
        <v>43050</v>
      </c>
      <c r="DR30" s="227" t="s">
        <v>301</v>
      </c>
      <c r="DS30" s="229">
        <v>6</v>
      </c>
      <c r="DT30" s="230">
        <v>128</v>
      </c>
      <c r="DU30" s="230">
        <v>1027992</v>
      </c>
      <c r="DV30" s="270"/>
      <c r="DW30" s="227">
        <v>24</v>
      </c>
      <c r="DX30" s="226">
        <v>43031</v>
      </c>
      <c r="DY30" s="227" t="s">
        <v>301</v>
      </c>
      <c r="DZ30" s="229">
        <v>3</v>
      </c>
      <c r="EA30" s="230">
        <v>6</v>
      </c>
      <c r="EB30" s="230">
        <v>154958</v>
      </c>
      <c r="EC30" s="270"/>
      <c r="ED30" s="227">
        <v>24</v>
      </c>
      <c r="EE30" s="226">
        <v>43007</v>
      </c>
      <c r="EF30" s="227" t="s">
        <v>302</v>
      </c>
      <c r="EG30" s="252">
        <v>34</v>
      </c>
      <c r="EH30" s="224">
        <v>1527</v>
      </c>
      <c r="EI30" s="224">
        <v>881609</v>
      </c>
      <c r="EJ30" s="270"/>
      <c r="EK30" s="227">
        <v>24</v>
      </c>
      <c r="EL30" s="226">
        <v>42993</v>
      </c>
      <c r="EM30" s="227" t="s">
        <v>302</v>
      </c>
      <c r="EN30" s="229">
        <v>34</v>
      </c>
      <c r="EO30" s="230">
        <v>185</v>
      </c>
      <c r="EP30" s="230">
        <v>1370680</v>
      </c>
      <c r="EQ30" s="270"/>
      <c r="ER30" s="227">
        <v>24</v>
      </c>
      <c r="ES30" s="226">
        <v>42980</v>
      </c>
      <c r="ET30" s="227" t="s">
        <v>301</v>
      </c>
      <c r="EU30" s="232">
        <v>94</v>
      </c>
      <c r="EV30" s="224">
        <v>5707</v>
      </c>
      <c r="EW30" s="224">
        <v>1926533</v>
      </c>
      <c r="EX30" s="270"/>
      <c r="EY30" s="239">
        <v>24</v>
      </c>
      <c r="EZ30" s="226">
        <v>42909</v>
      </c>
      <c r="FA30" s="239" t="s">
        <v>302</v>
      </c>
      <c r="FB30" s="232">
        <v>150</v>
      </c>
      <c r="FC30" s="229">
        <v>4629</v>
      </c>
      <c r="FD30" s="229">
        <v>2122642</v>
      </c>
      <c r="FF30" s="227">
        <v>24</v>
      </c>
      <c r="FG30" s="225">
        <v>42895</v>
      </c>
      <c r="FH30" s="266" t="s">
        <v>302</v>
      </c>
      <c r="FI30" s="234">
        <v>1</v>
      </c>
      <c r="FJ30" s="234">
        <v>19</v>
      </c>
      <c r="FK30" s="236">
        <v>415624</v>
      </c>
      <c r="FM30" s="227">
        <v>24</v>
      </c>
      <c r="FN30" s="226">
        <v>42825</v>
      </c>
      <c r="FO30" s="225" t="s">
        <v>302</v>
      </c>
      <c r="FP30" s="224">
        <v>72</v>
      </c>
      <c r="FQ30" s="224">
        <v>776</v>
      </c>
      <c r="FR30" s="224">
        <v>1684961</v>
      </c>
      <c r="FT30" s="227">
        <v>24</v>
      </c>
      <c r="FU30" s="226">
        <v>42798</v>
      </c>
      <c r="FV30" s="225" t="s">
        <v>301</v>
      </c>
      <c r="FW30" s="232">
        <v>4</v>
      </c>
      <c r="FX30" s="232">
        <v>120</v>
      </c>
      <c r="FY30" s="229">
        <v>148174</v>
      </c>
      <c r="GA30" s="227">
        <v>24</v>
      </c>
      <c r="GB30" s="226">
        <v>42811</v>
      </c>
      <c r="GC30" s="225" t="s">
        <v>302</v>
      </c>
      <c r="GD30" s="224">
        <v>2</v>
      </c>
      <c r="GE30" s="224">
        <v>23</v>
      </c>
      <c r="GF30" s="224">
        <v>350755</v>
      </c>
      <c r="GH30" s="227">
        <v>24</v>
      </c>
      <c r="GI30" s="226">
        <v>42734</v>
      </c>
      <c r="GJ30" s="225" t="s">
        <v>302</v>
      </c>
      <c r="GK30" s="232">
        <v>9</v>
      </c>
      <c r="GL30" s="232">
        <v>150</v>
      </c>
      <c r="GM30" s="229">
        <v>322012</v>
      </c>
      <c r="GO30" s="227">
        <v>24</v>
      </c>
      <c r="GP30" s="226">
        <v>42713</v>
      </c>
      <c r="GQ30" s="225" t="s">
        <v>302</v>
      </c>
      <c r="GR30" s="232">
        <v>433</v>
      </c>
      <c r="GS30" s="229">
        <v>29710</v>
      </c>
      <c r="GT30" s="229">
        <v>4357254</v>
      </c>
      <c r="GV30" s="221"/>
      <c r="GW30" s="221"/>
      <c r="GX30" s="221"/>
      <c r="GY30" s="220"/>
      <c r="GZ30" s="220"/>
      <c r="HA30" s="220"/>
      <c r="HC30" s="227">
        <v>24</v>
      </c>
      <c r="HD30" s="226">
        <v>42664</v>
      </c>
      <c r="HE30" s="225" t="s">
        <v>302</v>
      </c>
      <c r="HF30" s="234">
        <v>58</v>
      </c>
      <c r="HG30" s="236">
        <v>1221</v>
      </c>
      <c r="HH30" s="236">
        <v>618532</v>
      </c>
      <c r="HJ30" s="227">
        <v>24</v>
      </c>
      <c r="HK30" s="226">
        <v>42643</v>
      </c>
      <c r="HL30" s="225" t="s">
        <v>302</v>
      </c>
      <c r="HM30" s="224">
        <v>522</v>
      </c>
      <c r="HN30" s="224">
        <v>44666</v>
      </c>
      <c r="HO30" s="224">
        <v>7155789</v>
      </c>
      <c r="HQ30" s="227">
        <v>24</v>
      </c>
      <c r="HR30" s="226">
        <v>42629</v>
      </c>
      <c r="HS30" s="225" t="s">
        <v>302</v>
      </c>
      <c r="HT30" s="224">
        <v>77</v>
      </c>
      <c r="HU30" s="224">
        <v>3885</v>
      </c>
      <c r="HV30" s="224">
        <v>1102102</v>
      </c>
      <c r="HX30" s="227">
        <v>24</v>
      </c>
      <c r="HY30" s="225">
        <v>42608</v>
      </c>
      <c r="HZ30" s="225" t="s">
        <v>302</v>
      </c>
      <c r="IA30" s="234">
        <v>35</v>
      </c>
      <c r="IB30" s="234">
        <v>854</v>
      </c>
      <c r="IC30" s="236">
        <v>1893941</v>
      </c>
      <c r="IE30" s="227">
        <v>24</v>
      </c>
      <c r="IF30" s="226">
        <v>42476</v>
      </c>
      <c r="IG30" s="225" t="s">
        <v>301</v>
      </c>
      <c r="IH30" s="232">
        <v>274</v>
      </c>
      <c r="II30" s="229">
        <v>9907</v>
      </c>
      <c r="IJ30" s="229">
        <v>2230703</v>
      </c>
    </row>
    <row r="31" spans="1:244" s="260" customFormat="1" ht="14" x14ac:dyDescent="0.45">
      <c r="A31" s="227">
        <v>25</v>
      </c>
      <c r="B31" s="226">
        <v>43562</v>
      </c>
      <c r="C31" s="227" t="s">
        <v>319</v>
      </c>
      <c r="D31" s="229">
        <v>6</v>
      </c>
      <c r="E31" s="228">
        <v>140</v>
      </c>
      <c r="F31" s="228">
        <v>100582</v>
      </c>
      <c r="G31" s="270"/>
      <c r="H31" s="222"/>
      <c r="I31" s="222"/>
      <c r="J31" s="222"/>
      <c r="K31" s="222"/>
      <c r="L31" s="222"/>
      <c r="M31" s="222"/>
      <c r="N31" s="270"/>
      <c r="O31" s="227">
        <v>25</v>
      </c>
      <c r="P31" s="226">
        <v>43527</v>
      </c>
      <c r="Q31" s="227" t="s">
        <v>319</v>
      </c>
      <c r="R31" s="229">
        <v>1</v>
      </c>
      <c r="S31" s="228">
        <v>74</v>
      </c>
      <c r="T31" s="228">
        <v>87857</v>
      </c>
      <c r="U31" s="270"/>
      <c r="V31" s="227">
        <v>25</v>
      </c>
      <c r="W31" s="226">
        <v>43477</v>
      </c>
      <c r="X31" s="227" t="s">
        <v>319</v>
      </c>
      <c r="Y31" s="229">
        <v>738</v>
      </c>
      <c r="Z31" s="228">
        <v>77639</v>
      </c>
      <c r="AA31" s="228">
        <v>4854901</v>
      </c>
      <c r="AB31" s="270"/>
      <c r="AC31" s="227">
        <v>25</v>
      </c>
      <c r="AD31" s="226">
        <v>43442</v>
      </c>
      <c r="AE31" s="227" t="s">
        <v>319</v>
      </c>
      <c r="AF31" s="229">
        <v>106</v>
      </c>
      <c r="AG31" s="228">
        <v>6476</v>
      </c>
      <c r="AH31" s="228">
        <v>2398135</v>
      </c>
      <c r="AI31" s="270"/>
      <c r="AJ31" s="227">
        <v>25</v>
      </c>
      <c r="AK31" s="226">
        <v>43422</v>
      </c>
      <c r="AL31" s="227" t="s">
        <v>317</v>
      </c>
      <c r="AM31" s="229">
        <v>2</v>
      </c>
      <c r="AN31" s="228">
        <v>67</v>
      </c>
      <c r="AO31" s="228">
        <v>153867</v>
      </c>
      <c r="AP31" s="270"/>
      <c r="AQ31" s="227">
        <v>25</v>
      </c>
      <c r="AR31" s="226">
        <v>43406</v>
      </c>
      <c r="AS31" s="227" t="s">
        <v>302</v>
      </c>
      <c r="AT31" s="229">
        <v>154</v>
      </c>
      <c r="AU31" s="228">
        <v>5833</v>
      </c>
      <c r="AV31" s="228">
        <v>407466</v>
      </c>
      <c r="AW31" s="270"/>
      <c r="AX31" s="227">
        <v>25</v>
      </c>
      <c r="AY31" s="226">
        <v>43386</v>
      </c>
      <c r="AZ31" s="227" t="s">
        <v>301</v>
      </c>
      <c r="BA31" s="232">
        <v>11</v>
      </c>
      <c r="BB31" s="224">
        <v>166</v>
      </c>
      <c r="BC31" s="224">
        <v>1011035</v>
      </c>
      <c r="BD31" s="270"/>
      <c r="BE31" s="239">
        <v>25</v>
      </c>
      <c r="BF31" s="226">
        <v>43351</v>
      </c>
      <c r="BG31" s="227" t="s">
        <v>301</v>
      </c>
      <c r="BH31" s="232">
        <v>5</v>
      </c>
      <c r="BI31" s="224">
        <v>79</v>
      </c>
      <c r="BJ31" s="224">
        <v>527151</v>
      </c>
      <c r="BK31" s="270"/>
      <c r="BL31" s="239">
        <v>25</v>
      </c>
      <c r="BM31" s="226">
        <v>43330</v>
      </c>
      <c r="BN31" s="227" t="s">
        <v>301</v>
      </c>
      <c r="BO31" s="232">
        <v>5</v>
      </c>
      <c r="BP31" s="224">
        <v>99</v>
      </c>
      <c r="BQ31" s="224">
        <v>897234</v>
      </c>
      <c r="BR31" s="270"/>
      <c r="BS31" s="227">
        <v>25</v>
      </c>
      <c r="BT31" s="226">
        <v>43302</v>
      </c>
      <c r="BU31" s="227" t="s">
        <v>301</v>
      </c>
      <c r="BV31" s="232">
        <v>750</v>
      </c>
      <c r="BW31" s="224">
        <v>127555</v>
      </c>
      <c r="BX31" s="224">
        <v>2878372</v>
      </c>
      <c r="BY31" s="270"/>
      <c r="BZ31" s="227">
        <v>25</v>
      </c>
      <c r="CA31" s="226">
        <v>43288</v>
      </c>
      <c r="CB31" s="227" t="s">
        <v>301</v>
      </c>
      <c r="CC31" s="232">
        <v>70</v>
      </c>
      <c r="CD31" s="230">
        <v>2959</v>
      </c>
      <c r="CE31" s="230">
        <v>1324579</v>
      </c>
      <c r="CF31" s="270"/>
      <c r="CG31" s="227">
        <v>25</v>
      </c>
      <c r="CH31" s="226">
        <v>43245</v>
      </c>
      <c r="CI31" s="227" t="s">
        <v>302</v>
      </c>
      <c r="CJ31" s="229">
        <v>49</v>
      </c>
      <c r="CK31" s="230">
        <v>771</v>
      </c>
      <c r="CL31" s="230">
        <v>1124639</v>
      </c>
      <c r="CM31" s="270"/>
      <c r="CN31" s="239">
        <v>25</v>
      </c>
      <c r="CO31" s="226">
        <v>43226</v>
      </c>
      <c r="CP31" s="227" t="s">
        <v>300</v>
      </c>
      <c r="CQ31" s="232">
        <v>29</v>
      </c>
      <c r="CR31" s="224">
        <v>739</v>
      </c>
      <c r="CS31" s="224">
        <v>1384318</v>
      </c>
      <c r="CT31" s="270"/>
      <c r="CU31" s="227">
        <v>25</v>
      </c>
      <c r="CV31" s="226">
        <v>43211</v>
      </c>
      <c r="CW31" s="227" t="s">
        <v>301</v>
      </c>
      <c r="CX31" s="229">
        <v>503</v>
      </c>
      <c r="CY31" s="230">
        <v>41303</v>
      </c>
      <c r="CZ31" s="230">
        <v>2185514</v>
      </c>
      <c r="DA31" s="270"/>
      <c r="DB31" s="227">
        <v>25</v>
      </c>
      <c r="DC31" s="226">
        <v>43078</v>
      </c>
      <c r="DD31" s="227" t="s">
        <v>301</v>
      </c>
      <c r="DE31" s="229">
        <v>124</v>
      </c>
      <c r="DF31" s="230">
        <v>4279</v>
      </c>
      <c r="DG31" s="230">
        <v>1778518</v>
      </c>
      <c r="DH31" s="270"/>
      <c r="DI31" s="227">
        <v>25</v>
      </c>
      <c r="DJ31" s="226">
        <v>42960</v>
      </c>
      <c r="DK31" s="227" t="s">
        <v>300</v>
      </c>
      <c r="DL31" s="229">
        <v>106</v>
      </c>
      <c r="DM31" s="230">
        <v>15704</v>
      </c>
      <c r="DN31" s="230">
        <v>2716807</v>
      </c>
      <c r="DO31" s="270"/>
      <c r="DP31" s="227">
        <v>25</v>
      </c>
      <c r="DQ31" s="226">
        <v>43051</v>
      </c>
      <c r="DR31" s="227" t="s">
        <v>300</v>
      </c>
      <c r="DS31" s="229">
        <v>4</v>
      </c>
      <c r="DT31" s="230">
        <v>110</v>
      </c>
      <c r="DU31" s="230">
        <v>1028102</v>
      </c>
      <c r="DV31" s="270"/>
      <c r="DW31" s="227">
        <v>25</v>
      </c>
      <c r="DX31" s="226">
        <v>43032</v>
      </c>
      <c r="DY31" s="227" t="s">
        <v>300</v>
      </c>
      <c r="DZ31" s="229">
        <v>2</v>
      </c>
      <c r="EA31" s="230">
        <v>8</v>
      </c>
      <c r="EB31" s="230">
        <v>154966</v>
      </c>
      <c r="EC31" s="270"/>
      <c r="ED31" s="227">
        <v>25</v>
      </c>
      <c r="EE31" s="226">
        <v>43008</v>
      </c>
      <c r="EF31" s="227" t="s">
        <v>301</v>
      </c>
      <c r="EG31" s="252">
        <v>31</v>
      </c>
      <c r="EH31" s="224">
        <v>1792</v>
      </c>
      <c r="EI31" s="224">
        <v>883401</v>
      </c>
      <c r="EJ31" s="270"/>
      <c r="EK31" s="227">
        <v>25</v>
      </c>
      <c r="EL31" s="226">
        <v>42994</v>
      </c>
      <c r="EM31" s="227" t="s">
        <v>301</v>
      </c>
      <c r="EN31" s="229">
        <v>33</v>
      </c>
      <c r="EO31" s="230">
        <v>303</v>
      </c>
      <c r="EP31" s="230">
        <v>1370983</v>
      </c>
      <c r="EQ31" s="270"/>
      <c r="ER31" s="227">
        <v>25</v>
      </c>
      <c r="ES31" s="226">
        <v>42981</v>
      </c>
      <c r="ET31" s="227" t="s">
        <v>300</v>
      </c>
      <c r="EU31" s="232">
        <v>89</v>
      </c>
      <c r="EV31" s="224">
        <v>3888</v>
      </c>
      <c r="EW31" s="224">
        <v>1930421</v>
      </c>
      <c r="EX31" s="270"/>
      <c r="EY31" s="239">
        <v>25</v>
      </c>
      <c r="EZ31" s="226">
        <v>42910</v>
      </c>
      <c r="FA31" s="239" t="s">
        <v>301</v>
      </c>
      <c r="FB31" s="232">
        <v>165</v>
      </c>
      <c r="FC31" s="229">
        <v>9660</v>
      </c>
      <c r="FD31" s="229">
        <v>2132302</v>
      </c>
      <c r="FF31" s="227">
        <v>25</v>
      </c>
      <c r="FG31" s="225">
        <v>42896</v>
      </c>
      <c r="FH31" s="266" t="s">
        <v>301</v>
      </c>
      <c r="FI31" s="234">
        <v>1</v>
      </c>
      <c r="FJ31" s="234">
        <v>38</v>
      </c>
      <c r="FK31" s="236">
        <v>415662</v>
      </c>
      <c r="FM31" s="227">
        <v>25</v>
      </c>
      <c r="FN31" s="226">
        <v>42826</v>
      </c>
      <c r="FO31" s="225" t="s">
        <v>301</v>
      </c>
      <c r="FP31" s="224">
        <v>70</v>
      </c>
      <c r="FQ31" s="224">
        <v>1982</v>
      </c>
      <c r="FR31" s="224">
        <v>1686943</v>
      </c>
      <c r="FT31" s="227">
        <v>25</v>
      </c>
      <c r="FU31" s="226">
        <v>42799</v>
      </c>
      <c r="FV31" s="225" t="s">
        <v>300</v>
      </c>
      <c r="FW31" s="232">
        <v>4</v>
      </c>
      <c r="FX31" s="232">
        <v>163</v>
      </c>
      <c r="FY31" s="229">
        <v>148337</v>
      </c>
      <c r="GA31" s="227">
        <v>25</v>
      </c>
      <c r="GB31" s="226">
        <v>42812</v>
      </c>
      <c r="GC31" s="225" t="s">
        <v>301</v>
      </c>
      <c r="GD31" s="224">
        <v>1</v>
      </c>
      <c r="GE31" s="224">
        <v>17</v>
      </c>
      <c r="GF31" s="224">
        <v>350772</v>
      </c>
      <c r="GH31" s="227">
        <v>25</v>
      </c>
      <c r="GI31" s="226">
        <v>42735</v>
      </c>
      <c r="GJ31" s="225" t="s">
        <v>301</v>
      </c>
      <c r="GK31" s="232">
        <v>10</v>
      </c>
      <c r="GL31" s="232">
        <v>342</v>
      </c>
      <c r="GM31" s="229">
        <v>322354</v>
      </c>
      <c r="GO31" s="227">
        <v>25</v>
      </c>
      <c r="GP31" s="226">
        <v>42714</v>
      </c>
      <c r="GQ31" s="225" t="s">
        <v>301</v>
      </c>
      <c r="GR31" s="232">
        <v>479</v>
      </c>
      <c r="GS31" s="229">
        <v>61298</v>
      </c>
      <c r="GT31" s="229">
        <v>4418552</v>
      </c>
      <c r="GV31" s="221"/>
      <c r="GW31" s="221"/>
      <c r="GX31" s="221"/>
      <c r="GY31" s="220"/>
      <c r="GZ31" s="220"/>
      <c r="HA31" s="220"/>
      <c r="HC31" s="227">
        <v>25</v>
      </c>
      <c r="HD31" s="226">
        <v>42665</v>
      </c>
      <c r="HE31" s="225" t="s">
        <v>301</v>
      </c>
      <c r="HF31" s="234">
        <v>49</v>
      </c>
      <c r="HG31" s="236">
        <v>1327</v>
      </c>
      <c r="HH31" s="236">
        <v>619859</v>
      </c>
      <c r="HJ31" s="227">
        <v>25</v>
      </c>
      <c r="HK31" s="226">
        <v>42644</v>
      </c>
      <c r="HL31" s="225" t="s">
        <v>301</v>
      </c>
      <c r="HM31" s="224">
        <v>467</v>
      </c>
      <c r="HN31" s="224">
        <v>59886</v>
      </c>
      <c r="HO31" s="224">
        <v>7215675</v>
      </c>
      <c r="HQ31" s="227">
        <v>25</v>
      </c>
      <c r="HR31" s="226">
        <v>42630</v>
      </c>
      <c r="HS31" s="225" t="s">
        <v>301</v>
      </c>
      <c r="HT31" s="224">
        <v>75</v>
      </c>
      <c r="HU31" s="224">
        <v>3419</v>
      </c>
      <c r="HV31" s="224">
        <v>1105521</v>
      </c>
      <c r="HX31" s="227">
        <v>25</v>
      </c>
      <c r="HY31" s="225">
        <v>42609</v>
      </c>
      <c r="HZ31" s="225" t="s">
        <v>301</v>
      </c>
      <c r="IA31" s="234">
        <v>31</v>
      </c>
      <c r="IB31" s="236">
        <v>1424</v>
      </c>
      <c r="IC31" s="236">
        <v>1895365</v>
      </c>
      <c r="IE31" s="227">
        <v>25</v>
      </c>
      <c r="IF31" s="226">
        <v>42477</v>
      </c>
      <c r="IG31" s="225" t="s">
        <v>300</v>
      </c>
      <c r="IH31" s="232">
        <v>270</v>
      </c>
      <c r="II31" s="229">
        <v>9432</v>
      </c>
      <c r="IJ31" s="229">
        <v>2240135</v>
      </c>
    </row>
    <row r="32" spans="1:244" s="260" customFormat="1" ht="14" x14ac:dyDescent="0.45">
      <c r="A32" s="227">
        <v>26</v>
      </c>
      <c r="B32" s="226">
        <v>43563</v>
      </c>
      <c r="C32" s="227" t="s">
        <v>317</v>
      </c>
      <c r="D32" s="229">
        <v>5</v>
      </c>
      <c r="E32" s="228">
        <v>93</v>
      </c>
      <c r="F32" s="228">
        <v>100675</v>
      </c>
      <c r="G32" s="270"/>
      <c r="H32" s="222"/>
      <c r="I32" s="222"/>
      <c r="J32" s="222"/>
      <c r="K32" s="222"/>
      <c r="L32" s="222"/>
      <c r="M32" s="222"/>
      <c r="N32" s="270"/>
      <c r="O32" s="223" t="s">
        <v>344</v>
      </c>
      <c r="P32" s="222"/>
      <c r="Q32" s="222"/>
      <c r="R32" s="222"/>
      <c r="S32" s="222"/>
      <c r="T32" s="222"/>
      <c r="U32" s="270"/>
      <c r="V32" s="227">
        <v>26</v>
      </c>
      <c r="W32" s="226">
        <v>43478</v>
      </c>
      <c r="X32" s="227" t="s">
        <v>317</v>
      </c>
      <c r="Y32" s="229">
        <v>734</v>
      </c>
      <c r="Z32" s="228">
        <v>65834</v>
      </c>
      <c r="AA32" s="228">
        <v>4920735</v>
      </c>
      <c r="AB32" s="270"/>
      <c r="AC32" s="227">
        <v>26</v>
      </c>
      <c r="AD32" s="226">
        <v>43443</v>
      </c>
      <c r="AE32" s="227" t="s">
        <v>317</v>
      </c>
      <c r="AF32" s="229">
        <v>100</v>
      </c>
      <c r="AG32" s="228">
        <v>5551</v>
      </c>
      <c r="AH32" s="228">
        <v>2403686</v>
      </c>
      <c r="AI32" s="270"/>
      <c r="AJ32" s="227">
        <v>26</v>
      </c>
      <c r="AK32" s="226">
        <v>43423</v>
      </c>
      <c r="AL32" s="227" t="s">
        <v>315</v>
      </c>
      <c r="AM32" s="229">
        <v>2</v>
      </c>
      <c r="AN32" s="228">
        <v>36</v>
      </c>
      <c r="AO32" s="228">
        <v>153903</v>
      </c>
      <c r="AP32" s="270"/>
      <c r="AQ32" s="227">
        <v>26</v>
      </c>
      <c r="AR32" s="226">
        <v>43407</v>
      </c>
      <c r="AS32" s="227" t="s">
        <v>301</v>
      </c>
      <c r="AT32" s="229">
        <v>152</v>
      </c>
      <c r="AU32" s="228">
        <v>9583</v>
      </c>
      <c r="AV32" s="228">
        <v>417049</v>
      </c>
      <c r="AW32" s="270"/>
      <c r="AX32" s="227">
        <v>26</v>
      </c>
      <c r="AY32" s="226">
        <v>43387</v>
      </c>
      <c r="AZ32" s="227" t="s">
        <v>300</v>
      </c>
      <c r="BA32" s="232">
        <v>9</v>
      </c>
      <c r="BB32" s="224">
        <v>136</v>
      </c>
      <c r="BC32" s="224">
        <v>1011171</v>
      </c>
      <c r="BD32" s="270"/>
      <c r="BE32" s="239">
        <v>26</v>
      </c>
      <c r="BF32" s="226">
        <v>43352</v>
      </c>
      <c r="BG32" s="227" t="s">
        <v>300</v>
      </c>
      <c r="BH32" s="232">
        <v>5</v>
      </c>
      <c r="BI32" s="224">
        <v>52</v>
      </c>
      <c r="BJ32" s="224">
        <v>527203</v>
      </c>
      <c r="BK32" s="270"/>
      <c r="BL32" s="239">
        <v>26</v>
      </c>
      <c r="BM32" s="226">
        <v>43331</v>
      </c>
      <c r="BN32" s="227" t="s">
        <v>300</v>
      </c>
      <c r="BO32" s="232">
        <v>1</v>
      </c>
      <c r="BP32" s="224">
        <v>21</v>
      </c>
      <c r="BQ32" s="224">
        <v>897255</v>
      </c>
      <c r="BR32" s="270"/>
      <c r="BS32" s="227">
        <v>26</v>
      </c>
      <c r="BT32" s="226">
        <v>43303</v>
      </c>
      <c r="BU32" s="227" t="s">
        <v>300</v>
      </c>
      <c r="BV32" s="232">
        <v>757</v>
      </c>
      <c r="BW32" s="224">
        <v>121909</v>
      </c>
      <c r="BX32" s="224">
        <v>3000281</v>
      </c>
      <c r="BY32" s="270"/>
      <c r="BZ32" s="227">
        <v>26</v>
      </c>
      <c r="CA32" s="226">
        <v>43289</v>
      </c>
      <c r="CB32" s="227" t="s">
        <v>300</v>
      </c>
      <c r="CC32" s="232">
        <v>70</v>
      </c>
      <c r="CD32" s="230">
        <v>2213</v>
      </c>
      <c r="CE32" s="230">
        <v>1326792</v>
      </c>
      <c r="CF32" s="270"/>
      <c r="CG32" s="227">
        <v>26</v>
      </c>
      <c r="CH32" s="226">
        <v>43246</v>
      </c>
      <c r="CI32" s="227" t="s">
        <v>301</v>
      </c>
      <c r="CJ32" s="229">
        <v>46</v>
      </c>
      <c r="CK32" s="230">
        <v>814</v>
      </c>
      <c r="CL32" s="230">
        <v>1125453</v>
      </c>
      <c r="CM32" s="270"/>
      <c r="CN32" s="239">
        <v>26</v>
      </c>
      <c r="CO32" s="226">
        <v>43227</v>
      </c>
      <c r="CP32" s="227" t="s">
        <v>307</v>
      </c>
      <c r="CQ32" s="232">
        <v>34</v>
      </c>
      <c r="CR32" s="224">
        <v>535</v>
      </c>
      <c r="CS32" s="224">
        <v>1384853</v>
      </c>
      <c r="CT32" s="270"/>
      <c r="CU32" s="227">
        <v>26</v>
      </c>
      <c r="CV32" s="226">
        <v>43212</v>
      </c>
      <c r="CW32" s="227" t="s">
        <v>300</v>
      </c>
      <c r="CX32" s="229">
        <v>494</v>
      </c>
      <c r="CY32" s="230">
        <v>37070</v>
      </c>
      <c r="CZ32" s="230">
        <v>2222584</v>
      </c>
      <c r="DA32" s="270"/>
      <c r="DB32" s="227">
        <v>26</v>
      </c>
      <c r="DC32" s="226">
        <v>43079</v>
      </c>
      <c r="DD32" s="227" t="s">
        <v>300</v>
      </c>
      <c r="DE32" s="229">
        <v>113</v>
      </c>
      <c r="DF32" s="230">
        <v>3293</v>
      </c>
      <c r="DG32" s="230">
        <v>1781811</v>
      </c>
      <c r="DH32" s="270"/>
      <c r="DI32" s="227">
        <v>26</v>
      </c>
      <c r="DJ32" s="226">
        <v>42961</v>
      </c>
      <c r="DK32" s="227" t="s">
        <v>307</v>
      </c>
      <c r="DL32" s="229">
        <v>113</v>
      </c>
      <c r="DM32" s="230">
        <v>16150</v>
      </c>
      <c r="DN32" s="230">
        <v>2732957</v>
      </c>
      <c r="DO32" s="270"/>
      <c r="DP32" s="227">
        <v>26</v>
      </c>
      <c r="DQ32" s="226">
        <v>43052</v>
      </c>
      <c r="DR32" s="227" t="s">
        <v>307</v>
      </c>
      <c r="DS32" s="229">
        <v>2</v>
      </c>
      <c r="DT32" s="230">
        <v>22</v>
      </c>
      <c r="DU32" s="230">
        <v>1028124</v>
      </c>
      <c r="DV32" s="270"/>
      <c r="DW32" s="223" t="s">
        <v>343</v>
      </c>
      <c r="DX32" s="222"/>
      <c r="DY32" s="222"/>
      <c r="DZ32" s="222"/>
      <c r="EA32" s="222"/>
      <c r="EB32" s="222"/>
      <c r="EC32" s="270"/>
      <c r="ED32" s="227">
        <v>26</v>
      </c>
      <c r="EE32" s="226">
        <v>43009</v>
      </c>
      <c r="EF32" s="227" t="s">
        <v>300</v>
      </c>
      <c r="EG32" s="252">
        <v>27</v>
      </c>
      <c r="EH32" s="224">
        <v>1772</v>
      </c>
      <c r="EI32" s="224">
        <v>885173</v>
      </c>
      <c r="EJ32" s="270"/>
      <c r="EK32" s="227">
        <v>26</v>
      </c>
      <c r="EL32" s="226">
        <v>42995</v>
      </c>
      <c r="EM32" s="227" t="s">
        <v>300</v>
      </c>
      <c r="EN32" s="229">
        <v>26</v>
      </c>
      <c r="EO32" s="230">
        <v>138</v>
      </c>
      <c r="EP32" s="230">
        <v>1371121</v>
      </c>
      <c r="EQ32" s="270"/>
      <c r="ER32" s="227">
        <v>26</v>
      </c>
      <c r="ES32" s="226">
        <v>42982</v>
      </c>
      <c r="ET32" s="227" t="s">
        <v>307</v>
      </c>
      <c r="EU32" s="232">
        <v>79</v>
      </c>
      <c r="EV32" s="224">
        <v>1253</v>
      </c>
      <c r="EW32" s="224">
        <v>1931674</v>
      </c>
      <c r="EX32" s="270"/>
      <c r="EY32" s="239">
        <v>26</v>
      </c>
      <c r="EZ32" s="226">
        <v>42911</v>
      </c>
      <c r="FA32" s="239" t="s">
        <v>300</v>
      </c>
      <c r="FB32" s="232">
        <v>168</v>
      </c>
      <c r="FC32" s="229">
        <v>9237</v>
      </c>
      <c r="FD32" s="229">
        <v>2141539</v>
      </c>
      <c r="FF32" s="227">
        <v>26</v>
      </c>
      <c r="FG32" s="225">
        <v>42897</v>
      </c>
      <c r="FH32" s="266" t="s">
        <v>300</v>
      </c>
      <c r="FI32" s="269">
        <v>0</v>
      </c>
      <c r="FJ32" s="269">
        <v>0</v>
      </c>
      <c r="FK32" s="268">
        <f>+FK31</f>
        <v>415662</v>
      </c>
      <c r="FM32" s="227">
        <v>26</v>
      </c>
      <c r="FN32" s="226">
        <v>42827</v>
      </c>
      <c r="FO32" s="225" t="s">
        <v>300</v>
      </c>
      <c r="FP32" s="224">
        <v>70</v>
      </c>
      <c r="FQ32" s="224">
        <v>2033</v>
      </c>
      <c r="FR32" s="224">
        <v>1688976</v>
      </c>
      <c r="FT32" s="227">
        <v>26</v>
      </c>
      <c r="FU32" s="226">
        <v>42800</v>
      </c>
      <c r="FV32" s="225" t="s">
        <v>307</v>
      </c>
      <c r="FW32" s="232">
        <v>1</v>
      </c>
      <c r="FX32" s="232">
        <v>6</v>
      </c>
      <c r="FY32" s="229">
        <v>148343</v>
      </c>
      <c r="GA32" s="227">
        <v>26</v>
      </c>
      <c r="GB32" s="226">
        <v>42813</v>
      </c>
      <c r="GC32" s="225" t="s">
        <v>300</v>
      </c>
      <c r="GD32" s="224">
        <v>1</v>
      </c>
      <c r="GE32" s="224">
        <v>36</v>
      </c>
      <c r="GF32" s="224">
        <v>350808</v>
      </c>
      <c r="GH32" s="227">
        <v>26</v>
      </c>
      <c r="GI32" s="226">
        <v>42736</v>
      </c>
      <c r="GJ32" s="225" t="s">
        <v>300</v>
      </c>
      <c r="GK32" s="232">
        <v>9</v>
      </c>
      <c r="GL32" s="232">
        <v>215</v>
      </c>
      <c r="GM32" s="229">
        <v>322569</v>
      </c>
      <c r="GO32" s="227">
        <v>26</v>
      </c>
      <c r="GP32" s="226">
        <v>42715</v>
      </c>
      <c r="GQ32" s="225" t="s">
        <v>300</v>
      </c>
      <c r="GR32" s="232">
        <v>482</v>
      </c>
      <c r="GS32" s="229">
        <v>55172</v>
      </c>
      <c r="GT32" s="229">
        <v>4473724</v>
      </c>
      <c r="GV32" s="221"/>
      <c r="GW32" s="221"/>
      <c r="GX32" s="221"/>
      <c r="GY32" s="220"/>
      <c r="GZ32" s="220"/>
      <c r="HA32" s="220"/>
      <c r="HC32" s="227">
        <v>26</v>
      </c>
      <c r="HD32" s="226">
        <v>42666</v>
      </c>
      <c r="HE32" s="225" t="s">
        <v>300</v>
      </c>
      <c r="HF32" s="234">
        <v>46</v>
      </c>
      <c r="HG32" s="236">
        <v>1399</v>
      </c>
      <c r="HH32" s="236">
        <v>621258</v>
      </c>
      <c r="HJ32" s="227">
        <v>26</v>
      </c>
      <c r="HK32" s="226">
        <v>42645</v>
      </c>
      <c r="HL32" s="225" t="s">
        <v>300</v>
      </c>
      <c r="HM32" s="224">
        <v>480</v>
      </c>
      <c r="HN32" s="224">
        <v>76761</v>
      </c>
      <c r="HO32" s="224">
        <v>7292436</v>
      </c>
      <c r="HQ32" s="227">
        <v>26</v>
      </c>
      <c r="HR32" s="226">
        <v>42631</v>
      </c>
      <c r="HS32" s="225" t="s">
        <v>300</v>
      </c>
      <c r="HT32" s="224">
        <v>62</v>
      </c>
      <c r="HU32" s="224">
        <v>1937</v>
      </c>
      <c r="HV32" s="224">
        <v>1107458</v>
      </c>
      <c r="HX32" s="227">
        <v>26</v>
      </c>
      <c r="HY32" s="225">
        <v>42610</v>
      </c>
      <c r="HZ32" s="225" t="s">
        <v>300</v>
      </c>
      <c r="IA32" s="234">
        <v>27</v>
      </c>
      <c r="IB32" s="236">
        <v>1277</v>
      </c>
      <c r="IC32" s="236">
        <v>1896642</v>
      </c>
      <c r="IE32" s="227">
        <v>26</v>
      </c>
      <c r="IF32" s="226">
        <v>42478</v>
      </c>
      <c r="IG32" s="225" t="s">
        <v>307</v>
      </c>
      <c r="IH32" s="232">
        <v>256</v>
      </c>
      <c r="II32" s="229">
        <v>2312</v>
      </c>
      <c r="IJ32" s="229">
        <v>2242447</v>
      </c>
    </row>
    <row r="33" spans="1:244" s="260" customFormat="1" ht="14" x14ac:dyDescent="0.45">
      <c r="A33" s="227">
        <v>27</v>
      </c>
      <c r="B33" s="226">
        <v>43564</v>
      </c>
      <c r="C33" s="227" t="s">
        <v>315</v>
      </c>
      <c r="D33" s="229">
        <v>5</v>
      </c>
      <c r="E33" s="228">
        <v>59</v>
      </c>
      <c r="F33" s="228">
        <v>100734</v>
      </c>
      <c r="H33" s="222"/>
      <c r="I33" s="222"/>
      <c r="J33" s="222"/>
      <c r="K33" s="222"/>
      <c r="L33" s="222"/>
      <c r="M33" s="222"/>
      <c r="O33" s="222"/>
      <c r="P33" s="222"/>
      <c r="Q33" s="222"/>
      <c r="R33" s="222"/>
      <c r="S33" s="222"/>
      <c r="T33" s="222"/>
      <c r="V33" s="227">
        <v>27</v>
      </c>
      <c r="W33" s="226">
        <v>43479</v>
      </c>
      <c r="X33" s="227" t="s">
        <v>315</v>
      </c>
      <c r="Y33" s="229">
        <v>653</v>
      </c>
      <c r="Z33" s="228">
        <v>21105</v>
      </c>
      <c r="AA33" s="228">
        <v>4941840</v>
      </c>
      <c r="AC33" s="227">
        <v>27</v>
      </c>
      <c r="AD33" s="226">
        <v>43444</v>
      </c>
      <c r="AE33" s="227" t="s">
        <v>315</v>
      </c>
      <c r="AF33" s="229">
        <v>95</v>
      </c>
      <c r="AG33" s="228">
        <v>1661</v>
      </c>
      <c r="AH33" s="228">
        <v>2405347</v>
      </c>
      <c r="AJ33" s="227">
        <v>27</v>
      </c>
      <c r="AK33" s="226">
        <v>43424</v>
      </c>
      <c r="AL33" s="227" t="s">
        <v>312</v>
      </c>
      <c r="AM33" s="229">
        <v>3</v>
      </c>
      <c r="AN33" s="228">
        <v>72</v>
      </c>
      <c r="AO33" s="228">
        <v>153975</v>
      </c>
      <c r="AQ33" s="227">
        <v>27</v>
      </c>
      <c r="AR33" s="226">
        <v>43408</v>
      </c>
      <c r="AS33" s="227" t="s">
        <v>300</v>
      </c>
      <c r="AT33" s="229">
        <v>145</v>
      </c>
      <c r="AU33" s="228">
        <v>8091</v>
      </c>
      <c r="AV33" s="228">
        <v>425140</v>
      </c>
      <c r="AX33" s="227">
        <v>27</v>
      </c>
      <c r="AY33" s="226">
        <v>43388</v>
      </c>
      <c r="AZ33" s="227" t="s">
        <v>307</v>
      </c>
      <c r="BA33" s="232">
        <v>6</v>
      </c>
      <c r="BB33" s="224">
        <v>42</v>
      </c>
      <c r="BC33" s="224">
        <v>1011213</v>
      </c>
      <c r="BE33" s="239">
        <v>27</v>
      </c>
      <c r="BF33" s="226">
        <v>43353</v>
      </c>
      <c r="BG33" s="227" t="s">
        <v>307</v>
      </c>
      <c r="BH33" s="232">
        <v>2</v>
      </c>
      <c r="BI33" s="224">
        <v>5</v>
      </c>
      <c r="BJ33" s="224">
        <v>527208</v>
      </c>
      <c r="BL33" s="239">
        <v>27</v>
      </c>
      <c r="BM33" s="226">
        <v>43332</v>
      </c>
      <c r="BN33" s="227" t="s">
        <v>307</v>
      </c>
      <c r="BO33" s="232">
        <v>2</v>
      </c>
      <c r="BP33" s="224">
        <v>64</v>
      </c>
      <c r="BQ33" s="224">
        <v>897319</v>
      </c>
      <c r="BS33" s="227">
        <v>27</v>
      </c>
      <c r="BT33" s="226">
        <v>43304</v>
      </c>
      <c r="BU33" s="227" t="s">
        <v>307</v>
      </c>
      <c r="BV33" s="232">
        <v>691</v>
      </c>
      <c r="BW33" s="224">
        <v>51378</v>
      </c>
      <c r="BX33" s="224">
        <v>3051659</v>
      </c>
      <c r="BZ33" s="227">
        <v>27</v>
      </c>
      <c r="CA33" s="226">
        <v>43290</v>
      </c>
      <c r="CB33" s="227" t="s">
        <v>307</v>
      </c>
      <c r="CC33" s="232">
        <v>84</v>
      </c>
      <c r="CD33" s="230">
        <v>1713</v>
      </c>
      <c r="CE33" s="230">
        <v>1328505</v>
      </c>
      <c r="CG33" s="227">
        <v>27</v>
      </c>
      <c r="CH33" s="226">
        <v>43247</v>
      </c>
      <c r="CI33" s="227" t="s">
        <v>300</v>
      </c>
      <c r="CJ33" s="229">
        <v>40</v>
      </c>
      <c r="CK33" s="230">
        <v>395</v>
      </c>
      <c r="CL33" s="230">
        <v>1125848</v>
      </c>
      <c r="CN33" s="239">
        <v>27</v>
      </c>
      <c r="CO33" s="226">
        <v>43228</v>
      </c>
      <c r="CP33" s="227" t="s">
        <v>305</v>
      </c>
      <c r="CQ33" s="232">
        <v>37</v>
      </c>
      <c r="CR33" s="224">
        <v>315</v>
      </c>
      <c r="CS33" s="224">
        <v>1385168</v>
      </c>
      <c r="CU33" s="227">
        <v>27</v>
      </c>
      <c r="CV33" s="226">
        <v>43213</v>
      </c>
      <c r="CW33" s="227" t="s">
        <v>307</v>
      </c>
      <c r="CX33" s="229">
        <v>446</v>
      </c>
      <c r="CY33" s="230">
        <v>10166</v>
      </c>
      <c r="CZ33" s="230">
        <v>2232750</v>
      </c>
      <c r="DB33" s="227">
        <v>27</v>
      </c>
      <c r="DC33" s="226">
        <v>43080</v>
      </c>
      <c r="DD33" s="227" t="s">
        <v>307</v>
      </c>
      <c r="DE33" s="229">
        <v>109</v>
      </c>
      <c r="DF33" s="230">
        <v>1098</v>
      </c>
      <c r="DG33" s="230">
        <v>1782909</v>
      </c>
      <c r="DI33" s="227">
        <v>27</v>
      </c>
      <c r="DJ33" s="226">
        <v>42962</v>
      </c>
      <c r="DK33" s="227" t="s">
        <v>305</v>
      </c>
      <c r="DL33" s="229">
        <v>62</v>
      </c>
      <c r="DM33" s="230">
        <v>4592</v>
      </c>
      <c r="DN33" s="230">
        <v>2737549</v>
      </c>
      <c r="DP33" s="243">
        <v>27</v>
      </c>
      <c r="DQ33" s="248">
        <v>43053</v>
      </c>
      <c r="DR33" s="243" t="s">
        <v>305</v>
      </c>
      <c r="DS33" s="240">
        <v>4</v>
      </c>
      <c r="DT33" s="256">
        <v>197</v>
      </c>
      <c r="DU33" s="256">
        <v>1028321</v>
      </c>
      <c r="DW33" s="222"/>
      <c r="DX33" s="222"/>
      <c r="DY33" s="222"/>
      <c r="DZ33" s="222"/>
      <c r="EA33" s="222"/>
      <c r="EB33" s="222"/>
      <c r="ED33" s="243">
        <v>27</v>
      </c>
      <c r="EE33" s="248">
        <v>43010</v>
      </c>
      <c r="EF33" s="243" t="s">
        <v>307</v>
      </c>
      <c r="EG33" s="267">
        <v>31</v>
      </c>
      <c r="EH33" s="246">
        <v>1483</v>
      </c>
      <c r="EI33" s="246">
        <v>886656</v>
      </c>
      <c r="EK33" s="227">
        <v>27</v>
      </c>
      <c r="EL33" s="226">
        <v>42996</v>
      </c>
      <c r="EM33" s="227" t="s">
        <v>307</v>
      </c>
      <c r="EN33" s="229">
        <v>43</v>
      </c>
      <c r="EO33" s="230">
        <v>1656</v>
      </c>
      <c r="EP33" s="230">
        <v>1372777</v>
      </c>
      <c r="ER33" s="227">
        <v>27</v>
      </c>
      <c r="ES33" s="226">
        <v>42983</v>
      </c>
      <c r="ET33" s="227" t="s">
        <v>305</v>
      </c>
      <c r="EU33" s="232">
        <v>81</v>
      </c>
      <c r="EV33" s="224">
        <v>1163</v>
      </c>
      <c r="EW33" s="224">
        <v>1932837</v>
      </c>
      <c r="EY33" s="239">
        <v>27</v>
      </c>
      <c r="EZ33" s="226">
        <v>42912</v>
      </c>
      <c r="FA33" s="239" t="s">
        <v>307</v>
      </c>
      <c r="FB33" s="232">
        <v>169</v>
      </c>
      <c r="FC33" s="229">
        <v>4132</v>
      </c>
      <c r="FD33" s="229">
        <v>2145671</v>
      </c>
      <c r="FF33" s="227">
        <v>27</v>
      </c>
      <c r="FG33" s="225">
        <v>42898</v>
      </c>
      <c r="FH33" s="266" t="s">
        <v>307</v>
      </c>
      <c r="FI33" s="234">
        <v>1</v>
      </c>
      <c r="FJ33" s="234">
        <v>16</v>
      </c>
      <c r="FK33" s="236">
        <v>415678</v>
      </c>
      <c r="FM33" s="227">
        <v>27</v>
      </c>
      <c r="FN33" s="226">
        <v>42828</v>
      </c>
      <c r="FO33" s="225" t="s">
        <v>307</v>
      </c>
      <c r="FP33" s="224">
        <v>64</v>
      </c>
      <c r="FQ33" s="224">
        <v>321</v>
      </c>
      <c r="FR33" s="224">
        <v>1689297</v>
      </c>
      <c r="FT33" s="227">
        <v>27</v>
      </c>
      <c r="FU33" s="226">
        <v>42801</v>
      </c>
      <c r="FV33" s="225" t="s">
        <v>305</v>
      </c>
      <c r="FW33" s="232">
        <v>1</v>
      </c>
      <c r="FX33" s="232">
        <v>6</v>
      </c>
      <c r="FY33" s="229">
        <v>148349</v>
      </c>
      <c r="GA33" s="227">
        <v>27</v>
      </c>
      <c r="GB33" s="226">
        <v>42814</v>
      </c>
      <c r="GC33" s="225" t="s">
        <v>307</v>
      </c>
      <c r="GD33" s="224">
        <v>2</v>
      </c>
      <c r="GE33" s="224">
        <v>43</v>
      </c>
      <c r="GF33" s="224">
        <v>350851</v>
      </c>
      <c r="GH33" s="227">
        <v>27</v>
      </c>
      <c r="GI33" s="226">
        <v>42737</v>
      </c>
      <c r="GJ33" s="225" t="s">
        <v>307</v>
      </c>
      <c r="GK33" s="232">
        <v>9</v>
      </c>
      <c r="GL33" s="232">
        <v>141</v>
      </c>
      <c r="GM33" s="229">
        <v>322710</v>
      </c>
      <c r="GO33" s="227">
        <v>27</v>
      </c>
      <c r="GP33" s="226">
        <v>42716</v>
      </c>
      <c r="GQ33" s="225" t="s">
        <v>307</v>
      </c>
      <c r="GR33" s="232">
        <v>436</v>
      </c>
      <c r="GS33" s="229">
        <v>15890</v>
      </c>
      <c r="GT33" s="229">
        <v>4489614</v>
      </c>
      <c r="GV33" s="221"/>
      <c r="GW33" s="221"/>
      <c r="GX33" s="221"/>
      <c r="GY33" s="220"/>
      <c r="GZ33" s="220"/>
      <c r="HA33" s="220"/>
      <c r="HC33" s="227">
        <v>27</v>
      </c>
      <c r="HD33" s="226">
        <v>42667</v>
      </c>
      <c r="HE33" s="225" t="s">
        <v>307</v>
      </c>
      <c r="HF33" s="234">
        <v>47</v>
      </c>
      <c r="HG33" s="234">
        <v>534</v>
      </c>
      <c r="HH33" s="236">
        <v>621792</v>
      </c>
      <c r="HJ33" s="227">
        <v>27</v>
      </c>
      <c r="HK33" s="226">
        <v>42646</v>
      </c>
      <c r="HL33" s="225" t="s">
        <v>307</v>
      </c>
      <c r="HM33" s="224">
        <v>488</v>
      </c>
      <c r="HN33" s="224">
        <v>66543</v>
      </c>
      <c r="HO33" s="224">
        <v>7358979</v>
      </c>
      <c r="HQ33" s="227">
        <v>27</v>
      </c>
      <c r="HR33" s="226">
        <v>42632</v>
      </c>
      <c r="HS33" s="225" t="s">
        <v>307</v>
      </c>
      <c r="HT33" s="224">
        <v>59</v>
      </c>
      <c r="HU33" s="224">
        <v>646</v>
      </c>
      <c r="HV33" s="224">
        <v>1108104</v>
      </c>
      <c r="HX33" s="227">
        <v>27</v>
      </c>
      <c r="HY33" s="225">
        <v>42611</v>
      </c>
      <c r="HZ33" s="225" t="s">
        <v>307</v>
      </c>
      <c r="IA33" s="234">
        <v>28</v>
      </c>
      <c r="IB33" s="234">
        <v>502</v>
      </c>
      <c r="IC33" s="236">
        <v>1897144</v>
      </c>
      <c r="IE33" s="227">
        <v>27</v>
      </c>
      <c r="IF33" s="226">
        <v>42479</v>
      </c>
      <c r="IG33" s="225" t="s">
        <v>305</v>
      </c>
      <c r="IH33" s="232">
        <v>242</v>
      </c>
      <c r="II33" s="229">
        <v>2074</v>
      </c>
      <c r="IJ33" s="229">
        <v>2244521</v>
      </c>
    </row>
    <row r="34" spans="1:244" s="260" customFormat="1" ht="14" x14ac:dyDescent="0.45">
      <c r="A34" s="227">
        <v>28</v>
      </c>
      <c r="B34" s="226">
        <v>43565</v>
      </c>
      <c r="C34" s="227" t="s">
        <v>312</v>
      </c>
      <c r="D34" s="229">
        <v>5</v>
      </c>
      <c r="E34" s="228">
        <v>113</v>
      </c>
      <c r="F34" s="228">
        <v>100847</v>
      </c>
      <c r="H34" s="222"/>
      <c r="I34" s="222"/>
      <c r="J34" s="222"/>
      <c r="K34" s="222"/>
      <c r="L34" s="222"/>
      <c r="M34" s="222"/>
      <c r="O34" s="222"/>
      <c r="P34" s="222"/>
      <c r="Q34" s="222"/>
      <c r="R34" s="222"/>
      <c r="S34" s="222"/>
      <c r="T34" s="222"/>
      <c r="V34" s="227">
        <v>28</v>
      </c>
      <c r="W34" s="226">
        <v>43480</v>
      </c>
      <c r="X34" s="227" t="s">
        <v>312</v>
      </c>
      <c r="Y34" s="229">
        <v>663</v>
      </c>
      <c r="Z34" s="228">
        <v>21064</v>
      </c>
      <c r="AA34" s="228">
        <v>4962904</v>
      </c>
      <c r="AC34" s="227">
        <v>28</v>
      </c>
      <c r="AD34" s="226">
        <v>43445</v>
      </c>
      <c r="AE34" s="227" t="s">
        <v>312</v>
      </c>
      <c r="AF34" s="229">
        <v>101</v>
      </c>
      <c r="AG34" s="228">
        <v>1991</v>
      </c>
      <c r="AH34" s="228">
        <v>2407338</v>
      </c>
      <c r="AJ34" s="227">
        <v>28</v>
      </c>
      <c r="AK34" s="226">
        <v>43425</v>
      </c>
      <c r="AL34" s="227" t="s">
        <v>310</v>
      </c>
      <c r="AM34" s="229">
        <v>2</v>
      </c>
      <c r="AN34" s="228">
        <v>45</v>
      </c>
      <c r="AO34" s="228">
        <v>154020</v>
      </c>
      <c r="AQ34" s="227">
        <v>28</v>
      </c>
      <c r="AR34" s="226">
        <v>43409</v>
      </c>
      <c r="AS34" s="227" t="s">
        <v>307</v>
      </c>
      <c r="AT34" s="229">
        <v>160</v>
      </c>
      <c r="AU34" s="228">
        <v>4591</v>
      </c>
      <c r="AV34" s="228">
        <v>429731</v>
      </c>
      <c r="AX34" s="227">
        <v>28</v>
      </c>
      <c r="AY34" s="226">
        <v>43389</v>
      </c>
      <c r="AZ34" s="227" t="s">
        <v>305</v>
      </c>
      <c r="BA34" s="232">
        <v>8</v>
      </c>
      <c r="BB34" s="224">
        <v>49</v>
      </c>
      <c r="BC34" s="224">
        <v>1011262</v>
      </c>
      <c r="BE34" s="239">
        <v>28</v>
      </c>
      <c r="BF34" s="226">
        <v>43354</v>
      </c>
      <c r="BG34" s="227" t="s">
        <v>305</v>
      </c>
      <c r="BH34" s="232">
        <v>3</v>
      </c>
      <c r="BI34" s="224">
        <v>117</v>
      </c>
      <c r="BJ34" s="224">
        <v>527325</v>
      </c>
      <c r="BL34" s="239">
        <v>28</v>
      </c>
      <c r="BM34" s="226">
        <v>43333</v>
      </c>
      <c r="BN34" s="227" t="s">
        <v>305</v>
      </c>
      <c r="BO34" s="232">
        <v>2</v>
      </c>
      <c r="BP34" s="224">
        <v>27</v>
      </c>
      <c r="BQ34" s="224">
        <v>897346</v>
      </c>
      <c r="BS34" s="227">
        <v>28</v>
      </c>
      <c r="BT34" s="226">
        <v>43305</v>
      </c>
      <c r="BU34" s="227" t="s">
        <v>305</v>
      </c>
      <c r="BV34" s="232">
        <v>697</v>
      </c>
      <c r="BW34" s="224">
        <v>49582</v>
      </c>
      <c r="BX34" s="224">
        <v>3101241</v>
      </c>
      <c r="BZ34" s="227">
        <v>28</v>
      </c>
      <c r="CA34" s="226">
        <v>43291</v>
      </c>
      <c r="CB34" s="227" t="s">
        <v>305</v>
      </c>
      <c r="CC34" s="232">
        <v>81</v>
      </c>
      <c r="CD34" s="230">
        <v>2435</v>
      </c>
      <c r="CE34" s="230">
        <v>1330940</v>
      </c>
      <c r="CG34" s="227">
        <v>28</v>
      </c>
      <c r="CH34" s="226">
        <v>43248</v>
      </c>
      <c r="CI34" s="227" t="s">
        <v>307</v>
      </c>
      <c r="CJ34" s="229">
        <v>41</v>
      </c>
      <c r="CK34" s="230">
        <v>288</v>
      </c>
      <c r="CL34" s="230">
        <v>1126136</v>
      </c>
      <c r="CN34" s="239">
        <v>28</v>
      </c>
      <c r="CO34" s="226">
        <v>43229</v>
      </c>
      <c r="CP34" s="227" t="s">
        <v>304</v>
      </c>
      <c r="CQ34" s="232">
        <v>10</v>
      </c>
      <c r="CR34" s="224">
        <v>41</v>
      </c>
      <c r="CS34" s="224">
        <v>1385209</v>
      </c>
      <c r="CU34" s="227">
        <v>28</v>
      </c>
      <c r="CV34" s="226">
        <v>43214</v>
      </c>
      <c r="CW34" s="227" t="s">
        <v>305</v>
      </c>
      <c r="CX34" s="229">
        <v>442</v>
      </c>
      <c r="CY34" s="230">
        <v>9697</v>
      </c>
      <c r="CZ34" s="230">
        <v>2242447</v>
      </c>
      <c r="DB34" s="227">
        <v>28</v>
      </c>
      <c r="DC34" s="226">
        <v>43081</v>
      </c>
      <c r="DD34" s="227" t="s">
        <v>305</v>
      </c>
      <c r="DE34" s="229">
        <v>104</v>
      </c>
      <c r="DF34" s="230">
        <v>1313</v>
      </c>
      <c r="DG34" s="230">
        <v>1784222</v>
      </c>
      <c r="DI34" s="227">
        <v>28</v>
      </c>
      <c r="DJ34" s="226">
        <v>42963</v>
      </c>
      <c r="DK34" s="227" t="s">
        <v>304</v>
      </c>
      <c r="DL34" s="229">
        <v>57</v>
      </c>
      <c r="DM34" s="230">
        <v>2734</v>
      </c>
      <c r="DN34" s="230">
        <v>2740283</v>
      </c>
      <c r="DP34" s="227">
        <v>28</v>
      </c>
      <c r="DQ34" s="226">
        <v>43054</v>
      </c>
      <c r="DR34" s="227" t="s">
        <v>304</v>
      </c>
      <c r="DS34" s="229">
        <v>3</v>
      </c>
      <c r="DT34" s="230">
        <v>48</v>
      </c>
      <c r="DU34" s="230">
        <v>1028369</v>
      </c>
      <c r="DW34" s="222"/>
      <c r="DX34" s="222"/>
      <c r="DY34" s="222"/>
      <c r="DZ34" s="222"/>
      <c r="EA34" s="222"/>
      <c r="EB34" s="222"/>
      <c r="ED34" s="227">
        <v>28</v>
      </c>
      <c r="EE34" s="226">
        <v>43011</v>
      </c>
      <c r="EF34" s="227" t="s">
        <v>305</v>
      </c>
      <c r="EG34" s="252">
        <v>8</v>
      </c>
      <c r="EH34" s="224">
        <v>313</v>
      </c>
      <c r="EI34" s="224">
        <v>886969</v>
      </c>
      <c r="EK34" s="243">
        <v>28</v>
      </c>
      <c r="EL34" s="248">
        <v>42997</v>
      </c>
      <c r="EM34" s="243" t="s">
        <v>305</v>
      </c>
      <c r="EN34" s="240">
        <v>32</v>
      </c>
      <c r="EO34" s="256">
        <v>199</v>
      </c>
      <c r="EP34" s="256">
        <v>1372976</v>
      </c>
      <c r="ER34" s="227">
        <v>28</v>
      </c>
      <c r="ES34" s="226">
        <v>42984</v>
      </c>
      <c r="ET34" s="227" t="s">
        <v>304</v>
      </c>
      <c r="EU34" s="232">
        <v>11</v>
      </c>
      <c r="EV34" s="224">
        <v>113</v>
      </c>
      <c r="EW34" s="224">
        <v>1932950</v>
      </c>
      <c r="EY34" s="239">
        <v>28</v>
      </c>
      <c r="EZ34" s="226">
        <v>42913</v>
      </c>
      <c r="FA34" s="239" t="s">
        <v>305</v>
      </c>
      <c r="FB34" s="232">
        <v>172</v>
      </c>
      <c r="FC34" s="229">
        <v>4205</v>
      </c>
      <c r="FD34" s="229">
        <v>2149873</v>
      </c>
      <c r="FF34" s="227">
        <v>28</v>
      </c>
      <c r="FG34" s="265">
        <v>42899</v>
      </c>
      <c r="FH34" s="225" t="s">
        <v>305</v>
      </c>
      <c r="FI34" s="264">
        <v>1</v>
      </c>
      <c r="FJ34" s="263">
        <v>18</v>
      </c>
      <c r="FK34" s="262">
        <v>415696</v>
      </c>
      <c r="FM34" s="227">
        <v>28</v>
      </c>
      <c r="FN34" s="226">
        <v>42829</v>
      </c>
      <c r="FO34" s="225" t="s">
        <v>305</v>
      </c>
      <c r="FP34" s="224">
        <v>58</v>
      </c>
      <c r="FQ34" s="224">
        <v>347</v>
      </c>
      <c r="FR34" s="224">
        <v>1689644</v>
      </c>
      <c r="FT34" s="227">
        <v>28</v>
      </c>
      <c r="FU34" s="226">
        <v>42802</v>
      </c>
      <c r="FV34" s="225" t="s">
        <v>304</v>
      </c>
      <c r="FW34" s="232">
        <v>1</v>
      </c>
      <c r="FX34" s="232">
        <v>2</v>
      </c>
      <c r="FY34" s="229">
        <v>148351</v>
      </c>
      <c r="GA34" s="227">
        <v>28</v>
      </c>
      <c r="GB34" s="226">
        <v>42815</v>
      </c>
      <c r="GC34" s="225" t="s">
        <v>305</v>
      </c>
      <c r="GD34" s="224">
        <v>3</v>
      </c>
      <c r="GE34" s="224">
        <v>142</v>
      </c>
      <c r="GF34" s="224">
        <v>350993</v>
      </c>
      <c r="GH34" s="227">
        <v>28</v>
      </c>
      <c r="GI34" s="226">
        <v>42738</v>
      </c>
      <c r="GJ34" s="225" t="s">
        <v>305</v>
      </c>
      <c r="GK34" s="232">
        <v>7</v>
      </c>
      <c r="GL34" s="232">
        <v>140</v>
      </c>
      <c r="GM34" s="229">
        <v>322850</v>
      </c>
      <c r="GO34" s="227">
        <v>28</v>
      </c>
      <c r="GP34" s="226">
        <v>42717</v>
      </c>
      <c r="GQ34" s="225" t="s">
        <v>305</v>
      </c>
      <c r="GR34" s="232">
        <v>456</v>
      </c>
      <c r="GS34" s="229">
        <v>17759</v>
      </c>
      <c r="GT34" s="229">
        <v>4507373</v>
      </c>
      <c r="GV34" s="221"/>
      <c r="GW34" s="221"/>
      <c r="GX34" s="221"/>
      <c r="GY34" s="220"/>
      <c r="GZ34" s="220"/>
      <c r="HA34" s="220"/>
      <c r="HC34" s="227">
        <v>28</v>
      </c>
      <c r="HD34" s="226">
        <v>42668</v>
      </c>
      <c r="HE34" s="225" t="s">
        <v>305</v>
      </c>
      <c r="HF34" s="234">
        <v>44</v>
      </c>
      <c r="HG34" s="234">
        <v>645</v>
      </c>
      <c r="HH34" s="236">
        <v>622437</v>
      </c>
      <c r="HJ34" s="227">
        <v>28</v>
      </c>
      <c r="HK34" s="226">
        <v>42647</v>
      </c>
      <c r="HL34" s="225" t="s">
        <v>305</v>
      </c>
      <c r="HM34" s="224">
        <v>439</v>
      </c>
      <c r="HN34" s="224">
        <v>17355</v>
      </c>
      <c r="HO34" s="224">
        <v>7376334</v>
      </c>
      <c r="HQ34" s="227">
        <v>28</v>
      </c>
      <c r="HR34" s="226">
        <v>42633</v>
      </c>
      <c r="HS34" s="225" t="s">
        <v>305</v>
      </c>
      <c r="HT34" s="224">
        <v>53</v>
      </c>
      <c r="HU34" s="224">
        <v>572</v>
      </c>
      <c r="HV34" s="224">
        <v>1108676</v>
      </c>
      <c r="HX34" s="227">
        <v>28</v>
      </c>
      <c r="HY34" s="225">
        <v>42612</v>
      </c>
      <c r="HZ34" s="225" t="s">
        <v>305</v>
      </c>
      <c r="IA34" s="234">
        <v>27</v>
      </c>
      <c r="IB34" s="234">
        <v>524</v>
      </c>
      <c r="IC34" s="236">
        <v>1897668</v>
      </c>
      <c r="IE34" s="227">
        <v>28</v>
      </c>
      <c r="IF34" s="226">
        <v>42480</v>
      </c>
      <c r="IG34" s="225" t="s">
        <v>304</v>
      </c>
      <c r="IH34" s="232">
        <v>176</v>
      </c>
      <c r="II34" s="229">
        <v>1443</v>
      </c>
      <c r="IJ34" s="229">
        <v>2245964</v>
      </c>
    </row>
    <row r="35" spans="1:244" s="260" customFormat="1" ht="14" x14ac:dyDescent="0.45">
      <c r="A35" s="243">
        <v>29</v>
      </c>
      <c r="B35" s="248">
        <v>43566</v>
      </c>
      <c r="C35" s="243" t="s">
        <v>310</v>
      </c>
      <c r="D35" s="240">
        <v>1</v>
      </c>
      <c r="E35" s="258">
        <v>16</v>
      </c>
      <c r="F35" s="258">
        <v>100863</v>
      </c>
      <c r="H35" s="222"/>
      <c r="I35" s="222"/>
      <c r="J35" s="222"/>
      <c r="K35" s="222"/>
      <c r="L35" s="222"/>
      <c r="M35" s="222"/>
      <c r="O35" s="222"/>
      <c r="P35" s="222"/>
      <c r="Q35" s="222"/>
      <c r="R35" s="222"/>
      <c r="S35" s="222"/>
      <c r="T35" s="222"/>
      <c r="V35" s="227">
        <v>29</v>
      </c>
      <c r="W35" s="226">
        <v>43481</v>
      </c>
      <c r="X35" s="227" t="s">
        <v>310</v>
      </c>
      <c r="Y35" s="229">
        <v>438</v>
      </c>
      <c r="Z35" s="228">
        <v>13701</v>
      </c>
      <c r="AA35" s="228">
        <v>4976605</v>
      </c>
      <c r="AC35" s="243">
        <v>29</v>
      </c>
      <c r="AD35" s="248">
        <v>43446</v>
      </c>
      <c r="AE35" s="243" t="s">
        <v>310</v>
      </c>
      <c r="AF35" s="240">
        <v>34</v>
      </c>
      <c r="AG35" s="258">
        <v>1178</v>
      </c>
      <c r="AH35" s="258">
        <v>2408516</v>
      </c>
      <c r="AJ35" s="243">
        <v>29</v>
      </c>
      <c r="AK35" s="248">
        <v>43426</v>
      </c>
      <c r="AL35" s="243" t="s">
        <v>316</v>
      </c>
      <c r="AM35" s="240">
        <v>1</v>
      </c>
      <c r="AN35" s="258">
        <v>21</v>
      </c>
      <c r="AO35" s="258">
        <v>154041</v>
      </c>
      <c r="AQ35" s="243">
        <v>29</v>
      </c>
      <c r="AR35" s="248">
        <v>43410</v>
      </c>
      <c r="AS35" s="243" t="s">
        <v>305</v>
      </c>
      <c r="AT35" s="240">
        <v>160</v>
      </c>
      <c r="AU35" s="258">
        <v>4802</v>
      </c>
      <c r="AV35" s="258">
        <v>434533</v>
      </c>
      <c r="AX35" s="243">
        <v>29</v>
      </c>
      <c r="AY35" s="248">
        <v>43390</v>
      </c>
      <c r="AZ35" s="243" t="s">
        <v>304</v>
      </c>
      <c r="BA35" s="257">
        <v>5</v>
      </c>
      <c r="BB35" s="246">
        <v>19</v>
      </c>
      <c r="BC35" s="246">
        <v>1011281</v>
      </c>
      <c r="BE35" s="243">
        <v>29</v>
      </c>
      <c r="BF35" s="248">
        <v>43355</v>
      </c>
      <c r="BG35" s="243" t="s">
        <v>304</v>
      </c>
      <c r="BH35" s="257">
        <v>1</v>
      </c>
      <c r="BI35" s="246">
        <v>6</v>
      </c>
      <c r="BJ35" s="246">
        <v>527331</v>
      </c>
      <c r="BL35" s="239">
        <v>29</v>
      </c>
      <c r="BM35" s="226">
        <v>43334</v>
      </c>
      <c r="BN35" s="227" t="s">
        <v>304</v>
      </c>
      <c r="BO35" s="232">
        <v>4</v>
      </c>
      <c r="BP35" s="224">
        <v>137</v>
      </c>
      <c r="BQ35" s="224">
        <v>897483</v>
      </c>
      <c r="BS35" s="243">
        <v>29</v>
      </c>
      <c r="BT35" s="248">
        <v>43306</v>
      </c>
      <c r="BU35" s="243" t="s">
        <v>304</v>
      </c>
      <c r="BV35" s="257">
        <v>319</v>
      </c>
      <c r="BW35" s="246">
        <v>14300</v>
      </c>
      <c r="BX35" s="246">
        <v>3115541</v>
      </c>
      <c r="BZ35" s="227">
        <v>29</v>
      </c>
      <c r="CA35" s="226">
        <v>43292</v>
      </c>
      <c r="CB35" s="227" t="s">
        <v>304</v>
      </c>
      <c r="CC35" s="232">
        <v>30</v>
      </c>
      <c r="CD35" s="230">
        <v>922</v>
      </c>
      <c r="CE35" s="230">
        <v>1331862</v>
      </c>
      <c r="CG35" s="227">
        <v>29</v>
      </c>
      <c r="CH35" s="226">
        <v>43249</v>
      </c>
      <c r="CI35" s="227" t="s">
        <v>305</v>
      </c>
      <c r="CJ35" s="229">
        <v>43</v>
      </c>
      <c r="CK35" s="230">
        <v>690</v>
      </c>
      <c r="CL35" s="230">
        <v>1126826</v>
      </c>
      <c r="CN35" s="243">
        <v>29</v>
      </c>
      <c r="CO35" s="248">
        <v>43230</v>
      </c>
      <c r="CP35" s="243" t="s">
        <v>303</v>
      </c>
      <c r="CQ35" s="257">
        <v>5</v>
      </c>
      <c r="CR35" s="246">
        <v>29</v>
      </c>
      <c r="CS35" s="246">
        <v>1385238</v>
      </c>
      <c r="CU35" s="227">
        <v>29</v>
      </c>
      <c r="CV35" s="226">
        <v>43215</v>
      </c>
      <c r="CW35" s="227" t="s">
        <v>304</v>
      </c>
      <c r="CX35" s="229">
        <v>40</v>
      </c>
      <c r="CY35" s="230">
        <v>802</v>
      </c>
      <c r="CZ35" s="230">
        <v>2243249</v>
      </c>
      <c r="DB35" s="227">
        <v>29</v>
      </c>
      <c r="DC35" s="226">
        <v>43082</v>
      </c>
      <c r="DD35" s="227" t="s">
        <v>304</v>
      </c>
      <c r="DE35" s="229">
        <v>110</v>
      </c>
      <c r="DF35" s="230">
        <v>1698</v>
      </c>
      <c r="DG35" s="230">
        <v>1785920</v>
      </c>
      <c r="DI35" s="227">
        <v>29</v>
      </c>
      <c r="DJ35" s="226">
        <v>42964</v>
      </c>
      <c r="DK35" s="227" t="s">
        <v>303</v>
      </c>
      <c r="DL35" s="229">
        <v>34</v>
      </c>
      <c r="DM35" s="230">
        <v>1971</v>
      </c>
      <c r="DN35" s="230">
        <v>2742254</v>
      </c>
      <c r="DP35" s="227">
        <v>29</v>
      </c>
      <c r="DQ35" s="226">
        <v>43055</v>
      </c>
      <c r="DR35" s="227" t="s">
        <v>303</v>
      </c>
      <c r="DS35" s="229">
        <v>1</v>
      </c>
      <c r="DT35" s="230">
        <v>1</v>
      </c>
      <c r="DU35" s="230">
        <v>1028370</v>
      </c>
      <c r="DW35" s="222"/>
      <c r="DX35" s="222"/>
      <c r="DY35" s="222"/>
      <c r="DZ35" s="222"/>
      <c r="EA35" s="222"/>
      <c r="EB35" s="222"/>
      <c r="ED35" s="227">
        <v>29</v>
      </c>
      <c r="EE35" s="226">
        <v>43012</v>
      </c>
      <c r="EF35" s="227" t="s">
        <v>304</v>
      </c>
      <c r="EG35" s="252">
        <v>7</v>
      </c>
      <c r="EH35" s="224">
        <v>327</v>
      </c>
      <c r="EI35" s="224">
        <v>887296</v>
      </c>
      <c r="EK35" s="227">
        <v>29</v>
      </c>
      <c r="EL35" s="226">
        <v>42998</v>
      </c>
      <c r="EM35" s="227" t="s">
        <v>304</v>
      </c>
      <c r="EN35" s="229">
        <v>27</v>
      </c>
      <c r="EO35" s="230">
        <v>221</v>
      </c>
      <c r="EP35" s="230">
        <v>1373197</v>
      </c>
      <c r="ER35" s="227">
        <v>29</v>
      </c>
      <c r="ES35" s="226">
        <v>42985</v>
      </c>
      <c r="ET35" s="227" t="s">
        <v>303</v>
      </c>
      <c r="EU35" s="232">
        <v>10</v>
      </c>
      <c r="EV35" s="224">
        <v>117</v>
      </c>
      <c r="EW35" s="224">
        <v>1933067</v>
      </c>
      <c r="EY35" s="243">
        <v>29</v>
      </c>
      <c r="EZ35" s="248">
        <v>42914</v>
      </c>
      <c r="FA35" s="243" t="s">
        <v>304</v>
      </c>
      <c r="FB35" s="257">
        <v>35</v>
      </c>
      <c r="FC35" s="240">
        <v>1106</v>
      </c>
      <c r="FD35" s="240">
        <v>2150979</v>
      </c>
      <c r="FF35" s="227">
        <v>29</v>
      </c>
      <c r="FG35" s="265">
        <v>42900</v>
      </c>
      <c r="FH35" s="225" t="s">
        <v>304</v>
      </c>
      <c r="FI35" s="264">
        <v>1</v>
      </c>
      <c r="FJ35" s="263">
        <v>18</v>
      </c>
      <c r="FK35" s="262">
        <v>415714</v>
      </c>
      <c r="FM35" s="227">
        <v>29</v>
      </c>
      <c r="FN35" s="226">
        <v>42830</v>
      </c>
      <c r="FO35" s="225" t="s">
        <v>304</v>
      </c>
      <c r="FP35" s="224">
        <v>5</v>
      </c>
      <c r="FQ35" s="224">
        <v>56</v>
      </c>
      <c r="FR35" s="224">
        <v>1689700</v>
      </c>
      <c r="FT35" s="227">
        <v>29</v>
      </c>
      <c r="FU35" s="226">
        <v>42803</v>
      </c>
      <c r="FV35" s="225" t="s">
        <v>303</v>
      </c>
      <c r="FW35" s="232">
        <v>1</v>
      </c>
      <c r="FX35" s="232">
        <v>13</v>
      </c>
      <c r="FY35" s="229">
        <v>148364</v>
      </c>
      <c r="GA35" s="227">
        <v>29</v>
      </c>
      <c r="GB35" s="226">
        <v>42816</v>
      </c>
      <c r="GC35" s="225" t="s">
        <v>304</v>
      </c>
      <c r="GD35" s="224">
        <v>2</v>
      </c>
      <c r="GE35" s="224">
        <v>23</v>
      </c>
      <c r="GF35" s="224">
        <v>351016</v>
      </c>
      <c r="GH35" s="227">
        <v>29</v>
      </c>
      <c r="GI35" s="226">
        <v>42739</v>
      </c>
      <c r="GJ35" s="225" t="s">
        <v>304</v>
      </c>
      <c r="GK35" s="232">
        <v>1</v>
      </c>
      <c r="GL35" s="232">
        <v>32</v>
      </c>
      <c r="GM35" s="229">
        <v>322882</v>
      </c>
      <c r="GO35" s="227">
        <v>29</v>
      </c>
      <c r="GP35" s="226">
        <v>42718</v>
      </c>
      <c r="GQ35" s="225" t="s">
        <v>304</v>
      </c>
      <c r="GR35" s="232">
        <v>324</v>
      </c>
      <c r="GS35" s="229">
        <v>13213</v>
      </c>
      <c r="GT35" s="229">
        <v>4520586</v>
      </c>
      <c r="GV35" s="221"/>
      <c r="GW35" s="221"/>
      <c r="GX35" s="221"/>
      <c r="GY35" s="220"/>
      <c r="GZ35" s="220"/>
      <c r="HA35" s="220"/>
      <c r="HC35" s="227">
        <v>29</v>
      </c>
      <c r="HD35" s="226">
        <v>42669</v>
      </c>
      <c r="HE35" s="225" t="s">
        <v>304</v>
      </c>
      <c r="HF35" s="234">
        <v>6</v>
      </c>
      <c r="HG35" s="234">
        <v>320</v>
      </c>
      <c r="HH35" s="236">
        <v>622757</v>
      </c>
      <c r="HJ35" s="227">
        <v>29</v>
      </c>
      <c r="HK35" s="226">
        <v>42648</v>
      </c>
      <c r="HL35" s="225" t="s">
        <v>304</v>
      </c>
      <c r="HM35" s="224">
        <v>416</v>
      </c>
      <c r="HN35" s="224">
        <v>14219</v>
      </c>
      <c r="HO35" s="224">
        <v>7390553</v>
      </c>
      <c r="HQ35" s="227">
        <v>29</v>
      </c>
      <c r="HR35" s="226">
        <v>42634</v>
      </c>
      <c r="HS35" s="225" t="s">
        <v>304</v>
      </c>
      <c r="HT35" s="224">
        <v>47</v>
      </c>
      <c r="HU35" s="224">
        <v>361</v>
      </c>
      <c r="HV35" s="224">
        <v>1109037</v>
      </c>
      <c r="HX35" s="227">
        <v>29</v>
      </c>
      <c r="HY35" s="225">
        <v>42613</v>
      </c>
      <c r="HZ35" s="225" t="s">
        <v>304</v>
      </c>
      <c r="IA35" s="234">
        <v>3</v>
      </c>
      <c r="IB35" s="234">
        <v>66</v>
      </c>
      <c r="IC35" s="236">
        <v>1897734</v>
      </c>
      <c r="IE35" s="227">
        <v>29</v>
      </c>
      <c r="IF35" s="226">
        <v>42481</v>
      </c>
      <c r="IG35" s="225" t="s">
        <v>303</v>
      </c>
      <c r="IH35" s="232">
        <v>104</v>
      </c>
      <c r="II35" s="229">
        <v>1109</v>
      </c>
      <c r="IJ35" s="229">
        <v>2247073</v>
      </c>
    </row>
    <row r="36" spans="1:244" s="260" customFormat="1" ht="13.5" customHeight="1" x14ac:dyDescent="0.45">
      <c r="A36" s="227">
        <v>30</v>
      </c>
      <c r="B36" s="226">
        <v>43567</v>
      </c>
      <c r="C36" s="227" t="s">
        <v>316</v>
      </c>
      <c r="D36" s="229">
        <v>1</v>
      </c>
      <c r="E36" s="228">
        <v>31</v>
      </c>
      <c r="F36" s="228">
        <v>100894</v>
      </c>
      <c r="H36" s="222"/>
      <c r="I36" s="222"/>
      <c r="J36" s="222"/>
      <c r="K36" s="222"/>
      <c r="L36" s="222"/>
      <c r="M36" s="222"/>
      <c r="O36" s="222"/>
      <c r="P36" s="222"/>
      <c r="Q36" s="222"/>
      <c r="R36" s="222"/>
      <c r="S36" s="222"/>
      <c r="T36" s="222"/>
      <c r="V36" s="227">
        <v>30</v>
      </c>
      <c r="W36" s="226">
        <v>43482</v>
      </c>
      <c r="X36" s="227" t="s">
        <v>316</v>
      </c>
      <c r="Y36" s="229">
        <v>297</v>
      </c>
      <c r="Z36" s="228">
        <v>6784</v>
      </c>
      <c r="AA36" s="228">
        <v>4983389</v>
      </c>
      <c r="AC36" s="227">
        <v>30</v>
      </c>
      <c r="AD36" s="226">
        <v>43447</v>
      </c>
      <c r="AE36" s="227" t="s">
        <v>316</v>
      </c>
      <c r="AF36" s="229">
        <v>27</v>
      </c>
      <c r="AG36" s="228">
        <v>1379</v>
      </c>
      <c r="AH36" s="228">
        <v>2409895</v>
      </c>
      <c r="AJ36" s="227">
        <v>30</v>
      </c>
      <c r="AK36" s="226">
        <v>43427</v>
      </c>
      <c r="AL36" s="227" t="s">
        <v>320</v>
      </c>
      <c r="AM36" s="229">
        <v>1</v>
      </c>
      <c r="AN36" s="228">
        <v>15</v>
      </c>
      <c r="AO36" s="228">
        <v>154056</v>
      </c>
      <c r="AQ36" s="227">
        <v>30</v>
      </c>
      <c r="AR36" s="226">
        <v>43411</v>
      </c>
      <c r="AS36" s="227" t="s">
        <v>304</v>
      </c>
      <c r="AT36" s="229">
        <v>115</v>
      </c>
      <c r="AU36" s="228">
        <v>4045</v>
      </c>
      <c r="AV36" s="228">
        <v>438578</v>
      </c>
      <c r="AX36" s="239">
        <v>30</v>
      </c>
      <c r="AY36" s="226">
        <v>43392</v>
      </c>
      <c r="AZ36" s="227" t="s">
        <v>303</v>
      </c>
      <c r="BA36" s="232">
        <v>1</v>
      </c>
      <c r="BB36" s="224">
        <v>1</v>
      </c>
      <c r="BC36" s="224">
        <v>1011282</v>
      </c>
      <c r="BE36" s="239">
        <v>30</v>
      </c>
      <c r="BF36" s="226">
        <v>43402</v>
      </c>
      <c r="BG36" s="227" t="s">
        <v>303</v>
      </c>
      <c r="BH36" s="232">
        <v>1</v>
      </c>
      <c r="BI36" s="224">
        <v>177</v>
      </c>
      <c r="BJ36" s="224">
        <v>527508</v>
      </c>
      <c r="BL36" s="239">
        <v>30</v>
      </c>
      <c r="BM36" s="226">
        <v>43339</v>
      </c>
      <c r="BN36" s="227" t="s">
        <v>303</v>
      </c>
      <c r="BO36" s="232">
        <v>1</v>
      </c>
      <c r="BP36" s="224">
        <v>14</v>
      </c>
      <c r="BQ36" s="224">
        <v>897497</v>
      </c>
      <c r="BS36" s="227">
        <v>30</v>
      </c>
      <c r="BT36" s="226">
        <v>43307</v>
      </c>
      <c r="BU36" s="227" t="s">
        <v>303</v>
      </c>
      <c r="BV36" s="232">
        <v>279</v>
      </c>
      <c r="BW36" s="224">
        <v>9648</v>
      </c>
      <c r="BX36" s="224">
        <v>3125189</v>
      </c>
      <c r="BZ36" s="227">
        <v>30</v>
      </c>
      <c r="CA36" s="226">
        <v>43293</v>
      </c>
      <c r="CB36" s="227" t="s">
        <v>303</v>
      </c>
      <c r="CC36" s="232">
        <v>25</v>
      </c>
      <c r="CD36" s="230">
        <v>535</v>
      </c>
      <c r="CE36" s="230">
        <v>1332397</v>
      </c>
      <c r="CG36" s="227">
        <v>30</v>
      </c>
      <c r="CH36" s="226">
        <v>43250</v>
      </c>
      <c r="CI36" s="227" t="s">
        <v>304</v>
      </c>
      <c r="CJ36" s="229">
        <v>6</v>
      </c>
      <c r="CK36" s="230">
        <v>405</v>
      </c>
      <c r="CL36" s="230">
        <v>1127231</v>
      </c>
      <c r="CN36" s="239">
        <v>30</v>
      </c>
      <c r="CO36" s="226">
        <v>43231</v>
      </c>
      <c r="CP36" s="227" t="s">
        <v>302</v>
      </c>
      <c r="CQ36" s="232">
        <v>7</v>
      </c>
      <c r="CR36" s="224">
        <v>25</v>
      </c>
      <c r="CS36" s="224">
        <v>1385263</v>
      </c>
      <c r="CU36" s="227">
        <v>30</v>
      </c>
      <c r="CV36" s="226">
        <v>43216</v>
      </c>
      <c r="CW36" s="227" t="s">
        <v>303</v>
      </c>
      <c r="CX36" s="229">
        <v>37</v>
      </c>
      <c r="CY36" s="230">
        <v>808</v>
      </c>
      <c r="CZ36" s="230">
        <v>2244057</v>
      </c>
      <c r="DB36" s="227">
        <v>30</v>
      </c>
      <c r="DC36" s="226">
        <v>43083</v>
      </c>
      <c r="DD36" s="227" t="s">
        <v>303</v>
      </c>
      <c r="DE36" s="229">
        <v>2</v>
      </c>
      <c r="DF36" s="230">
        <v>139</v>
      </c>
      <c r="DG36" s="230">
        <v>1786059</v>
      </c>
      <c r="DI36" s="227">
        <v>30</v>
      </c>
      <c r="DJ36" s="226">
        <v>42965</v>
      </c>
      <c r="DK36" s="227" t="s">
        <v>302</v>
      </c>
      <c r="DL36" s="229">
        <v>37</v>
      </c>
      <c r="DM36" s="230">
        <v>1825</v>
      </c>
      <c r="DN36" s="230">
        <v>2744079</v>
      </c>
      <c r="DP36" s="227">
        <v>30</v>
      </c>
      <c r="DQ36" s="226">
        <v>43056</v>
      </c>
      <c r="DR36" s="227" t="s">
        <v>302</v>
      </c>
      <c r="DS36" s="229">
        <v>1</v>
      </c>
      <c r="DT36" s="230">
        <v>1</v>
      </c>
      <c r="DU36" s="230">
        <v>1028371</v>
      </c>
      <c r="DW36" s="220"/>
      <c r="DX36" s="222"/>
      <c r="DY36" s="222"/>
      <c r="DZ36" s="222"/>
      <c r="EA36" s="222"/>
      <c r="EB36" s="222"/>
      <c r="ED36" s="227">
        <v>30</v>
      </c>
      <c r="EE36" s="226">
        <v>43013</v>
      </c>
      <c r="EF36" s="227" t="s">
        <v>303</v>
      </c>
      <c r="EG36" s="252">
        <v>5</v>
      </c>
      <c r="EH36" s="224">
        <v>246</v>
      </c>
      <c r="EI36" s="224">
        <v>887542</v>
      </c>
      <c r="EK36" s="227">
        <v>30</v>
      </c>
      <c r="EL36" s="226">
        <v>42999</v>
      </c>
      <c r="EM36" s="227" t="s">
        <v>303</v>
      </c>
      <c r="EN36" s="229">
        <v>4</v>
      </c>
      <c r="EO36" s="230">
        <v>68</v>
      </c>
      <c r="EP36" s="230">
        <v>1373265</v>
      </c>
      <c r="ER36" s="227">
        <v>30</v>
      </c>
      <c r="ES36" s="226">
        <v>42986</v>
      </c>
      <c r="ET36" s="227" t="s">
        <v>302</v>
      </c>
      <c r="EU36" s="232">
        <v>10</v>
      </c>
      <c r="EV36" s="224">
        <v>184</v>
      </c>
      <c r="EW36" s="224">
        <v>1933251</v>
      </c>
      <c r="EY36" s="239">
        <v>30</v>
      </c>
      <c r="EZ36" s="226">
        <v>42915</v>
      </c>
      <c r="FA36" s="239" t="s">
        <v>303</v>
      </c>
      <c r="FB36" s="232">
        <v>29</v>
      </c>
      <c r="FC36" s="232">
        <v>957</v>
      </c>
      <c r="FD36" s="229">
        <v>2151936</v>
      </c>
      <c r="FF36" s="261" t="s">
        <v>342</v>
      </c>
      <c r="FM36" s="243">
        <v>30</v>
      </c>
      <c r="FN36" s="248">
        <v>42832</v>
      </c>
      <c r="FO36" s="247" t="s">
        <v>303</v>
      </c>
      <c r="FP36" s="246">
        <v>2</v>
      </c>
      <c r="FQ36" s="246">
        <v>2</v>
      </c>
      <c r="FR36" s="246">
        <v>1689702</v>
      </c>
      <c r="FT36" s="227">
        <v>30</v>
      </c>
      <c r="FU36" s="226">
        <v>42804</v>
      </c>
      <c r="FV36" s="225" t="s">
        <v>302</v>
      </c>
      <c r="FW36" s="232">
        <v>1</v>
      </c>
      <c r="FX36" s="232">
        <v>6</v>
      </c>
      <c r="FY36" s="229">
        <v>148370</v>
      </c>
      <c r="GA36" s="227">
        <v>30</v>
      </c>
      <c r="GB36" s="226">
        <v>42826</v>
      </c>
      <c r="GC36" s="225" t="s">
        <v>303</v>
      </c>
      <c r="GD36" s="224">
        <v>1</v>
      </c>
      <c r="GE36" s="224">
        <v>260</v>
      </c>
      <c r="GF36" s="224">
        <v>351276</v>
      </c>
      <c r="GH36" s="227">
        <v>30</v>
      </c>
      <c r="GI36" s="226">
        <v>42740</v>
      </c>
      <c r="GJ36" s="225" t="s">
        <v>303</v>
      </c>
      <c r="GK36" s="232">
        <v>3</v>
      </c>
      <c r="GL36" s="232">
        <v>16</v>
      </c>
      <c r="GM36" s="229">
        <v>322898</v>
      </c>
      <c r="GO36" s="227">
        <v>30</v>
      </c>
      <c r="GP36" s="226">
        <v>42719</v>
      </c>
      <c r="GQ36" s="225" t="s">
        <v>303</v>
      </c>
      <c r="GR36" s="232">
        <v>304</v>
      </c>
      <c r="GS36" s="229">
        <v>10923</v>
      </c>
      <c r="GT36" s="229">
        <v>4531509</v>
      </c>
      <c r="GV36" s="221"/>
      <c r="GW36" s="221"/>
      <c r="GX36" s="221"/>
      <c r="GY36" s="220"/>
      <c r="GZ36" s="220"/>
      <c r="HA36" s="220"/>
      <c r="HC36" s="227">
        <v>30</v>
      </c>
      <c r="HD36" s="226">
        <v>42670</v>
      </c>
      <c r="HE36" s="225" t="s">
        <v>303</v>
      </c>
      <c r="HF36" s="234">
        <v>2</v>
      </c>
      <c r="HG36" s="234">
        <v>41</v>
      </c>
      <c r="HH36" s="236">
        <v>622798</v>
      </c>
      <c r="HJ36" s="227">
        <v>30</v>
      </c>
      <c r="HK36" s="226">
        <v>42649</v>
      </c>
      <c r="HL36" s="225" t="s">
        <v>303</v>
      </c>
      <c r="HM36" s="224">
        <v>373</v>
      </c>
      <c r="HN36" s="224">
        <v>11838</v>
      </c>
      <c r="HO36" s="224">
        <v>7402391</v>
      </c>
      <c r="HQ36" s="227">
        <v>30</v>
      </c>
      <c r="HR36" s="226">
        <v>42635</v>
      </c>
      <c r="HS36" s="225" t="s">
        <v>303</v>
      </c>
      <c r="HT36" s="224">
        <v>20</v>
      </c>
      <c r="HU36" s="224">
        <v>186</v>
      </c>
      <c r="HV36" s="224">
        <v>1109223</v>
      </c>
      <c r="HX36" s="227">
        <v>30</v>
      </c>
      <c r="HY36" s="225">
        <v>42614</v>
      </c>
      <c r="HZ36" s="225" t="s">
        <v>303</v>
      </c>
      <c r="IA36" s="234">
        <v>3</v>
      </c>
      <c r="IB36" s="234">
        <v>20</v>
      </c>
      <c r="IC36" s="236">
        <v>1897754</v>
      </c>
      <c r="IE36" s="227">
        <v>30</v>
      </c>
      <c r="IF36" s="226">
        <v>42482</v>
      </c>
      <c r="IG36" s="225" t="s">
        <v>302</v>
      </c>
      <c r="IH36" s="232">
        <v>102</v>
      </c>
      <c r="II36" s="229">
        <v>1477</v>
      </c>
      <c r="IJ36" s="229">
        <v>2248550</v>
      </c>
    </row>
    <row r="37" spans="1:244" ht="13.5" customHeight="1" x14ac:dyDescent="0.45">
      <c r="A37" s="227">
        <v>31</v>
      </c>
      <c r="B37" s="226">
        <v>43568</v>
      </c>
      <c r="C37" s="227" t="s">
        <v>320</v>
      </c>
      <c r="D37" s="229">
        <v>2</v>
      </c>
      <c r="E37" s="228">
        <v>38</v>
      </c>
      <c r="F37" s="228">
        <v>100932</v>
      </c>
      <c r="H37" s="222"/>
      <c r="I37" s="222"/>
      <c r="J37" s="222"/>
      <c r="K37" s="222"/>
      <c r="L37" s="222"/>
      <c r="M37" s="222"/>
      <c r="O37" s="222"/>
      <c r="P37" s="222"/>
      <c r="Q37" s="222"/>
      <c r="R37" s="222"/>
      <c r="S37" s="222"/>
      <c r="T37" s="222"/>
      <c r="V37" s="227">
        <v>31</v>
      </c>
      <c r="W37" s="226">
        <v>43483</v>
      </c>
      <c r="X37" s="227" t="s">
        <v>320</v>
      </c>
      <c r="Y37" s="229">
        <v>306</v>
      </c>
      <c r="Z37" s="228">
        <v>7576</v>
      </c>
      <c r="AA37" s="228">
        <v>4990965</v>
      </c>
      <c r="AC37" s="227">
        <v>31</v>
      </c>
      <c r="AD37" s="226">
        <v>43448</v>
      </c>
      <c r="AE37" s="227" t="s">
        <v>320</v>
      </c>
      <c r="AF37" s="229">
        <v>28</v>
      </c>
      <c r="AG37" s="228">
        <v>915</v>
      </c>
      <c r="AH37" s="228">
        <v>2410810</v>
      </c>
      <c r="AJ37" s="227">
        <v>31</v>
      </c>
      <c r="AK37" s="226">
        <v>43428</v>
      </c>
      <c r="AL37" s="227" t="s">
        <v>319</v>
      </c>
      <c r="AM37" s="229">
        <v>1</v>
      </c>
      <c r="AN37" s="228">
        <v>35</v>
      </c>
      <c r="AO37" s="228">
        <v>154091</v>
      </c>
      <c r="AQ37" s="227">
        <v>31</v>
      </c>
      <c r="AR37" s="226">
        <v>43412</v>
      </c>
      <c r="AS37" s="227" t="s">
        <v>303</v>
      </c>
      <c r="AT37" s="229">
        <v>105</v>
      </c>
      <c r="AU37" s="228">
        <v>3243</v>
      </c>
      <c r="AV37" s="228">
        <v>441821</v>
      </c>
      <c r="AX37" s="239">
        <v>31</v>
      </c>
      <c r="AY37" s="226">
        <v>43393</v>
      </c>
      <c r="AZ37" s="227" t="s">
        <v>302</v>
      </c>
      <c r="BA37" s="232">
        <v>1</v>
      </c>
      <c r="BB37" s="224">
        <v>1</v>
      </c>
      <c r="BC37" s="224">
        <v>1011283</v>
      </c>
      <c r="BE37" s="239">
        <v>31</v>
      </c>
      <c r="BF37" s="226">
        <v>43403</v>
      </c>
      <c r="BG37" s="227" t="s">
        <v>302</v>
      </c>
      <c r="BH37" s="232">
        <v>1</v>
      </c>
      <c r="BI37" s="224">
        <v>133</v>
      </c>
      <c r="BJ37" s="224">
        <v>527641</v>
      </c>
      <c r="BL37" s="239">
        <v>31</v>
      </c>
      <c r="BM37" s="226">
        <v>43342</v>
      </c>
      <c r="BN37" s="227" t="s">
        <v>302</v>
      </c>
      <c r="BO37" s="232">
        <v>1</v>
      </c>
      <c r="BP37" s="224">
        <v>51</v>
      </c>
      <c r="BQ37" s="224">
        <v>897548</v>
      </c>
      <c r="BS37" s="227">
        <v>31</v>
      </c>
      <c r="BT37" s="226">
        <v>43308</v>
      </c>
      <c r="BU37" s="227" t="s">
        <v>302</v>
      </c>
      <c r="BV37" s="232">
        <v>263</v>
      </c>
      <c r="BW37" s="224">
        <v>9927</v>
      </c>
      <c r="BX37" s="224">
        <v>3135116</v>
      </c>
      <c r="BZ37" s="227">
        <v>31</v>
      </c>
      <c r="CA37" s="226">
        <v>43294</v>
      </c>
      <c r="CB37" s="227" t="s">
        <v>302</v>
      </c>
      <c r="CC37" s="232">
        <v>21</v>
      </c>
      <c r="CD37" s="230">
        <v>583</v>
      </c>
      <c r="CE37" s="230">
        <v>1332980</v>
      </c>
      <c r="CG37" s="227">
        <v>31</v>
      </c>
      <c r="CH37" s="226">
        <v>43251</v>
      </c>
      <c r="CI37" s="227" t="s">
        <v>303</v>
      </c>
      <c r="CJ37" s="229">
        <v>5</v>
      </c>
      <c r="CK37" s="230">
        <v>488</v>
      </c>
      <c r="CL37" s="230">
        <v>1127719</v>
      </c>
      <c r="CN37" s="239">
        <v>31</v>
      </c>
      <c r="CO37" s="226">
        <v>43232</v>
      </c>
      <c r="CP37" s="227" t="s">
        <v>301</v>
      </c>
      <c r="CQ37" s="232">
        <v>7</v>
      </c>
      <c r="CR37" s="224">
        <v>71</v>
      </c>
      <c r="CS37" s="224">
        <v>1385334</v>
      </c>
      <c r="CU37" s="227">
        <v>31</v>
      </c>
      <c r="CV37" s="226">
        <v>43217</v>
      </c>
      <c r="CW37" s="227" t="s">
        <v>302</v>
      </c>
      <c r="CX37" s="229">
        <v>35</v>
      </c>
      <c r="CY37" s="230">
        <v>639</v>
      </c>
      <c r="CZ37" s="230">
        <v>2244696</v>
      </c>
      <c r="DB37" s="227">
        <v>31</v>
      </c>
      <c r="DC37" s="226">
        <v>43084</v>
      </c>
      <c r="DD37" s="227" t="s">
        <v>302</v>
      </c>
      <c r="DE37" s="229">
        <v>4</v>
      </c>
      <c r="DF37" s="230">
        <v>67</v>
      </c>
      <c r="DG37" s="230">
        <v>1786126</v>
      </c>
      <c r="DI37" s="227">
        <v>31</v>
      </c>
      <c r="DJ37" s="226">
        <v>42966</v>
      </c>
      <c r="DK37" s="227" t="s">
        <v>301</v>
      </c>
      <c r="DL37" s="229">
        <v>48</v>
      </c>
      <c r="DM37" s="230">
        <v>3062</v>
      </c>
      <c r="DN37" s="230">
        <v>2747141</v>
      </c>
      <c r="DP37" s="227">
        <v>31</v>
      </c>
      <c r="DQ37" s="226">
        <v>43057</v>
      </c>
      <c r="DR37" s="227" t="s">
        <v>301</v>
      </c>
      <c r="DS37" s="229">
        <v>1</v>
      </c>
      <c r="DT37" s="230">
        <v>1</v>
      </c>
      <c r="DU37" s="230">
        <v>1028372</v>
      </c>
      <c r="DW37" s="222"/>
      <c r="DX37" s="222"/>
      <c r="DY37" s="222"/>
      <c r="DZ37" s="222"/>
      <c r="EA37" s="222"/>
      <c r="EB37" s="222"/>
      <c r="ED37" s="227">
        <v>31</v>
      </c>
      <c r="EE37" s="226">
        <v>43014</v>
      </c>
      <c r="EF37" s="227" t="s">
        <v>302</v>
      </c>
      <c r="EG37" s="252">
        <v>5</v>
      </c>
      <c r="EH37" s="224">
        <v>237</v>
      </c>
      <c r="EI37" s="224">
        <v>887779</v>
      </c>
      <c r="EK37" s="227">
        <v>31</v>
      </c>
      <c r="EL37" s="226">
        <v>43000</v>
      </c>
      <c r="EM37" s="227" t="s">
        <v>302</v>
      </c>
      <c r="EN37" s="229">
        <v>2</v>
      </c>
      <c r="EO37" s="230">
        <v>2</v>
      </c>
      <c r="EP37" s="230">
        <v>1373267</v>
      </c>
      <c r="ER37" s="227">
        <v>31</v>
      </c>
      <c r="ES37" s="226">
        <v>42987</v>
      </c>
      <c r="ET37" s="227" t="s">
        <v>301</v>
      </c>
      <c r="EU37" s="232">
        <v>11</v>
      </c>
      <c r="EV37" s="224">
        <v>239</v>
      </c>
      <c r="EW37" s="224">
        <v>1933490</v>
      </c>
      <c r="EY37" s="239">
        <v>31</v>
      </c>
      <c r="EZ37" s="226">
        <v>42916</v>
      </c>
      <c r="FA37" s="239" t="s">
        <v>302</v>
      </c>
      <c r="FB37" s="232">
        <v>33</v>
      </c>
      <c r="FC37" s="229">
        <v>1174</v>
      </c>
      <c r="FD37" s="229">
        <v>2153110</v>
      </c>
      <c r="FM37" s="227">
        <v>31</v>
      </c>
      <c r="FN37" s="226">
        <v>42833</v>
      </c>
      <c r="FO37" s="225" t="s">
        <v>302</v>
      </c>
      <c r="FP37" s="224">
        <v>2</v>
      </c>
      <c r="FQ37" s="224">
        <v>2</v>
      </c>
      <c r="FR37" s="224">
        <v>1689704</v>
      </c>
      <c r="FT37" s="227">
        <v>31</v>
      </c>
      <c r="FU37" s="226">
        <v>42805</v>
      </c>
      <c r="FV37" s="225" t="s">
        <v>301</v>
      </c>
      <c r="FW37" s="232">
        <v>4</v>
      </c>
      <c r="FX37" s="232">
        <v>196</v>
      </c>
      <c r="FY37" s="229">
        <v>148566</v>
      </c>
      <c r="GA37" s="223" t="s">
        <v>341</v>
      </c>
      <c r="GB37" s="222"/>
      <c r="GC37" s="222"/>
      <c r="GD37" s="222"/>
      <c r="GE37" s="222"/>
      <c r="GF37" s="222"/>
      <c r="GH37" s="227">
        <v>31</v>
      </c>
      <c r="GI37" s="226">
        <v>42741</v>
      </c>
      <c r="GJ37" s="225" t="s">
        <v>302</v>
      </c>
      <c r="GK37" s="232">
        <v>3</v>
      </c>
      <c r="GL37" s="232">
        <v>14</v>
      </c>
      <c r="GM37" s="229">
        <v>322912</v>
      </c>
      <c r="GO37" s="227">
        <v>31</v>
      </c>
      <c r="GP37" s="226">
        <v>42720</v>
      </c>
      <c r="GQ37" s="225" t="s">
        <v>302</v>
      </c>
      <c r="GR37" s="232">
        <v>304</v>
      </c>
      <c r="GS37" s="229">
        <v>15159</v>
      </c>
      <c r="GT37" s="229">
        <v>4546668</v>
      </c>
      <c r="HC37" s="227">
        <v>31</v>
      </c>
      <c r="HD37" s="226">
        <v>42671</v>
      </c>
      <c r="HE37" s="225" t="s">
        <v>302</v>
      </c>
      <c r="HF37" s="234">
        <v>4</v>
      </c>
      <c r="HG37" s="234">
        <v>384</v>
      </c>
      <c r="HH37" s="236">
        <v>623182</v>
      </c>
      <c r="HJ37" s="227">
        <v>31</v>
      </c>
      <c r="HK37" s="226">
        <v>42650</v>
      </c>
      <c r="HL37" s="225" t="s">
        <v>302</v>
      </c>
      <c r="HM37" s="224">
        <v>386</v>
      </c>
      <c r="HN37" s="224">
        <v>15059</v>
      </c>
      <c r="HO37" s="224">
        <v>7417450</v>
      </c>
      <c r="HQ37" s="227">
        <v>31</v>
      </c>
      <c r="HR37" s="226">
        <v>42636</v>
      </c>
      <c r="HS37" s="225" t="s">
        <v>302</v>
      </c>
      <c r="HT37" s="224">
        <v>22</v>
      </c>
      <c r="HU37" s="224">
        <v>381</v>
      </c>
      <c r="HV37" s="224">
        <v>1109604</v>
      </c>
      <c r="HX37" s="227">
        <v>31</v>
      </c>
      <c r="HY37" s="225">
        <v>42615</v>
      </c>
      <c r="HZ37" s="225" t="s">
        <v>302</v>
      </c>
      <c r="IA37" s="234">
        <v>2</v>
      </c>
      <c r="IB37" s="234">
        <v>40</v>
      </c>
      <c r="IC37" s="236">
        <v>1897794</v>
      </c>
      <c r="IE37" s="227">
        <v>31</v>
      </c>
      <c r="IF37" s="226">
        <v>42483</v>
      </c>
      <c r="IG37" s="225" t="s">
        <v>301</v>
      </c>
      <c r="IH37" s="232">
        <v>114</v>
      </c>
      <c r="II37" s="229">
        <v>3676</v>
      </c>
      <c r="IJ37" s="229">
        <v>2252226</v>
      </c>
    </row>
    <row r="38" spans="1:244" ht="13.5" customHeight="1" x14ac:dyDescent="0.45">
      <c r="A38" s="227">
        <v>32</v>
      </c>
      <c r="B38" s="226">
        <v>43569</v>
      </c>
      <c r="C38" s="227" t="s">
        <v>319</v>
      </c>
      <c r="D38" s="229">
        <v>2</v>
      </c>
      <c r="E38" s="228">
        <v>33</v>
      </c>
      <c r="F38" s="228">
        <v>100965</v>
      </c>
      <c r="H38" s="222"/>
      <c r="I38" s="222"/>
      <c r="J38" s="222"/>
      <c r="K38" s="222"/>
      <c r="L38" s="222"/>
      <c r="M38" s="222"/>
      <c r="O38" s="222"/>
      <c r="P38" s="222"/>
      <c r="Q38" s="222"/>
      <c r="R38" s="222"/>
      <c r="S38" s="222"/>
      <c r="T38" s="222"/>
      <c r="V38" s="227">
        <v>32</v>
      </c>
      <c r="W38" s="226">
        <v>43484</v>
      </c>
      <c r="X38" s="227" t="s">
        <v>319</v>
      </c>
      <c r="Y38" s="229">
        <v>298</v>
      </c>
      <c r="Z38" s="228">
        <v>15300</v>
      </c>
      <c r="AA38" s="228">
        <v>5006265</v>
      </c>
      <c r="AC38" s="227">
        <v>32</v>
      </c>
      <c r="AD38" s="226">
        <v>43449</v>
      </c>
      <c r="AE38" s="227" t="s">
        <v>319</v>
      </c>
      <c r="AF38" s="229">
        <v>25</v>
      </c>
      <c r="AG38" s="228">
        <v>1111</v>
      </c>
      <c r="AH38" s="228">
        <v>2411921</v>
      </c>
      <c r="AJ38" s="227">
        <v>32</v>
      </c>
      <c r="AK38" s="226">
        <v>43429</v>
      </c>
      <c r="AL38" s="227" t="s">
        <v>317</v>
      </c>
      <c r="AM38" s="229">
        <v>1</v>
      </c>
      <c r="AN38" s="228">
        <v>26</v>
      </c>
      <c r="AO38" s="228">
        <v>154117</v>
      </c>
      <c r="AQ38" s="227">
        <v>32</v>
      </c>
      <c r="AR38" s="226">
        <v>43413</v>
      </c>
      <c r="AS38" s="227" t="s">
        <v>302</v>
      </c>
      <c r="AT38" s="229">
        <v>103</v>
      </c>
      <c r="AU38" s="228">
        <v>4379</v>
      </c>
      <c r="AV38" s="228">
        <v>446200</v>
      </c>
      <c r="AX38" s="239">
        <v>32</v>
      </c>
      <c r="AY38" s="226">
        <v>43394</v>
      </c>
      <c r="AZ38" s="227" t="s">
        <v>301</v>
      </c>
      <c r="BA38" s="232">
        <v>1</v>
      </c>
      <c r="BB38" s="224">
        <v>1</v>
      </c>
      <c r="BC38" s="224">
        <v>1011284</v>
      </c>
      <c r="BE38" s="239">
        <v>32</v>
      </c>
      <c r="BF38" s="226">
        <v>43404</v>
      </c>
      <c r="BG38" s="227" t="s">
        <v>301</v>
      </c>
      <c r="BH38" s="232">
        <v>1</v>
      </c>
      <c r="BI38" s="224">
        <v>133</v>
      </c>
      <c r="BJ38" s="224">
        <v>527774</v>
      </c>
      <c r="BL38" s="239">
        <v>32</v>
      </c>
      <c r="BM38" s="226">
        <v>43403</v>
      </c>
      <c r="BN38" s="227" t="s">
        <v>301</v>
      </c>
      <c r="BO38" s="232">
        <v>1</v>
      </c>
      <c r="BP38" s="224">
        <v>416</v>
      </c>
      <c r="BQ38" s="224">
        <v>897964</v>
      </c>
      <c r="BS38" s="227">
        <v>32</v>
      </c>
      <c r="BT38" s="226">
        <v>43309</v>
      </c>
      <c r="BU38" s="227" t="s">
        <v>301</v>
      </c>
      <c r="BV38" s="232">
        <v>235</v>
      </c>
      <c r="BW38" s="224">
        <v>14724</v>
      </c>
      <c r="BX38" s="224">
        <v>3149840</v>
      </c>
      <c r="BZ38" s="227">
        <v>32</v>
      </c>
      <c r="CA38" s="226">
        <v>43295</v>
      </c>
      <c r="CB38" s="227" t="s">
        <v>301</v>
      </c>
      <c r="CC38" s="232">
        <v>19</v>
      </c>
      <c r="CD38" s="230">
        <v>784</v>
      </c>
      <c r="CE38" s="230">
        <v>1333764</v>
      </c>
      <c r="CG38" s="227">
        <v>32</v>
      </c>
      <c r="CH38" s="226">
        <v>43252</v>
      </c>
      <c r="CI38" s="227" t="s">
        <v>302</v>
      </c>
      <c r="CJ38" s="229">
        <v>2</v>
      </c>
      <c r="CK38" s="230">
        <v>189</v>
      </c>
      <c r="CL38" s="230">
        <v>1127908</v>
      </c>
      <c r="CN38" s="239">
        <v>32</v>
      </c>
      <c r="CO38" s="226">
        <v>43233</v>
      </c>
      <c r="CP38" s="227" t="s">
        <v>300</v>
      </c>
      <c r="CQ38" s="232">
        <v>9</v>
      </c>
      <c r="CR38" s="224">
        <v>129</v>
      </c>
      <c r="CS38" s="224">
        <v>1385463</v>
      </c>
      <c r="CU38" s="227">
        <v>32</v>
      </c>
      <c r="CV38" s="226">
        <v>43218</v>
      </c>
      <c r="CW38" s="227" t="s">
        <v>301</v>
      </c>
      <c r="CX38" s="229">
        <v>22</v>
      </c>
      <c r="CY38" s="230">
        <v>643</v>
      </c>
      <c r="CZ38" s="230">
        <v>2245339</v>
      </c>
      <c r="DB38" s="227">
        <v>32</v>
      </c>
      <c r="DC38" s="226">
        <v>43085</v>
      </c>
      <c r="DD38" s="227" t="s">
        <v>301</v>
      </c>
      <c r="DE38" s="229">
        <v>8</v>
      </c>
      <c r="DF38" s="230">
        <v>121</v>
      </c>
      <c r="DG38" s="230">
        <v>1786247</v>
      </c>
      <c r="DI38" s="227">
        <v>32</v>
      </c>
      <c r="DJ38" s="226">
        <v>42967</v>
      </c>
      <c r="DK38" s="227" t="s">
        <v>300</v>
      </c>
      <c r="DL38" s="229">
        <v>49</v>
      </c>
      <c r="DM38" s="230">
        <v>3181</v>
      </c>
      <c r="DN38" s="230">
        <v>2750322</v>
      </c>
      <c r="DP38" s="227">
        <v>32</v>
      </c>
      <c r="DQ38" s="226">
        <v>43058</v>
      </c>
      <c r="DR38" s="227" t="s">
        <v>300</v>
      </c>
      <c r="DS38" s="229">
        <v>1</v>
      </c>
      <c r="DT38" s="230">
        <v>1</v>
      </c>
      <c r="DU38" s="230">
        <v>1028373</v>
      </c>
      <c r="DW38" s="222"/>
      <c r="DX38" s="222"/>
      <c r="DY38" s="222"/>
      <c r="DZ38" s="222"/>
      <c r="EA38" s="222"/>
      <c r="EB38" s="222"/>
      <c r="ED38" s="227">
        <v>32</v>
      </c>
      <c r="EE38" s="226">
        <v>43015</v>
      </c>
      <c r="EF38" s="227" t="s">
        <v>301</v>
      </c>
      <c r="EG38" s="252">
        <v>6</v>
      </c>
      <c r="EH38" s="224">
        <v>273</v>
      </c>
      <c r="EI38" s="224">
        <v>888052</v>
      </c>
      <c r="EK38" s="227">
        <v>32</v>
      </c>
      <c r="EL38" s="226">
        <v>43001</v>
      </c>
      <c r="EM38" s="227" t="s">
        <v>301</v>
      </c>
      <c r="EN38" s="229">
        <v>2</v>
      </c>
      <c r="EO38" s="230">
        <v>2</v>
      </c>
      <c r="EP38" s="230">
        <v>1373269</v>
      </c>
      <c r="ER38" s="227">
        <v>32</v>
      </c>
      <c r="ES38" s="226">
        <v>42988</v>
      </c>
      <c r="ET38" s="227" t="s">
        <v>300</v>
      </c>
      <c r="EU38" s="232">
        <v>11</v>
      </c>
      <c r="EV38" s="224">
        <v>314</v>
      </c>
      <c r="EW38" s="224">
        <v>1933804</v>
      </c>
      <c r="EY38" s="239">
        <v>32</v>
      </c>
      <c r="EZ38" s="226">
        <v>42917</v>
      </c>
      <c r="FA38" s="239" t="s">
        <v>301</v>
      </c>
      <c r="FB38" s="232">
        <v>47</v>
      </c>
      <c r="FC38" s="229">
        <v>2668</v>
      </c>
      <c r="FD38" s="229">
        <v>2155778</v>
      </c>
      <c r="FM38" s="227">
        <v>32</v>
      </c>
      <c r="FN38" s="226">
        <v>42834</v>
      </c>
      <c r="FO38" s="225" t="s">
        <v>301</v>
      </c>
      <c r="FP38" s="224">
        <v>2</v>
      </c>
      <c r="FQ38" s="224">
        <v>2</v>
      </c>
      <c r="FR38" s="224">
        <v>1689706</v>
      </c>
      <c r="FT38" s="227">
        <v>32</v>
      </c>
      <c r="FU38" s="226">
        <v>42806</v>
      </c>
      <c r="FV38" s="225" t="s">
        <v>300</v>
      </c>
      <c r="FW38" s="232">
        <v>2</v>
      </c>
      <c r="FX38" s="232">
        <v>109</v>
      </c>
      <c r="FY38" s="229">
        <v>148675</v>
      </c>
      <c r="GA38" s="222"/>
      <c r="GB38" s="222"/>
      <c r="GC38" s="222"/>
      <c r="GD38" s="222"/>
      <c r="GE38" s="222"/>
      <c r="GF38" s="222"/>
      <c r="GH38" s="227">
        <v>32</v>
      </c>
      <c r="GI38" s="226">
        <v>42742</v>
      </c>
      <c r="GJ38" s="225" t="s">
        <v>301</v>
      </c>
      <c r="GK38" s="232">
        <v>2</v>
      </c>
      <c r="GL38" s="232">
        <v>11</v>
      </c>
      <c r="GM38" s="229">
        <v>322923</v>
      </c>
      <c r="GO38" s="227">
        <v>32</v>
      </c>
      <c r="GP38" s="226">
        <v>42721</v>
      </c>
      <c r="GQ38" s="225" t="s">
        <v>301</v>
      </c>
      <c r="GR38" s="232">
        <v>339</v>
      </c>
      <c r="GS38" s="229">
        <v>33267</v>
      </c>
      <c r="GT38" s="229">
        <v>4579935</v>
      </c>
      <c r="HC38" s="227">
        <v>32</v>
      </c>
      <c r="HD38" s="226">
        <v>42672</v>
      </c>
      <c r="HE38" s="225" t="s">
        <v>301</v>
      </c>
      <c r="HF38" s="234">
        <v>1</v>
      </c>
      <c r="HG38" s="234">
        <v>62</v>
      </c>
      <c r="HH38" s="236">
        <v>623244</v>
      </c>
      <c r="HJ38" s="227">
        <v>32</v>
      </c>
      <c r="HK38" s="226">
        <v>42651</v>
      </c>
      <c r="HL38" s="225" t="s">
        <v>301</v>
      </c>
      <c r="HM38" s="224">
        <v>372</v>
      </c>
      <c r="HN38" s="224">
        <v>23130</v>
      </c>
      <c r="HO38" s="224">
        <v>7440580</v>
      </c>
      <c r="HQ38" s="227">
        <v>32</v>
      </c>
      <c r="HR38" s="226">
        <v>42637</v>
      </c>
      <c r="HS38" s="225" t="s">
        <v>301</v>
      </c>
      <c r="HT38" s="224">
        <v>32</v>
      </c>
      <c r="HU38" s="224">
        <v>654</v>
      </c>
      <c r="HV38" s="224">
        <v>1110258</v>
      </c>
      <c r="HX38" s="227">
        <v>32</v>
      </c>
      <c r="HY38" s="225">
        <v>42616</v>
      </c>
      <c r="HZ38" s="225" t="s">
        <v>301</v>
      </c>
      <c r="IA38" s="234">
        <v>3</v>
      </c>
      <c r="IB38" s="234">
        <v>112</v>
      </c>
      <c r="IC38" s="236">
        <v>1897906</v>
      </c>
      <c r="IE38" s="227">
        <v>32</v>
      </c>
      <c r="IF38" s="226">
        <v>42484</v>
      </c>
      <c r="IG38" s="225" t="s">
        <v>300</v>
      </c>
      <c r="IH38" s="232">
        <v>116</v>
      </c>
      <c r="II38" s="229">
        <v>3066</v>
      </c>
      <c r="IJ38" s="229">
        <v>2255292</v>
      </c>
    </row>
    <row r="39" spans="1:244" ht="13.5" customHeight="1" x14ac:dyDescent="0.45">
      <c r="A39" s="227">
        <v>33</v>
      </c>
      <c r="B39" s="226">
        <v>43570</v>
      </c>
      <c r="C39" s="227" t="s">
        <v>317</v>
      </c>
      <c r="D39" s="229">
        <v>2</v>
      </c>
      <c r="E39" s="228">
        <v>34</v>
      </c>
      <c r="F39" s="228">
        <v>100999</v>
      </c>
      <c r="H39" s="222"/>
      <c r="I39" s="222"/>
      <c r="J39" s="222"/>
      <c r="K39" s="222"/>
      <c r="L39" s="222"/>
      <c r="M39" s="222"/>
      <c r="O39" s="222"/>
      <c r="P39" s="222"/>
      <c r="Q39" s="222"/>
      <c r="R39" s="222"/>
      <c r="S39" s="222"/>
      <c r="T39" s="222"/>
      <c r="V39" s="227">
        <v>33</v>
      </c>
      <c r="W39" s="226">
        <v>43485</v>
      </c>
      <c r="X39" s="227" t="s">
        <v>317</v>
      </c>
      <c r="Y39" s="229">
        <v>302</v>
      </c>
      <c r="Z39" s="228">
        <v>12970</v>
      </c>
      <c r="AA39" s="228">
        <v>5019235</v>
      </c>
      <c r="AC39" s="227">
        <v>33</v>
      </c>
      <c r="AD39" s="226">
        <v>43450</v>
      </c>
      <c r="AE39" s="227" t="s">
        <v>317</v>
      </c>
      <c r="AF39" s="229">
        <v>26</v>
      </c>
      <c r="AG39" s="228">
        <v>1161</v>
      </c>
      <c r="AH39" s="228">
        <v>2413082</v>
      </c>
      <c r="AJ39" s="227">
        <v>33</v>
      </c>
      <c r="AK39" s="226">
        <v>43430</v>
      </c>
      <c r="AL39" s="227" t="s">
        <v>315</v>
      </c>
      <c r="AM39" s="229">
        <v>1</v>
      </c>
      <c r="AN39" s="228">
        <v>13</v>
      </c>
      <c r="AO39" s="228">
        <v>154130</v>
      </c>
      <c r="AQ39" s="227">
        <v>33</v>
      </c>
      <c r="AR39" s="226">
        <v>43414</v>
      </c>
      <c r="AS39" s="227" t="s">
        <v>301</v>
      </c>
      <c r="AT39" s="229">
        <v>101</v>
      </c>
      <c r="AU39" s="228">
        <v>6574</v>
      </c>
      <c r="AV39" s="228">
        <v>452774</v>
      </c>
      <c r="AX39" s="227">
        <v>33</v>
      </c>
      <c r="AY39" s="226">
        <v>43395</v>
      </c>
      <c r="AZ39" s="227" t="s">
        <v>300</v>
      </c>
      <c r="BA39" s="232">
        <v>1</v>
      </c>
      <c r="BB39" s="224">
        <v>1</v>
      </c>
      <c r="BC39" s="224">
        <v>1011285</v>
      </c>
      <c r="BE39" s="239">
        <v>33</v>
      </c>
      <c r="BF39" s="226">
        <v>43405</v>
      </c>
      <c r="BG39" s="227" t="s">
        <v>300</v>
      </c>
      <c r="BH39" s="232">
        <v>1</v>
      </c>
      <c r="BI39" s="224">
        <v>133</v>
      </c>
      <c r="BJ39" s="224">
        <v>527907</v>
      </c>
      <c r="BL39" s="239">
        <v>33</v>
      </c>
      <c r="BM39" s="226">
        <v>43404</v>
      </c>
      <c r="BN39" s="227" t="s">
        <v>300</v>
      </c>
      <c r="BO39" s="232">
        <v>2</v>
      </c>
      <c r="BP39" s="224">
        <v>466</v>
      </c>
      <c r="BQ39" s="224">
        <v>898430</v>
      </c>
      <c r="BS39" s="227">
        <v>33</v>
      </c>
      <c r="BT39" s="226">
        <v>43310</v>
      </c>
      <c r="BU39" s="227" t="s">
        <v>300</v>
      </c>
      <c r="BV39" s="232">
        <v>256</v>
      </c>
      <c r="BW39" s="224">
        <v>14078</v>
      </c>
      <c r="BX39" s="224">
        <v>3163918</v>
      </c>
      <c r="BZ39" s="227">
        <v>33</v>
      </c>
      <c r="CA39" s="226">
        <v>43296</v>
      </c>
      <c r="CB39" s="227" t="s">
        <v>300</v>
      </c>
      <c r="CC39" s="232">
        <v>18</v>
      </c>
      <c r="CD39" s="230">
        <v>710</v>
      </c>
      <c r="CE39" s="230">
        <v>1334474</v>
      </c>
      <c r="CG39" s="227">
        <v>33</v>
      </c>
      <c r="CH39" s="226">
        <v>43253</v>
      </c>
      <c r="CI39" s="227" t="s">
        <v>301</v>
      </c>
      <c r="CJ39" s="229">
        <v>1</v>
      </c>
      <c r="CK39" s="230">
        <v>3</v>
      </c>
      <c r="CL39" s="230">
        <v>1127911</v>
      </c>
      <c r="CN39" s="239">
        <v>33</v>
      </c>
      <c r="CO39" s="226">
        <v>43234</v>
      </c>
      <c r="CP39" s="227" t="s">
        <v>307</v>
      </c>
      <c r="CQ39" s="232">
        <v>4</v>
      </c>
      <c r="CR39" s="224">
        <v>24</v>
      </c>
      <c r="CS39" s="224">
        <v>1385487</v>
      </c>
      <c r="CU39" s="227">
        <v>33</v>
      </c>
      <c r="CV39" s="226">
        <v>43219</v>
      </c>
      <c r="CW39" s="227" t="s">
        <v>300</v>
      </c>
      <c r="CX39" s="229">
        <v>25</v>
      </c>
      <c r="CY39" s="230">
        <v>983</v>
      </c>
      <c r="CZ39" s="230">
        <v>2246322</v>
      </c>
      <c r="DB39" s="227">
        <v>33</v>
      </c>
      <c r="DC39" s="226">
        <v>43086</v>
      </c>
      <c r="DD39" s="227" t="s">
        <v>300</v>
      </c>
      <c r="DE39" s="229">
        <v>7</v>
      </c>
      <c r="DF39" s="230">
        <v>29</v>
      </c>
      <c r="DG39" s="230">
        <v>1786276</v>
      </c>
      <c r="DI39" s="227">
        <v>33</v>
      </c>
      <c r="DJ39" s="226">
        <v>42968</v>
      </c>
      <c r="DK39" s="227" t="s">
        <v>307</v>
      </c>
      <c r="DL39" s="229">
        <v>46</v>
      </c>
      <c r="DM39" s="230">
        <v>1722</v>
      </c>
      <c r="DN39" s="230">
        <v>2752044</v>
      </c>
      <c r="DP39" s="227">
        <v>33</v>
      </c>
      <c r="DQ39" s="226">
        <v>43059</v>
      </c>
      <c r="DR39" s="227" t="s">
        <v>307</v>
      </c>
      <c r="DS39" s="229">
        <v>1</v>
      </c>
      <c r="DT39" s="230">
        <v>1</v>
      </c>
      <c r="DU39" s="230">
        <v>1028374</v>
      </c>
      <c r="DW39" s="222"/>
      <c r="DX39" s="222"/>
      <c r="DY39" s="222"/>
      <c r="DZ39" s="222"/>
      <c r="EA39" s="222"/>
      <c r="EB39" s="222"/>
      <c r="ED39" s="227">
        <v>33</v>
      </c>
      <c r="EE39" s="226">
        <v>43016</v>
      </c>
      <c r="EF39" s="227" t="s">
        <v>300</v>
      </c>
      <c r="EG39" s="252">
        <v>7</v>
      </c>
      <c r="EH39" s="224">
        <v>278</v>
      </c>
      <c r="EI39" s="224">
        <v>888330</v>
      </c>
      <c r="EK39" s="227">
        <v>33</v>
      </c>
      <c r="EL39" s="226">
        <v>43002</v>
      </c>
      <c r="EM39" s="227" t="s">
        <v>300</v>
      </c>
      <c r="EN39" s="229">
        <v>2</v>
      </c>
      <c r="EO39" s="230">
        <v>2</v>
      </c>
      <c r="EP39" s="230">
        <v>1373271</v>
      </c>
      <c r="ER39" s="227">
        <v>33</v>
      </c>
      <c r="ES39" s="226">
        <v>42989</v>
      </c>
      <c r="ET39" s="227" t="s">
        <v>307</v>
      </c>
      <c r="EU39" s="232">
        <v>10</v>
      </c>
      <c r="EV39" s="224">
        <v>85</v>
      </c>
      <c r="EW39" s="224">
        <v>1933889</v>
      </c>
      <c r="EY39" s="239">
        <v>33</v>
      </c>
      <c r="EZ39" s="226">
        <v>42918</v>
      </c>
      <c r="FA39" s="239" t="s">
        <v>300</v>
      </c>
      <c r="FB39" s="232">
        <v>46</v>
      </c>
      <c r="FC39" s="229">
        <v>2257</v>
      </c>
      <c r="FD39" s="229">
        <v>2158029</v>
      </c>
      <c r="FM39" s="227">
        <v>33</v>
      </c>
      <c r="FN39" s="226">
        <v>42835</v>
      </c>
      <c r="FO39" s="225" t="s">
        <v>300</v>
      </c>
      <c r="FP39" s="224">
        <v>2</v>
      </c>
      <c r="FQ39" s="224">
        <v>2</v>
      </c>
      <c r="FR39" s="224">
        <v>1689708</v>
      </c>
      <c r="FT39" s="227">
        <v>33</v>
      </c>
      <c r="FU39" s="226">
        <v>42807</v>
      </c>
      <c r="FV39" s="225" t="s">
        <v>307</v>
      </c>
      <c r="FW39" s="232">
        <v>1</v>
      </c>
      <c r="FX39" s="232">
        <v>1</v>
      </c>
      <c r="FY39" s="229">
        <v>148676</v>
      </c>
      <c r="GA39" s="222"/>
      <c r="GB39" s="222"/>
      <c r="GC39" s="222"/>
      <c r="GD39" s="222"/>
      <c r="GE39" s="222"/>
      <c r="GF39" s="222"/>
      <c r="GH39" s="227">
        <v>33</v>
      </c>
      <c r="GI39" s="226">
        <v>42743</v>
      </c>
      <c r="GJ39" s="225" t="s">
        <v>300</v>
      </c>
      <c r="GK39" s="232">
        <v>1</v>
      </c>
      <c r="GL39" s="232">
        <v>2</v>
      </c>
      <c r="GM39" s="229">
        <v>322925</v>
      </c>
      <c r="GO39" s="227">
        <v>33</v>
      </c>
      <c r="GP39" s="226">
        <v>42722</v>
      </c>
      <c r="GQ39" s="225" t="s">
        <v>300</v>
      </c>
      <c r="GR39" s="232">
        <v>346</v>
      </c>
      <c r="GS39" s="229">
        <v>31325</v>
      </c>
      <c r="GT39" s="229">
        <v>4611260</v>
      </c>
      <c r="HC39" s="227">
        <v>33</v>
      </c>
      <c r="HD39" s="226">
        <v>42673</v>
      </c>
      <c r="HE39" s="225" t="s">
        <v>300</v>
      </c>
      <c r="HF39" s="234">
        <v>2</v>
      </c>
      <c r="HG39" s="234">
        <v>186</v>
      </c>
      <c r="HH39" s="236">
        <v>623430</v>
      </c>
      <c r="HJ39" s="227">
        <v>33</v>
      </c>
      <c r="HK39" s="226">
        <v>42652</v>
      </c>
      <c r="HL39" s="225" t="s">
        <v>300</v>
      </c>
      <c r="HM39" s="224">
        <v>367</v>
      </c>
      <c r="HN39" s="224">
        <v>18244</v>
      </c>
      <c r="HO39" s="224">
        <v>7458824</v>
      </c>
      <c r="HQ39" s="227">
        <v>33</v>
      </c>
      <c r="HR39" s="226">
        <v>42638</v>
      </c>
      <c r="HS39" s="225" t="s">
        <v>300</v>
      </c>
      <c r="HT39" s="224">
        <v>30</v>
      </c>
      <c r="HU39" s="224">
        <v>583</v>
      </c>
      <c r="HV39" s="224">
        <v>1110841</v>
      </c>
      <c r="HX39" s="227">
        <v>33</v>
      </c>
      <c r="HY39" s="225">
        <v>42617</v>
      </c>
      <c r="HZ39" s="225" t="s">
        <v>300</v>
      </c>
      <c r="IA39" s="234">
        <v>3</v>
      </c>
      <c r="IB39" s="234">
        <v>124</v>
      </c>
      <c r="IC39" s="236">
        <v>1898030</v>
      </c>
      <c r="IE39" s="227">
        <v>33</v>
      </c>
      <c r="IF39" s="226">
        <v>42485</v>
      </c>
      <c r="IG39" s="225" t="s">
        <v>307</v>
      </c>
      <c r="IH39" s="232">
        <v>99</v>
      </c>
      <c r="II39" s="232">
        <v>788</v>
      </c>
      <c r="IJ39" s="229">
        <v>2256080</v>
      </c>
    </row>
    <row r="40" spans="1:244" ht="13.5" customHeight="1" x14ac:dyDescent="0.45">
      <c r="A40" s="227">
        <v>34</v>
      </c>
      <c r="B40" s="226">
        <v>43571</v>
      </c>
      <c r="C40" s="227" t="s">
        <v>315</v>
      </c>
      <c r="D40" s="229">
        <v>2</v>
      </c>
      <c r="E40" s="228">
        <v>16</v>
      </c>
      <c r="F40" s="228">
        <v>101015</v>
      </c>
      <c r="H40" s="222"/>
      <c r="I40" s="222"/>
      <c r="J40" s="222"/>
      <c r="K40" s="222"/>
      <c r="L40" s="222"/>
      <c r="M40" s="222"/>
      <c r="O40" s="222"/>
      <c r="P40" s="222"/>
      <c r="Q40" s="222"/>
      <c r="R40" s="222"/>
      <c r="S40" s="222"/>
      <c r="T40" s="222"/>
      <c r="V40" s="227">
        <v>34</v>
      </c>
      <c r="W40" s="226">
        <v>43486</v>
      </c>
      <c r="X40" s="227" t="s">
        <v>315</v>
      </c>
      <c r="Y40" s="229">
        <v>299</v>
      </c>
      <c r="Z40" s="228">
        <v>4694</v>
      </c>
      <c r="AA40" s="228">
        <v>5023929</v>
      </c>
      <c r="AC40" s="227">
        <v>34</v>
      </c>
      <c r="AD40" s="226">
        <v>43451</v>
      </c>
      <c r="AE40" s="227" t="s">
        <v>315</v>
      </c>
      <c r="AF40" s="229">
        <v>22</v>
      </c>
      <c r="AG40" s="228">
        <v>362</v>
      </c>
      <c r="AH40" s="228">
        <v>2413444</v>
      </c>
      <c r="AJ40" s="227">
        <v>34</v>
      </c>
      <c r="AK40" s="226">
        <v>43431</v>
      </c>
      <c r="AL40" s="227" t="s">
        <v>312</v>
      </c>
      <c r="AM40" s="229">
        <v>1</v>
      </c>
      <c r="AN40" s="228">
        <v>18</v>
      </c>
      <c r="AO40" s="228">
        <v>154148</v>
      </c>
      <c r="AQ40" s="227">
        <v>34</v>
      </c>
      <c r="AR40" s="226">
        <v>43415</v>
      </c>
      <c r="AS40" s="227" t="s">
        <v>300</v>
      </c>
      <c r="AT40" s="229">
        <v>100</v>
      </c>
      <c r="AU40" s="228">
        <v>6143</v>
      </c>
      <c r="AV40" s="228">
        <v>458917</v>
      </c>
      <c r="AX40" s="227">
        <v>34</v>
      </c>
      <c r="AY40" s="226">
        <v>43396</v>
      </c>
      <c r="AZ40" s="227" t="s">
        <v>307</v>
      </c>
      <c r="BA40" s="232">
        <v>1</v>
      </c>
      <c r="BB40" s="224">
        <v>1</v>
      </c>
      <c r="BC40" s="224">
        <v>1011286</v>
      </c>
      <c r="BE40" s="223" t="s">
        <v>340</v>
      </c>
      <c r="BF40" s="222"/>
      <c r="BG40" s="222"/>
      <c r="BH40" s="222"/>
      <c r="BI40" s="222"/>
      <c r="BJ40" s="222"/>
      <c r="BL40" s="239">
        <v>34</v>
      </c>
      <c r="BM40" s="226">
        <v>43405</v>
      </c>
      <c r="BN40" s="227" t="s">
        <v>307</v>
      </c>
      <c r="BO40" s="232">
        <v>2</v>
      </c>
      <c r="BP40" s="224">
        <v>515</v>
      </c>
      <c r="BQ40" s="224">
        <v>898945</v>
      </c>
      <c r="BS40" s="227">
        <v>34</v>
      </c>
      <c r="BT40" s="226">
        <v>43311</v>
      </c>
      <c r="BU40" s="227" t="s">
        <v>307</v>
      </c>
      <c r="BV40" s="232">
        <v>265</v>
      </c>
      <c r="BW40" s="224">
        <v>10961</v>
      </c>
      <c r="BX40" s="224">
        <v>3174879</v>
      </c>
      <c r="BZ40" s="227">
        <v>34</v>
      </c>
      <c r="CA40" s="226">
        <v>43297</v>
      </c>
      <c r="CB40" s="227" t="s">
        <v>307</v>
      </c>
      <c r="CC40" s="232">
        <v>20</v>
      </c>
      <c r="CD40" s="230">
        <v>398</v>
      </c>
      <c r="CE40" s="230">
        <v>1334872</v>
      </c>
      <c r="CG40" s="223" t="s">
        <v>339</v>
      </c>
      <c r="CH40" s="222"/>
      <c r="CI40" s="222"/>
      <c r="CJ40" s="222"/>
      <c r="CK40" s="222"/>
      <c r="CL40" s="222"/>
      <c r="CN40" s="239">
        <v>34</v>
      </c>
      <c r="CO40" s="226">
        <v>43235</v>
      </c>
      <c r="CP40" s="227" t="s">
        <v>305</v>
      </c>
      <c r="CQ40" s="232">
        <v>6</v>
      </c>
      <c r="CR40" s="224">
        <v>19</v>
      </c>
      <c r="CS40" s="224">
        <v>1385506</v>
      </c>
      <c r="CU40" s="227">
        <v>34</v>
      </c>
      <c r="CV40" s="226">
        <v>43220</v>
      </c>
      <c r="CW40" s="227" t="s">
        <v>307</v>
      </c>
      <c r="CX40" s="229">
        <v>27</v>
      </c>
      <c r="CY40" s="230">
        <v>857</v>
      </c>
      <c r="CZ40" s="230">
        <v>2247179</v>
      </c>
      <c r="DB40" s="227">
        <v>34</v>
      </c>
      <c r="DC40" s="226">
        <v>43087</v>
      </c>
      <c r="DD40" s="227" t="s">
        <v>307</v>
      </c>
      <c r="DE40" s="229">
        <v>6</v>
      </c>
      <c r="DF40" s="230">
        <v>32</v>
      </c>
      <c r="DG40" s="230">
        <v>1786308</v>
      </c>
      <c r="DI40" s="227">
        <v>34</v>
      </c>
      <c r="DJ40" s="226">
        <v>42969</v>
      </c>
      <c r="DK40" s="227" t="s">
        <v>305</v>
      </c>
      <c r="DL40" s="229">
        <v>46</v>
      </c>
      <c r="DM40" s="230">
        <v>1533</v>
      </c>
      <c r="DN40" s="230">
        <v>2753577</v>
      </c>
      <c r="DP40" s="227">
        <v>34</v>
      </c>
      <c r="DQ40" s="226">
        <v>43060</v>
      </c>
      <c r="DR40" s="227" t="s">
        <v>305</v>
      </c>
      <c r="DS40" s="229">
        <v>1</v>
      </c>
      <c r="DT40" s="230">
        <v>1</v>
      </c>
      <c r="DU40" s="230">
        <v>1028375</v>
      </c>
      <c r="DW40" s="222"/>
      <c r="DX40" s="222"/>
      <c r="DY40" s="222"/>
      <c r="DZ40" s="222"/>
      <c r="EA40" s="222"/>
      <c r="EB40" s="222"/>
      <c r="ED40" s="227">
        <v>34</v>
      </c>
      <c r="EE40" s="226">
        <v>43017</v>
      </c>
      <c r="EF40" s="227" t="s">
        <v>307</v>
      </c>
      <c r="EG40" s="252">
        <v>5</v>
      </c>
      <c r="EH40" s="224">
        <v>186</v>
      </c>
      <c r="EI40" s="224">
        <v>888516</v>
      </c>
      <c r="EK40" s="227">
        <v>34</v>
      </c>
      <c r="EL40" s="226">
        <v>43003</v>
      </c>
      <c r="EM40" s="227" t="s">
        <v>307</v>
      </c>
      <c r="EN40" s="229">
        <v>2</v>
      </c>
      <c r="EO40" s="230">
        <v>2</v>
      </c>
      <c r="EP40" s="230">
        <v>1373273</v>
      </c>
      <c r="ER40" s="243">
        <v>34</v>
      </c>
      <c r="ES40" s="248">
        <v>42990</v>
      </c>
      <c r="ET40" s="243" t="s">
        <v>305</v>
      </c>
      <c r="EU40" s="257">
        <v>10</v>
      </c>
      <c r="EV40" s="246">
        <v>95</v>
      </c>
      <c r="EW40" s="246">
        <v>1933984</v>
      </c>
      <c r="EY40" s="239">
        <v>34</v>
      </c>
      <c r="EZ40" s="226">
        <v>42919</v>
      </c>
      <c r="FA40" s="239" t="s">
        <v>307</v>
      </c>
      <c r="FB40" s="232">
        <v>36</v>
      </c>
      <c r="FC40" s="229">
        <v>877</v>
      </c>
      <c r="FD40" s="229">
        <v>2158906</v>
      </c>
      <c r="FM40" s="227">
        <v>34</v>
      </c>
      <c r="FN40" s="226">
        <v>42836</v>
      </c>
      <c r="FO40" s="225" t="s">
        <v>307</v>
      </c>
      <c r="FP40" s="224">
        <v>2</v>
      </c>
      <c r="FQ40" s="224">
        <v>2</v>
      </c>
      <c r="FR40" s="224">
        <v>1689710</v>
      </c>
      <c r="FT40" s="227">
        <v>34</v>
      </c>
      <c r="FU40" s="226">
        <v>42808</v>
      </c>
      <c r="FV40" s="225" t="s">
        <v>305</v>
      </c>
      <c r="FW40" s="232">
        <v>1</v>
      </c>
      <c r="FX40" s="232">
        <v>2</v>
      </c>
      <c r="FY40" s="229">
        <v>148678</v>
      </c>
      <c r="GA40" s="222"/>
      <c r="GB40" s="222"/>
      <c r="GC40" s="222"/>
      <c r="GD40" s="222"/>
      <c r="GE40" s="222"/>
      <c r="GF40" s="222"/>
      <c r="GH40" s="227">
        <v>34</v>
      </c>
      <c r="GI40" s="226">
        <v>42744</v>
      </c>
      <c r="GJ40" s="253" t="s">
        <v>307</v>
      </c>
      <c r="GK40" s="259">
        <v>2</v>
      </c>
      <c r="GL40" s="232">
        <v>35</v>
      </c>
      <c r="GM40" s="229">
        <v>322960</v>
      </c>
      <c r="GO40" s="227">
        <v>34</v>
      </c>
      <c r="GP40" s="226">
        <v>42723</v>
      </c>
      <c r="GQ40" s="225" t="s">
        <v>307</v>
      </c>
      <c r="GR40" s="232">
        <v>307</v>
      </c>
      <c r="GS40" s="229">
        <v>9810</v>
      </c>
      <c r="GT40" s="229">
        <v>4621070</v>
      </c>
      <c r="HC40" s="227">
        <v>34</v>
      </c>
      <c r="HD40" s="226">
        <v>42674</v>
      </c>
      <c r="HE40" s="225" t="s">
        <v>307</v>
      </c>
      <c r="HF40" s="234">
        <v>2</v>
      </c>
      <c r="HG40" s="234">
        <v>86</v>
      </c>
      <c r="HH40" s="236">
        <v>623516</v>
      </c>
      <c r="HJ40" s="227">
        <v>34</v>
      </c>
      <c r="HK40" s="226">
        <v>42653</v>
      </c>
      <c r="HL40" s="225" t="s">
        <v>307</v>
      </c>
      <c r="HM40" s="224">
        <v>365</v>
      </c>
      <c r="HN40" s="224">
        <v>8488</v>
      </c>
      <c r="HO40" s="224">
        <v>7467312</v>
      </c>
      <c r="HQ40" s="227">
        <v>34</v>
      </c>
      <c r="HR40" s="226">
        <v>42639</v>
      </c>
      <c r="HS40" s="225" t="s">
        <v>307</v>
      </c>
      <c r="HT40" s="224">
        <v>24</v>
      </c>
      <c r="HU40" s="224">
        <v>186</v>
      </c>
      <c r="HV40" s="224">
        <v>1111027</v>
      </c>
      <c r="HX40" s="227">
        <v>34</v>
      </c>
      <c r="HY40" s="225">
        <v>42618</v>
      </c>
      <c r="HZ40" s="225" t="s">
        <v>307</v>
      </c>
      <c r="IA40" s="234">
        <v>3</v>
      </c>
      <c r="IB40" s="234">
        <v>35</v>
      </c>
      <c r="IC40" s="236">
        <v>1898065</v>
      </c>
      <c r="IE40" s="227">
        <v>34</v>
      </c>
      <c r="IF40" s="226">
        <v>42486</v>
      </c>
      <c r="IG40" s="225" t="s">
        <v>305</v>
      </c>
      <c r="IH40" s="232">
        <v>99</v>
      </c>
      <c r="II40" s="232">
        <v>809</v>
      </c>
      <c r="IJ40" s="229">
        <v>2256889</v>
      </c>
    </row>
    <row r="41" spans="1:244" ht="13.5" customHeight="1" x14ac:dyDescent="0.45">
      <c r="A41" s="227">
        <v>35</v>
      </c>
      <c r="B41" s="226">
        <v>43572</v>
      </c>
      <c r="C41" s="227" t="s">
        <v>312</v>
      </c>
      <c r="D41" s="229">
        <v>2</v>
      </c>
      <c r="E41" s="228">
        <v>23</v>
      </c>
      <c r="F41" s="228">
        <v>101038</v>
      </c>
      <c r="H41" s="222"/>
      <c r="I41" s="222"/>
      <c r="J41" s="222"/>
      <c r="K41" s="222"/>
      <c r="L41" s="222"/>
      <c r="M41" s="222"/>
      <c r="O41" s="222"/>
      <c r="P41" s="222"/>
      <c r="Q41" s="222"/>
      <c r="R41" s="222"/>
      <c r="S41" s="222"/>
      <c r="T41" s="222"/>
      <c r="V41" s="227">
        <v>35</v>
      </c>
      <c r="W41" s="226">
        <v>43487</v>
      </c>
      <c r="X41" s="227" t="s">
        <v>312</v>
      </c>
      <c r="Y41" s="229">
        <v>300</v>
      </c>
      <c r="Z41" s="228">
        <v>4572</v>
      </c>
      <c r="AA41" s="228">
        <v>5028501</v>
      </c>
      <c r="AC41" s="227">
        <v>35</v>
      </c>
      <c r="AD41" s="226">
        <v>43452</v>
      </c>
      <c r="AE41" s="227" t="s">
        <v>312</v>
      </c>
      <c r="AF41" s="229">
        <v>20</v>
      </c>
      <c r="AG41" s="228">
        <v>383</v>
      </c>
      <c r="AH41" s="228">
        <v>2413827</v>
      </c>
      <c r="AJ41" s="227">
        <v>35</v>
      </c>
      <c r="AK41" s="226">
        <v>43432</v>
      </c>
      <c r="AL41" s="227" t="s">
        <v>310</v>
      </c>
      <c r="AM41" s="229">
        <v>1</v>
      </c>
      <c r="AN41" s="228">
        <v>8</v>
      </c>
      <c r="AO41" s="228">
        <v>154156</v>
      </c>
      <c r="AQ41" s="227">
        <v>35</v>
      </c>
      <c r="AR41" s="226">
        <v>43416</v>
      </c>
      <c r="AS41" s="227" t="s">
        <v>307</v>
      </c>
      <c r="AT41" s="229">
        <v>99</v>
      </c>
      <c r="AU41" s="228">
        <v>2579</v>
      </c>
      <c r="AV41" s="228">
        <v>461496</v>
      </c>
      <c r="AX41" s="227">
        <v>35</v>
      </c>
      <c r="AY41" s="226">
        <v>43397</v>
      </c>
      <c r="AZ41" s="227" t="s">
        <v>305</v>
      </c>
      <c r="BA41" s="232">
        <v>1</v>
      </c>
      <c r="BB41" s="224">
        <v>1</v>
      </c>
      <c r="BC41" s="224">
        <v>1011287</v>
      </c>
      <c r="BE41" s="222"/>
      <c r="BF41" s="222"/>
      <c r="BG41" s="222"/>
      <c r="BH41" s="222"/>
      <c r="BI41" s="222"/>
      <c r="BJ41" s="222"/>
      <c r="BL41" s="223" t="s">
        <v>338</v>
      </c>
      <c r="BM41" s="222"/>
      <c r="BN41" s="222"/>
      <c r="BO41" s="222"/>
      <c r="BP41" s="222"/>
      <c r="BQ41" s="222"/>
      <c r="BS41" s="227">
        <v>35</v>
      </c>
      <c r="BT41" s="226">
        <v>43312</v>
      </c>
      <c r="BU41" s="227" t="s">
        <v>305</v>
      </c>
      <c r="BV41" s="232">
        <v>258</v>
      </c>
      <c r="BW41" s="224">
        <v>11551</v>
      </c>
      <c r="BX41" s="224">
        <v>3186430</v>
      </c>
      <c r="BZ41" s="227">
        <v>35</v>
      </c>
      <c r="CA41" s="226">
        <v>43298</v>
      </c>
      <c r="CB41" s="227" t="s">
        <v>305</v>
      </c>
      <c r="CC41" s="232">
        <v>23</v>
      </c>
      <c r="CD41" s="230">
        <v>403</v>
      </c>
      <c r="CE41" s="230">
        <v>1335275</v>
      </c>
      <c r="CG41" s="222"/>
      <c r="CH41" s="222"/>
      <c r="CI41" s="222"/>
      <c r="CJ41" s="222"/>
      <c r="CK41" s="222"/>
      <c r="CL41" s="222"/>
      <c r="CN41" s="239">
        <v>35</v>
      </c>
      <c r="CO41" s="226">
        <v>43236</v>
      </c>
      <c r="CP41" s="227" t="s">
        <v>304</v>
      </c>
      <c r="CQ41" s="232">
        <v>2</v>
      </c>
      <c r="CR41" s="224">
        <v>5</v>
      </c>
      <c r="CS41" s="224">
        <v>1385511</v>
      </c>
      <c r="CU41" s="227">
        <v>35</v>
      </c>
      <c r="CV41" s="226">
        <v>43221</v>
      </c>
      <c r="CW41" s="227" t="s">
        <v>305</v>
      </c>
      <c r="CX41" s="229">
        <v>9</v>
      </c>
      <c r="CY41" s="230">
        <v>887</v>
      </c>
      <c r="CZ41" s="230">
        <v>2248066</v>
      </c>
      <c r="DB41" s="243">
        <v>35</v>
      </c>
      <c r="DC41" s="248">
        <v>43088</v>
      </c>
      <c r="DD41" s="243" t="s">
        <v>305</v>
      </c>
      <c r="DE41" s="240">
        <v>6</v>
      </c>
      <c r="DF41" s="256">
        <v>23</v>
      </c>
      <c r="DG41" s="256">
        <v>1786331</v>
      </c>
      <c r="DI41" s="227">
        <v>35</v>
      </c>
      <c r="DJ41" s="226">
        <v>42970</v>
      </c>
      <c r="DK41" s="227" t="s">
        <v>304</v>
      </c>
      <c r="DL41" s="229">
        <v>24</v>
      </c>
      <c r="DM41" s="230">
        <v>2285</v>
      </c>
      <c r="DN41" s="230">
        <v>2755862</v>
      </c>
      <c r="DP41" s="227">
        <v>35</v>
      </c>
      <c r="DQ41" s="226">
        <v>43061</v>
      </c>
      <c r="DR41" s="227" t="s">
        <v>304</v>
      </c>
      <c r="DS41" s="229">
        <v>1</v>
      </c>
      <c r="DT41" s="230">
        <v>1</v>
      </c>
      <c r="DU41" s="230">
        <v>1028376</v>
      </c>
      <c r="ED41" s="227">
        <v>35</v>
      </c>
      <c r="EE41" s="226">
        <v>43018</v>
      </c>
      <c r="EF41" s="227" t="s">
        <v>305</v>
      </c>
      <c r="EG41" s="252">
        <v>3</v>
      </c>
      <c r="EH41" s="224">
        <v>30</v>
      </c>
      <c r="EI41" s="224">
        <v>888546</v>
      </c>
      <c r="EK41" s="227">
        <v>35</v>
      </c>
      <c r="EL41" s="226">
        <v>43004</v>
      </c>
      <c r="EM41" s="227" t="s">
        <v>305</v>
      </c>
      <c r="EN41" s="229">
        <v>1</v>
      </c>
      <c r="EO41" s="230">
        <v>1</v>
      </c>
      <c r="EP41" s="230">
        <v>1373274</v>
      </c>
      <c r="ER41" s="227">
        <v>35</v>
      </c>
      <c r="ES41" s="226">
        <v>42991</v>
      </c>
      <c r="ET41" s="227" t="s">
        <v>304</v>
      </c>
      <c r="EU41" s="232">
        <v>9</v>
      </c>
      <c r="EV41" s="224">
        <v>31</v>
      </c>
      <c r="EW41" s="224">
        <v>1934015</v>
      </c>
      <c r="EY41" s="239">
        <v>35</v>
      </c>
      <c r="EZ41" s="226">
        <v>42920</v>
      </c>
      <c r="FA41" s="239" t="s">
        <v>305</v>
      </c>
      <c r="FB41" s="232">
        <v>35</v>
      </c>
      <c r="FC41" s="229">
        <v>940</v>
      </c>
      <c r="FD41" s="229">
        <v>2159846</v>
      </c>
      <c r="FM41" s="227">
        <v>35</v>
      </c>
      <c r="FN41" s="226">
        <v>42837</v>
      </c>
      <c r="FO41" s="225" t="s">
        <v>305</v>
      </c>
      <c r="FP41" s="224">
        <v>2</v>
      </c>
      <c r="FQ41" s="224">
        <v>2</v>
      </c>
      <c r="FR41" s="224">
        <v>1689712</v>
      </c>
      <c r="FT41" s="227">
        <v>35</v>
      </c>
      <c r="FU41" s="226">
        <v>42809</v>
      </c>
      <c r="FV41" s="225" t="s">
        <v>304</v>
      </c>
      <c r="FW41" s="232">
        <v>2</v>
      </c>
      <c r="FX41" s="232">
        <v>2</v>
      </c>
      <c r="FY41" s="229">
        <v>148680</v>
      </c>
      <c r="GA41" s="222"/>
      <c r="GB41" s="222"/>
      <c r="GC41" s="222"/>
      <c r="GD41" s="222"/>
      <c r="GE41" s="222"/>
      <c r="GF41" s="222"/>
      <c r="GH41" s="227">
        <v>35</v>
      </c>
      <c r="GI41" s="235">
        <v>42745</v>
      </c>
      <c r="GJ41" s="225" t="s">
        <v>305</v>
      </c>
      <c r="GK41" s="234">
        <v>4</v>
      </c>
      <c r="GL41" s="233">
        <v>60</v>
      </c>
      <c r="GM41" s="229">
        <v>323020</v>
      </c>
      <c r="GO41" s="227">
        <v>35</v>
      </c>
      <c r="GP41" s="226">
        <v>42724</v>
      </c>
      <c r="GQ41" s="225" t="s">
        <v>305</v>
      </c>
      <c r="GR41" s="232">
        <v>326</v>
      </c>
      <c r="GS41" s="229">
        <v>12890</v>
      </c>
      <c r="GT41" s="229">
        <v>4633960</v>
      </c>
      <c r="HC41" s="227">
        <v>35</v>
      </c>
      <c r="HD41" s="226">
        <v>42675</v>
      </c>
      <c r="HE41" s="225" t="s">
        <v>305</v>
      </c>
      <c r="HF41" s="234">
        <v>3</v>
      </c>
      <c r="HG41" s="234">
        <v>333</v>
      </c>
      <c r="HH41" s="236">
        <v>623849</v>
      </c>
      <c r="HJ41" s="227">
        <v>35</v>
      </c>
      <c r="HK41" s="226">
        <v>42654</v>
      </c>
      <c r="HL41" s="225" t="s">
        <v>305</v>
      </c>
      <c r="HM41" s="224">
        <v>364</v>
      </c>
      <c r="HN41" s="224">
        <v>7743</v>
      </c>
      <c r="HO41" s="224">
        <v>7475055</v>
      </c>
      <c r="HQ41" s="227">
        <v>35</v>
      </c>
      <c r="HR41" s="226">
        <v>42640</v>
      </c>
      <c r="HS41" s="225" t="s">
        <v>305</v>
      </c>
      <c r="HT41" s="224">
        <v>21</v>
      </c>
      <c r="HU41" s="224">
        <v>236</v>
      </c>
      <c r="HV41" s="224">
        <v>1111263</v>
      </c>
      <c r="HX41" s="227">
        <v>35</v>
      </c>
      <c r="HY41" s="225">
        <v>42619</v>
      </c>
      <c r="HZ41" s="225" t="s">
        <v>305</v>
      </c>
      <c r="IA41" s="234">
        <v>3</v>
      </c>
      <c r="IB41" s="234">
        <v>56</v>
      </c>
      <c r="IC41" s="236">
        <v>1898121</v>
      </c>
      <c r="IE41" s="223" t="s">
        <v>337</v>
      </c>
    </row>
    <row r="42" spans="1:244" ht="13.5" customHeight="1" x14ac:dyDescent="0.45">
      <c r="A42" s="223" t="s">
        <v>336</v>
      </c>
      <c r="B42" s="222"/>
      <c r="C42" s="222"/>
      <c r="D42" s="222"/>
      <c r="E42" s="222"/>
      <c r="F42" s="222"/>
      <c r="H42" s="223"/>
      <c r="I42" s="222"/>
      <c r="J42" s="222"/>
      <c r="K42" s="222"/>
      <c r="L42" s="222"/>
      <c r="M42" s="222"/>
      <c r="O42" s="222"/>
      <c r="P42" s="222"/>
      <c r="Q42" s="222"/>
      <c r="R42" s="222"/>
      <c r="S42" s="222"/>
      <c r="T42" s="222"/>
      <c r="V42" s="243">
        <v>36</v>
      </c>
      <c r="W42" s="248">
        <v>43488</v>
      </c>
      <c r="X42" s="243" t="s">
        <v>310</v>
      </c>
      <c r="Y42" s="240">
        <v>91</v>
      </c>
      <c r="Z42" s="258">
        <v>1375</v>
      </c>
      <c r="AA42" s="258">
        <v>5029876</v>
      </c>
      <c r="AC42" s="227">
        <v>36</v>
      </c>
      <c r="AD42" s="226">
        <v>43453</v>
      </c>
      <c r="AE42" s="227" t="s">
        <v>310</v>
      </c>
      <c r="AF42" s="229">
        <v>2</v>
      </c>
      <c r="AG42" s="228">
        <v>92</v>
      </c>
      <c r="AH42" s="228">
        <v>2413919</v>
      </c>
      <c r="AJ42" s="227">
        <v>36</v>
      </c>
      <c r="AK42" s="226">
        <v>43433</v>
      </c>
      <c r="AL42" s="227" t="s">
        <v>316</v>
      </c>
      <c r="AM42" s="229">
        <v>1</v>
      </c>
      <c r="AN42" s="228">
        <v>9</v>
      </c>
      <c r="AO42" s="228">
        <v>154165</v>
      </c>
      <c r="AQ42" s="227">
        <v>36</v>
      </c>
      <c r="AR42" s="226">
        <v>43417</v>
      </c>
      <c r="AS42" s="227" t="s">
        <v>305</v>
      </c>
      <c r="AT42" s="229">
        <v>100</v>
      </c>
      <c r="AU42" s="228">
        <v>2963</v>
      </c>
      <c r="AV42" s="228">
        <v>464459</v>
      </c>
      <c r="AX42" s="227">
        <v>36</v>
      </c>
      <c r="AY42" s="226">
        <v>43403</v>
      </c>
      <c r="AZ42" s="227" t="s">
        <v>304</v>
      </c>
      <c r="BA42" s="232">
        <v>1</v>
      </c>
      <c r="BB42" s="224">
        <v>98</v>
      </c>
      <c r="BC42" s="224">
        <v>1011385</v>
      </c>
      <c r="BE42" s="222"/>
      <c r="BF42" s="222"/>
      <c r="BG42" s="222"/>
      <c r="BH42" s="222"/>
      <c r="BI42" s="222"/>
      <c r="BJ42" s="222"/>
      <c r="BL42" s="222"/>
      <c r="BM42" s="222"/>
      <c r="BN42" s="222"/>
      <c r="BO42" s="222"/>
      <c r="BP42" s="222"/>
      <c r="BQ42" s="222"/>
      <c r="BS42" s="227">
        <v>36</v>
      </c>
      <c r="BT42" s="226">
        <v>43313</v>
      </c>
      <c r="BU42" s="227" t="s">
        <v>304</v>
      </c>
      <c r="BV42" s="232">
        <v>24</v>
      </c>
      <c r="BW42" s="224">
        <v>457</v>
      </c>
      <c r="BX42" s="224">
        <v>3186887</v>
      </c>
      <c r="BZ42" s="243">
        <v>36</v>
      </c>
      <c r="CA42" s="248">
        <v>43299</v>
      </c>
      <c r="CB42" s="243" t="s">
        <v>304</v>
      </c>
      <c r="CC42" s="257">
        <v>5</v>
      </c>
      <c r="CD42" s="256">
        <v>85</v>
      </c>
      <c r="CE42" s="256">
        <v>1335360</v>
      </c>
      <c r="CG42" s="222"/>
      <c r="CH42" s="222"/>
      <c r="CI42" s="222"/>
      <c r="CJ42" s="222"/>
      <c r="CK42" s="222"/>
      <c r="CL42" s="222"/>
      <c r="CN42" s="223" t="s">
        <v>335</v>
      </c>
      <c r="CO42" s="222"/>
      <c r="CP42" s="222"/>
      <c r="CQ42" s="222"/>
      <c r="CR42" s="222"/>
      <c r="CS42" s="222"/>
      <c r="CU42" s="243">
        <v>36</v>
      </c>
      <c r="CV42" s="248">
        <v>43222</v>
      </c>
      <c r="CW42" s="243" t="s">
        <v>304</v>
      </c>
      <c r="CX42" s="240">
        <v>42</v>
      </c>
      <c r="CY42" s="256">
        <v>219</v>
      </c>
      <c r="CZ42" s="256">
        <v>2248285</v>
      </c>
      <c r="DB42" s="227">
        <v>36</v>
      </c>
      <c r="DC42" s="226">
        <v>43089</v>
      </c>
      <c r="DD42" s="227" t="s">
        <v>304</v>
      </c>
      <c r="DE42" s="229">
        <v>4</v>
      </c>
      <c r="DF42" s="230">
        <v>4</v>
      </c>
      <c r="DG42" s="230">
        <v>1786335</v>
      </c>
      <c r="DI42" s="227">
        <v>36</v>
      </c>
      <c r="DJ42" s="226">
        <v>42971</v>
      </c>
      <c r="DK42" s="227" t="s">
        <v>303</v>
      </c>
      <c r="DL42" s="229">
        <v>19</v>
      </c>
      <c r="DM42" s="230">
        <v>2255</v>
      </c>
      <c r="DN42" s="230">
        <v>2758117</v>
      </c>
      <c r="DP42" s="227">
        <v>36</v>
      </c>
      <c r="DQ42" s="226">
        <v>43062</v>
      </c>
      <c r="DR42" s="227" t="s">
        <v>303</v>
      </c>
      <c r="DS42" s="229">
        <v>1</v>
      </c>
      <c r="DT42" s="230">
        <v>1</v>
      </c>
      <c r="DU42" s="230">
        <v>1028377</v>
      </c>
      <c r="ED42" s="227">
        <v>36</v>
      </c>
      <c r="EE42" s="226">
        <v>43019</v>
      </c>
      <c r="EF42" s="227" t="s">
        <v>304</v>
      </c>
      <c r="EG42" s="252">
        <v>6</v>
      </c>
      <c r="EH42" s="224">
        <v>32</v>
      </c>
      <c r="EI42" s="224">
        <v>888578</v>
      </c>
      <c r="EK42" s="227">
        <v>36</v>
      </c>
      <c r="EL42" s="226">
        <v>43005</v>
      </c>
      <c r="EM42" s="227" t="s">
        <v>304</v>
      </c>
      <c r="EN42" s="229">
        <v>2</v>
      </c>
      <c r="EO42" s="230">
        <v>2</v>
      </c>
      <c r="EP42" s="230">
        <v>1373276</v>
      </c>
      <c r="ER42" s="227">
        <v>36</v>
      </c>
      <c r="ES42" s="226">
        <v>42992</v>
      </c>
      <c r="ET42" s="227" t="s">
        <v>303</v>
      </c>
      <c r="EU42" s="232">
        <v>4</v>
      </c>
      <c r="EV42" s="224">
        <v>12</v>
      </c>
      <c r="EW42" s="224">
        <v>1934027</v>
      </c>
      <c r="EY42" s="239">
        <v>36</v>
      </c>
      <c r="EZ42" s="226">
        <v>42921</v>
      </c>
      <c r="FA42" s="239" t="s">
        <v>304</v>
      </c>
      <c r="FB42" s="232">
        <v>9</v>
      </c>
      <c r="FC42" s="229">
        <v>207</v>
      </c>
      <c r="FD42" s="229">
        <v>2160053</v>
      </c>
      <c r="FM42" s="227">
        <v>36</v>
      </c>
      <c r="FN42" s="226">
        <v>42838</v>
      </c>
      <c r="FO42" s="225" t="s">
        <v>304</v>
      </c>
      <c r="FP42" s="224">
        <v>2</v>
      </c>
      <c r="FQ42" s="224">
        <v>2</v>
      </c>
      <c r="FR42" s="224">
        <v>1689714</v>
      </c>
      <c r="FT42" s="227">
        <v>36</v>
      </c>
      <c r="FU42" s="226">
        <v>42812</v>
      </c>
      <c r="FV42" s="225" t="s">
        <v>319</v>
      </c>
      <c r="FW42" s="232">
        <v>1</v>
      </c>
      <c r="FX42" s="232">
        <v>26</v>
      </c>
      <c r="FY42" s="229">
        <v>148706</v>
      </c>
      <c r="GA42" s="222"/>
      <c r="GB42" s="222"/>
      <c r="GC42" s="222"/>
      <c r="GD42" s="222"/>
      <c r="GE42" s="222"/>
      <c r="GF42" s="222"/>
      <c r="GH42" s="227">
        <v>36</v>
      </c>
      <c r="GI42" s="235">
        <v>42746</v>
      </c>
      <c r="GJ42" s="225" t="s">
        <v>304</v>
      </c>
      <c r="GK42" s="234">
        <v>2</v>
      </c>
      <c r="GL42" s="233">
        <v>58</v>
      </c>
      <c r="GM42" s="229">
        <v>323078</v>
      </c>
      <c r="GO42" s="227">
        <v>36</v>
      </c>
      <c r="GP42" s="226">
        <v>42725</v>
      </c>
      <c r="GQ42" s="225" t="s">
        <v>304</v>
      </c>
      <c r="GR42" s="232">
        <v>63</v>
      </c>
      <c r="GS42" s="229">
        <v>2388</v>
      </c>
      <c r="GT42" s="229">
        <v>4636348</v>
      </c>
      <c r="HC42" s="255">
        <v>36</v>
      </c>
      <c r="HD42" s="254">
        <v>42676</v>
      </c>
      <c r="HE42" s="253" t="s">
        <v>304</v>
      </c>
      <c r="HF42" s="234">
        <v>2</v>
      </c>
      <c r="HG42" s="234">
        <v>190</v>
      </c>
      <c r="HH42" s="236">
        <v>624039</v>
      </c>
      <c r="HJ42" s="227">
        <v>36</v>
      </c>
      <c r="HK42" s="226">
        <v>42655</v>
      </c>
      <c r="HL42" s="225" t="s">
        <v>304</v>
      </c>
      <c r="HM42" s="224">
        <v>358</v>
      </c>
      <c r="HN42" s="224">
        <v>7984</v>
      </c>
      <c r="HO42" s="224">
        <v>7483039</v>
      </c>
      <c r="HQ42" s="227">
        <v>36</v>
      </c>
      <c r="HR42" s="226">
        <v>42641</v>
      </c>
      <c r="HS42" s="225" t="s">
        <v>304</v>
      </c>
      <c r="HT42" s="224">
        <v>2</v>
      </c>
      <c r="HU42" s="224">
        <v>10</v>
      </c>
      <c r="HV42" s="224">
        <v>1111273</v>
      </c>
      <c r="HX42" s="227">
        <v>36</v>
      </c>
      <c r="HY42" s="225">
        <v>42620</v>
      </c>
      <c r="HZ42" s="225" t="s">
        <v>304</v>
      </c>
      <c r="IA42" s="234">
        <v>0</v>
      </c>
      <c r="IB42" s="234">
        <v>0</v>
      </c>
      <c r="IC42" s="236">
        <v>1898121</v>
      </c>
    </row>
    <row r="43" spans="1:244" ht="13.5" customHeight="1" x14ac:dyDescent="0.45">
      <c r="A43" s="222"/>
      <c r="B43" s="222"/>
      <c r="C43" s="222"/>
      <c r="D43" s="222"/>
      <c r="E43" s="222"/>
      <c r="F43" s="222"/>
      <c r="H43" s="222"/>
      <c r="I43" s="222"/>
      <c r="J43" s="222"/>
      <c r="K43" s="222"/>
      <c r="L43" s="222"/>
      <c r="M43" s="222"/>
      <c r="O43" s="222"/>
      <c r="P43" s="222"/>
      <c r="Q43" s="222"/>
      <c r="R43" s="222"/>
      <c r="S43" s="222"/>
      <c r="T43" s="222"/>
      <c r="V43" s="227">
        <v>37</v>
      </c>
      <c r="W43" s="226">
        <v>43489</v>
      </c>
      <c r="X43" s="227" t="s">
        <v>316</v>
      </c>
      <c r="Y43" s="229">
        <v>86</v>
      </c>
      <c r="Z43" s="228">
        <v>1253</v>
      </c>
      <c r="AA43" s="228">
        <v>5031129</v>
      </c>
      <c r="AC43" s="227">
        <v>37</v>
      </c>
      <c r="AD43" s="226">
        <v>43454</v>
      </c>
      <c r="AE43" s="227" t="s">
        <v>316</v>
      </c>
      <c r="AF43" s="229">
        <v>2</v>
      </c>
      <c r="AG43" s="228">
        <v>143</v>
      </c>
      <c r="AH43" s="228">
        <v>2414062</v>
      </c>
      <c r="AJ43" s="227">
        <v>37</v>
      </c>
      <c r="AK43" s="226">
        <v>43434</v>
      </c>
      <c r="AL43" s="227" t="s">
        <v>320</v>
      </c>
      <c r="AM43" s="229">
        <v>1</v>
      </c>
      <c r="AN43" s="228">
        <v>4</v>
      </c>
      <c r="AO43" s="228">
        <v>154169</v>
      </c>
      <c r="AQ43" s="227">
        <v>37</v>
      </c>
      <c r="AR43" s="226">
        <v>43418</v>
      </c>
      <c r="AS43" s="227" t="s">
        <v>304</v>
      </c>
      <c r="AT43" s="229">
        <v>39</v>
      </c>
      <c r="AU43" s="228">
        <v>1363</v>
      </c>
      <c r="AV43" s="228">
        <v>465822</v>
      </c>
      <c r="AX43" s="227">
        <v>37</v>
      </c>
      <c r="AY43" s="226">
        <v>43404</v>
      </c>
      <c r="AZ43" s="227" t="s">
        <v>303</v>
      </c>
      <c r="BA43" s="232">
        <v>1</v>
      </c>
      <c r="BB43" s="224">
        <v>98</v>
      </c>
      <c r="BC43" s="224">
        <v>1011483</v>
      </c>
      <c r="BE43" s="222"/>
      <c r="BF43" s="222"/>
      <c r="BG43" s="222"/>
      <c r="BH43" s="222"/>
      <c r="BI43" s="222"/>
      <c r="BJ43" s="222"/>
      <c r="BL43" s="222"/>
      <c r="BM43" s="222"/>
      <c r="BN43" s="222"/>
      <c r="BO43" s="222"/>
      <c r="BP43" s="222"/>
      <c r="BQ43" s="222"/>
      <c r="BS43" s="227">
        <v>37</v>
      </c>
      <c r="BT43" s="226">
        <v>43314</v>
      </c>
      <c r="BU43" s="227" t="s">
        <v>303</v>
      </c>
      <c r="BV43" s="232">
        <v>26</v>
      </c>
      <c r="BW43" s="224">
        <v>484</v>
      </c>
      <c r="BX43" s="224">
        <v>3187371</v>
      </c>
      <c r="BZ43" s="227">
        <v>37</v>
      </c>
      <c r="CA43" s="226">
        <v>43300</v>
      </c>
      <c r="CB43" s="227" t="s">
        <v>303</v>
      </c>
      <c r="CC43" s="232">
        <v>4</v>
      </c>
      <c r="CD43" s="230">
        <v>42</v>
      </c>
      <c r="CE43" s="230">
        <v>1335402</v>
      </c>
      <c r="CG43" s="222"/>
      <c r="CH43" s="222"/>
      <c r="CI43" s="222"/>
      <c r="CJ43" s="222"/>
      <c r="CK43" s="222"/>
      <c r="CL43" s="222"/>
      <c r="CN43" s="222"/>
      <c r="CO43" s="222"/>
      <c r="CP43" s="222"/>
      <c r="CQ43" s="222"/>
      <c r="CR43" s="222"/>
      <c r="CS43" s="222"/>
      <c r="CU43" s="227">
        <v>37</v>
      </c>
      <c r="CV43" s="226">
        <v>43223</v>
      </c>
      <c r="CW43" s="227" t="s">
        <v>303</v>
      </c>
      <c r="CX43" s="229">
        <v>43</v>
      </c>
      <c r="CY43" s="230">
        <v>408</v>
      </c>
      <c r="CZ43" s="230">
        <v>2248693</v>
      </c>
      <c r="DB43" s="227">
        <v>37</v>
      </c>
      <c r="DC43" s="226">
        <v>43090</v>
      </c>
      <c r="DD43" s="227" t="s">
        <v>303</v>
      </c>
      <c r="DE43" s="229">
        <v>5</v>
      </c>
      <c r="DF43" s="230">
        <v>5</v>
      </c>
      <c r="DG43" s="230">
        <v>1786340</v>
      </c>
      <c r="DI43" s="227">
        <v>37</v>
      </c>
      <c r="DJ43" s="226">
        <v>42972</v>
      </c>
      <c r="DK43" s="227" t="s">
        <v>302</v>
      </c>
      <c r="DL43" s="229">
        <v>17</v>
      </c>
      <c r="DM43" s="230">
        <v>2331</v>
      </c>
      <c r="DN43" s="230">
        <v>2760448</v>
      </c>
      <c r="DP43" s="227">
        <v>37</v>
      </c>
      <c r="DQ43" s="226">
        <v>43063</v>
      </c>
      <c r="DR43" s="227" t="s">
        <v>302</v>
      </c>
      <c r="DS43" s="229">
        <v>2</v>
      </c>
      <c r="DT43" s="230">
        <v>2</v>
      </c>
      <c r="DU43" s="230">
        <v>1028379</v>
      </c>
      <c r="ED43" s="227">
        <v>37</v>
      </c>
      <c r="EE43" s="226">
        <v>43020</v>
      </c>
      <c r="EF43" s="227" t="s">
        <v>303</v>
      </c>
      <c r="EG43" s="252">
        <v>1</v>
      </c>
      <c r="EH43" s="224">
        <v>8</v>
      </c>
      <c r="EI43" s="224">
        <v>888586</v>
      </c>
      <c r="EK43" s="227">
        <v>37</v>
      </c>
      <c r="EL43" s="226">
        <v>43006</v>
      </c>
      <c r="EM43" s="227" t="s">
        <v>303</v>
      </c>
      <c r="EN43" s="229">
        <v>2</v>
      </c>
      <c r="EO43" s="230">
        <v>2</v>
      </c>
      <c r="EP43" s="230">
        <v>1373278</v>
      </c>
      <c r="ER43" s="227">
        <v>37</v>
      </c>
      <c r="ES43" s="226">
        <v>42993</v>
      </c>
      <c r="ET43" s="227" t="s">
        <v>302</v>
      </c>
      <c r="EU43" s="232">
        <v>6</v>
      </c>
      <c r="EV43" s="224">
        <v>55</v>
      </c>
      <c r="EW43" s="224">
        <v>1934082</v>
      </c>
      <c r="EY43" s="239">
        <v>37</v>
      </c>
      <c r="EZ43" s="226">
        <v>42922</v>
      </c>
      <c r="FA43" s="239" t="s">
        <v>303</v>
      </c>
      <c r="FB43" s="232">
        <v>5</v>
      </c>
      <c r="FC43" s="229">
        <v>33</v>
      </c>
      <c r="FD43" s="229">
        <v>2160086</v>
      </c>
      <c r="FM43" s="227">
        <v>37</v>
      </c>
      <c r="FN43" s="226">
        <v>42839</v>
      </c>
      <c r="FO43" s="225" t="s">
        <v>303</v>
      </c>
      <c r="FP43" s="224">
        <v>1</v>
      </c>
      <c r="FQ43" s="224">
        <v>1</v>
      </c>
      <c r="FR43" s="224">
        <v>1689715</v>
      </c>
      <c r="FT43" s="227">
        <v>37</v>
      </c>
      <c r="FU43" s="235">
        <v>42813</v>
      </c>
      <c r="FV43" s="227" t="s">
        <v>317</v>
      </c>
      <c r="FW43" s="233">
        <v>1</v>
      </c>
      <c r="FX43" s="232">
        <v>54</v>
      </c>
      <c r="FY43" s="229">
        <v>148760</v>
      </c>
      <c r="GA43" s="222"/>
      <c r="GB43" s="222"/>
      <c r="GC43" s="222"/>
      <c r="GD43" s="222"/>
      <c r="GE43" s="222"/>
      <c r="GF43" s="222"/>
      <c r="GH43" s="227">
        <v>37</v>
      </c>
      <c r="GI43" s="235">
        <v>42748</v>
      </c>
      <c r="GJ43" s="227" t="s">
        <v>320</v>
      </c>
      <c r="GK43" s="234">
        <v>1</v>
      </c>
      <c r="GL43" s="233">
        <v>119</v>
      </c>
      <c r="GM43" s="229">
        <v>323197</v>
      </c>
      <c r="GO43" s="227">
        <v>37</v>
      </c>
      <c r="GP43" s="226">
        <v>42726</v>
      </c>
      <c r="GQ43" s="225" t="s">
        <v>303</v>
      </c>
      <c r="GR43" s="232">
        <v>41</v>
      </c>
      <c r="GS43" s="229">
        <v>1748</v>
      </c>
      <c r="GT43" s="229">
        <v>4638096</v>
      </c>
      <c r="HC43" s="238">
        <v>37</v>
      </c>
      <c r="HD43" s="237">
        <v>42678</v>
      </c>
      <c r="HE43" s="227" t="s">
        <v>320</v>
      </c>
      <c r="HF43" s="234">
        <v>1</v>
      </c>
      <c r="HG43" s="234">
        <v>220</v>
      </c>
      <c r="HH43" s="236">
        <v>624259</v>
      </c>
      <c r="HJ43" s="227">
        <v>37</v>
      </c>
      <c r="HK43" s="226">
        <v>42656</v>
      </c>
      <c r="HL43" s="225" t="s">
        <v>303</v>
      </c>
      <c r="HM43" s="224">
        <v>168</v>
      </c>
      <c r="HN43" s="224">
        <v>2214</v>
      </c>
      <c r="HO43" s="224">
        <v>7485253</v>
      </c>
      <c r="HQ43" s="227">
        <v>37</v>
      </c>
      <c r="HR43" s="226">
        <v>42644</v>
      </c>
      <c r="HS43" s="225" t="s">
        <v>303</v>
      </c>
      <c r="HT43" s="224">
        <v>1</v>
      </c>
      <c r="HU43" s="224">
        <v>7</v>
      </c>
      <c r="HV43" s="224">
        <v>1111280</v>
      </c>
      <c r="HX43" s="223" t="s">
        <v>334</v>
      </c>
    </row>
    <row r="44" spans="1:244" ht="13.5" customHeight="1" x14ac:dyDescent="0.45">
      <c r="A44" s="222"/>
      <c r="B44" s="222"/>
      <c r="C44" s="222"/>
      <c r="D44" s="222"/>
      <c r="E44" s="222"/>
      <c r="F44" s="222"/>
      <c r="H44" s="222"/>
      <c r="I44" s="222"/>
      <c r="J44" s="222"/>
      <c r="K44" s="222"/>
      <c r="L44" s="222"/>
      <c r="M44" s="222"/>
      <c r="O44" s="222"/>
      <c r="P44" s="222"/>
      <c r="Q44" s="222"/>
      <c r="R44" s="222"/>
      <c r="S44" s="222"/>
      <c r="T44" s="222"/>
      <c r="V44" s="227">
        <v>38</v>
      </c>
      <c r="W44" s="226">
        <v>43490</v>
      </c>
      <c r="X44" s="227" t="s">
        <v>320</v>
      </c>
      <c r="Y44" s="229">
        <v>76</v>
      </c>
      <c r="Z44" s="228">
        <v>941</v>
      </c>
      <c r="AA44" s="228">
        <v>5032070</v>
      </c>
      <c r="AC44" s="223" t="s">
        <v>333</v>
      </c>
      <c r="AD44" s="222"/>
      <c r="AE44" s="222"/>
      <c r="AF44" s="222"/>
      <c r="AG44" s="222"/>
      <c r="AH44" s="222"/>
      <c r="AJ44" s="227">
        <v>38</v>
      </c>
      <c r="AK44" s="226">
        <v>43435</v>
      </c>
      <c r="AL44" s="227" t="s">
        <v>319</v>
      </c>
      <c r="AM44" s="229">
        <v>1</v>
      </c>
      <c r="AN44" s="228">
        <v>23</v>
      </c>
      <c r="AO44" s="228">
        <v>154192</v>
      </c>
      <c r="AQ44" s="227">
        <v>38</v>
      </c>
      <c r="AR44" s="226">
        <v>43419</v>
      </c>
      <c r="AS44" s="227" t="s">
        <v>303</v>
      </c>
      <c r="AT44" s="229">
        <v>35</v>
      </c>
      <c r="AU44" s="228">
        <v>1081</v>
      </c>
      <c r="AV44" s="228">
        <v>466903</v>
      </c>
      <c r="AX44" s="227">
        <v>38</v>
      </c>
      <c r="AY44" s="226">
        <v>43405</v>
      </c>
      <c r="AZ44" s="227" t="s">
        <v>302</v>
      </c>
      <c r="BA44" s="232">
        <v>1</v>
      </c>
      <c r="BB44" s="224">
        <v>97</v>
      </c>
      <c r="BC44" s="224">
        <v>1011580</v>
      </c>
      <c r="BF44" s="222"/>
      <c r="BG44" s="222"/>
      <c r="BH44" s="222"/>
      <c r="BI44" s="222"/>
      <c r="BJ44" s="222"/>
      <c r="BL44" s="222"/>
      <c r="BM44" s="222"/>
      <c r="BN44" s="222"/>
      <c r="BO44" s="222"/>
      <c r="BP44" s="222"/>
      <c r="BQ44" s="222"/>
      <c r="BS44" s="227">
        <v>38</v>
      </c>
      <c r="BT44" s="226">
        <v>43315</v>
      </c>
      <c r="BU44" s="227" t="s">
        <v>302</v>
      </c>
      <c r="BV44" s="232">
        <v>15</v>
      </c>
      <c r="BW44" s="224">
        <v>375</v>
      </c>
      <c r="BX44" s="224">
        <v>3187746</v>
      </c>
      <c r="BZ44" s="227">
        <v>38</v>
      </c>
      <c r="CA44" s="226">
        <v>43301</v>
      </c>
      <c r="CB44" s="227" t="s">
        <v>302</v>
      </c>
      <c r="CC44" s="232">
        <v>4</v>
      </c>
      <c r="CD44" s="230">
        <v>62</v>
      </c>
      <c r="CE44" s="230">
        <v>1335464</v>
      </c>
      <c r="CH44" s="222"/>
      <c r="CI44" s="222"/>
      <c r="CJ44" s="222"/>
      <c r="CK44" s="222"/>
      <c r="CL44" s="222"/>
      <c r="CN44" s="222"/>
      <c r="CO44" s="222"/>
      <c r="CP44" s="222"/>
      <c r="CQ44" s="222"/>
      <c r="CR44" s="222"/>
      <c r="CS44" s="222"/>
      <c r="CU44" s="227">
        <v>38</v>
      </c>
      <c r="CV44" s="226">
        <v>43224</v>
      </c>
      <c r="CW44" s="227" t="s">
        <v>302</v>
      </c>
      <c r="CX44" s="229">
        <v>40</v>
      </c>
      <c r="CY44" s="230">
        <v>174</v>
      </c>
      <c r="CZ44" s="230">
        <v>2248867</v>
      </c>
      <c r="DB44" s="227">
        <v>38</v>
      </c>
      <c r="DC44" s="226">
        <v>43091</v>
      </c>
      <c r="DD44" s="227" t="s">
        <v>302</v>
      </c>
      <c r="DE44" s="229">
        <v>5</v>
      </c>
      <c r="DF44" s="230">
        <v>5</v>
      </c>
      <c r="DG44" s="230">
        <v>1786345</v>
      </c>
      <c r="DI44" s="227">
        <v>38</v>
      </c>
      <c r="DJ44" s="226">
        <v>42973</v>
      </c>
      <c r="DK44" s="227" t="s">
        <v>301</v>
      </c>
      <c r="DL44" s="229">
        <v>23</v>
      </c>
      <c r="DM44" s="230">
        <v>3848</v>
      </c>
      <c r="DN44" s="230">
        <v>2764296</v>
      </c>
      <c r="DP44" s="227">
        <v>38</v>
      </c>
      <c r="DQ44" s="226">
        <v>43064</v>
      </c>
      <c r="DR44" s="227" t="s">
        <v>301</v>
      </c>
      <c r="DS44" s="229">
        <v>2</v>
      </c>
      <c r="DT44" s="230">
        <v>2</v>
      </c>
      <c r="DU44" s="230">
        <v>1028381</v>
      </c>
      <c r="ED44" s="227">
        <v>38</v>
      </c>
      <c r="EE44" s="226">
        <v>43021</v>
      </c>
      <c r="EF44" s="227" t="s">
        <v>302</v>
      </c>
      <c r="EG44" s="252">
        <v>1</v>
      </c>
      <c r="EH44" s="224">
        <v>20</v>
      </c>
      <c r="EI44" s="224">
        <v>888606</v>
      </c>
      <c r="EK44" s="227">
        <v>38</v>
      </c>
      <c r="EL44" s="226">
        <v>43007</v>
      </c>
      <c r="EM44" s="227" t="s">
        <v>302</v>
      </c>
      <c r="EN44" s="229">
        <v>2</v>
      </c>
      <c r="EO44" s="230">
        <v>2</v>
      </c>
      <c r="EP44" s="230">
        <v>1373280</v>
      </c>
      <c r="ER44" s="227">
        <v>38</v>
      </c>
      <c r="ES44" s="226">
        <v>42994</v>
      </c>
      <c r="ET44" s="227" t="s">
        <v>301</v>
      </c>
      <c r="EU44" s="232">
        <v>4</v>
      </c>
      <c r="EV44" s="224">
        <v>48</v>
      </c>
      <c r="EW44" s="224">
        <v>1934130</v>
      </c>
      <c r="EY44" s="239">
        <v>38</v>
      </c>
      <c r="EZ44" s="226">
        <v>42923</v>
      </c>
      <c r="FA44" s="239" t="s">
        <v>302</v>
      </c>
      <c r="FB44" s="232">
        <v>6</v>
      </c>
      <c r="FC44" s="229">
        <v>239</v>
      </c>
      <c r="FD44" s="229">
        <v>2160325</v>
      </c>
      <c r="FM44" s="227">
        <v>38</v>
      </c>
      <c r="FN44" s="226">
        <v>42840</v>
      </c>
      <c r="FO44" s="225" t="s">
        <v>302</v>
      </c>
      <c r="FP44" s="224">
        <v>1</v>
      </c>
      <c r="FQ44" s="224">
        <v>1</v>
      </c>
      <c r="FR44" s="224">
        <v>1689716</v>
      </c>
      <c r="FT44" s="223" t="s">
        <v>332</v>
      </c>
      <c r="GA44" s="222"/>
      <c r="GB44" s="222"/>
      <c r="GC44" s="222"/>
      <c r="GD44" s="222"/>
      <c r="GE44" s="222"/>
      <c r="GF44" s="222"/>
      <c r="GH44" s="227">
        <v>38</v>
      </c>
      <c r="GI44" s="235">
        <v>42749</v>
      </c>
      <c r="GJ44" s="227" t="s">
        <v>319</v>
      </c>
      <c r="GK44" s="234">
        <v>1</v>
      </c>
      <c r="GL44" s="233">
        <v>2</v>
      </c>
      <c r="GM44" s="229">
        <v>323199</v>
      </c>
      <c r="GO44" s="227">
        <v>38</v>
      </c>
      <c r="GP44" s="226">
        <v>42727</v>
      </c>
      <c r="GQ44" s="225" t="s">
        <v>302</v>
      </c>
      <c r="GR44" s="232">
        <v>45</v>
      </c>
      <c r="GS44" s="229">
        <v>2605</v>
      </c>
      <c r="GT44" s="229">
        <v>4640701</v>
      </c>
      <c r="HC44" s="238">
        <v>38</v>
      </c>
      <c r="HD44" s="237">
        <v>42679</v>
      </c>
      <c r="HE44" s="227" t="s">
        <v>319</v>
      </c>
      <c r="HF44" s="234">
        <v>2</v>
      </c>
      <c r="HG44" s="234">
        <v>60</v>
      </c>
      <c r="HH44" s="236">
        <v>624319</v>
      </c>
      <c r="HJ44" s="227">
        <v>38</v>
      </c>
      <c r="HK44" s="226">
        <v>42657</v>
      </c>
      <c r="HL44" s="225" t="s">
        <v>302</v>
      </c>
      <c r="HM44" s="224">
        <v>166</v>
      </c>
      <c r="HN44" s="224">
        <v>2597</v>
      </c>
      <c r="HO44" s="224">
        <v>7487850</v>
      </c>
      <c r="HQ44" s="227">
        <v>38</v>
      </c>
      <c r="HR44" s="226">
        <v>42646</v>
      </c>
      <c r="HS44" s="225" t="s">
        <v>302</v>
      </c>
      <c r="HT44" s="224">
        <v>1</v>
      </c>
      <c r="HU44" s="224">
        <v>4</v>
      </c>
      <c r="HV44" s="224">
        <v>1111284</v>
      </c>
    </row>
    <row r="45" spans="1:244" ht="13.5" customHeight="1" x14ac:dyDescent="0.45">
      <c r="A45" s="222"/>
      <c r="B45" s="222"/>
      <c r="C45" s="222"/>
      <c r="D45" s="222"/>
      <c r="E45" s="222"/>
      <c r="F45" s="222"/>
      <c r="H45" s="222"/>
      <c r="I45" s="222"/>
      <c r="J45" s="222"/>
      <c r="K45" s="222"/>
      <c r="L45" s="222"/>
      <c r="M45" s="222"/>
      <c r="O45" s="223"/>
      <c r="P45" s="222"/>
      <c r="Q45" s="222"/>
      <c r="R45" s="222"/>
      <c r="S45" s="222"/>
      <c r="T45" s="222"/>
      <c r="V45" s="227">
        <v>39</v>
      </c>
      <c r="W45" s="226">
        <v>43491</v>
      </c>
      <c r="X45" s="227" t="s">
        <v>319</v>
      </c>
      <c r="Y45" s="229">
        <v>70</v>
      </c>
      <c r="Z45" s="228">
        <v>1944</v>
      </c>
      <c r="AA45" s="228">
        <v>5034014</v>
      </c>
      <c r="AC45" s="222"/>
      <c r="AD45" s="222"/>
      <c r="AE45" s="222"/>
      <c r="AF45" s="222"/>
      <c r="AG45" s="222"/>
      <c r="AH45" s="222"/>
      <c r="AJ45" s="227">
        <v>39</v>
      </c>
      <c r="AK45" s="226">
        <v>43436</v>
      </c>
      <c r="AL45" s="227" t="s">
        <v>317</v>
      </c>
      <c r="AM45" s="229">
        <v>1</v>
      </c>
      <c r="AN45" s="228">
        <v>26</v>
      </c>
      <c r="AO45" s="228">
        <v>154218</v>
      </c>
      <c r="AQ45" s="227">
        <v>39</v>
      </c>
      <c r="AR45" s="226">
        <v>43420</v>
      </c>
      <c r="AS45" s="227" t="s">
        <v>302</v>
      </c>
      <c r="AT45" s="229">
        <v>35</v>
      </c>
      <c r="AU45" s="228">
        <v>1295</v>
      </c>
      <c r="AV45" s="228">
        <v>468198</v>
      </c>
      <c r="AX45" s="223" t="s">
        <v>331</v>
      </c>
      <c r="AY45" s="222"/>
      <c r="AZ45" s="222"/>
      <c r="BA45" s="222"/>
      <c r="BB45" s="222"/>
      <c r="BC45" s="222"/>
      <c r="BE45" s="222"/>
      <c r="BF45" s="222"/>
      <c r="BG45" s="222"/>
      <c r="BH45" s="222"/>
      <c r="BI45" s="222"/>
      <c r="BJ45" s="222"/>
      <c r="BM45" s="222"/>
      <c r="BN45" s="222"/>
      <c r="BO45" s="222"/>
      <c r="BP45" s="222"/>
      <c r="BQ45" s="222"/>
      <c r="BS45" s="227">
        <v>39</v>
      </c>
      <c r="BT45" s="226">
        <v>43316</v>
      </c>
      <c r="BU45" s="227" t="s">
        <v>301</v>
      </c>
      <c r="BV45" s="230">
        <v>16</v>
      </c>
      <c r="BW45" s="224">
        <v>370</v>
      </c>
      <c r="BX45" s="224">
        <v>3188116</v>
      </c>
      <c r="BZ45" s="227">
        <v>39</v>
      </c>
      <c r="CA45" s="226">
        <v>43302</v>
      </c>
      <c r="CB45" s="227" t="s">
        <v>301</v>
      </c>
      <c r="CC45" s="232">
        <v>4</v>
      </c>
      <c r="CD45" s="230">
        <v>100</v>
      </c>
      <c r="CE45" s="230">
        <v>1335564</v>
      </c>
      <c r="CG45" s="222"/>
      <c r="CH45" s="222"/>
      <c r="CI45" s="222"/>
      <c r="CJ45" s="222"/>
      <c r="CK45" s="222"/>
      <c r="CL45" s="222"/>
      <c r="CN45" s="222"/>
      <c r="CO45" s="222"/>
      <c r="CP45" s="222"/>
      <c r="CQ45" s="222"/>
      <c r="CR45" s="222"/>
      <c r="CS45" s="222"/>
      <c r="CU45" s="227">
        <v>39</v>
      </c>
      <c r="CV45" s="226">
        <v>43225</v>
      </c>
      <c r="CW45" s="227" t="s">
        <v>301</v>
      </c>
      <c r="CX45" s="229">
        <v>42</v>
      </c>
      <c r="CY45" s="230">
        <v>380</v>
      </c>
      <c r="CZ45" s="230">
        <v>2249247</v>
      </c>
      <c r="DB45" s="227">
        <v>39</v>
      </c>
      <c r="DC45" s="226">
        <v>43092</v>
      </c>
      <c r="DD45" s="227" t="s">
        <v>301</v>
      </c>
      <c r="DE45" s="229">
        <v>5</v>
      </c>
      <c r="DF45" s="230">
        <v>5</v>
      </c>
      <c r="DG45" s="230">
        <v>1786350</v>
      </c>
      <c r="DI45" s="227">
        <v>39</v>
      </c>
      <c r="DJ45" s="226">
        <v>42974</v>
      </c>
      <c r="DK45" s="227" t="s">
        <v>300</v>
      </c>
      <c r="DL45" s="229">
        <v>21</v>
      </c>
      <c r="DM45" s="230">
        <v>3237</v>
      </c>
      <c r="DN45" s="230">
        <v>2767533</v>
      </c>
      <c r="DP45" s="227">
        <v>39</v>
      </c>
      <c r="DQ45" s="226">
        <v>43065</v>
      </c>
      <c r="DR45" s="227" t="s">
        <v>300</v>
      </c>
      <c r="DS45" s="229">
        <v>2</v>
      </c>
      <c r="DT45" s="230">
        <v>2</v>
      </c>
      <c r="DU45" s="230">
        <v>1028383</v>
      </c>
      <c r="ED45" s="223" t="s">
        <v>330</v>
      </c>
      <c r="EE45" s="222"/>
      <c r="EF45" s="222"/>
      <c r="EG45" s="222"/>
      <c r="EH45" s="222"/>
      <c r="EI45" s="222"/>
      <c r="EK45" s="227">
        <v>39</v>
      </c>
      <c r="EL45" s="226">
        <v>43008</v>
      </c>
      <c r="EM45" s="227" t="s">
        <v>301</v>
      </c>
      <c r="EN45" s="229">
        <v>2</v>
      </c>
      <c r="EO45" s="230">
        <v>2</v>
      </c>
      <c r="EP45" s="230">
        <v>1373282</v>
      </c>
      <c r="ER45" s="227">
        <v>39</v>
      </c>
      <c r="ES45" s="226">
        <v>42995</v>
      </c>
      <c r="ET45" s="227" t="s">
        <v>300</v>
      </c>
      <c r="EU45" s="232">
        <v>4</v>
      </c>
      <c r="EV45" s="224">
        <v>33</v>
      </c>
      <c r="EW45" s="224">
        <v>1934163</v>
      </c>
      <c r="EY45" s="239">
        <v>39</v>
      </c>
      <c r="EZ45" s="226">
        <v>42924</v>
      </c>
      <c r="FA45" s="239" t="s">
        <v>301</v>
      </c>
      <c r="FB45" s="232">
        <v>2</v>
      </c>
      <c r="FC45" s="229">
        <v>123</v>
      </c>
      <c r="FD45" s="229">
        <v>2160448</v>
      </c>
      <c r="FM45" s="227">
        <v>39</v>
      </c>
      <c r="FN45" s="226">
        <v>42841</v>
      </c>
      <c r="FO45" s="225" t="s">
        <v>301</v>
      </c>
      <c r="FP45" s="224">
        <v>1</v>
      </c>
      <c r="FQ45" s="224">
        <v>1</v>
      </c>
      <c r="FR45" s="224">
        <v>1689717</v>
      </c>
      <c r="GA45" s="222"/>
      <c r="GB45" s="222"/>
      <c r="GC45" s="222"/>
      <c r="GD45" s="222"/>
      <c r="GE45" s="222"/>
      <c r="GF45" s="222"/>
      <c r="GH45" s="227">
        <v>39</v>
      </c>
      <c r="GI45" s="235">
        <v>42750</v>
      </c>
      <c r="GJ45" s="227" t="s">
        <v>317</v>
      </c>
      <c r="GK45" s="234">
        <v>1</v>
      </c>
      <c r="GL45" s="233">
        <v>2</v>
      </c>
      <c r="GM45" s="229">
        <v>323201</v>
      </c>
      <c r="GO45" s="227">
        <v>39</v>
      </c>
      <c r="GP45" s="226">
        <v>42728</v>
      </c>
      <c r="GQ45" s="225" t="s">
        <v>301</v>
      </c>
      <c r="GR45" s="232">
        <v>62</v>
      </c>
      <c r="GS45" s="229">
        <v>5867</v>
      </c>
      <c r="GT45" s="229">
        <v>4646568</v>
      </c>
      <c r="HC45" s="238">
        <v>39</v>
      </c>
      <c r="HD45" s="237">
        <v>42680</v>
      </c>
      <c r="HE45" s="227" t="s">
        <v>317</v>
      </c>
      <c r="HF45" s="234">
        <v>3</v>
      </c>
      <c r="HG45" s="234">
        <v>52</v>
      </c>
      <c r="HH45" s="236">
        <v>624371</v>
      </c>
      <c r="HJ45" s="227">
        <v>39</v>
      </c>
      <c r="HK45" s="226">
        <v>42658</v>
      </c>
      <c r="HL45" s="225" t="s">
        <v>301</v>
      </c>
      <c r="HM45" s="224">
        <v>165</v>
      </c>
      <c r="HN45" s="224">
        <v>3214</v>
      </c>
      <c r="HO45" s="224">
        <v>7491064</v>
      </c>
      <c r="HQ45" s="223" t="s">
        <v>329</v>
      </c>
    </row>
    <row r="46" spans="1:244" ht="13.5" customHeight="1" x14ac:dyDescent="0.45">
      <c r="A46" s="222"/>
      <c r="B46" s="222"/>
      <c r="C46" s="222"/>
      <c r="D46" s="222"/>
      <c r="E46" s="222"/>
      <c r="F46" s="222"/>
      <c r="I46" s="222"/>
      <c r="J46" s="222"/>
      <c r="K46" s="222"/>
      <c r="L46" s="222"/>
      <c r="M46" s="222"/>
      <c r="O46" s="222"/>
      <c r="P46" s="222"/>
      <c r="Q46" s="222"/>
      <c r="R46" s="222"/>
      <c r="S46" s="222"/>
      <c r="T46" s="222"/>
      <c r="V46" s="227">
        <v>40</v>
      </c>
      <c r="W46" s="226">
        <v>43492</v>
      </c>
      <c r="X46" s="227" t="s">
        <v>317</v>
      </c>
      <c r="Y46" s="229">
        <v>63</v>
      </c>
      <c r="Z46" s="228">
        <v>1584</v>
      </c>
      <c r="AA46" s="228">
        <v>5035598</v>
      </c>
      <c r="AC46" s="222"/>
      <c r="AD46" s="222"/>
      <c r="AE46" s="222"/>
      <c r="AF46" s="222"/>
      <c r="AG46" s="222"/>
      <c r="AH46" s="222"/>
      <c r="AJ46" s="227">
        <v>40</v>
      </c>
      <c r="AK46" s="226">
        <v>43437</v>
      </c>
      <c r="AL46" s="227" t="s">
        <v>315</v>
      </c>
      <c r="AM46" s="229">
        <v>1</v>
      </c>
      <c r="AN46" s="228">
        <v>16</v>
      </c>
      <c r="AO46" s="228">
        <v>154234</v>
      </c>
      <c r="AQ46" s="227">
        <v>40</v>
      </c>
      <c r="AR46" s="226">
        <v>43421</v>
      </c>
      <c r="AS46" s="227" t="s">
        <v>301</v>
      </c>
      <c r="AT46" s="229">
        <v>31</v>
      </c>
      <c r="AU46" s="228">
        <v>1572</v>
      </c>
      <c r="AV46" s="228">
        <v>469770</v>
      </c>
      <c r="AX46" s="222"/>
      <c r="AY46" s="222"/>
      <c r="AZ46" s="222"/>
      <c r="BA46" s="222"/>
      <c r="BB46" s="222"/>
      <c r="BC46" s="222"/>
      <c r="BE46" s="222"/>
      <c r="BF46" s="222"/>
      <c r="BG46" s="222"/>
      <c r="BH46" s="222"/>
      <c r="BI46" s="222"/>
      <c r="BJ46" s="222"/>
      <c r="BL46" s="222"/>
      <c r="BM46" s="222"/>
      <c r="BN46" s="222"/>
      <c r="BO46" s="222"/>
      <c r="BP46" s="222"/>
      <c r="BQ46" s="222"/>
      <c r="BS46" s="227">
        <v>40</v>
      </c>
      <c r="BT46" s="226">
        <v>43317</v>
      </c>
      <c r="BU46" s="227" t="s">
        <v>300</v>
      </c>
      <c r="BV46" s="230">
        <v>17</v>
      </c>
      <c r="BW46" s="224">
        <v>289</v>
      </c>
      <c r="BX46" s="224">
        <v>3188405</v>
      </c>
      <c r="BZ46" s="227">
        <v>40</v>
      </c>
      <c r="CA46" s="226">
        <v>43303</v>
      </c>
      <c r="CB46" s="227" t="s">
        <v>300</v>
      </c>
      <c r="CC46" s="232">
        <v>4</v>
      </c>
      <c r="CD46" s="230">
        <v>66</v>
      </c>
      <c r="CE46" s="230">
        <v>1335630</v>
      </c>
      <c r="CG46" s="222"/>
      <c r="CH46" s="222"/>
      <c r="CI46" s="222"/>
      <c r="CJ46" s="222"/>
      <c r="CK46" s="222"/>
      <c r="CL46" s="222"/>
      <c r="CO46" s="222"/>
      <c r="CP46" s="222"/>
      <c r="CQ46" s="222"/>
      <c r="CR46" s="222"/>
      <c r="CS46" s="222"/>
      <c r="CU46" s="227">
        <v>40</v>
      </c>
      <c r="CV46" s="226">
        <v>43226</v>
      </c>
      <c r="CW46" s="227" t="s">
        <v>300</v>
      </c>
      <c r="CX46" s="229">
        <v>41</v>
      </c>
      <c r="CY46" s="230">
        <v>422</v>
      </c>
      <c r="CZ46" s="230">
        <v>2249669</v>
      </c>
      <c r="DB46" s="227">
        <v>40</v>
      </c>
      <c r="DC46" s="226">
        <v>43093</v>
      </c>
      <c r="DD46" s="227" t="s">
        <v>300</v>
      </c>
      <c r="DE46" s="229">
        <v>5</v>
      </c>
      <c r="DF46" s="230">
        <v>5</v>
      </c>
      <c r="DG46" s="230">
        <v>1786355</v>
      </c>
      <c r="DI46" s="227">
        <v>40</v>
      </c>
      <c r="DJ46" s="226">
        <v>42975</v>
      </c>
      <c r="DK46" s="227" t="s">
        <v>307</v>
      </c>
      <c r="DL46" s="229">
        <v>23</v>
      </c>
      <c r="DM46" s="230">
        <v>2234</v>
      </c>
      <c r="DN46" s="230">
        <v>2769767</v>
      </c>
      <c r="DP46" s="227">
        <v>40</v>
      </c>
      <c r="DQ46" s="226">
        <v>43066</v>
      </c>
      <c r="DR46" s="227" t="s">
        <v>307</v>
      </c>
      <c r="DS46" s="229">
        <v>1</v>
      </c>
      <c r="DT46" s="230">
        <v>1</v>
      </c>
      <c r="DU46" s="230">
        <v>1028384</v>
      </c>
      <c r="ED46" s="222"/>
      <c r="EE46" s="222"/>
      <c r="EF46" s="222"/>
      <c r="EG46" s="222"/>
      <c r="EH46" s="222"/>
      <c r="EI46" s="222"/>
      <c r="EK46" s="227">
        <v>40</v>
      </c>
      <c r="EL46" s="226">
        <v>43009</v>
      </c>
      <c r="EM46" s="227" t="s">
        <v>300</v>
      </c>
      <c r="EN46" s="229">
        <v>2</v>
      </c>
      <c r="EO46" s="230">
        <v>2</v>
      </c>
      <c r="EP46" s="230">
        <v>1373284</v>
      </c>
      <c r="ER46" s="227">
        <v>40</v>
      </c>
      <c r="ES46" s="226">
        <v>42996</v>
      </c>
      <c r="ET46" s="227" t="s">
        <v>307</v>
      </c>
      <c r="EU46" s="232">
        <v>4</v>
      </c>
      <c r="EV46" s="224">
        <v>14</v>
      </c>
      <c r="EW46" s="224">
        <v>1934177</v>
      </c>
      <c r="EY46" s="239">
        <v>40</v>
      </c>
      <c r="EZ46" s="226">
        <v>42925</v>
      </c>
      <c r="FA46" s="239" t="s">
        <v>300</v>
      </c>
      <c r="FB46" s="232">
        <v>2</v>
      </c>
      <c r="FC46" s="229">
        <v>101</v>
      </c>
      <c r="FD46" s="229">
        <v>2160549</v>
      </c>
      <c r="FM46" s="227">
        <v>40</v>
      </c>
      <c r="FN46" s="226">
        <v>42850</v>
      </c>
      <c r="FO46" s="225" t="s">
        <v>300</v>
      </c>
      <c r="FP46" s="224">
        <v>1</v>
      </c>
      <c r="FQ46" s="224">
        <v>0</v>
      </c>
      <c r="FR46" s="224">
        <v>1689717</v>
      </c>
      <c r="GA46" s="222"/>
      <c r="GB46" s="222"/>
      <c r="GC46" s="222"/>
      <c r="GD46" s="222"/>
      <c r="GE46" s="222"/>
      <c r="GF46" s="222"/>
      <c r="GH46" s="227">
        <v>40</v>
      </c>
      <c r="GI46" s="235">
        <v>42752</v>
      </c>
      <c r="GJ46" s="227" t="s">
        <v>312</v>
      </c>
      <c r="GK46" s="234">
        <v>1</v>
      </c>
      <c r="GL46" s="233">
        <v>4</v>
      </c>
      <c r="GM46" s="229">
        <v>323205</v>
      </c>
      <c r="GO46" s="227">
        <v>40</v>
      </c>
      <c r="GP46" s="226">
        <v>42729</v>
      </c>
      <c r="GQ46" s="225" t="s">
        <v>300</v>
      </c>
      <c r="GR46" s="232">
        <v>58</v>
      </c>
      <c r="GS46" s="229">
        <v>6058</v>
      </c>
      <c r="GT46" s="229">
        <v>4652626</v>
      </c>
      <c r="HC46" s="238">
        <v>40</v>
      </c>
      <c r="HD46" s="237">
        <v>42681</v>
      </c>
      <c r="HE46" s="227" t="s">
        <v>315</v>
      </c>
      <c r="HF46" s="234">
        <v>3</v>
      </c>
      <c r="HG46" s="234">
        <v>23</v>
      </c>
      <c r="HH46" s="236">
        <v>624394</v>
      </c>
      <c r="HJ46" s="227">
        <v>40</v>
      </c>
      <c r="HK46" s="226">
        <v>42659</v>
      </c>
      <c r="HL46" s="225" t="s">
        <v>300</v>
      </c>
      <c r="HM46" s="224">
        <v>157</v>
      </c>
      <c r="HN46" s="224">
        <v>3243</v>
      </c>
      <c r="HO46" s="224">
        <v>7494307</v>
      </c>
    </row>
    <row r="47" spans="1:244" ht="13.5" customHeight="1" x14ac:dyDescent="0.45">
      <c r="A47" s="222"/>
      <c r="B47" s="222"/>
      <c r="C47" s="222"/>
      <c r="D47" s="222"/>
      <c r="E47" s="222"/>
      <c r="F47" s="222"/>
      <c r="H47" s="222"/>
      <c r="I47" s="222"/>
      <c r="J47" s="222"/>
      <c r="K47" s="222"/>
      <c r="L47" s="222"/>
      <c r="M47" s="222"/>
      <c r="O47" s="222"/>
      <c r="P47" s="222"/>
      <c r="Q47" s="222"/>
      <c r="R47" s="222"/>
      <c r="S47" s="222"/>
      <c r="T47" s="222"/>
      <c r="V47" s="227">
        <v>41</v>
      </c>
      <c r="W47" s="226">
        <v>43493</v>
      </c>
      <c r="X47" s="227" t="s">
        <v>315</v>
      </c>
      <c r="Y47" s="229">
        <v>64</v>
      </c>
      <c r="Z47" s="228">
        <v>855</v>
      </c>
      <c r="AA47" s="228">
        <v>5036453</v>
      </c>
      <c r="AC47" s="222"/>
      <c r="AD47" s="222"/>
      <c r="AE47" s="222"/>
      <c r="AF47" s="222"/>
      <c r="AG47" s="222"/>
      <c r="AH47" s="222"/>
      <c r="AJ47" s="227">
        <v>41</v>
      </c>
      <c r="AK47" s="226">
        <v>43438</v>
      </c>
      <c r="AL47" s="227" t="s">
        <v>312</v>
      </c>
      <c r="AM47" s="229">
        <v>1</v>
      </c>
      <c r="AN47" s="228">
        <v>4</v>
      </c>
      <c r="AO47" s="228">
        <v>154238</v>
      </c>
      <c r="AQ47" s="227">
        <v>41</v>
      </c>
      <c r="AR47" s="226">
        <v>43422</v>
      </c>
      <c r="AS47" s="227" t="s">
        <v>300</v>
      </c>
      <c r="AT47" s="229">
        <v>32</v>
      </c>
      <c r="AU47" s="228">
        <v>1494</v>
      </c>
      <c r="AV47" s="228">
        <v>471264</v>
      </c>
      <c r="AX47" s="222"/>
      <c r="AY47" s="222"/>
      <c r="AZ47" s="222"/>
      <c r="BA47" s="222"/>
      <c r="BB47" s="222"/>
      <c r="BC47" s="222"/>
      <c r="BE47" s="222"/>
      <c r="BF47" s="222"/>
      <c r="BG47" s="222"/>
      <c r="BH47" s="222"/>
      <c r="BI47" s="222"/>
      <c r="BJ47" s="222"/>
      <c r="BL47" s="222"/>
      <c r="BM47" s="222"/>
      <c r="BN47" s="222"/>
      <c r="BO47" s="222"/>
      <c r="BP47" s="222"/>
      <c r="BQ47" s="222"/>
      <c r="BS47" s="227">
        <v>41</v>
      </c>
      <c r="BT47" s="226">
        <v>43318</v>
      </c>
      <c r="BU47" s="227" t="s">
        <v>307</v>
      </c>
      <c r="BV47" s="230">
        <v>16</v>
      </c>
      <c r="BW47" s="224">
        <v>232</v>
      </c>
      <c r="BX47" s="224">
        <v>3188637</v>
      </c>
      <c r="BZ47" s="227">
        <v>41</v>
      </c>
      <c r="CA47" s="226">
        <v>43304</v>
      </c>
      <c r="CB47" s="227" t="s">
        <v>307</v>
      </c>
      <c r="CC47" s="232">
        <v>4</v>
      </c>
      <c r="CD47" s="230">
        <v>41</v>
      </c>
      <c r="CE47" s="230">
        <v>1335671</v>
      </c>
      <c r="CG47" s="222"/>
      <c r="CH47" s="222"/>
      <c r="CI47" s="222"/>
      <c r="CJ47" s="222"/>
      <c r="CK47" s="222"/>
      <c r="CL47" s="222"/>
      <c r="CN47" s="222"/>
      <c r="CO47" s="222"/>
      <c r="CP47" s="222"/>
      <c r="CQ47" s="222"/>
      <c r="CR47" s="222"/>
      <c r="CS47" s="222"/>
      <c r="CU47" s="227">
        <v>41</v>
      </c>
      <c r="CV47" s="226">
        <v>43227</v>
      </c>
      <c r="CW47" s="227" t="s">
        <v>307</v>
      </c>
      <c r="CX47" s="229">
        <v>8</v>
      </c>
      <c r="CY47" s="230">
        <v>303</v>
      </c>
      <c r="CZ47" s="230">
        <v>2249972</v>
      </c>
      <c r="DB47" s="227">
        <v>41</v>
      </c>
      <c r="DC47" s="226">
        <v>43094</v>
      </c>
      <c r="DD47" s="227" t="s">
        <v>307</v>
      </c>
      <c r="DE47" s="229">
        <v>5</v>
      </c>
      <c r="DF47" s="230">
        <v>5</v>
      </c>
      <c r="DG47" s="230">
        <v>1786360</v>
      </c>
      <c r="DI47" s="227">
        <v>41</v>
      </c>
      <c r="DJ47" s="226">
        <v>42976</v>
      </c>
      <c r="DK47" s="227" t="s">
        <v>305</v>
      </c>
      <c r="DL47" s="229">
        <v>23</v>
      </c>
      <c r="DM47" s="230">
        <v>2102</v>
      </c>
      <c r="DN47" s="230">
        <v>2771869</v>
      </c>
      <c r="DP47" s="223" t="s">
        <v>328</v>
      </c>
      <c r="DQ47" s="222"/>
      <c r="DR47" s="222"/>
      <c r="DS47" s="222"/>
      <c r="DT47" s="222"/>
      <c r="DU47" s="222"/>
      <c r="ED47" s="222"/>
      <c r="EE47" s="222"/>
      <c r="EF47" s="222"/>
      <c r="EG47" s="222"/>
      <c r="EH47" s="222"/>
      <c r="EI47" s="222"/>
      <c r="EK47" s="227">
        <v>41</v>
      </c>
      <c r="EL47" s="226">
        <v>43010</v>
      </c>
      <c r="EM47" s="227" t="s">
        <v>307</v>
      </c>
      <c r="EN47" s="229">
        <v>2</v>
      </c>
      <c r="EO47" s="230">
        <v>2</v>
      </c>
      <c r="EP47" s="230">
        <v>1373286</v>
      </c>
      <c r="ER47" s="227">
        <v>41</v>
      </c>
      <c r="ES47" s="226">
        <v>42997</v>
      </c>
      <c r="ET47" s="227" t="s">
        <v>305</v>
      </c>
      <c r="EU47" s="232">
        <v>3</v>
      </c>
      <c r="EV47" s="224">
        <v>6</v>
      </c>
      <c r="EW47" s="224">
        <v>1934183</v>
      </c>
      <c r="EY47" s="239">
        <v>41</v>
      </c>
      <c r="EZ47" s="226">
        <v>42926</v>
      </c>
      <c r="FA47" s="239" t="s">
        <v>307</v>
      </c>
      <c r="FB47" s="232">
        <v>3</v>
      </c>
      <c r="FC47" s="229">
        <v>45</v>
      </c>
      <c r="FD47" s="229">
        <v>2160594</v>
      </c>
      <c r="FM47" s="223" t="s">
        <v>327</v>
      </c>
      <c r="FN47" s="222"/>
      <c r="FO47" s="222"/>
      <c r="FP47" s="222"/>
      <c r="FQ47" s="222"/>
      <c r="FR47" s="222"/>
      <c r="GA47" s="222"/>
      <c r="GB47" s="222"/>
      <c r="GC47" s="222"/>
      <c r="GD47" s="222"/>
      <c r="GE47" s="222"/>
      <c r="GF47" s="222"/>
      <c r="GH47" s="227">
        <v>41</v>
      </c>
      <c r="GI47" s="235">
        <v>42756</v>
      </c>
      <c r="GJ47" s="227" t="s">
        <v>319</v>
      </c>
      <c r="GK47" s="234">
        <v>1</v>
      </c>
      <c r="GL47" s="233">
        <v>30</v>
      </c>
      <c r="GM47" s="229">
        <v>323235</v>
      </c>
      <c r="GO47" s="227">
        <v>41</v>
      </c>
      <c r="GP47" s="226">
        <v>42730</v>
      </c>
      <c r="GQ47" s="225" t="s">
        <v>307</v>
      </c>
      <c r="GR47" s="232">
        <v>52</v>
      </c>
      <c r="GS47" s="229">
        <v>2421</v>
      </c>
      <c r="GT47" s="229">
        <v>4655047</v>
      </c>
      <c r="HC47" s="238">
        <v>41</v>
      </c>
      <c r="HD47" s="237">
        <v>42682</v>
      </c>
      <c r="HE47" s="227" t="s">
        <v>312</v>
      </c>
      <c r="HF47" s="234">
        <v>2</v>
      </c>
      <c r="HG47" s="234">
        <v>35</v>
      </c>
      <c r="HH47" s="236">
        <v>624429</v>
      </c>
      <c r="HJ47" s="227">
        <v>41</v>
      </c>
      <c r="HK47" s="226">
        <v>42660</v>
      </c>
      <c r="HL47" s="225" t="s">
        <v>307</v>
      </c>
      <c r="HM47" s="224">
        <v>161</v>
      </c>
      <c r="HN47" s="224">
        <v>1406</v>
      </c>
      <c r="HO47" s="224">
        <v>7495713</v>
      </c>
    </row>
    <row r="48" spans="1:244" ht="13.5" customHeight="1" x14ac:dyDescent="0.45">
      <c r="A48" s="222"/>
      <c r="B48" s="222"/>
      <c r="C48" s="222"/>
      <c r="D48" s="222"/>
      <c r="E48" s="222"/>
      <c r="F48" s="222"/>
      <c r="H48" s="222"/>
      <c r="I48" s="222"/>
      <c r="J48" s="222"/>
      <c r="K48" s="222"/>
      <c r="L48" s="222"/>
      <c r="M48" s="222"/>
      <c r="O48" s="222"/>
      <c r="P48" s="222"/>
      <c r="Q48" s="222"/>
      <c r="R48" s="222"/>
      <c r="S48" s="222"/>
      <c r="T48" s="222"/>
      <c r="V48" s="227">
        <v>42</v>
      </c>
      <c r="W48" s="226">
        <v>43494</v>
      </c>
      <c r="X48" s="227" t="s">
        <v>312</v>
      </c>
      <c r="Y48" s="229">
        <v>65</v>
      </c>
      <c r="Z48" s="228">
        <v>762</v>
      </c>
      <c r="AA48" s="228">
        <v>5037215</v>
      </c>
      <c r="AC48" s="222"/>
      <c r="AD48" s="222"/>
      <c r="AE48" s="222"/>
      <c r="AF48" s="222"/>
      <c r="AG48" s="222"/>
      <c r="AH48" s="222"/>
      <c r="AJ48" s="227">
        <v>42</v>
      </c>
      <c r="AK48" s="226">
        <v>43439</v>
      </c>
      <c r="AL48" s="227" t="s">
        <v>310</v>
      </c>
      <c r="AM48" s="229">
        <v>1</v>
      </c>
      <c r="AN48" s="228">
        <v>9</v>
      </c>
      <c r="AO48" s="228">
        <v>154247</v>
      </c>
      <c r="AQ48" s="227">
        <v>42</v>
      </c>
      <c r="AR48" s="226">
        <v>43423</v>
      </c>
      <c r="AS48" s="227" t="s">
        <v>307</v>
      </c>
      <c r="AT48" s="229">
        <v>36</v>
      </c>
      <c r="AU48" s="228">
        <v>928</v>
      </c>
      <c r="AV48" s="228">
        <v>472192</v>
      </c>
      <c r="AX48" s="222"/>
      <c r="AY48" s="222"/>
      <c r="AZ48" s="222"/>
      <c r="BA48" s="222"/>
      <c r="BB48" s="222"/>
      <c r="BC48" s="222"/>
      <c r="BE48" s="222"/>
      <c r="BF48" s="222"/>
      <c r="BG48" s="222"/>
      <c r="BH48" s="222"/>
      <c r="BI48" s="222"/>
      <c r="BJ48" s="222"/>
      <c r="BL48" s="222"/>
      <c r="BM48" s="222"/>
      <c r="BN48" s="222"/>
      <c r="BO48" s="222"/>
      <c r="BP48" s="222"/>
      <c r="BQ48" s="222"/>
      <c r="BS48" s="227">
        <v>42</v>
      </c>
      <c r="BT48" s="226">
        <v>43319</v>
      </c>
      <c r="BU48" s="227" t="s">
        <v>305</v>
      </c>
      <c r="BV48" s="230">
        <v>17</v>
      </c>
      <c r="BW48" s="224">
        <v>197</v>
      </c>
      <c r="BX48" s="224">
        <v>3188834</v>
      </c>
      <c r="BZ48" s="227">
        <v>42</v>
      </c>
      <c r="CA48" s="226">
        <v>43305</v>
      </c>
      <c r="CB48" s="227" t="s">
        <v>305</v>
      </c>
      <c r="CC48" s="232">
        <v>4</v>
      </c>
      <c r="CD48" s="230">
        <v>75</v>
      </c>
      <c r="CE48" s="230">
        <v>1335746</v>
      </c>
      <c r="CG48" s="222"/>
      <c r="CH48" s="222"/>
      <c r="CI48" s="222"/>
      <c r="CJ48" s="222"/>
      <c r="CK48" s="222"/>
      <c r="CL48" s="222"/>
      <c r="CN48" s="222"/>
      <c r="CO48" s="222"/>
      <c r="CP48" s="222"/>
      <c r="CQ48" s="222"/>
      <c r="CR48" s="222"/>
      <c r="CS48" s="222"/>
      <c r="CU48" s="227">
        <v>42</v>
      </c>
      <c r="CV48" s="226">
        <v>43228</v>
      </c>
      <c r="CW48" s="227" t="s">
        <v>305</v>
      </c>
      <c r="CX48" s="229">
        <v>7</v>
      </c>
      <c r="CY48" s="230">
        <v>80</v>
      </c>
      <c r="CZ48" s="230">
        <v>2250052</v>
      </c>
      <c r="DB48" s="227">
        <v>42</v>
      </c>
      <c r="DC48" s="226">
        <v>43095</v>
      </c>
      <c r="DD48" s="227" t="s">
        <v>305</v>
      </c>
      <c r="DE48" s="229">
        <v>5</v>
      </c>
      <c r="DF48" s="230">
        <v>5</v>
      </c>
      <c r="DG48" s="230">
        <v>1786365</v>
      </c>
      <c r="DI48" s="227">
        <v>42</v>
      </c>
      <c r="DJ48" s="226">
        <v>42977</v>
      </c>
      <c r="DK48" s="227" t="s">
        <v>304</v>
      </c>
      <c r="DL48" s="229">
        <v>8</v>
      </c>
      <c r="DM48" s="230">
        <v>1189</v>
      </c>
      <c r="DN48" s="230">
        <v>2773058</v>
      </c>
      <c r="DP48" s="222"/>
      <c r="DQ48" s="222"/>
      <c r="DR48" s="222"/>
      <c r="DS48" s="222"/>
      <c r="DT48" s="222"/>
      <c r="DU48" s="222"/>
      <c r="ED48" s="222"/>
      <c r="EE48" s="222"/>
      <c r="EF48" s="222"/>
      <c r="EG48" s="222"/>
      <c r="EH48" s="222"/>
      <c r="EI48" s="222"/>
      <c r="EK48" s="227">
        <v>42</v>
      </c>
      <c r="EL48" s="226">
        <v>43011</v>
      </c>
      <c r="EM48" s="227" t="s">
        <v>305</v>
      </c>
      <c r="EN48" s="229">
        <v>2</v>
      </c>
      <c r="EO48" s="230">
        <v>2</v>
      </c>
      <c r="EP48" s="230">
        <v>1373288</v>
      </c>
      <c r="ER48" s="227">
        <v>42</v>
      </c>
      <c r="ES48" s="226">
        <v>42998</v>
      </c>
      <c r="ET48" s="227" t="s">
        <v>304</v>
      </c>
      <c r="EU48" s="232">
        <v>2</v>
      </c>
      <c r="EV48" s="224">
        <v>9</v>
      </c>
      <c r="EW48" s="224">
        <v>1934192</v>
      </c>
      <c r="EY48" s="239">
        <v>42</v>
      </c>
      <c r="EZ48" s="226">
        <v>42927</v>
      </c>
      <c r="FA48" s="239" t="s">
        <v>305</v>
      </c>
      <c r="FB48" s="232">
        <v>4</v>
      </c>
      <c r="FC48" s="229">
        <v>77</v>
      </c>
      <c r="FD48" s="229">
        <v>2160671</v>
      </c>
      <c r="FM48" s="222"/>
      <c r="FN48" s="222"/>
      <c r="FO48" s="222"/>
      <c r="FP48" s="222"/>
      <c r="FQ48" s="222"/>
      <c r="FR48" s="222"/>
      <c r="GA48" s="222"/>
      <c r="GB48" s="222"/>
      <c r="GC48" s="222"/>
      <c r="GD48" s="222"/>
      <c r="GE48" s="222"/>
      <c r="GF48" s="222"/>
      <c r="GH48" s="227">
        <v>42</v>
      </c>
      <c r="GI48" s="235">
        <v>42757</v>
      </c>
      <c r="GJ48" s="227" t="s">
        <v>317</v>
      </c>
      <c r="GK48" s="234">
        <v>1</v>
      </c>
      <c r="GL48" s="233">
        <v>13</v>
      </c>
      <c r="GM48" s="229">
        <v>323248</v>
      </c>
      <c r="GO48" s="227">
        <v>42</v>
      </c>
      <c r="GP48" s="226">
        <v>42731</v>
      </c>
      <c r="GQ48" s="225" t="s">
        <v>305</v>
      </c>
      <c r="GR48" s="232">
        <v>53</v>
      </c>
      <c r="GS48" s="229">
        <v>2554</v>
      </c>
      <c r="GT48" s="229">
        <v>4657601</v>
      </c>
      <c r="HC48" s="251">
        <v>42</v>
      </c>
      <c r="HD48" s="250">
        <v>42683</v>
      </c>
      <c r="HE48" s="243" t="s">
        <v>310</v>
      </c>
      <c r="HF48" s="242">
        <v>3</v>
      </c>
      <c r="HG48" s="242">
        <v>31</v>
      </c>
      <c r="HH48" s="249">
        <v>624460</v>
      </c>
      <c r="HJ48" s="243">
        <v>42</v>
      </c>
      <c r="HK48" s="248">
        <v>42661</v>
      </c>
      <c r="HL48" s="247" t="s">
        <v>305</v>
      </c>
      <c r="HM48" s="246">
        <v>165</v>
      </c>
      <c r="HN48" s="246">
        <v>1353</v>
      </c>
      <c r="HO48" s="246">
        <v>7497066</v>
      </c>
    </row>
    <row r="49" spans="1:223" ht="13.5" customHeight="1" x14ac:dyDescent="0.45">
      <c r="A49" s="222"/>
      <c r="B49" s="222"/>
      <c r="C49" s="222"/>
      <c r="D49" s="222"/>
      <c r="E49" s="222"/>
      <c r="F49" s="222"/>
      <c r="H49" s="222"/>
      <c r="I49" s="222"/>
      <c r="J49" s="222"/>
      <c r="K49" s="222"/>
      <c r="L49" s="222"/>
      <c r="M49" s="222"/>
      <c r="P49" s="222"/>
      <c r="Q49" s="222"/>
      <c r="R49" s="222"/>
      <c r="S49" s="222"/>
      <c r="T49" s="222"/>
      <c r="V49" s="227">
        <v>43</v>
      </c>
      <c r="W49" s="226">
        <v>43495</v>
      </c>
      <c r="X49" s="227" t="s">
        <v>310</v>
      </c>
      <c r="Y49" s="229">
        <v>2</v>
      </c>
      <c r="Z49" s="228">
        <v>31</v>
      </c>
      <c r="AA49" s="228">
        <v>5037246</v>
      </c>
      <c r="AC49" s="222"/>
      <c r="AD49" s="222"/>
      <c r="AE49" s="222"/>
      <c r="AF49" s="222"/>
      <c r="AG49" s="222"/>
      <c r="AH49" s="222"/>
      <c r="AJ49" s="227">
        <v>43</v>
      </c>
      <c r="AK49" s="226">
        <v>43440</v>
      </c>
      <c r="AL49" s="227" t="s">
        <v>316</v>
      </c>
      <c r="AM49" s="229">
        <v>1</v>
      </c>
      <c r="AN49" s="228">
        <v>9</v>
      </c>
      <c r="AO49" s="228">
        <v>154256</v>
      </c>
      <c r="AQ49" s="227">
        <v>43</v>
      </c>
      <c r="AR49" s="226">
        <v>43424</v>
      </c>
      <c r="AS49" s="227" t="s">
        <v>305</v>
      </c>
      <c r="AT49" s="229">
        <v>38</v>
      </c>
      <c r="AU49" s="228">
        <v>1153</v>
      </c>
      <c r="AV49" s="228">
        <v>473345</v>
      </c>
      <c r="AY49" s="222"/>
      <c r="AZ49" s="222"/>
      <c r="BA49" s="222"/>
      <c r="BB49" s="222"/>
      <c r="BC49" s="222"/>
      <c r="BL49" s="222"/>
      <c r="BM49" s="222"/>
      <c r="BN49" s="222"/>
      <c r="BO49" s="222"/>
      <c r="BP49" s="222"/>
      <c r="BQ49" s="222"/>
      <c r="BS49" s="227">
        <v>43</v>
      </c>
      <c r="BT49" s="226">
        <v>43320</v>
      </c>
      <c r="BU49" s="227" t="s">
        <v>304</v>
      </c>
      <c r="BV49" s="230">
        <v>1</v>
      </c>
      <c r="BW49" s="224">
        <v>16</v>
      </c>
      <c r="BX49" s="224">
        <v>3188850</v>
      </c>
      <c r="BZ49" s="223" t="s">
        <v>326</v>
      </c>
      <c r="CA49" s="222"/>
      <c r="CB49" s="222"/>
      <c r="CC49" s="222"/>
      <c r="CD49" s="222"/>
      <c r="CE49" s="222"/>
      <c r="CN49" s="222"/>
      <c r="CO49" s="222"/>
      <c r="CP49" s="222"/>
      <c r="CQ49" s="222"/>
      <c r="CR49" s="222"/>
      <c r="CS49" s="222"/>
      <c r="CU49" s="227">
        <v>43</v>
      </c>
      <c r="CV49" s="226">
        <v>43229</v>
      </c>
      <c r="CW49" s="227" t="s">
        <v>304</v>
      </c>
      <c r="CX49" s="229">
        <v>4</v>
      </c>
      <c r="CY49" s="230">
        <v>93</v>
      </c>
      <c r="CZ49" s="230">
        <v>2250145</v>
      </c>
      <c r="DB49" s="227">
        <v>43</v>
      </c>
      <c r="DC49" s="226">
        <v>43096</v>
      </c>
      <c r="DD49" s="227" t="s">
        <v>304</v>
      </c>
      <c r="DE49" s="229">
        <v>5</v>
      </c>
      <c r="DF49" s="230">
        <v>5</v>
      </c>
      <c r="DG49" s="230">
        <v>1786370</v>
      </c>
      <c r="DI49" s="227">
        <v>43</v>
      </c>
      <c r="DJ49" s="226">
        <v>42978</v>
      </c>
      <c r="DK49" s="227" t="s">
        <v>303</v>
      </c>
      <c r="DL49" s="229">
        <v>10</v>
      </c>
      <c r="DM49" s="230">
        <v>1242</v>
      </c>
      <c r="DN49" s="230">
        <v>2774300</v>
      </c>
      <c r="DP49" s="222"/>
      <c r="DQ49" s="222"/>
      <c r="DR49" s="222"/>
      <c r="DS49" s="222"/>
      <c r="DT49" s="222"/>
      <c r="DU49" s="222"/>
      <c r="ED49" s="222"/>
      <c r="EE49" s="222"/>
      <c r="EF49" s="222"/>
      <c r="EG49" s="222"/>
      <c r="EH49" s="222"/>
      <c r="EI49" s="222"/>
      <c r="EK49" s="227">
        <v>43</v>
      </c>
      <c r="EL49" s="226">
        <v>43012</v>
      </c>
      <c r="EM49" s="227" t="s">
        <v>304</v>
      </c>
      <c r="EN49" s="229">
        <v>2</v>
      </c>
      <c r="EO49" s="230">
        <v>2</v>
      </c>
      <c r="EP49" s="230">
        <v>1373290</v>
      </c>
      <c r="ER49" s="245" t="s">
        <v>325</v>
      </c>
      <c r="ES49" s="222"/>
      <c r="ET49" s="222"/>
      <c r="EU49" s="222"/>
      <c r="EV49" s="222"/>
      <c r="EW49" s="222"/>
      <c r="EY49" s="239">
        <v>43</v>
      </c>
      <c r="EZ49" s="226">
        <v>42928</v>
      </c>
      <c r="FA49" s="239" t="s">
        <v>304</v>
      </c>
      <c r="FB49" s="232">
        <v>33</v>
      </c>
      <c r="FC49" s="229">
        <v>505</v>
      </c>
      <c r="FD49" s="229">
        <v>2161176</v>
      </c>
      <c r="FM49" s="222"/>
      <c r="FN49" s="222"/>
      <c r="FO49" s="222"/>
      <c r="FP49" s="222"/>
      <c r="FQ49" s="222"/>
      <c r="FR49" s="222"/>
      <c r="GA49" s="222"/>
      <c r="GB49" s="222"/>
      <c r="GC49" s="222"/>
      <c r="GD49" s="222"/>
      <c r="GE49" s="222"/>
      <c r="GF49" s="222"/>
      <c r="GH49" s="243">
        <v>43</v>
      </c>
      <c r="GI49" s="244">
        <v>42759</v>
      </c>
      <c r="GJ49" s="243" t="s">
        <v>312</v>
      </c>
      <c r="GK49" s="242">
        <v>1</v>
      </c>
      <c r="GL49" s="241">
        <v>11</v>
      </c>
      <c r="GM49" s="240">
        <v>323259</v>
      </c>
      <c r="GO49" s="227">
        <v>43</v>
      </c>
      <c r="GP49" s="226">
        <v>42732</v>
      </c>
      <c r="GQ49" s="225" t="s">
        <v>304</v>
      </c>
      <c r="GR49" s="232">
        <v>19</v>
      </c>
      <c r="GS49" s="229">
        <v>1040</v>
      </c>
      <c r="GT49" s="229">
        <v>4658641</v>
      </c>
      <c r="HC49" s="238">
        <v>43</v>
      </c>
      <c r="HD49" s="237">
        <v>42699</v>
      </c>
      <c r="HE49" s="227" t="s">
        <v>320</v>
      </c>
      <c r="HF49" s="234">
        <v>2</v>
      </c>
      <c r="HG49" s="234">
        <v>94</v>
      </c>
      <c r="HH49" s="236">
        <v>624554</v>
      </c>
      <c r="HJ49" s="227">
        <v>43</v>
      </c>
      <c r="HK49" s="226">
        <v>42662</v>
      </c>
      <c r="HL49" s="225" t="s">
        <v>304</v>
      </c>
      <c r="HM49" s="224">
        <v>51</v>
      </c>
      <c r="HN49" s="224">
        <v>462</v>
      </c>
      <c r="HO49" s="224">
        <v>7497528</v>
      </c>
    </row>
    <row r="50" spans="1:223" ht="13.5" customHeight="1" x14ac:dyDescent="0.45">
      <c r="A50" s="222"/>
      <c r="B50" s="222"/>
      <c r="C50" s="222"/>
      <c r="D50" s="222"/>
      <c r="E50" s="222"/>
      <c r="F50" s="222"/>
      <c r="H50" s="222"/>
      <c r="I50" s="222"/>
      <c r="J50" s="222"/>
      <c r="K50" s="222"/>
      <c r="L50" s="222"/>
      <c r="M50" s="222"/>
      <c r="O50" s="222"/>
      <c r="P50" s="222"/>
      <c r="Q50" s="222"/>
      <c r="R50" s="222"/>
      <c r="S50" s="222"/>
      <c r="T50" s="222"/>
      <c r="V50" s="227">
        <v>44</v>
      </c>
      <c r="W50" s="226">
        <v>43496</v>
      </c>
      <c r="X50" s="227" t="s">
        <v>316</v>
      </c>
      <c r="Y50" s="229">
        <v>3</v>
      </c>
      <c r="Z50" s="228">
        <v>36</v>
      </c>
      <c r="AA50" s="228">
        <v>5037282</v>
      </c>
      <c r="AC50" s="222"/>
      <c r="AD50" s="222"/>
      <c r="AE50" s="222"/>
      <c r="AF50" s="222"/>
      <c r="AG50" s="222"/>
      <c r="AH50" s="222"/>
      <c r="AJ50" s="227">
        <v>44</v>
      </c>
      <c r="AK50" s="226">
        <v>43441</v>
      </c>
      <c r="AL50" s="227" t="s">
        <v>320</v>
      </c>
      <c r="AM50" s="229">
        <v>1</v>
      </c>
      <c r="AN50" s="228">
        <v>3</v>
      </c>
      <c r="AO50" s="228">
        <v>154259</v>
      </c>
      <c r="AQ50" s="227">
        <v>44</v>
      </c>
      <c r="AR50" s="226">
        <v>43425</v>
      </c>
      <c r="AS50" s="227" t="s">
        <v>304</v>
      </c>
      <c r="AT50" s="229">
        <v>23</v>
      </c>
      <c r="AU50" s="228">
        <v>628</v>
      </c>
      <c r="AV50" s="228">
        <v>473973</v>
      </c>
      <c r="AX50" s="222"/>
      <c r="AY50" s="222"/>
      <c r="AZ50" s="222"/>
      <c r="BA50" s="222"/>
      <c r="BB50" s="222"/>
      <c r="BC50" s="222"/>
      <c r="BS50" s="227">
        <v>44</v>
      </c>
      <c r="BT50" s="226">
        <v>43321</v>
      </c>
      <c r="BU50" s="227" t="s">
        <v>303</v>
      </c>
      <c r="BV50" s="230">
        <v>1</v>
      </c>
      <c r="BW50" s="224">
        <v>23</v>
      </c>
      <c r="BX50" s="224">
        <v>3188873</v>
      </c>
      <c r="BZ50" s="222"/>
      <c r="CA50" s="222"/>
      <c r="CB50" s="222"/>
      <c r="CC50" s="222"/>
      <c r="CD50" s="222"/>
      <c r="CE50" s="222"/>
      <c r="CN50" s="222"/>
      <c r="CO50" s="222"/>
      <c r="CP50" s="222"/>
      <c r="CQ50" s="222"/>
      <c r="CR50" s="222"/>
      <c r="CS50" s="222"/>
      <c r="CU50" s="227">
        <v>44</v>
      </c>
      <c r="CV50" s="226">
        <v>43230</v>
      </c>
      <c r="CW50" s="227" t="s">
        <v>303</v>
      </c>
      <c r="CX50" s="229">
        <v>4</v>
      </c>
      <c r="CY50" s="230">
        <v>60</v>
      </c>
      <c r="CZ50" s="230">
        <v>2250205</v>
      </c>
      <c r="DB50" s="227">
        <v>44</v>
      </c>
      <c r="DC50" s="226">
        <v>43097</v>
      </c>
      <c r="DD50" s="227" t="s">
        <v>303</v>
      </c>
      <c r="DE50" s="229">
        <v>3</v>
      </c>
      <c r="DF50" s="230">
        <v>3</v>
      </c>
      <c r="DG50" s="230">
        <v>1786373</v>
      </c>
      <c r="DI50" s="227">
        <v>44</v>
      </c>
      <c r="DJ50" s="226">
        <v>42979</v>
      </c>
      <c r="DK50" s="227" t="s">
        <v>302</v>
      </c>
      <c r="DL50" s="229">
        <v>13</v>
      </c>
      <c r="DM50" s="230">
        <v>1321</v>
      </c>
      <c r="DN50" s="230">
        <v>2775621</v>
      </c>
      <c r="EK50" s="227">
        <v>44</v>
      </c>
      <c r="EL50" s="226">
        <v>43013</v>
      </c>
      <c r="EM50" s="227" t="s">
        <v>303</v>
      </c>
      <c r="EN50" s="229">
        <v>2</v>
      </c>
      <c r="EO50" s="230">
        <v>2</v>
      </c>
      <c r="EP50" s="230">
        <v>1373292</v>
      </c>
      <c r="EY50" s="239">
        <v>44</v>
      </c>
      <c r="EZ50" s="226">
        <v>42929</v>
      </c>
      <c r="FA50" s="239" t="s">
        <v>303</v>
      </c>
      <c r="FB50" s="232">
        <v>37</v>
      </c>
      <c r="FC50" s="229">
        <v>491</v>
      </c>
      <c r="FD50" s="229">
        <v>2161667</v>
      </c>
      <c r="FM50" s="222"/>
      <c r="FN50" s="222"/>
      <c r="FO50" s="222"/>
      <c r="FP50" s="222"/>
      <c r="FQ50" s="222"/>
      <c r="FR50" s="222"/>
      <c r="GA50" s="222"/>
      <c r="GB50" s="222"/>
      <c r="GC50" s="222"/>
      <c r="GD50" s="222"/>
      <c r="GE50" s="222"/>
      <c r="GF50" s="222"/>
      <c r="GH50" s="227">
        <v>44</v>
      </c>
      <c r="GI50" s="235">
        <v>42760</v>
      </c>
      <c r="GJ50" s="227" t="s">
        <v>310</v>
      </c>
      <c r="GK50" s="234">
        <v>1</v>
      </c>
      <c r="GL50" s="233">
        <v>13</v>
      </c>
      <c r="GM50" s="229">
        <v>323272</v>
      </c>
      <c r="GO50" s="227">
        <v>44</v>
      </c>
      <c r="GP50" s="226">
        <v>42733</v>
      </c>
      <c r="GQ50" s="225" t="s">
        <v>303</v>
      </c>
      <c r="GR50" s="232">
        <v>17</v>
      </c>
      <c r="GS50" s="229">
        <v>1125</v>
      </c>
      <c r="GT50" s="229">
        <v>4659766</v>
      </c>
      <c r="HC50" s="238">
        <v>44</v>
      </c>
      <c r="HD50" s="237">
        <v>42700</v>
      </c>
      <c r="HE50" s="227" t="s">
        <v>319</v>
      </c>
      <c r="HF50" s="234">
        <v>8</v>
      </c>
      <c r="HG50" s="234">
        <v>429</v>
      </c>
      <c r="HH50" s="236">
        <v>624983</v>
      </c>
      <c r="HJ50" s="227">
        <v>44</v>
      </c>
      <c r="HK50" s="226">
        <v>42663</v>
      </c>
      <c r="HL50" s="225" t="s">
        <v>303</v>
      </c>
      <c r="HM50" s="224">
        <v>27</v>
      </c>
      <c r="HN50" s="224">
        <v>302</v>
      </c>
      <c r="HO50" s="224">
        <v>7497830</v>
      </c>
    </row>
    <row r="51" spans="1:223" ht="13.5" customHeight="1" x14ac:dyDescent="0.45">
      <c r="A51" s="222"/>
      <c r="B51" s="222"/>
      <c r="C51" s="222"/>
      <c r="D51" s="222"/>
      <c r="E51" s="222"/>
      <c r="F51" s="222"/>
      <c r="O51" s="222"/>
      <c r="P51" s="222"/>
      <c r="Q51" s="222"/>
      <c r="R51" s="222"/>
      <c r="S51" s="222"/>
      <c r="T51" s="222"/>
      <c r="V51" s="227">
        <v>45</v>
      </c>
      <c r="W51" s="226">
        <v>43497</v>
      </c>
      <c r="X51" s="227" t="s">
        <v>320</v>
      </c>
      <c r="Y51" s="229">
        <v>2</v>
      </c>
      <c r="Z51" s="228">
        <v>54</v>
      </c>
      <c r="AA51" s="228">
        <v>5037336</v>
      </c>
      <c r="AC51" s="222"/>
      <c r="AD51" s="222"/>
      <c r="AE51" s="222"/>
      <c r="AF51" s="222"/>
      <c r="AG51" s="222"/>
      <c r="AH51" s="222"/>
      <c r="AJ51" s="227">
        <v>45</v>
      </c>
      <c r="AK51" s="226">
        <v>43442</v>
      </c>
      <c r="AL51" s="227" t="s">
        <v>319</v>
      </c>
      <c r="AM51" s="229">
        <v>1</v>
      </c>
      <c r="AN51" s="228">
        <v>4</v>
      </c>
      <c r="AO51" s="228">
        <v>154263</v>
      </c>
      <c r="AQ51" s="227">
        <v>45</v>
      </c>
      <c r="AR51" s="226">
        <v>43426</v>
      </c>
      <c r="AS51" s="227" t="s">
        <v>303</v>
      </c>
      <c r="AT51" s="229">
        <v>14</v>
      </c>
      <c r="AU51" s="228">
        <v>426</v>
      </c>
      <c r="AV51" s="228">
        <v>474399</v>
      </c>
      <c r="AX51" s="222"/>
      <c r="AY51" s="222"/>
      <c r="AZ51" s="222"/>
      <c r="BA51" s="222"/>
      <c r="BB51" s="222"/>
      <c r="BC51" s="222"/>
      <c r="BS51" s="227">
        <v>45</v>
      </c>
      <c r="BT51" s="226">
        <v>43322</v>
      </c>
      <c r="BU51" s="227" t="s">
        <v>302</v>
      </c>
      <c r="BV51" s="230">
        <v>1</v>
      </c>
      <c r="BW51" s="224">
        <v>24</v>
      </c>
      <c r="BX51" s="224">
        <v>3188897</v>
      </c>
      <c r="BZ51" s="222"/>
      <c r="CA51" s="222"/>
      <c r="CB51" s="222"/>
      <c r="CC51" s="222"/>
      <c r="CD51" s="222"/>
      <c r="CE51" s="222"/>
      <c r="CU51" s="227">
        <v>45</v>
      </c>
      <c r="CV51" s="226">
        <v>43231</v>
      </c>
      <c r="CW51" s="227" t="s">
        <v>302</v>
      </c>
      <c r="CX51" s="229">
        <v>6</v>
      </c>
      <c r="CY51" s="230">
        <v>148</v>
      </c>
      <c r="CZ51" s="230">
        <v>2250353</v>
      </c>
      <c r="DB51" s="227">
        <v>45</v>
      </c>
      <c r="DC51" s="226">
        <v>43098</v>
      </c>
      <c r="DD51" s="227" t="s">
        <v>302</v>
      </c>
      <c r="DE51" s="229">
        <v>4</v>
      </c>
      <c r="DF51" s="230">
        <v>4</v>
      </c>
      <c r="DG51" s="230">
        <v>1786377</v>
      </c>
      <c r="DI51" s="227">
        <v>45</v>
      </c>
      <c r="DJ51" s="226">
        <v>42980</v>
      </c>
      <c r="DK51" s="227" t="s">
        <v>301</v>
      </c>
      <c r="DL51" s="229">
        <v>13</v>
      </c>
      <c r="DM51" s="230">
        <v>1713</v>
      </c>
      <c r="DN51" s="230">
        <v>2777334</v>
      </c>
      <c r="EK51" s="227">
        <v>45</v>
      </c>
      <c r="EL51" s="226">
        <v>43014</v>
      </c>
      <c r="EM51" s="227" t="s">
        <v>302</v>
      </c>
      <c r="EN51" s="229">
        <v>2</v>
      </c>
      <c r="EO51" s="230">
        <v>2</v>
      </c>
      <c r="EP51" s="230">
        <v>1373294</v>
      </c>
      <c r="EY51" s="223" t="s">
        <v>324</v>
      </c>
      <c r="FM51" s="222"/>
      <c r="FN51" s="222"/>
      <c r="FO51" s="222"/>
      <c r="FP51" s="222"/>
      <c r="FQ51" s="222"/>
      <c r="FR51" s="222"/>
      <c r="GA51" s="222"/>
      <c r="GB51" s="222"/>
      <c r="GC51" s="222"/>
      <c r="GD51" s="222"/>
      <c r="GE51" s="222"/>
      <c r="GF51" s="222"/>
      <c r="GH51" s="227">
        <v>45</v>
      </c>
      <c r="GI51" s="235">
        <v>42761</v>
      </c>
      <c r="GJ51" s="227" t="s">
        <v>316</v>
      </c>
      <c r="GK51" s="234">
        <v>1</v>
      </c>
      <c r="GL51" s="233">
        <v>17</v>
      </c>
      <c r="GM51" s="229">
        <v>323289</v>
      </c>
      <c r="GO51" s="227">
        <v>45</v>
      </c>
      <c r="GP51" s="226">
        <v>42734</v>
      </c>
      <c r="GQ51" s="225" t="s">
        <v>302</v>
      </c>
      <c r="GR51" s="232">
        <v>19</v>
      </c>
      <c r="GS51" s="229">
        <v>1305</v>
      </c>
      <c r="GT51" s="229">
        <v>4661071</v>
      </c>
      <c r="HC51" s="238">
        <v>45</v>
      </c>
      <c r="HD51" s="237">
        <v>42701</v>
      </c>
      <c r="HE51" s="227" t="s">
        <v>317</v>
      </c>
      <c r="HF51" s="234">
        <v>5</v>
      </c>
      <c r="HG51" s="234">
        <v>321</v>
      </c>
      <c r="HH51" s="236">
        <v>625304</v>
      </c>
      <c r="HJ51" s="227">
        <v>45</v>
      </c>
      <c r="HK51" s="226">
        <v>42664</v>
      </c>
      <c r="HL51" s="225" t="s">
        <v>302</v>
      </c>
      <c r="HM51" s="224">
        <v>29</v>
      </c>
      <c r="HN51" s="224">
        <v>529</v>
      </c>
      <c r="HO51" s="224">
        <v>7498359</v>
      </c>
    </row>
    <row r="52" spans="1:223" ht="13.5" customHeight="1" x14ac:dyDescent="0.45">
      <c r="A52" s="222"/>
      <c r="B52" s="222"/>
      <c r="C52" s="222"/>
      <c r="D52" s="222"/>
      <c r="E52" s="222"/>
      <c r="F52" s="222"/>
      <c r="O52" s="222"/>
      <c r="P52" s="222"/>
      <c r="Q52" s="222"/>
      <c r="R52" s="222"/>
      <c r="S52" s="222"/>
      <c r="T52" s="222"/>
      <c r="V52" s="227">
        <v>46</v>
      </c>
      <c r="W52" s="226">
        <v>43498</v>
      </c>
      <c r="X52" s="227" t="s">
        <v>319</v>
      </c>
      <c r="Y52" s="229">
        <v>3</v>
      </c>
      <c r="Z52" s="228">
        <v>107</v>
      </c>
      <c r="AA52" s="228">
        <v>5037443</v>
      </c>
      <c r="AC52" s="222"/>
      <c r="AD52" s="222"/>
      <c r="AE52" s="222"/>
      <c r="AF52" s="222"/>
      <c r="AG52" s="222"/>
      <c r="AH52" s="222"/>
      <c r="AJ52" s="227">
        <v>46</v>
      </c>
      <c r="AK52" s="226">
        <v>43443</v>
      </c>
      <c r="AL52" s="227" t="s">
        <v>317</v>
      </c>
      <c r="AM52" s="229">
        <v>1</v>
      </c>
      <c r="AN52" s="228">
        <v>6</v>
      </c>
      <c r="AO52" s="228">
        <v>154269</v>
      </c>
      <c r="AQ52" s="227">
        <v>46</v>
      </c>
      <c r="AR52" s="226">
        <v>43427</v>
      </c>
      <c r="AS52" s="227" t="s">
        <v>302</v>
      </c>
      <c r="AT52" s="229">
        <v>19</v>
      </c>
      <c r="AU52" s="228">
        <v>766</v>
      </c>
      <c r="AV52" s="228">
        <v>475165</v>
      </c>
      <c r="AX52" s="222"/>
      <c r="AY52" s="222"/>
      <c r="AZ52" s="222"/>
      <c r="BA52" s="222"/>
      <c r="BB52" s="222"/>
      <c r="BC52" s="222"/>
      <c r="BS52" s="227">
        <v>46</v>
      </c>
      <c r="BT52" s="226">
        <v>43323</v>
      </c>
      <c r="BU52" s="227" t="s">
        <v>301</v>
      </c>
      <c r="BV52" s="230">
        <v>1</v>
      </c>
      <c r="BW52" s="231">
        <v>43</v>
      </c>
      <c r="BX52" s="231">
        <v>3188940</v>
      </c>
      <c r="BZ52" s="222"/>
      <c r="CA52" s="222"/>
      <c r="CB52" s="222"/>
      <c r="CC52" s="222"/>
      <c r="CD52" s="222"/>
      <c r="CE52" s="222"/>
      <c r="CU52" s="227">
        <v>46</v>
      </c>
      <c r="CV52" s="226">
        <v>43232</v>
      </c>
      <c r="CW52" s="227" t="s">
        <v>301</v>
      </c>
      <c r="CX52" s="229">
        <v>6</v>
      </c>
      <c r="CY52" s="230">
        <v>286</v>
      </c>
      <c r="CZ52" s="230">
        <v>2250639</v>
      </c>
      <c r="DB52" s="227">
        <v>46</v>
      </c>
      <c r="DC52" s="226">
        <v>43099</v>
      </c>
      <c r="DD52" s="227" t="s">
        <v>301</v>
      </c>
      <c r="DE52" s="229">
        <v>3</v>
      </c>
      <c r="DF52" s="230">
        <v>3</v>
      </c>
      <c r="DG52" s="230">
        <v>1786380</v>
      </c>
      <c r="DI52" s="227">
        <v>46</v>
      </c>
      <c r="DJ52" s="226">
        <v>42981</v>
      </c>
      <c r="DK52" s="227" t="s">
        <v>300</v>
      </c>
      <c r="DL52" s="229">
        <v>14</v>
      </c>
      <c r="DM52" s="230">
        <v>1666</v>
      </c>
      <c r="DN52" s="230">
        <v>2779000</v>
      </c>
      <c r="EK52" s="227">
        <v>46</v>
      </c>
      <c r="EL52" s="226">
        <v>43015</v>
      </c>
      <c r="EM52" s="227" t="s">
        <v>301</v>
      </c>
      <c r="EN52" s="229">
        <v>2</v>
      </c>
      <c r="EO52" s="230">
        <v>2</v>
      </c>
      <c r="EP52" s="230">
        <v>1373296</v>
      </c>
      <c r="FM52" s="222"/>
      <c r="FN52" s="222"/>
      <c r="FO52" s="222"/>
      <c r="FP52" s="222"/>
      <c r="FQ52" s="222"/>
      <c r="FR52" s="222"/>
      <c r="GA52" s="222"/>
      <c r="GB52" s="222"/>
      <c r="GC52" s="222"/>
      <c r="GD52" s="222"/>
      <c r="GE52" s="222"/>
      <c r="GF52" s="222"/>
      <c r="GH52" s="227">
        <v>46</v>
      </c>
      <c r="GI52" s="235">
        <v>42766</v>
      </c>
      <c r="GJ52" s="227" t="s">
        <v>312</v>
      </c>
      <c r="GK52" s="234">
        <v>1</v>
      </c>
      <c r="GL52" s="233">
        <v>20</v>
      </c>
      <c r="GM52" s="229">
        <v>323309</v>
      </c>
      <c r="GO52" s="227">
        <v>46</v>
      </c>
      <c r="GP52" s="226">
        <v>42735</v>
      </c>
      <c r="GQ52" s="225" t="s">
        <v>301</v>
      </c>
      <c r="GR52" s="232">
        <v>22</v>
      </c>
      <c r="GS52" s="229">
        <v>1463</v>
      </c>
      <c r="GT52" s="229">
        <v>4662534</v>
      </c>
      <c r="HC52" s="238">
        <v>46</v>
      </c>
      <c r="HD52" s="237">
        <v>42705</v>
      </c>
      <c r="HE52" s="227" t="s">
        <v>316</v>
      </c>
      <c r="HF52" s="234">
        <v>1</v>
      </c>
      <c r="HG52" s="234">
        <v>0</v>
      </c>
      <c r="HH52" s="236">
        <v>625304</v>
      </c>
      <c r="HJ52" s="227">
        <v>46</v>
      </c>
      <c r="HK52" s="226">
        <v>42665</v>
      </c>
      <c r="HL52" s="225" t="s">
        <v>301</v>
      </c>
      <c r="HM52" s="224">
        <v>20</v>
      </c>
      <c r="HN52" s="224">
        <v>288</v>
      </c>
      <c r="HO52" s="224">
        <v>7498647</v>
      </c>
    </row>
    <row r="53" spans="1:223" ht="13.5" customHeight="1" x14ac:dyDescent="0.45">
      <c r="A53" s="222"/>
      <c r="B53" s="222"/>
      <c r="C53" s="222"/>
      <c r="D53" s="222"/>
      <c r="E53" s="222"/>
      <c r="F53" s="222"/>
      <c r="O53" s="222"/>
      <c r="P53" s="222"/>
      <c r="Q53" s="222"/>
      <c r="R53" s="222"/>
      <c r="S53" s="222"/>
      <c r="T53" s="222"/>
      <c r="V53" s="227">
        <v>47</v>
      </c>
      <c r="W53" s="226">
        <v>43499</v>
      </c>
      <c r="X53" s="227" t="s">
        <v>317</v>
      </c>
      <c r="Y53" s="229">
        <v>3</v>
      </c>
      <c r="Z53" s="228">
        <v>66</v>
      </c>
      <c r="AA53" s="228">
        <v>5037509</v>
      </c>
      <c r="AC53" s="222"/>
      <c r="AD53" s="222"/>
      <c r="AE53" s="222"/>
      <c r="AF53" s="222"/>
      <c r="AG53" s="222"/>
      <c r="AH53" s="222"/>
      <c r="AJ53" s="227">
        <v>47</v>
      </c>
      <c r="AK53" s="226">
        <v>43444</v>
      </c>
      <c r="AL53" s="227" t="s">
        <v>315</v>
      </c>
      <c r="AM53" s="229">
        <v>1</v>
      </c>
      <c r="AN53" s="228">
        <v>8</v>
      </c>
      <c r="AO53" s="228">
        <v>154277</v>
      </c>
      <c r="AQ53" s="227">
        <v>47</v>
      </c>
      <c r="AR53" s="226">
        <v>43428</v>
      </c>
      <c r="AS53" s="227" t="s">
        <v>301</v>
      </c>
      <c r="AT53" s="229">
        <v>16</v>
      </c>
      <c r="AU53" s="228">
        <v>1346</v>
      </c>
      <c r="AV53" s="228">
        <v>476511</v>
      </c>
      <c r="AX53" s="222"/>
      <c r="AY53" s="222"/>
      <c r="AZ53" s="222"/>
      <c r="BA53" s="222"/>
      <c r="BB53" s="222"/>
      <c r="BC53" s="222"/>
      <c r="BS53" s="227">
        <v>47</v>
      </c>
      <c r="BT53" s="226">
        <v>43324</v>
      </c>
      <c r="BU53" s="227" t="s">
        <v>300</v>
      </c>
      <c r="BV53" s="230">
        <v>1</v>
      </c>
      <c r="BW53" s="231">
        <v>29</v>
      </c>
      <c r="BX53" s="231">
        <v>3188969</v>
      </c>
      <c r="CA53" s="222"/>
      <c r="CB53" s="222"/>
      <c r="CC53" s="222"/>
      <c r="CD53" s="222"/>
      <c r="CE53" s="222"/>
      <c r="CU53" s="227">
        <v>47</v>
      </c>
      <c r="CV53" s="226">
        <v>43233</v>
      </c>
      <c r="CW53" s="227" t="s">
        <v>300</v>
      </c>
      <c r="CX53" s="229">
        <v>7</v>
      </c>
      <c r="CY53" s="230">
        <v>287</v>
      </c>
      <c r="CZ53" s="230">
        <v>2250926</v>
      </c>
      <c r="DB53" s="227">
        <v>47</v>
      </c>
      <c r="DC53" s="226">
        <v>43100</v>
      </c>
      <c r="DD53" s="227" t="s">
        <v>300</v>
      </c>
      <c r="DE53" s="229">
        <v>3</v>
      </c>
      <c r="DF53" s="230">
        <v>3</v>
      </c>
      <c r="DG53" s="230">
        <v>1786383</v>
      </c>
      <c r="DI53" s="227">
        <v>47</v>
      </c>
      <c r="DJ53" s="226">
        <v>42982</v>
      </c>
      <c r="DK53" s="227" t="s">
        <v>307</v>
      </c>
      <c r="DL53" s="229">
        <v>12</v>
      </c>
      <c r="DM53" s="230">
        <v>903</v>
      </c>
      <c r="DN53" s="230">
        <v>2779903</v>
      </c>
      <c r="EK53" s="227">
        <v>47</v>
      </c>
      <c r="EL53" s="226">
        <v>43016</v>
      </c>
      <c r="EM53" s="227" t="s">
        <v>300</v>
      </c>
      <c r="EN53" s="229">
        <v>2</v>
      </c>
      <c r="EO53" s="230">
        <v>2</v>
      </c>
      <c r="EP53" s="230">
        <v>1373298</v>
      </c>
      <c r="FM53" s="222"/>
      <c r="FN53" s="222"/>
      <c r="FO53" s="222"/>
      <c r="FP53" s="222"/>
      <c r="FQ53" s="222"/>
      <c r="FR53" s="222"/>
      <c r="GA53" s="222"/>
      <c r="GB53" s="222"/>
      <c r="GC53" s="222"/>
      <c r="GD53" s="222"/>
      <c r="GE53" s="222"/>
      <c r="GF53" s="222"/>
      <c r="GH53" s="227">
        <v>47</v>
      </c>
      <c r="GI53" s="235">
        <v>42767</v>
      </c>
      <c r="GJ53" s="227" t="s">
        <v>310</v>
      </c>
      <c r="GK53" s="234">
        <v>1</v>
      </c>
      <c r="GL53" s="233">
        <v>3</v>
      </c>
      <c r="GM53" s="229">
        <v>323312</v>
      </c>
      <c r="GO53" s="227">
        <v>47</v>
      </c>
      <c r="GP53" s="226">
        <v>42736</v>
      </c>
      <c r="GQ53" s="225" t="s">
        <v>300</v>
      </c>
      <c r="GR53" s="232">
        <v>22</v>
      </c>
      <c r="GS53" s="229">
        <v>1291</v>
      </c>
      <c r="GT53" s="229">
        <v>4663825</v>
      </c>
      <c r="HC53" s="238">
        <v>47</v>
      </c>
      <c r="HD53" s="237">
        <v>42706</v>
      </c>
      <c r="HE53" s="227" t="s">
        <v>320</v>
      </c>
      <c r="HF53" s="234">
        <v>8</v>
      </c>
      <c r="HG53" s="234">
        <v>480</v>
      </c>
      <c r="HH53" s="236">
        <v>625784</v>
      </c>
      <c r="HJ53" s="227">
        <v>47</v>
      </c>
      <c r="HK53" s="226">
        <v>42666</v>
      </c>
      <c r="HL53" s="225" t="s">
        <v>300</v>
      </c>
      <c r="HM53" s="224">
        <v>19</v>
      </c>
      <c r="HN53" s="224">
        <v>291</v>
      </c>
      <c r="HO53" s="224">
        <v>7498938</v>
      </c>
    </row>
    <row r="54" spans="1:223" ht="13.5" customHeight="1" x14ac:dyDescent="0.45">
      <c r="A54" s="222"/>
      <c r="B54" s="222"/>
      <c r="C54" s="222"/>
      <c r="D54" s="222"/>
      <c r="E54" s="222"/>
      <c r="F54" s="222"/>
      <c r="V54" s="227">
        <v>48</v>
      </c>
      <c r="W54" s="226">
        <v>43500</v>
      </c>
      <c r="X54" s="227" t="s">
        <v>315</v>
      </c>
      <c r="Y54" s="229">
        <v>2</v>
      </c>
      <c r="Z54" s="228">
        <v>97</v>
      </c>
      <c r="AA54" s="228">
        <v>5037606</v>
      </c>
      <c r="AC54" s="222"/>
      <c r="AD54" s="222"/>
      <c r="AE54" s="222"/>
      <c r="AF54" s="222"/>
      <c r="AG54" s="222"/>
      <c r="AH54" s="222"/>
      <c r="AJ54" s="227">
        <v>48</v>
      </c>
      <c r="AK54" s="226">
        <v>43445</v>
      </c>
      <c r="AL54" s="227" t="s">
        <v>312</v>
      </c>
      <c r="AM54" s="229">
        <v>1</v>
      </c>
      <c r="AN54" s="228">
        <v>14</v>
      </c>
      <c r="AO54" s="228">
        <v>154291</v>
      </c>
      <c r="AQ54" s="227">
        <v>48</v>
      </c>
      <c r="AR54" s="226">
        <v>43429</v>
      </c>
      <c r="AS54" s="227" t="s">
        <v>300</v>
      </c>
      <c r="AT54" s="229">
        <v>17</v>
      </c>
      <c r="AU54" s="228">
        <v>966</v>
      </c>
      <c r="AV54" s="228">
        <v>477477</v>
      </c>
      <c r="BS54" s="227">
        <v>48</v>
      </c>
      <c r="BT54" s="226">
        <v>43325</v>
      </c>
      <c r="BU54" s="227" t="s">
        <v>307</v>
      </c>
      <c r="BV54" s="230">
        <v>1</v>
      </c>
      <c r="BW54" s="231">
        <v>10</v>
      </c>
      <c r="BX54" s="231">
        <v>3188979</v>
      </c>
      <c r="BZ54" s="222"/>
      <c r="CA54" s="222"/>
      <c r="CB54" s="222"/>
      <c r="CC54" s="222"/>
      <c r="CD54" s="222"/>
      <c r="CE54" s="222"/>
      <c r="CU54" s="227">
        <v>48</v>
      </c>
      <c r="CV54" s="226">
        <v>43234</v>
      </c>
      <c r="CW54" s="227" t="s">
        <v>307</v>
      </c>
      <c r="CX54" s="229">
        <v>4</v>
      </c>
      <c r="CY54" s="230">
        <v>69</v>
      </c>
      <c r="CZ54" s="230">
        <v>2250995</v>
      </c>
      <c r="DB54" s="227">
        <v>48</v>
      </c>
      <c r="DC54" s="226">
        <v>43101</v>
      </c>
      <c r="DD54" s="227" t="s">
        <v>307</v>
      </c>
      <c r="DE54" s="229">
        <v>3</v>
      </c>
      <c r="DF54" s="230">
        <v>3</v>
      </c>
      <c r="DG54" s="230">
        <v>1786386</v>
      </c>
      <c r="DI54" s="227">
        <v>48</v>
      </c>
      <c r="DJ54" s="226">
        <v>42983</v>
      </c>
      <c r="DK54" s="227" t="s">
        <v>305</v>
      </c>
      <c r="DL54" s="229">
        <v>12</v>
      </c>
      <c r="DM54" s="230">
        <v>833</v>
      </c>
      <c r="DN54" s="230">
        <v>2780736</v>
      </c>
      <c r="EK54" s="227">
        <v>48</v>
      </c>
      <c r="EL54" s="226">
        <v>43017</v>
      </c>
      <c r="EM54" s="227" t="s">
        <v>307</v>
      </c>
      <c r="EN54" s="229">
        <v>3</v>
      </c>
      <c r="EO54" s="230">
        <v>18</v>
      </c>
      <c r="EP54" s="230">
        <v>1373316</v>
      </c>
      <c r="FM54" s="222"/>
      <c r="FN54" s="222"/>
      <c r="FO54" s="222"/>
      <c r="FP54" s="222"/>
      <c r="FQ54" s="222"/>
      <c r="FR54" s="222"/>
      <c r="GA54" s="222"/>
      <c r="GB54" s="222"/>
      <c r="GC54" s="222"/>
      <c r="GD54" s="222"/>
      <c r="GE54" s="222"/>
      <c r="GF54" s="222"/>
      <c r="GH54" s="227">
        <v>48</v>
      </c>
      <c r="GI54" s="235">
        <v>42768</v>
      </c>
      <c r="GJ54" s="227" t="s">
        <v>316</v>
      </c>
      <c r="GK54" s="234">
        <v>1</v>
      </c>
      <c r="GL54" s="233">
        <v>8</v>
      </c>
      <c r="GM54" s="229">
        <v>323320</v>
      </c>
      <c r="GO54" s="227">
        <v>48</v>
      </c>
      <c r="GP54" s="226">
        <v>42737</v>
      </c>
      <c r="GQ54" s="225" t="s">
        <v>307</v>
      </c>
      <c r="GR54" s="232">
        <v>21</v>
      </c>
      <c r="GS54" s="232">
        <v>666</v>
      </c>
      <c r="GT54" s="229">
        <v>4664491</v>
      </c>
      <c r="HC54" s="238">
        <v>48</v>
      </c>
      <c r="HD54" s="237">
        <v>42707</v>
      </c>
      <c r="HE54" s="227" t="s">
        <v>319</v>
      </c>
      <c r="HF54" s="234">
        <v>8</v>
      </c>
      <c r="HG54" s="234">
        <v>384</v>
      </c>
      <c r="HH54" s="236">
        <v>626168</v>
      </c>
      <c r="HJ54" s="227">
        <v>48</v>
      </c>
      <c r="HK54" s="226">
        <v>42667</v>
      </c>
      <c r="HL54" s="225" t="s">
        <v>307</v>
      </c>
      <c r="HM54" s="224">
        <v>22</v>
      </c>
      <c r="HN54" s="224">
        <v>174</v>
      </c>
      <c r="HO54" s="224">
        <v>7499112</v>
      </c>
    </row>
    <row r="55" spans="1:223" ht="13.5" customHeight="1" x14ac:dyDescent="0.45">
      <c r="A55" s="223"/>
      <c r="B55" s="222"/>
      <c r="C55" s="222"/>
      <c r="D55" s="222"/>
      <c r="E55" s="222"/>
      <c r="F55" s="222"/>
      <c r="V55" s="227">
        <v>49</v>
      </c>
      <c r="W55" s="226">
        <v>43501</v>
      </c>
      <c r="X55" s="227" t="s">
        <v>312</v>
      </c>
      <c r="Y55" s="229">
        <v>2</v>
      </c>
      <c r="Z55" s="228">
        <v>64</v>
      </c>
      <c r="AA55" s="228">
        <v>5037670</v>
      </c>
      <c r="AC55" s="222"/>
      <c r="AD55" s="222"/>
      <c r="AE55" s="222"/>
      <c r="AF55" s="222"/>
      <c r="AG55" s="222"/>
      <c r="AH55" s="222"/>
      <c r="AJ55" s="227">
        <v>49</v>
      </c>
      <c r="AK55" s="226">
        <v>43446</v>
      </c>
      <c r="AL55" s="227" t="s">
        <v>310</v>
      </c>
      <c r="AM55" s="229">
        <v>1</v>
      </c>
      <c r="AN55" s="228">
        <v>6</v>
      </c>
      <c r="AO55" s="228">
        <v>154297</v>
      </c>
      <c r="AQ55" s="227">
        <v>49</v>
      </c>
      <c r="AR55" s="226">
        <v>43430</v>
      </c>
      <c r="AS55" s="227" t="s">
        <v>307</v>
      </c>
      <c r="AT55" s="229">
        <v>15</v>
      </c>
      <c r="AU55" s="228">
        <v>394</v>
      </c>
      <c r="AV55" s="228">
        <v>477871</v>
      </c>
      <c r="BS55" s="227">
        <v>49</v>
      </c>
      <c r="BT55" s="226">
        <v>43326</v>
      </c>
      <c r="BU55" s="227" t="s">
        <v>305</v>
      </c>
      <c r="BV55" s="230">
        <v>1</v>
      </c>
      <c r="BW55" s="231">
        <v>15</v>
      </c>
      <c r="BX55" s="231">
        <v>3188994</v>
      </c>
      <c r="BZ55" s="222"/>
      <c r="CA55" s="222"/>
      <c r="CB55" s="222"/>
      <c r="CC55" s="222"/>
      <c r="CD55" s="222"/>
      <c r="CE55" s="222"/>
      <c r="CU55" s="227">
        <v>49</v>
      </c>
      <c r="CV55" s="226">
        <v>43235</v>
      </c>
      <c r="CW55" s="227" t="s">
        <v>305</v>
      </c>
      <c r="CX55" s="229">
        <v>6</v>
      </c>
      <c r="CY55" s="230">
        <v>100</v>
      </c>
      <c r="CZ55" s="230">
        <v>2251095</v>
      </c>
      <c r="DB55" s="223" t="s">
        <v>323</v>
      </c>
      <c r="DC55" s="222"/>
      <c r="DD55" s="222"/>
      <c r="DE55" s="222"/>
      <c r="DF55" s="222"/>
      <c r="DG55" s="222"/>
      <c r="DI55" s="227">
        <v>49</v>
      </c>
      <c r="DJ55" s="226">
        <v>42984</v>
      </c>
      <c r="DK55" s="227" t="s">
        <v>304</v>
      </c>
      <c r="DL55" s="229">
        <v>5</v>
      </c>
      <c r="DM55" s="230">
        <v>367</v>
      </c>
      <c r="DN55" s="230">
        <v>2781103</v>
      </c>
      <c r="EJ55" s="223" t="s">
        <v>322</v>
      </c>
      <c r="FM55" s="222"/>
      <c r="FN55" s="222"/>
      <c r="FO55" s="222"/>
      <c r="FP55" s="222"/>
      <c r="FQ55" s="222"/>
      <c r="FR55" s="222"/>
      <c r="GA55" s="222"/>
      <c r="GB55" s="222"/>
      <c r="GC55" s="222"/>
      <c r="GD55" s="222"/>
      <c r="GE55" s="222"/>
      <c r="GF55" s="222"/>
      <c r="GH55" s="227">
        <v>49</v>
      </c>
      <c r="GI55" s="235">
        <v>42769</v>
      </c>
      <c r="GJ55" s="227" t="s">
        <v>320</v>
      </c>
      <c r="GK55" s="234">
        <v>1</v>
      </c>
      <c r="GL55" s="233">
        <v>15</v>
      </c>
      <c r="GM55" s="229">
        <v>323335</v>
      </c>
      <c r="GO55" s="227">
        <v>49</v>
      </c>
      <c r="GP55" s="226">
        <v>42738</v>
      </c>
      <c r="GQ55" s="225" t="s">
        <v>305</v>
      </c>
      <c r="GR55" s="232">
        <v>22</v>
      </c>
      <c r="GS55" s="232">
        <v>633</v>
      </c>
      <c r="GT55" s="229">
        <v>4665124</v>
      </c>
      <c r="HC55" s="238">
        <v>49</v>
      </c>
      <c r="HD55" s="237">
        <v>42708</v>
      </c>
      <c r="HE55" s="227" t="s">
        <v>317</v>
      </c>
      <c r="HF55" s="234">
        <v>7</v>
      </c>
      <c r="HG55" s="234">
        <v>372</v>
      </c>
      <c r="HH55" s="236">
        <v>626540</v>
      </c>
      <c r="HJ55" s="227">
        <v>49</v>
      </c>
      <c r="HK55" s="226">
        <v>42668</v>
      </c>
      <c r="HL55" s="225" t="s">
        <v>305</v>
      </c>
      <c r="HM55" s="224">
        <v>24</v>
      </c>
      <c r="HN55" s="224">
        <v>291</v>
      </c>
      <c r="HO55" s="224">
        <v>7499403</v>
      </c>
    </row>
    <row r="56" spans="1:223" ht="13.5" customHeight="1" x14ac:dyDescent="0.45">
      <c r="A56" s="222"/>
      <c r="B56" s="222"/>
      <c r="C56" s="222"/>
      <c r="D56" s="222"/>
      <c r="E56" s="222"/>
      <c r="F56" s="222"/>
      <c r="V56" s="227">
        <v>50</v>
      </c>
      <c r="W56" s="226">
        <v>43502</v>
      </c>
      <c r="X56" s="227" t="s">
        <v>310</v>
      </c>
      <c r="Y56" s="229">
        <v>2</v>
      </c>
      <c r="Z56" s="228">
        <v>58</v>
      </c>
      <c r="AA56" s="228">
        <v>5037728</v>
      </c>
      <c r="AC56" s="222"/>
      <c r="AD56" s="222"/>
      <c r="AE56" s="222"/>
      <c r="AF56" s="222"/>
      <c r="AG56" s="222"/>
      <c r="AH56" s="222"/>
      <c r="AJ56" s="223" t="s">
        <v>321</v>
      </c>
      <c r="AK56" s="222"/>
      <c r="AL56" s="222"/>
      <c r="AM56" s="222"/>
      <c r="AN56" s="222"/>
      <c r="AO56" s="222"/>
      <c r="AQ56" s="227">
        <v>50</v>
      </c>
      <c r="AR56" s="226">
        <v>43431</v>
      </c>
      <c r="AS56" s="227" t="s">
        <v>305</v>
      </c>
      <c r="AT56" s="229">
        <v>17</v>
      </c>
      <c r="AU56" s="228">
        <v>631</v>
      </c>
      <c r="AV56" s="228">
        <v>478502</v>
      </c>
      <c r="BS56" s="227">
        <v>50</v>
      </c>
      <c r="BT56" s="226">
        <v>43327</v>
      </c>
      <c r="BU56" s="227" t="s">
        <v>304</v>
      </c>
      <c r="BV56" s="230">
        <v>1</v>
      </c>
      <c r="BW56" s="231">
        <v>28</v>
      </c>
      <c r="BX56" s="231">
        <v>3189022</v>
      </c>
      <c r="BZ56" s="222"/>
      <c r="CA56" s="222"/>
      <c r="CB56" s="222"/>
      <c r="CC56" s="222"/>
      <c r="CD56" s="222"/>
      <c r="CE56" s="222"/>
      <c r="CU56" s="227">
        <v>50</v>
      </c>
      <c r="CV56" s="226">
        <v>43236</v>
      </c>
      <c r="CW56" s="227" t="s">
        <v>304</v>
      </c>
      <c r="CX56" s="229">
        <v>1</v>
      </c>
      <c r="CY56" s="230">
        <v>5</v>
      </c>
      <c r="CZ56" s="230">
        <v>2251100</v>
      </c>
      <c r="DB56" s="222"/>
      <c r="DC56" s="222"/>
      <c r="DD56" s="222"/>
      <c r="DE56" s="222"/>
      <c r="DF56" s="222"/>
      <c r="DG56" s="222"/>
      <c r="DI56" s="227">
        <v>50</v>
      </c>
      <c r="DJ56" s="226">
        <v>42985</v>
      </c>
      <c r="DK56" s="227" t="s">
        <v>303</v>
      </c>
      <c r="DL56" s="229">
        <v>5</v>
      </c>
      <c r="DM56" s="230">
        <v>67</v>
      </c>
      <c r="DN56" s="230">
        <v>2781170</v>
      </c>
      <c r="FM56" s="222"/>
      <c r="FN56" s="222"/>
      <c r="FO56" s="222"/>
      <c r="FP56" s="222"/>
      <c r="FQ56" s="222"/>
      <c r="FR56" s="222"/>
      <c r="GA56" s="222"/>
      <c r="GB56" s="222"/>
      <c r="GC56" s="222"/>
      <c r="GD56" s="222"/>
      <c r="GE56" s="222"/>
      <c r="GF56" s="222"/>
      <c r="GH56" s="227">
        <v>50</v>
      </c>
      <c r="GI56" s="235">
        <v>42770</v>
      </c>
      <c r="GJ56" s="227" t="s">
        <v>319</v>
      </c>
      <c r="GK56" s="234">
        <v>1</v>
      </c>
      <c r="GL56" s="233">
        <v>30</v>
      </c>
      <c r="GM56" s="229">
        <v>323365</v>
      </c>
      <c r="GO56" s="227">
        <v>50</v>
      </c>
      <c r="GP56" s="226">
        <v>42739</v>
      </c>
      <c r="GQ56" s="225" t="s">
        <v>304</v>
      </c>
      <c r="GR56" s="232">
        <v>9</v>
      </c>
      <c r="GS56" s="232">
        <v>258</v>
      </c>
      <c r="GT56" s="229">
        <v>4665382</v>
      </c>
      <c r="HC56" s="238">
        <v>50</v>
      </c>
      <c r="HD56" s="237">
        <v>42714</v>
      </c>
      <c r="HE56" s="227" t="s">
        <v>319</v>
      </c>
      <c r="HF56" s="234">
        <v>1</v>
      </c>
      <c r="HG56" s="234">
        <v>300</v>
      </c>
      <c r="HH56" s="236">
        <v>626840</v>
      </c>
      <c r="HJ56" s="227">
        <v>50</v>
      </c>
      <c r="HK56" s="226">
        <v>42669</v>
      </c>
      <c r="HL56" s="225" t="s">
        <v>304</v>
      </c>
      <c r="HM56" s="224">
        <v>2</v>
      </c>
      <c r="HN56" s="224">
        <v>62</v>
      </c>
      <c r="HO56" s="224">
        <v>7499465</v>
      </c>
    </row>
    <row r="57" spans="1:223" ht="13.5" customHeight="1" x14ac:dyDescent="0.45">
      <c r="A57" s="222"/>
      <c r="B57" s="222"/>
      <c r="C57" s="222"/>
      <c r="D57" s="222"/>
      <c r="E57" s="222"/>
      <c r="F57" s="222"/>
      <c r="V57" s="227">
        <v>51</v>
      </c>
      <c r="W57" s="226">
        <v>43503</v>
      </c>
      <c r="X57" s="227" t="s">
        <v>316</v>
      </c>
      <c r="Y57" s="229">
        <v>2</v>
      </c>
      <c r="Z57" s="228">
        <v>19</v>
      </c>
      <c r="AA57" s="228">
        <v>5037747</v>
      </c>
      <c r="AC57" s="223"/>
      <c r="AD57" s="222"/>
      <c r="AE57" s="222"/>
      <c r="AF57" s="222"/>
      <c r="AG57" s="222"/>
      <c r="AH57" s="222"/>
      <c r="AK57" s="222"/>
      <c r="AL57" s="222"/>
      <c r="AM57" s="222"/>
      <c r="AN57" s="222"/>
      <c r="AO57" s="222"/>
      <c r="AQ57" s="227">
        <v>51</v>
      </c>
      <c r="AR57" s="226">
        <v>43432</v>
      </c>
      <c r="AS57" s="227" t="s">
        <v>304</v>
      </c>
      <c r="AT57" s="229">
        <v>7</v>
      </c>
      <c r="AU57" s="228">
        <v>385</v>
      </c>
      <c r="AV57" s="228">
        <v>478887</v>
      </c>
      <c r="BS57" s="227">
        <v>51</v>
      </c>
      <c r="BT57" s="226">
        <v>43328</v>
      </c>
      <c r="BU57" s="227" t="s">
        <v>303</v>
      </c>
      <c r="BV57" s="230">
        <v>1</v>
      </c>
      <c r="BW57" s="231">
        <v>11</v>
      </c>
      <c r="BX57" s="231">
        <v>3189033</v>
      </c>
      <c r="BZ57" s="222"/>
      <c r="CA57" s="222"/>
      <c r="CB57" s="222"/>
      <c r="CC57" s="222"/>
      <c r="CD57" s="222"/>
      <c r="CE57" s="222"/>
      <c r="CU57" s="227">
        <v>51</v>
      </c>
      <c r="CV57" s="226">
        <v>43237</v>
      </c>
      <c r="CW57" s="227" t="s">
        <v>303</v>
      </c>
      <c r="CX57" s="229">
        <v>1</v>
      </c>
      <c r="CY57" s="230">
        <v>6</v>
      </c>
      <c r="CZ57" s="230">
        <v>2251106</v>
      </c>
      <c r="DB57" s="222"/>
      <c r="DC57" s="222"/>
      <c r="DD57" s="222"/>
      <c r="DE57" s="222"/>
      <c r="DF57" s="222"/>
      <c r="DG57" s="222"/>
      <c r="DI57" s="227">
        <v>51</v>
      </c>
      <c r="DJ57" s="226">
        <v>42986</v>
      </c>
      <c r="DK57" s="227" t="s">
        <v>302</v>
      </c>
      <c r="DL57" s="229">
        <v>5</v>
      </c>
      <c r="DM57" s="230">
        <v>122</v>
      </c>
      <c r="DN57" s="230">
        <v>2781292</v>
      </c>
      <c r="FM57" s="222"/>
      <c r="FN57" s="222"/>
      <c r="FO57" s="222"/>
      <c r="FP57" s="222"/>
      <c r="FQ57" s="222"/>
      <c r="FR57" s="222"/>
      <c r="GA57" s="222"/>
      <c r="GB57" s="222"/>
      <c r="GC57" s="222"/>
      <c r="GD57" s="222"/>
      <c r="GE57" s="222"/>
      <c r="GF57" s="222"/>
      <c r="GH57" s="227">
        <v>51</v>
      </c>
      <c r="GI57" s="235">
        <v>42771</v>
      </c>
      <c r="GJ57" s="227" t="s">
        <v>317</v>
      </c>
      <c r="GK57" s="234">
        <v>1</v>
      </c>
      <c r="GL57" s="233">
        <v>56</v>
      </c>
      <c r="GM57" s="229">
        <v>323421</v>
      </c>
      <c r="GO57" s="227">
        <v>51</v>
      </c>
      <c r="GP57" s="226">
        <v>42740</v>
      </c>
      <c r="GQ57" s="225" t="s">
        <v>303</v>
      </c>
      <c r="GR57" s="232">
        <v>7</v>
      </c>
      <c r="GS57" s="232">
        <v>214</v>
      </c>
      <c r="GT57" s="229">
        <v>4665596</v>
      </c>
      <c r="HC57" s="238">
        <v>51</v>
      </c>
      <c r="HD57" s="237">
        <v>42719</v>
      </c>
      <c r="HE57" s="227" t="s">
        <v>316</v>
      </c>
      <c r="HF57" s="234">
        <v>1</v>
      </c>
      <c r="HG57" s="234">
        <v>262</v>
      </c>
      <c r="HH57" s="236">
        <v>627102</v>
      </c>
      <c r="HJ57" s="227">
        <v>51</v>
      </c>
      <c r="HK57" s="226">
        <v>42670</v>
      </c>
      <c r="HL57" s="225" t="s">
        <v>303</v>
      </c>
      <c r="HM57" s="224">
        <v>1</v>
      </c>
      <c r="HN57" s="224">
        <v>1</v>
      </c>
      <c r="HO57" s="224">
        <v>7499466</v>
      </c>
    </row>
    <row r="58" spans="1:223" ht="13.5" customHeight="1" x14ac:dyDescent="0.45">
      <c r="A58" s="222"/>
      <c r="B58" s="222"/>
      <c r="C58" s="222"/>
      <c r="D58" s="222"/>
      <c r="E58" s="222"/>
      <c r="F58" s="222"/>
      <c r="V58" s="227">
        <v>52</v>
      </c>
      <c r="W58" s="226">
        <v>43504</v>
      </c>
      <c r="X58" s="227" t="s">
        <v>320</v>
      </c>
      <c r="Y58" s="229">
        <v>2</v>
      </c>
      <c r="Z58" s="228">
        <v>23</v>
      </c>
      <c r="AA58" s="228">
        <v>5037770</v>
      </c>
      <c r="AC58" s="222"/>
      <c r="AD58" s="222"/>
      <c r="AE58" s="222"/>
      <c r="AF58" s="222"/>
      <c r="AG58" s="222"/>
      <c r="AH58" s="222"/>
      <c r="AJ58" s="222"/>
      <c r="AK58" s="222"/>
      <c r="AL58" s="222"/>
      <c r="AM58" s="222"/>
      <c r="AN58" s="222"/>
      <c r="AO58" s="222"/>
      <c r="AQ58" s="227">
        <v>52</v>
      </c>
      <c r="AR58" s="226">
        <v>43433</v>
      </c>
      <c r="AS58" s="227" t="s">
        <v>303</v>
      </c>
      <c r="AT58" s="229">
        <v>6</v>
      </c>
      <c r="AU58" s="228">
        <v>209</v>
      </c>
      <c r="AV58" s="228">
        <v>479096</v>
      </c>
      <c r="BS58" s="227">
        <v>52</v>
      </c>
      <c r="BT58" s="226">
        <v>43329</v>
      </c>
      <c r="BU58" s="227" t="s">
        <v>302</v>
      </c>
      <c r="BV58" s="230">
        <v>1</v>
      </c>
      <c r="BW58" s="231">
        <v>11</v>
      </c>
      <c r="BX58" s="231">
        <v>3189044</v>
      </c>
      <c r="CU58" s="227">
        <v>52</v>
      </c>
      <c r="CV58" s="226">
        <v>43238</v>
      </c>
      <c r="CW58" s="227" t="s">
        <v>302</v>
      </c>
      <c r="CX58" s="229">
        <v>1</v>
      </c>
      <c r="CY58" s="230">
        <v>42</v>
      </c>
      <c r="CZ58" s="230">
        <v>2251148</v>
      </c>
      <c r="DB58" s="222"/>
      <c r="DC58" s="222"/>
      <c r="DD58" s="222"/>
      <c r="DE58" s="222"/>
      <c r="DF58" s="222"/>
      <c r="DG58" s="222"/>
      <c r="DI58" s="227">
        <v>52</v>
      </c>
      <c r="DJ58" s="226">
        <v>42987</v>
      </c>
      <c r="DK58" s="227" t="s">
        <v>301</v>
      </c>
      <c r="DL58" s="229">
        <v>5</v>
      </c>
      <c r="DM58" s="230">
        <v>297</v>
      </c>
      <c r="DN58" s="230">
        <v>2781589</v>
      </c>
      <c r="FM58" s="222"/>
      <c r="FN58" s="222"/>
      <c r="FO58" s="222"/>
      <c r="FP58" s="222"/>
      <c r="FQ58" s="222"/>
      <c r="FR58" s="222"/>
      <c r="GA58" s="222"/>
      <c r="GB58" s="222"/>
      <c r="GC58" s="222"/>
      <c r="GD58" s="222"/>
      <c r="GE58" s="222"/>
      <c r="GF58" s="222"/>
      <c r="GH58" s="227">
        <v>52</v>
      </c>
      <c r="GI58" s="235">
        <v>42773</v>
      </c>
      <c r="GJ58" s="227" t="s">
        <v>312</v>
      </c>
      <c r="GK58" s="234">
        <v>1</v>
      </c>
      <c r="GL58" s="233">
        <v>5</v>
      </c>
      <c r="GM58" s="229">
        <v>323426</v>
      </c>
      <c r="GO58" s="227">
        <v>52</v>
      </c>
      <c r="GP58" s="226">
        <v>42741</v>
      </c>
      <c r="GQ58" s="225" t="s">
        <v>302</v>
      </c>
      <c r="GR58" s="232">
        <v>9</v>
      </c>
      <c r="GS58" s="232">
        <v>214</v>
      </c>
      <c r="GT58" s="229">
        <v>4665810</v>
      </c>
      <c r="HC58" s="238">
        <v>52</v>
      </c>
      <c r="HD58" s="237">
        <v>42760</v>
      </c>
      <c r="HE58" s="227" t="s">
        <v>310</v>
      </c>
      <c r="HF58" s="234">
        <v>1</v>
      </c>
      <c r="HG58" s="234">
        <v>322</v>
      </c>
      <c r="HH58" s="236">
        <v>627424</v>
      </c>
      <c r="HJ58" s="227">
        <v>52</v>
      </c>
      <c r="HK58" s="226">
        <v>42671</v>
      </c>
      <c r="HL58" s="225" t="s">
        <v>302</v>
      </c>
      <c r="HM58" s="224">
        <v>3</v>
      </c>
      <c r="HN58" s="224">
        <v>252</v>
      </c>
      <c r="HO58" s="224">
        <v>7499718</v>
      </c>
    </row>
    <row r="59" spans="1:223" ht="13.5" customHeight="1" x14ac:dyDescent="0.45">
      <c r="B59" s="222"/>
      <c r="C59" s="222"/>
      <c r="D59" s="222"/>
      <c r="E59" s="222"/>
      <c r="F59" s="222"/>
      <c r="V59" s="227">
        <v>53</v>
      </c>
      <c r="W59" s="226">
        <v>43505</v>
      </c>
      <c r="X59" s="227" t="s">
        <v>319</v>
      </c>
      <c r="Y59" s="229">
        <v>3</v>
      </c>
      <c r="Z59" s="228">
        <v>40</v>
      </c>
      <c r="AA59" s="228">
        <v>5037810</v>
      </c>
      <c r="AC59" s="222"/>
      <c r="AD59" s="222"/>
      <c r="AE59" s="222"/>
      <c r="AF59" s="222"/>
      <c r="AG59" s="222"/>
      <c r="AH59" s="222"/>
      <c r="AJ59" s="222"/>
      <c r="AK59" s="222"/>
      <c r="AL59" s="222"/>
      <c r="AM59" s="222"/>
      <c r="AN59" s="222"/>
      <c r="AO59" s="222"/>
      <c r="AQ59" s="227">
        <v>53</v>
      </c>
      <c r="AR59" s="226">
        <v>43434</v>
      </c>
      <c r="AS59" s="227" t="s">
        <v>302</v>
      </c>
      <c r="AT59" s="229">
        <v>8</v>
      </c>
      <c r="AU59" s="228">
        <v>389</v>
      </c>
      <c r="AV59" s="228">
        <v>479485</v>
      </c>
      <c r="BS59" s="227">
        <v>53</v>
      </c>
      <c r="BT59" s="226">
        <v>43330</v>
      </c>
      <c r="BU59" s="227" t="s">
        <v>301</v>
      </c>
      <c r="BV59" s="230">
        <v>1</v>
      </c>
      <c r="BW59" s="231">
        <v>16</v>
      </c>
      <c r="BX59" s="231">
        <v>3189060</v>
      </c>
      <c r="CU59" s="227">
        <v>53</v>
      </c>
      <c r="CV59" s="226">
        <v>43239</v>
      </c>
      <c r="CW59" s="227" t="s">
        <v>301</v>
      </c>
      <c r="CX59" s="229">
        <v>2</v>
      </c>
      <c r="CY59" s="230">
        <v>93</v>
      </c>
      <c r="CZ59" s="230">
        <v>2251241</v>
      </c>
      <c r="DI59" s="227">
        <v>53</v>
      </c>
      <c r="DJ59" s="226">
        <v>42988</v>
      </c>
      <c r="DK59" s="227" t="s">
        <v>300</v>
      </c>
      <c r="DL59" s="229">
        <v>6</v>
      </c>
      <c r="DM59" s="230">
        <v>211</v>
      </c>
      <c r="DN59" s="230">
        <v>2781800</v>
      </c>
      <c r="FM59" s="222"/>
      <c r="FN59" s="222"/>
      <c r="FO59" s="222"/>
      <c r="FP59" s="222"/>
      <c r="FQ59" s="222"/>
      <c r="FR59" s="222"/>
      <c r="GA59" s="222"/>
      <c r="GB59" s="222"/>
      <c r="GC59" s="222"/>
      <c r="GD59" s="222"/>
      <c r="GE59" s="222"/>
      <c r="GF59" s="222"/>
      <c r="GH59" s="227">
        <v>53</v>
      </c>
      <c r="GI59" s="235">
        <v>42774</v>
      </c>
      <c r="GJ59" s="227" t="s">
        <v>310</v>
      </c>
      <c r="GK59" s="234">
        <v>1</v>
      </c>
      <c r="GL59" s="233">
        <v>8</v>
      </c>
      <c r="GM59" s="229">
        <v>323434</v>
      </c>
      <c r="GO59" s="227">
        <v>53</v>
      </c>
      <c r="GP59" s="226">
        <v>42742</v>
      </c>
      <c r="GQ59" s="225" t="s">
        <v>301</v>
      </c>
      <c r="GR59" s="232">
        <v>13</v>
      </c>
      <c r="GS59" s="232">
        <v>429</v>
      </c>
      <c r="GT59" s="229">
        <v>4666239</v>
      </c>
      <c r="HC59" s="223" t="s">
        <v>318</v>
      </c>
      <c r="HJ59" s="227">
        <v>53</v>
      </c>
      <c r="HK59" s="226">
        <v>42672</v>
      </c>
      <c r="HL59" s="225" t="s">
        <v>301</v>
      </c>
      <c r="HM59" s="224">
        <v>1</v>
      </c>
      <c r="HN59" s="224">
        <v>7</v>
      </c>
      <c r="HO59" s="224">
        <v>7499725</v>
      </c>
    </row>
    <row r="60" spans="1:223" ht="13.5" customHeight="1" x14ac:dyDescent="0.45">
      <c r="A60" s="222"/>
      <c r="B60" s="222"/>
      <c r="C60" s="222"/>
      <c r="D60" s="222"/>
      <c r="E60" s="222"/>
      <c r="F60" s="222"/>
      <c r="V60" s="227">
        <v>54</v>
      </c>
      <c r="W60" s="226">
        <v>43506</v>
      </c>
      <c r="X60" s="227" t="s">
        <v>317</v>
      </c>
      <c r="Y60" s="229">
        <v>3</v>
      </c>
      <c r="Z60" s="228">
        <v>51</v>
      </c>
      <c r="AA60" s="228">
        <v>5037861</v>
      </c>
      <c r="AC60" s="222"/>
      <c r="AD60" s="222"/>
      <c r="AE60" s="222"/>
      <c r="AF60" s="222"/>
      <c r="AG60" s="222"/>
      <c r="AH60" s="222"/>
      <c r="AJ60" s="222"/>
      <c r="AK60" s="222"/>
      <c r="AL60" s="222"/>
      <c r="AM60" s="222"/>
      <c r="AN60" s="222"/>
      <c r="AO60" s="222"/>
      <c r="AQ60" s="227">
        <v>54</v>
      </c>
      <c r="AR60" s="226">
        <v>43435</v>
      </c>
      <c r="AS60" s="227" t="s">
        <v>301</v>
      </c>
      <c r="AT60" s="229">
        <v>7</v>
      </c>
      <c r="AU60" s="228">
        <v>496</v>
      </c>
      <c r="AV60" s="228">
        <v>479981</v>
      </c>
      <c r="BS60" s="227">
        <v>54</v>
      </c>
      <c r="BT60" s="226">
        <v>43331</v>
      </c>
      <c r="BU60" s="227" t="s">
        <v>300</v>
      </c>
      <c r="BV60" s="230">
        <v>1</v>
      </c>
      <c r="BW60" s="231">
        <v>10</v>
      </c>
      <c r="BX60" s="231">
        <v>3189070</v>
      </c>
      <c r="CU60" s="227">
        <v>54</v>
      </c>
      <c r="CV60" s="226">
        <v>43240</v>
      </c>
      <c r="CW60" s="227" t="s">
        <v>300</v>
      </c>
      <c r="CX60" s="229">
        <v>1</v>
      </c>
      <c r="CY60" s="230">
        <v>19</v>
      </c>
      <c r="CZ60" s="230">
        <v>2251260</v>
      </c>
      <c r="DI60" s="227">
        <v>54</v>
      </c>
      <c r="DJ60" s="226">
        <v>42989</v>
      </c>
      <c r="DK60" s="227" t="s">
        <v>307</v>
      </c>
      <c r="DL60" s="229">
        <v>6</v>
      </c>
      <c r="DM60" s="230">
        <v>356</v>
      </c>
      <c r="DN60" s="230">
        <v>2782156</v>
      </c>
      <c r="FM60" s="222"/>
      <c r="FN60" s="222"/>
      <c r="FO60" s="222"/>
      <c r="FP60" s="222"/>
      <c r="FQ60" s="222"/>
      <c r="FR60" s="222"/>
      <c r="GA60" s="222"/>
      <c r="GB60" s="222"/>
      <c r="GC60" s="222"/>
      <c r="GD60" s="222"/>
      <c r="GE60" s="222"/>
      <c r="GF60" s="222"/>
      <c r="GH60" s="227">
        <v>54</v>
      </c>
      <c r="GI60" s="235">
        <v>42775</v>
      </c>
      <c r="GJ60" s="227" t="s">
        <v>316</v>
      </c>
      <c r="GK60" s="234">
        <v>1</v>
      </c>
      <c r="GL60" s="233">
        <v>6</v>
      </c>
      <c r="GM60" s="229">
        <v>323440</v>
      </c>
      <c r="GO60" s="227">
        <v>54</v>
      </c>
      <c r="GP60" s="226">
        <v>42743</v>
      </c>
      <c r="GQ60" s="225" t="s">
        <v>300</v>
      </c>
      <c r="GR60" s="232">
        <v>10</v>
      </c>
      <c r="GS60" s="232">
        <v>367</v>
      </c>
      <c r="GT60" s="229">
        <v>4666606</v>
      </c>
      <c r="HJ60" s="227">
        <v>54</v>
      </c>
      <c r="HK60" s="226">
        <v>42673</v>
      </c>
      <c r="HL60" s="225" t="s">
        <v>300</v>
      </c>
      <c r="HM60" s="224">
        <v>2</v>
      </c>
      <c r="HN60" s="224">
        <v>13</v>
      </c>
      <c r="HO60" s="224">
        <v>7499738</v>
      </c>
    </row>
    <row r="61" spans="1:223" ht="13.5" customHeight="1" x14ac:dyDescent="0.45">
      <c r="A61" s="222"/>
      <c r="B61" s="222"/>
      <c r="C61" s="222"/>
      <c r="D61" s="222"/>
      <c r="E61" s="222"/>
      <c r="F61" s="222"/>
      <c r="V61" s="227">
        <v>55</v>
      </c>
      <c r="W61" s="226">
        <v>43507</v>
      </c>
      <c r="X61" s="227" t="s">
        <v>315</v>
      </c>
      <c r="Y61" s="229">
        <v>4</v>
      </c>
      <c r="Z61" s="228">
        <v>23</v>
      </c>
      <c r="AA61" s="228">
        <v>5037884</v>
      </c>
      <c r="AD61" s="222"/>
      <c r="AE61" s="222"/>
      <c r="AF61" s="222"/>
      <c r="AG61" s="222"/>
      <c r="AH61" s="222"/>
      <c r="AK61" s="222"/>
      <c r="AL61" s="222"/>
      <c r="AM61" s="222"/>
      <c r="AN61" s="222"/>
      <c r="AO61" s="222"/>
      <c r="AQ61" s="227">
        <v>55</v>
      </c>
      <c r="AR61" s="226">
        <v>43436</v>
      </c>
      <c r="AS61" s="227" t="s">
        <v>300</v>
      </c>
      <c r="AT61" s="229">
        <v>7</v>
      </c>
      <c r="AU61" s="228">
        <v>503</v>
      </c>
      <c r="AV61" s="228">
        <v>480484</v>
      </c>
      <c r="BS61" s="227">
        <v>55</v>
      </c>
      <c r="BT61" s="226">
        <v>43332</v>
      </c>
      <c r="BU61" s="227" t="s">
        <v>307</v>
      </c>
      <c r="BV61" s="230">
        <v>1</v>
      </c>
      <c r="BW61" s="231">
        <v>5</v>
      </c>
      <c r="BX61" s="231">
        <v>3189075</v>
      </c>
      <c r="CU61" s="227">
        <v>55</v>
      </c>
      <c r="CV61" s="226">
        <v>43241</v>
      </c>
      <c r="CW61" s="227" t="s">
        <v>307</v>
      </c>
      <c r="CX61" s="229">
        <v>1</v>
      </c>
      <c r="CY61" s="230">
        <v>19</v>
      </c>
      <c r="CZ61" s="230">
        <v>2251279</v>
      </c>
      <c r="DI61" s="227">
        <v>55</v>
      </c>
      <c r="DJ61" s="226">
        <v>42990</v>
      </c>
      <c r="DK61" s="227" t="s">
        <v>305</v>
      </c>
      <c r="DL61" s="229">
        <v>6</v>
      </c>
      <c r="DM61" s="230">
        <v>87</v>
      </c>
      <c r="DN61" s="230">
        <v>2782243</v>
      </c>
      <c r="FM61" s="222"/>
      <c r="FN61" s="222"/>
      <c r="FO61" s="222"/>
      <c r="FP61" s="222"/>
      <c r="FQ61" s="222"/>
      <c r="FR61" s="222"/>
      <c r="GA61" s="222"/>
      <c r="GB61" s="222"/>
      <c r="GC61" s="222"/>
      <c r="GD61" s="222"/>
      <c r="GE61" s="222"/>
      <c r="GF61" s="222"/>
      <c r="GH61" s="223" t="s">
        <v>314</v>
      </c>
      <c r="GO61" s="223" t="s">
        <v>313</v>
      </c>
      <c r="HJ61" s="227">
        <v>55</v>
      </c>
      <c r="HK61" s="226">
        <v>42674</v>
      </c>
      <c r="HL61" s="225" t="s">
        <v>307</v>
      </c>
      <c r="HM61" s="224">
        <v>2</v>
      </c>
      <c r="HN61" s="224">
        <v>7</v>
      </c>
      <c r="HO61" s="224">
        <v>7499745</v>
      </c>
    </row>
    <row r="62" spans="1:223" ht="13.5" customHeight="1" x14ac:dyDescent="0.45">
      <c r="A62" s="222"/>
      <c r="B62" s="222"/>
      <c r="C62" s="222"/>
      <c r="D62" s="222"/>
      <c r="E62" s="222"/>
      <c r="F62" s="222"/>
      <c r="V62" s="227">
        <v>56</v>
      </c>
      <c r="W62" s="226">
        <v>43508</v>
      </c>
      <c r="X62" s="227" t="s">
        <v>312</v>
      </c>
      <c r="Y62" s="229">
        <v>2</v>
      </c>
      <c r="Z62" s="228">
        <v>56</v>
      </c>
      <c r="AA62" s="228">
        <v>5037940</v>
      </c>
      <c r="AC62" s="222"/>
      <c r="AD62" s="222"/>
      <c r="AE62" s="222"/>
      <c r="AF62" s="222"/>
      <c r="AG62" s="222"/>
      <c r="AH62" s="222"/>
      <c r="AJ62" s="222"/>
      <c r="AK62" s="222"/>
      <c r="AL62" s="222"/>
      <c r="AM62" s="222"/>
      <c r="AN62" s="222"/>
      <c r="AO62" s="222"/>
      <c r="AQ62" s="227">
        <v>56</v>
      </c>
      <c r="AR62" s="226">
        <v>43437</v>
      </c>
      <c r="AS62" s="227" t="s">
        <v>307</v>
      </c>
      <c r="AT62" s="229">
        <v>10</v>
      </c>
      <c r="AU62" s="228">
        <v>226</v>
      </c>
      <c r="AV62" s="228">
        <v>480710</v>
      </c>
      <c r="BS62" s="227">
        <v>56</v>
      </c>
      <c r="BT62" s="226">
        <v>43333</v>
      </c>
      <c r="BU62" s="227" t="s">
        <v>305</v>
      </c>
      <c r="BV62" s="230">
        <v>1</v>
      </c>
      <c r="BW62" s="231">
        <v>9</v>
      </c>
      <c r="BX62" s="231">
        <v>3189084</v>
      </c>
      <c r="CU62" s="223" t="s">
        <v>311</v>
      </c>
      <c r="CV62" s="222"/>
      <c r="CW62" s="222"/>
      <c r="CX62" s="222"/>
      <c r="CY62" s="222"/>
      <c r="CZ62" s="222"/>
      <c r="DI62" s="227">
        <v>56</v>
      </c>
      <c r="DJ62" s="226">
        <v>42991</v>
      </c>
      <c r="DK62" s="227" t="s">
        <v>304</v>
      </c>
      <c r="DL62" s="229">
        <v>5</v>
      </c>
      <c r="DM62" s="230">
        <v>64</v>
      </c>
      <c r="DN62" s="230">
        <v>2782307</v>
      </c>
      <c r="FM62" s="222"/>
      <c r="FN62" s="222"/>
      <c r="FO62" s="222"/>
      <c r="FP62" s="222"/>
      <c r="FQ62" s="222"/>
      <c r="FR62" s="222"/>
      <c r="GA62" s="222"/>
      <c r="GB62" s="222"/>
      <c r="GC62" s="222"/>
      <c r="GD62" s="222"/>
      <c r="GE62" s="222"/>
      <c r="GF62" s="222"/>
      <c r="HJ62" s="227">
        <v>56</v>
      </c>
      <c r="HK62" s="226">
        <v>42675</v>
      </c>
      <c r="HL62" s="225" t="s">
        <v>305</v>
      </c>
      <c r="HM62" s="224">
        <v>2</v>
      </c>
      <c r="HN62" s="224">
        <v>6</v>
      </c>
      <c r="HO62" s="224">
        <v>7499751</v>
      </c>
    </row>
    <row r="63" spans="1:223" ht="13.5" customHeight="1" x14ac:dyDescent="0.45">
      <c r="A63" s="222"/>
      <c r="B63" s="222"/>
      <c r="C63" s="222"/>
      <c r="D63" s="222"/>
      <c r="E63" s="222"/>
      <c r="F63" s="222"/>
      <c r="V63" s="227">
        <v>57</v>
      </c>
      <c r="W63" s="226">
        <v>43509</v>
      </c>
      <c r="X63" s="227" t="s">
        <v>310</v>
      </c>
      <c r="Y63" s="229">
        <v>2</v>
      </c>
      <c r="Z63" s="228">
        <v>194</v>
      </c>
      <c r="AA63" s="228">
        <v>5038134</v>
      </c>
      <c r="AC63" s="222"/>
      <c r="AD63" s="222"/>
      <c r="AE63" s="222"/>
      <c r="AF63" s="222"/>
      <c r="AG63" s="222"/>
      <c r="AH63" s="222"/>
      <c r="AJ63" s="222"/>
      <c r="AK63" s="222"/>
      <c r="AL63" s="222"/>
      <c r="AM63" s="222"/>
      <c r="AN63" s="222"/>
      <c r="AO63" s="222"/>
      <c r="AQ63" s="227">
        <v>57</v>
      </c>
      <c r="AR63" s="226">
        <v>43438</v>
      </c>
      <c r="AS63" s="227" t="s">
        <v>305</v>
      </c>
      <c r="AT63" s="229">
        <v>8</v>
      </c>
      <c r="AU63" s="228">
        <v>211</v>
      </c>
      <c r="AV63" s="228">
        <v>480921</v>
      </c>
      <c r="BS63" s="227">
        <v>57</v>
      </c>
      <c r="BT63" s="226">
        <v>43334</v>
      </c>
      <c r="BU63" s="227" t="s">
        <v>304</v>
      </c>
      <c r="BV63" s="230">
        <v>1</v>
      </c>
      <c r="BW63" s="231">
        <v>7</v>
      </c>
      <c r="BX63" s="231">
        <v>3189091</v>
      </c>
      <c r="CU63" s="222"/>
      <c r="CV63" s="222"/>
      <c r="CW63" s="222"/>
      <c r="CX63" s="222"/>
      <c r="CY63" s="222"/>
      <c r="CZ63" s="222"/>
      <c r="DI63" s="227">
        <v>57</v>
      </c>
      <c r="DJ63" s="226">
        <v>42992</v>
      </c>
      <c r="DK63" s="227" t="s">
        <v>303</v>
      </c>
      <c r="DL63" s="229">
        <v>4</v>
      </c>
      <c r="DM63" s="230">
        <v>49</v>
      </c>
      <c r="DN63" s="230">
        <v>2782356</v>
      </c>
      <c r="FM63" s="222"/>
      <c r="FN63" s="222"/>
      <c r="FO63" s="222"/>
      <c r="FP63" s="222"/>
      <c r="FQ63" s="222"/>
      <c r="FR63" s="222"/>
      <c r="GA63" s="222"/>
      <c r="GB63" s="222"/>
      <c r="GC63" s="222"/>
      <c r="GD63" s="222"/>
      <c r="GE63" s="222"/>
      <c r="GF63" s="222"/>
      <c r="HJ63" s="227">
        <v>57</v>
      </c>
      <c r="HK63" s="226">
        <v>42676</v>
      </c>
      <c r="HL63" s="225" t="s">
        <v>304</v>
      </c>
      <c r="HM63" s="224">
        <v>2</v>
      </c>
      <c r="HN63" s="224">
        <v>2</v>
      </c>
      <c r="HO63" s="224">
        <v>7499753</v>
      </c>
    </row>
    <row r="64" spans="1:223" ht="13.5" customHeight="1" x14ac:dyDescent="0.45">
      <c r="V64" s="223" t="s">
        <v>309</v>
      </c>
      <c r="W64" s="222"/>
      <c r="X64" s="222"/>
      <c r="Y64" s="222"/>
      <c r="Z64" s="222"/>
      <c r="AA64" s="222"/>
      <c r="AC64" s="222"/>
      <c r="AD64" s="222"/>
      <c r="AE64" s="222"/>
      <c r="AF64" s="222"/>
      <c r="AG64" s="222"/>
      <c r="AH64" s="222"/>
      <c r="AJ64" s="222"/>
      <c r="AK64" s="222"/>
      <c r="AL64" s="222"/>
      <c r="AM64" s="222"/>
      <c r="AN64" s="222"/>
      <c r="AO64" s="222"/>
      <c r="AQ64" s="227">
        <v>58</v>
      </c>
      <c r="AR64" s="226">
        <v>43439</v>
      </c>
      <c r="AS64" s="227" t="s">
        <v>304</v>
      </c>
      <c r="AT64" s="229">
        <v>6</v>
      </c>
      <c r="AU64" s="228">
        <v>121</v>
      </c>
      <c r="AV64" s="228">
        <v>481042</v>
      </c>
      <c r="BS64" s="223" t="s">
        <v>308</v>
      </c>
      <c r="BT64" s="222"/>
      <c r="BU64" s="222"/>
      <c r="BV64" s="222"/>
      <c r="BW64" s="222"/>
      <c r="BX64" s="222"/>
      <c r="CU64" s="222"/>
      <c r="CV64" s="222"/>
      <c r="CW64" s="222"/>
      <c r="CX64" s="222"/>
      <c r="CY64" s="222"/>
      <c r="CZ64" s="222"/>
      <c r="DI64" s="227">
        <v>58</v>
      </c>
      <c r="DJ64" s="226">
        <v>42993</v>
      </c>
      <c r="DK64" s="227" t="s">
        <v>302</v>
      </c>
      <c r="DL64" s="229">
        <v>4</v>
      </c>
      <c r="DM64" s="230">
        <v>60</v>
      </c>
      <c r="DN64" s="230">
        <v>2782416</v>
      </c>
      <c r="FM64" s="222"/>
      <c r="FN64" s="222"/>
      <c r="FO64" s="222"/>
      <c r="FP64" s="222"/>
      <c r="FQ64" s="222"/>
      <c r="FR64" s="222"/>
      <c r="GA64" s="222"/>
      <c r="GB64" s="222"/>
      <c r="GC64" s="222"/>
      <c r="GD64" s="222"/>
      <c r="GE64" s="222"/>
      <c r="GF64" s="222"/>
      <c r="HJ64" s="227">
        <v>58</v>
      </c>
      <c r="HK64" s="226">
        <v>42677</v>
      </c>
      <c r="HL64" s="225" t="s">
        <v>303</v>
      </c>
      <c r="HM64" s="224">
        <v>2</v>
      </c>
      <c r="HN64" s="224">
        <v>2</v>
      </c>
      <c r="HO64" s="224">
        <v>7499755</v>
      </c>
    </row>
    <row r="65" spans="22:232" ht="13.5" customHeight="1" x14ac:dyDescent="0.45">
      <c r="V65" s="222"/>
      <c r="W65" s="222"/>
      <c r="X65" s="222"/>
      <c r="Y65" s="222"/>
      <c r="Z65" s="222"/>
      <c r="AA65" s="222"/>
      <c r="AC65" s="222"/>
      <c r="AD65" s="222"/>
      <c r="AE65" s="222"/>
      <c r="AF65" s="222"/>
      <c r="AG65" s="222"/>
      <c r="AH65" s="222"/>
      <c r="AJ65" s="222"/>
      <c r="AK65" s="222"/>
      <c r="AL65" s="222"/>
      <c r="AM65" s="222"/>
      <c r="AN65" s="222"/>
      <c r="AO65" s="222"/>
      <c r="AQ65" s="227">
        <v>59</v>
      </c>
      <c r="AR65" s="226">
        <v>43440</v>
      </c>
      <c r="AS65" s="227" t="s">
        <v>303</v>
      </c>
      <c r="AT65" s="229">
        <v>6</v>
      </c>
      <c r="AU65" s="228">
        <v>414</v>
      </c>
      <c r="AV65" s="228">
        <v>481456</v>
      </c>
      <c r="BS65" s="222"/>
      <c r="BT65" s="222"/>
      <c r="BU65" s="222"/>
      <c r="BV65" s="222"/>
      <c r="BW65" s="222"/>
      <c r="BX65" s="222"/>
      <c r="CU65" s="222"/>
      <c r="CV65" s="222"/>
      <c r="CW65" s="222"/>
      <c r="CX65" s="222"/>
      <c r="CY65" s="222"/>
      <c r="CZ65" s="222"/>
      <c r="DI65" s="227">
        <v>59</v>
      </c>
      <c r="DJ65" s="226">
        <v>42994</v>
      </c>
      <c r="DK65" s="227" t="s">
        <v>301</v>
      </c>
      <c r="DL65" s="229">
        <v>3</v>
      </c>
      <c r="DM65" s="230">
        <v>88</v>
      </c>
      <c r="DN65" s="230">
        <v>2782504</v>
      </c>
      <c r="FM65" s="222"/>
      <c r="FN65" s="222"/>
      <c r="FO65" s="222"/>
      <c r="FP65" s="222"/>
      <c r="FQ65" s="222"/>
      <c r="FR65" s="222"/>
      <c r="GA65" s="222"/>
      <c r="GB65" s="222"/>
      <c r="GC65" s="222"/>
      <c r="GD65" s="222"/>
      <c r="GE65" s="222"/>
      <c r="GF65" s="222"/>
      <c r="HJ65" s="227">
        <v>59</v>
      </c>
      <c r="HK65" s="226">
        <v>42678</v>
      </c>
      <c r="HL65" s="225" t="s">
        <v>302</v>
      </c>
      <c r="HM65" s="224">
        <v>3</v>
      </c>
      <c r="HN65" s="224">
        <v>6</v>
      </c>
      <c r="HO65" s="224">
        <v>7499761</v>
      </c>
    </row>
    <row r="66" spans="22:232" ht="13.5" customHeight="1" x14ac:dyDescent="0.45">
      <c r="V66" s="222"/>
      <c r="W66" s="222"/>
      <c r="X66" s="222"/>
      <c r="Y66" s="222"/>
      <c r="Z66" s="222"/>
      <c r="AA66" s="222"/>
      <c r="AQ66" s="227">
        <v>60</v>
      </c>
      <c r="AR66" s="226">
        <v>43441</v>
      </c>
      <c r="AS66" s="227" t="s">
        <v>302</v>
      </c>
      <c r="AT66" s="229">
        <v>7</v>
      </c>
      <c r="AU66" s="228">
        <v>181</v>
      </c>
      <c r="AV66" s="228">
        <v>481637</v>
      </c>
      <c r="DI66" s="227">
        <v>60</v>
      </c>
      <c r="DJ66" s="226">
        <v>42995</v>
      </c>
      <c r="DK66" s="227" t="s">
        <v>300</v>
      </c>
      <c r="DL66" s="229">
        <v>3</v>
      </c>
      <c r="DM66" s="230">
        <v>87</v>
      </c>
      <c r="DN66" s="230">
        <v>2782591</v>
      </c>
      <c r="FM66" s="222"/>
      <c r="FN66" s="222"/>
      <c r="FO66" s="222"/>
      <c r="FP66" s="222"/>
      <c r="FQ66" s="222"/>
      <c r="FR66" s="222"/>
      <c r="GA66" s="222"/>
      <c r="GB66" s="222"/>
      <c r="GC66" s="222"/>
      <c r="GD66" s="222"/>
      <c r="GE66" s="222"/>
      <c r="GF66" s="222"/>
      <c r="HJ66" s="227">
        <v>60</v>
      </c>
      <c r="HK66" s="226">
        <v>42679</v>
      </c>
      <c r="HL66" s="225" t="s">
        <v>301</v>
      </c>
      <c r="HM66" s="224">
        <v>3</v>
      </c>
      <c r="HN66" s="224">
        <v>4</v>
      </c>
      <c r="HO66" s="224">
        <v>7499765</v>
      </c>
    </row>
    <row r="67" spans="22:232" ht="13.5" customHeight="1" x14ac:dyDescent="0.45">
      <c r="V67" s="222"/>
      <c r="W67" s="222"/>
      <c r="X67" s="222"/>
      <c r="Y67" s="222"/>
      <c r="Z67" s="222"/>
      <c r="AA67" s="222"/>
      <c r="AQ67" s="227">
        <v>61</v>
      </c>
      <c r="AR67" s="226">
        <v>43442</v>
      </c>
      <c r="AS67" s="227" t="s">
        <v>301</v>
      </c>
      <c r="AT67" s="229">
        <v>4</v>
      </c>
      <c r="AU67" s="228">
        <v>229</v>
      </c>
      <c r="AV67" s="228">
        <v>481866</v>
      </c>
      <c r="DI67" s="227">
        <v>61</v>
      </c>
      <c r="DJ67" s="226">
        <v>42996</v>
      </c>
      <c r="DK67" s="227" t="s">
        <v>307</v>
      </c>
      <c r="DL67" s="229">
        <v>3</v>
      </c>
      <c r="DM67" s="230">
        <v>314</v>
      </c>
      <c r="DN67" s="230">
        <v>2782905</v>
      </c>
      <c r="FM67" s="222"/>
      <c r="FN67" s="222"/>
      <c r="FO67" s="222"/>
      <c r="FP67" s="222"/>
      <c r="FQ67" s="222"/>
      <c r="FR67" s="222"/>
      <c r="GA67" s="222"/>
      <c r="GB67" s="222"/>
      <c r="GC67" s="222"/>
      <c r="GD67" s="222"/>
      <c r="GE67" s="222"/>
      <c r="GF67" s="222"/>
      <c r="HJ67" s="227">
        <v>61</v>
      </c>
      <c r="HK67" s="226">
        <v>42680</v>
      </c>
      <c r="HL67" s="225" t="s">
        <v>300</v>
      </c>
      <c r="HM67" s="224">
        <v>3</v>
      </c>
      <c r="HN67" s="224">
        <v>4</v>
      </c>
      <c r="HO67" s="224">
        <v>7499769</v>
      </c>
    </row>
    <row r="68" spans="22:232" ht="13.5" customHeight="1" x14ac:dyDescent="0.45">
      <c r="V68" s="222"/>
      <c r="W68" s="222"/>
      <c r="X68" s="222"/>
      <c r="Y68" s="222"/>
      <c r="Z68" s="222"/>
      <c r="AA68" s="222"/>
      <c r="AQ68" s="227">
        <v>62</v>
      </c>
      <c r="AR68" s="226">
        <v>43443</v>
      </c>
      <c r="AS68" s="227" t="s">
        <v>300</v>
      </c>
      <c r="AT68" s="229">
        <v>7</v>
      </c>
      <c r="AU68" s="228">
        <v>288</v>
      </c>
      <c r="AV68" s="228">
        <v>482154</v>
      </c>
      <c r="DI68" s="227">
        <v>62</v>
      </c>
      <c r="DJ68" s="226">
        <v>42997</v>
      </c>
      <c r="DK68" s="227" t="s">
        <v>305</v>
      </c>
      <c r="DL68" s="229">
        <v>3</v>
      </c>
      <c r="DM68" s="230">
        <v>444</v>
      </c>
      <c r="DN68" s="230">
        <v>2783349</v>
      </c>
      <c r="FM68" s="222"/>
      <c r="FN68" s="222"/>
      <c r="FO68" s="222"/>
      <c r="FP68" s="222"/>
      <c r="FQ68" s="222"/>
      <c r="FR68" s="222"/>
      <c r="GA68" s="222"/>
      <c r="GB68" s="222"/>
      <c r="GC68" s="222"/>
      <c r="GD68" s="222"/>
      <c r="GE68" s="222"/>
      <c r="GF68" s="222"/>
      <c r="HJ68" s="227">
        <v>62</v>
      </c>
      <c r="HK68" s="226">
        <v>42681</v>
      </c>
      <c r="HL68" s="225" t="s">
        <v>307</v>
      </c>
      <c r="HM68" s="224">
        <v>2</v>
      </c>
      <c r="HN68" s="224">
        <v>2</v>
      </c>
      <c r="HO68" s="224">
        <v>7499771</v>
      </c>
    </row>
    <row r="69" spans="22:232" ht="13.5" customHeight="1" x14ac:dyDescent="0.45">
      <c r="V69" s="222"/>
      <c r="W69" s="222"/>
      <c r="X69" s="222"/>
      <c r="Y69" s="222"/>
      <c r="Z69" s="222"/>
      <c r="AA69" s="222"/>
      <c r="AQ69" s="227">
        <v>63</v>
      </c>
      <c r="AR69" s="226">
        <v>43444</v>
      </c>
      <c r="AS69" s="227" t="s">
        <v>307</v>
      </c>
      <c r="AT69" s="229">
        <v>5</v>
      </c>
      <c r="AU69" s="228">
        <v>142</v>
      </c>
      <c r="AV69" s="228">
        <v>482296</v>
      </c>
      <c r="DI69" s="227">
        <v>63</v>
      </c>
      <c r="DJ69" s="226">
        <v>42998</v>
      </c>
      <c r="DK69" s="227" t="s">
        <v>304</v>
      </c>
      <c r="DL69" s="229">
        <v>3</v>
      </c>
      <c r="DM69" s="230">
        <v>420</v>
      </c>
      <c r="DN69" s="230">
        <v>2783769</v>
      </c>
      <c r="FM69" s="222"/>
      <c r="FN69" s="222"/>
      <c r="FO69" s="222"/>
      <c r="FP69" s="222"/>
      <c r="FQ69" s="222"/>
      <c r="FR69" s="222"/>
      <c r="GA69" s="222"/>
      <c r="GB69" s="222"/>
      <c r="GC69" s="222"/>
      <c r="GD69" s="222"/>
      <c r="GE69" s="222"/>
      <c r="GF69" s="222"/>
      <c r="HJ69" s="227">
        <v>63</v>
      </c>
      <c r="HK69" s="226">
        <v>42682</v>
      </c>
      <c r="HL69" s="225" t="s">
        <v>305</v>
      </c>
      <c r="HM69" s="224">
        <v>3</v>
      </c>
      <c r="HN69" s="224">
        <v>4</v>
      </c>
      <c r="HO69" s="224">
        <v>7499775</v>
      </c>
    </row>
    <row r="70" spans="22:232" ht="13.5" customHeight="1" x14ac:dyDescent="0.45">
      <c r="V70" s="222"/>
      <c r="W70" s="222"/>
      <c r="X70" s="222"/>
      <c r="Y70" s="222"/>
      <c r="Z70" s="222"/>
      <c r="AA70" s="222"/>
      <c r="AQ70" s="227">
        <v>64</v>
      </c>
      <c r="AR70" s="226">
        <v>43445</v>
      </c>
      <c r="AS70" s="227" t="s">
        <v>305</v>
      </c>
      <c r="AT70" s="229">
        <v>5</v>
      </c>
      <c r="AU70" s="228">
        <v>139</v>
      </c>
      <c r="AV70" s="228">
        <v>482435</v>
      </c>
      <c r="DI70" s="227">
        <v>64</v>
      </c>
      <c r="DJ70" s="226">
        <v>42999</v>
      </c>
      <c r="DK70" s="227" t="s">
        <v>303</v>
      </c>
      <c r="DL70" s="229">
        <v>2</v>
      </c>
      <c r="DM70" s="230">
        <v>566</v>
      </c>
      <c r="DN70" s="230">
        <v>2784335</v>
      </c>
      <c r="FM70" s="222"/>
      <c r="FN70" s="222"/>
      <c r="FO70" s="222"/>
      <c r="FP70" s="222"/>
      <c r="FQ70" s="222"/>
      <c r="FR70" s="222"/>
      <c r="GA70" s="222"/>
      <c r="GB70" s="222"/>
      <c r="GC70" s="222"/>
      <c r="GD70" s="222"/>
      <c r="GE70" s="222"/>
      <c r="GF70" s="222"/>
      <c r="HJ70" s="227">
        <v>64</v>
      </c>
      <c r="HK70" s="226">
        <v>42683</v>
      </c>
      <c r="HL70" s="225" t="s">
        <v>304</v>
      </c>
      <c r="HM70" s="224">
        <v>2</v>
      </c>
      <c r="HN70" s="224">
        <v>2</v>
      </c>
      <c r="HO70" s="224">
        <v>7499777</v>
      </c>
    </row>
    <row r="71" spans="22:232" ht="13.5" customHeight="1" x14ac:dyDescent="0.45">
      <c r="V71" s="222"/>
      <c r="W71" s="222"/>
      <c r="X71" s="222"/>
      <c r="Y71" s="222"/>
      <c r="Z71" s="222"/>
      <c r="AA71" s="222"/>
      <c r="AQ71" s="227">
        <v>65</v>
      </c>
      <c r="AR71" s="226">
        <v>43446</v>
      </c>
      <c r="AS71" s="227" t="s">
        <v>304</v>
      </c>
      <c r="AT71" s="229">
        <v>4</v>
      </c>
      <c r="AU71" s="228">
        <v>86</v>
      </c>
      <c r="AV71" s="228">
        <v>482521</v>
      </c>
      <c r="DI71" s="227">
        <v>65</v>
      </c>
      <c r="DJ71" s="226">
        <v>43000</v>
      </c>
      <c r="DK71" s="227" t="s">
        <v>302</v>
      </c>
      <c r="DL71" s="229">
        <v>2</v>
      </c>
      <c r="DM71" s="230">
        <v>549</v>
      </c>
      <c r="DN71" s="230">
        <v>2784884</v>
      </c>
      <c r="FM71" s="222"/>
      <c r="FN71" s="222"/>
      <c r="FO71" s="222"/>
      <c r="FP71" s="222"/>
      <c r="FQ71" s="222"/>
      <c r="FR71" s="222"/>
      <c r="GA71" s="222"/>
      <c r="GB71" s="222"/>
      <c r="GC71" s="222"/>
      <c r="GD71" s="222"/>
      <c r="GE71" s="222"/>
      <c r="GF71" s="222"/>
      <c r="HJ71" s="227">
        <v>65</v>
      </c>
      <c r="HK71" s="226">
        <v>42684</v>
      </c>
      <c r="HL71" s="225" t="s">
        <v>303</v>
      </c>
      <c r="HM71" s="224">
        <v>2</v>
      </c>
      <c r="HN71" s="224">
        <v>2</v>
      </c>
      <c r="HO71" s="224">
        <v>7499779</v>
      </c>
    </row>
    <row r="72" spans="22:232" ht="13.5" customHeight="1" x14ac:dyDescent="0.45">
      <c r="V72" s="222"/>
      <c r="W72" s="222"/>
      <c r="X72" s="222"/>
      <c r="Y72" s="222"/>
      <c r="Z72" s="222"/>
      <c r="AA72" s="222"/>
      <c r="AQ72" s="227">
        <v>66</v>
      </c>
      <c r="AR72" s="226">
        <v>43447</v>
      </c>
      <c r="AS72" s="227" t="s">
        <v>303</v>
      </c>
      <c r="AT72" s="229">
        <v>3</v>
      </c>
      <c r="AU72" s="228">
        <v>64</v>
      </c>
      <c r="AV72" s="228">
        <v>482585</v>
      </c>
      <c r="DI72" s="227">
        <v>66</v>
      </c>
      <c r="DJ72" s="226">
        <v>43001</v>
      </c>
      <c r="DK72" s="227" t="s">
        <v>301</v>
      </c>
      <c r="DL72" s="229">
        <v>1</v>
      </c>
      <c r="DM72" s="230">
        <v>776</v>
      </c>
      <c r="DN72" s="230">
        <v>2785660</v>
      </c>
      <c r="GA72" s="222"/>
      <c r="GB72" s="222"/>
      <c r="GC72" s="222"/>
      <c r="GD72" s="222"/>
      <c r="GE72" s="222"/>
      <c r="GF72" s="222"/>
      <c r="HJ72" s="227">
        <v>66</v>
      </c>
      <c r="HK72" s="226">
        <v>42685</v>
      </c>
      <c r="HL72" s="225" t="s">
        <v>302</v>
      </c>
      <c r="HM72" s="224">
        <v>2</v>
      </c>
      <c r="HN72" s="224">
        <v>2</v>
      </c>
      <c r="HO72" s="224">
        <v>7499781</v>
      </c>
    </row>
    <row r="73" spans="22:232" ht="13.5" customHeight="1" x14ac:dyDescent="0.45">
      <c r="V73" s="222"/>
      <c r="W73" s="222"/>
      <c r="X73" s="222"/>
      <c r="Y73" s="222"/>
      <c r="Z73" s="222"/>
      <c r="AA73" s="222"/>
      <c r="AQ73" s="227">
        <v>67</v>
      </c>
      <c r="AR73" s="226">
        <v>43448</v>
      </c>
      <c r="AS73" s="227" t="s">
        <v>302</v>
      </c>
      <c r="AT73" s="229">
        <v>3</v>
      </c>
      <c r="AU73" s="228">
        <v>77</v>
      </c>
      <c r="AV73" s="228">
        <v>482662</v>
      </c>
      <c r="DI73" s="227">
        <v>67</v>
      </c>
      <c r="DJ73" s="226">
        <v>43002</v>
      </c>
      <c r="DK73" s="227" t="s">
        <v>300</v>
      </c>
      <c r="DL73" s="229">
        <v>2</v>
      </c>
      <c r="DM73" s="230">
        <v>651</v>
      </c>
      <c r="DN73" s="230">
        <v>2786311</v>
      </c>
      <c r="GA73" s="222"/>
      <c r="GB73" s="222"/>
      <c r="GC73" s="222"/>
      <c r="GD73" s="222"/>
      <c r="GE73" s="222"/>
      <c r="GF73" s="222"/>
      <c r="HJ73" s="227">
        <v>67</v>
      </c>
      <c r="HK73" s="226">
        <v>42686</v>
      </c>
      <c r="HL73" s="225" t="s">
        <v>301</v>
      </c>
      <c r="HM73" s="224">
        <v>2</v>
      </c>
      <c r="HN73" s="224">
        <v>2</v>
      </c>
      <c r="HO73" s="224">
        <v>7499783</v>
      </c>
    </row>
    <row r="74" spans="22:232" ht="13.5" customHeight="1" x14ac:dyDescent="0.45">
      <c r="V74" s="222"/>
      <c r="W74" s="222"/>
      <c r="X74" s="222"/>
      <c r="Y74" s="222"/>
      <c r="Z74" s="222"/>
      <c r="AA74" s="222"/>
      <c r="AQ74" s="227">
        <v>68</v>
      </c>
      <c r="AR74" s="226">
        <v>43449</v>
      </c>
      <c r="AS74" s="227" t="s">
        <v>301</v>
      </c>
      <c r="AT74" s="229">
        <v>4</v>
      </c>
      <c r="AU74" s="228">
        <v>256</v>
      </c>
      <c r="AV74" s="228">
        <v>482918</v>
      </c>
      <c r="DI74" s="227">
        <v>68</v>
      </c>
      <c r="DJ74" s="226">
        <v>43003</v>
      </c>
      <c r="DK74" s="227" t="s">
        <v>307</v>
      </c>
      <c r="DL74" s="229">
        <v>2</v>
      </c>
      <c r="DM74" s="230">
        <v>382</v>
      </c>
      <c r="DN74" s="230">
        <v>2786693</v>
      </c>
      <c r="GA74" s="222"/>
      <c r="GB74" s="222"/>
      <c r="GC74" s="222"/>
      <c r="GD74" s="222"/>
      <c r="GE74" s="222"/>
      <c r="GF74" s="222"/>
      <c r="HJ74" s="227">
        <v>68</v>
      </c>
      <c r="HK74" s="226">
        <v>42687</v>
      </c>
      <c r="HL74" s="225" t="s">
        <v>300</v>
      </c>
      <c r="HM74" s="224">
        <v>2</v>
      </c>
      <c r="HN74" s="224">
        <v>2</v>
      </c>
      <c r="HO74" s="224">
        <v>7499785</v>
      </c>
    </row>
    <row r="75" spans="22:232" ht="13.5" customHeight="1" x14ac:dyDescent="0.45">
      <c r="V75" s="222"/>
      <c r="W75" s="222"/>
      <c r="X75" s="222"/>
      <c r="Y75" s="222"/>
      <c r="Z75" s="222"/>
      <c r="AA75" s="222"/>
      <c r="AQ75" s="227">
        <v>69</v>
      </c>
      <c r="AR75" s="226">
        <v>43450</v>
      </c>
      <c r="AS75" s="227" t="s">
        <v>300</v>
      </c>
      <c r="AT75" s="229">
        <v>4</v>
      </c>
      <c r="AU75" s="228">
        <v>213</v>
      </c>
      <c r="AV75" s="228">
        <v>483131</v>
      </c>
      <c r="DI75" s="227">
        <v>69</v>
      </c>
      <c r="DJ75" s="226">
        <v>43004</v>
      </c>
      <c r="DK75" s="227" t="s">
        <v>305</v>
      </c>
      <c r="DL75" s="229">
        <v>2</v>
      </c>
      <c r="DM75" s="230">
        <v>244</v>
      </c>
      <c r="DN75" s="230">
        <v>2786937</v>
      </c>
      <c r="GA75" s="222"/>
      <c r="GB75" s="222"/>
      <c r="GC75" s="222"/>
      <c r="GD75" s="222"/>
      <c r="GE75" s="222"/>
      <c r="GF75" s="222"/>
      <c r="HJ75" s="227">
        <v>69</v>
      </c>
      <c r="HK75" s="226">
        <v>42688</v>
      </c>
      <c r="HL75" s="225" t="s">
        <v>307</v>
      </c>
      <c r="HM75" s="224">
        <v>2</v>
      </c>
      <c r="HN75" s="224">
        <v>2</v>
      </c>
      <c r="HO75" s="224">
        <v>7499787</v>
      </c>
      <c r="HP75" s="222"/>
      <c r="HQ75" s="222"/>
      <c r="HW75" s="222"/>
      <c r="HX75" s="222"/>
    </row>
    <row r="76" spans="22:232" ht="13.5" customHeight="1" x14ac:dyDescent="0.45">
      <c r="V76" s="222"/>
      <c r="W76" s="222"/>
      <c r="X76" s="222"/>
      <c r="Y76" s="222"/>
      <c r="Z76" s="222"/>
      <c r="AA76" s="222"/>
      <c r="AQ76" s="227">
        <v>70</v>
      </c>
      <c r="AR76" s="226">
        <v>43451</v>
      </c>
      <c r="AS76" s="227" t="s">
        <v>307</v>
      </c>
      <c r="AT76" s="229">
        <v>3</v>
      </c>
      <c r="AU76" s="228">
        <v>45</v>
      </c>
      <c r="AV76" s="228">
        <v>483176</v>
      </c>
      <c r="DI76" s="223" t="s">
        <v>306</v>
      </c>
      <c r="GA76" s="222"/>
      <c r="GB76" s="222"/>
      <c r="GC76" s="222"/>
      <c r="GD76" s="222"/>
      <c r="GE76" s="222"/>
      <c r="GF76" s="222"/>
      <c r="HJ76" s="227">
        <v>70</v>
      </c>
      <c r="HK76" s="226">
        <v>42689</v>
      </c>
      <c r="HL76" s="225" t="s">
        <v>305</v>
      </c>
      <c r="HM76" s="224">
        <v>2</v>
      </c>
      <c r="HN76" s="224">
        <v>2</v>
      </c>
      <c r="HO76" s="224">
        <v>7499789</v>
      </c>
    </row>
    <row r="77" spans="22:232" ht="13.5" customHeight="1" x14ac:dyDescent="0.45">
      <c r="V77" s="222"/>
      <c r="W77" s="222"/>
      <c r="X77" s="222"/>
      <c r="Y77" s="222"/>
      <c r="Z77" s="222"/>
      <c r="AA77" s="222"/>
      <c r="AQ77" s="227">
        <v>71</v>
      </c>
      <c r="AR77" s="226">
        <v>43452</v>
      </c>
      <c r="AS77" s="227" t="s">
        <v>305</v>
      </c>
      <c r="AT77" s="229">
        <v>4</v>
      </c>
      <c r="AU77" s="228">
        <v>102</v>
      </c>
      <c r="AV77" s="228">
        <v>483278</v>
      </c>
      <c r="GA77" s="222"/>
      <c r="GB77" s="222"/>
      <c r="GC77" s="222"/>
      <c r="GD77" s="222"/>
      <c r="GE77" s="222"/>
      <c r="GF77" s="222"/>
      <c r="HJ77" s="227">
        <v>71</v>
      </c>
      <c r="HK77" s="226">
        <v>42697</v>
      </c>
      <c r="HL77" s="225" t="s">
        <v>304</v>
      </c>
      <c r="HM77" s="224">
        <v>1</v>
      </c>
      <c r="HN77" s="224">
        <v>160</v>
      </c>
      <c r="HO77" s="224">
        <v>7499949</v>
      </c>
    </row>
    <row r="78" spans="22:232" ht="13.5" customHeight="1" x14ac:dyDescent="0.45">
      <c r="V78" s="222"/>
      <c r="W78" s="222"/>
      <c r="X78" s="222"/>
      <c r="Y78" s="222"/>
      <c r="Z78" s="222"/>
      <c r="AA78" s="222"/>
      <c r="AQ78" s="227">
        <v>72</v>
      </c>
      <c r="AR78" s="226">
        <v>43453</v>
      </c>
      <c r="AS78" s="227" t="s">
        <v>304</v>
      </c>
      <c r="AT78" s="229">
        <v>1</v>
      </c>
      <c r="AU78" s="228">
        <v>30</v>
      </c>
      <c r="AV78" s="228">
        <v>483308</v>
      </c>
      <c r="GA78" s="222"/>
      <c r="GB78" s="222"/>
      <c r="GC78" s="222"/>
      <c r="GD78" s="222"/>
      <c r="GE78" s="222"/>
      <c r="GF78" s="222"/>
      <c r="HJ78" s="227">
        <v>72</v>
      </c>
      <c r="HK78" s="226">
        <v>42698</v>
      </c>
      <c r="HL78" s="225" t="s">
        <v>303</v>
      </c>
      <c r="HM78" s="224">
        <v>1</v>
      </c>
      <c r="HN78" s="224">
        <v>150</v>
      </c>
      <c r="HO78" s="224">
        <v>7500099</v>
      </c>
    </row>
    <row r="79" spans="22:232" ht="13.5" customHeight="1" x14ac:dyDescent="0.45">
      <c r="V79" s="222"/>
      <c r="W79" s="222"/>
      <c r="X79" s="222"/>
      <c r="Y79" s="222"/>
      <c r="Z79" s="222"/>
      <c r="AA79" s="222"/>
      <c r="AQ79" s="227">
        <v>73</v>
      </c>
      <c r="AR79" s="226">
        <v>43454</v>
      </c>
      <c r="AS79" s="227" t="s">
        <v>303</v>
      </c>
      <c r="AT79" s="229">
        <v>2</v>
      </c>
      <c r="AU79" s="228">
        <v>39</v>
      </c>
      <c r="AV79" s="228">
        <v>483347</v>
      </c>
      <c r="GA79" s="222"/>
      <c r="GB79" s="222"/>
      <c r="GC79" s="222"/>
      <c r="GD79" s="222"/>
      <c r="GE79" s="222"/>
      <c r="GF79" s="222"/>
      <c r="HJ79" s="227">
        <v>73</v>
      </c>
      <c r="HK79" s="226">
        <v>42699</v>
      </c>
      <c r="HL79" s="225" t="s">
        <v>302</v>
      </c>
      <c r="HM79" s="224">
        <v>2</v>
      </c>
      <c r="HN79" s="224">
        <v>0</v>
      </c>
      <c r="HO79" s="224">
        <v>7500099</v>
      </c>
    </row>
    <row r="80" spans="22:232" ht="13.5" customHeight="1" x14ac:dyDescent="0.45">
      <c r="V80" s="222"/>
      <c r="W80" s="222"/>
      <c r="X80" s="222"/>
      <c r="Y80" s="222"/>
      <c r="Z80" s="222"/>
      <c r="AA80" s="222"/>
      <c r="AQ80" s="227">
        <v>74</v>
      </c>
      <c r="AR80" s="226">
        <v>43455</v>
      </c>
      <c r="AS80" s="227" t="s">
        <v>302</v>
      </c>
      <c r="AT80" s="229">
        <v>2</v>
      </c>
      <c r="AU80" s="228">
        <v>62</v>
      </c>
      <c r="AV80" s="228">
        <v>483409</v>
      </c>
      <c r="GA80" s="222"/>
      <c r="GB80" s="222"/>
      <c r="GC80" s="222"/>
      <c r="GD80" s="222"/>
      <c r="GE80" s="222"/>
      <c r="GF80" s="222"/>
      <c r="HJ80" s="227">
        <v>74</v>
      </c>
      <c r="HK80" s="226">
        <v>42723</v>
      </c>
      <c r="HL80" s="225" t="s">
        <v>301</v>
      </c>
      <c r="HM80" s="224">
        <v>2</v>
      </c>
      <c r="HN80" s="224">
        <v>190</v>
      </c>
      <c r="HO80" s="224">
        <v>7500289</v>
      </c>
    </row>
    <row r="81" spans="22:223" ht="13.5" customHeight="1" x14ac:dyDescent="0.45">
      <c r="V81" s="222"/>
      <c r="W81" s="222"/>
      <c r="X81" s="222"/>
      <c r="Y81" s="222"/>
      <c r="Z81" s="222"/>
      <c r="AA81" s="222"/>
      <c r="AQ81" s="227">
        <v>75</v>
      </c>
      <c r="AR81" s="226">
        <v>43456</v>
      </c>
      <c r="AS81" s="227" t="s">
        <v>301</v>
      </c>
      <c r="AT81" s="229">
        <v>1</v>
      </c>
      <c r="AU81" s="228">
        <v>35</v>
      </c>
      <c r="AV81" s="228">
        <v>483444</v>
      </c>
      <c r="GA81" s="222"/>
      <c r="GB81" s="222"/>
      <c r="GC81" s="222"/>
      <c r="GD81" s="222"/>
      <c r="GE81" s="222"/>
      <c r="GF81" s="222"/>
      <c r="HJ81" s="227">
        <v>75</v>
      </c>
      <c r="HK81" s="226">
        <v>42724</v>
      </c>
      <c r="HL81" s="225" t="s">
        <v>300</v>
      </c>
      <c r="HM81" s="224">
        <v>1</v>
      </c>
      <c r="HN81" s="224">
        <v>131</v>
      </c>
      <c r="HO81" s="224">
        <v>7500420</v>
      </c>
    </row>
    <row r="82" spans="22:223" ht="13.5" customHeight="1" x14ac:dyDescent="0.45">
      <c r="V82" s="222"/>
      <c r="W82" s="222"/>
      <c r="X82" s="222"/>
      <c r="Y82" s="222"/>
      <c r="Z82" s="222"/>
      <c r="AA82" s="222"/>
      <c r="AQ82" s="223" t="s">
        <v>299</v>
      </c>
      <c r="GA82" s="222"/>
      <c r="GB82" s="222"/>
      <c r="GC82" s="222"/>
      <c r="GD82" s="222"/>
      <c r="GE82" s="222"/>
      <c r="GF82" s="222"/>
      <c r="HJ82" s="223" t="s">
        <v>298</v>
      </c>
    </row>
    <row r="83" spans="22:223" ht="13.5" customHeight="1" x14ac:dyDescent="0.45">
      <c r="V83" s="222"/>
      <c r="W83" s="222"/>
      <c r="X83" s="222"/>
      <c r="Y83" s="222"/>
      <c r="Z83" s="222"/>
      <c r="AA83" s="222"/>
      <c r="GA83" s="222"/>
      <c r="GB83" s="222"/>
      <c r="GC83" s="222"/>
      <c r="GD83" s="222"/>
      <c r="GE83" s="222"/>
      <c r="GF83" s="222"/>
    </row>
    <row r="84" spans="22:223" ht="13.5" customHeight="1" x14ac:dyDescent="0.45">
      <c r="GA84" s="222"/>
      <c r="GB84" s="222"/>
      <c r="GC84" s="222"/>
      <c r="GD84" s="222"/>
      <c r="GE84" s="222"/>
      <c r="GF84" s="222"/>
    </row>
    <row r="85" spans="22:223" ht="13.5" customHeight="1" x14ac:dyDescent="0.45">
      <c r="GA85" s="222"/>
      <c r="GB85" s="222"/>
      <c r="GC85" s="222"/>
      <c r="GD85" s="222"/>
      <c r="GE85" s="222"/>
      <c r="GF85" s="222"/>
    </row>
    <row r="86" spans="22:223" ht="13.5" customHeight="1" x14ac:dyDescent="0.45">
      <c r="GA86" s="222"/>
      <c r="GB86" s="222"/>
      <c r="GC86" s="222"/>
      <c r="GD86" s="222"/>
      <c r="GE86" s="222"/>
      <c r="GF86" s="222"/>
    </row>
    <row r="87" spans="22:223" ht="13.5" customHeight="1" x14ac:dyDescent="0.45">
      <c r="GA87" s="222"/>
      <c r="GB87" s="222"/>
      <c r="GC87" s="222"/>
      <c r="GD87" s="222"/>
      <c r="GE87" s="222"/>
      <c r="GF87" s="222"/>
    </row>
    <row r="88" spans="22:223" ht="13.5" customHeight="1" x14ac:dyDescent="0.45">
      <c r="GA88" s="222"/>
      <c r="GB88" s="222"/>
      <c r="GC88" s="222"/>
      <c r="GD88" s="222"/>
      <c r="GE88" s="222"/>
      <c r="GF88" s="222"/>
    </row>
    <row r="89" spans="22:223" ht="13.5" customHeight="1" x14ac:dyDescent="0.45">
      <c r="GA89" s="222"/>
      <c r="GB89" s="222"/>
      <c r="GC89" s="222"/>
      <c r="GD89" s="222"/>
      <c r="GE89" s="222"/>
      <c r="GF89" s="222"/>
    </row>
    <row r="90" spans="22:223" ht="13.5" customHeight="1" x14ac:dyDescent="0.45">
      <c r="GA90" s="222"/>
      <c r="GB90" s="222"/>
      <c r="GC90" s="222"/>
      <c r="GD90" s="222"/>
      <c r="GE90" s="222"/>
      <c r="GF90" s="222"/>
    </row>
    <row r="91" spans="22:223" ht="13.5" customHeight="1" x14ac:dyDescent="0.45">
      <c r="GA91" s="222"/>
      <c r="GB91" s="222"/>
      <c r="GC91" s="222"/>
      <c r="GD91" s="222"/>
      <c r="GE91" s="222"/>
      <c r="GF91" s="222"/>
    </row>
    <row r="92" spans="22:223" ht="13.5" customHeight="1" x14ac:dyDescent="0.45">
      <c r="GA92" s="222"/>
      <c r="GB92" s="222"/>
      <c r="GC92" s="222"/>
      <c r="GD92" s="222"/>
      <c r="GE92" s="222"/>
      <c r="GF92" s="222"/>
    </row>
    <row r="93" spans="22:223" ht="13.5" customHeight="1" x14ac:dyDescent="0.45">
      <c r="GA93" s="222"/>
      <c r="GB93" s="222"/>
      <c r="GC93" s="222"/>
      <c r="GD93" s="222"/>
      <c r="GE93" s="222"/>
      <c r="GF93" s="222"/>
    </row>
    <row r="94" spans="22:223" ht="13.5" customHeight="1" x14ac:dyDescent="0.45">
      <c r="GA94" s="222"/>
      <c r="GB94" s="222"/>
      <c r="GC94" s="222"/>
      <c r="GD94" s="222"/>
      <c r="GE94" s="222"/>
      <c r="GF94" s="222"/>
    </row>
    <row r="95" spans="22:223" ht="13.5" customHeight="1" x14ac:dyDescent="0.45">
      <c r="GA95" s="222"/>
      <c r="GB95" s="222"/>
      <c r="GC95" s="222"/>
      <c r="GD95" s="222"/>
      <c r="GE95" s="222"/>
      <c r="GF95" s="222"/>
    </row>
    <row r="96" spans="22:223" ht="13.5" customHeight="1" x14ac:dyDescent="0.45">
      <c r="GA96" s="222"/>
      <c r="GB96" s="222"/>
      <c r="GC96" s="222"/>
      <c r="GD96" s="222"/>
      <c r="GE96" s="222"/>
      <c r="GF96" s="222"/>
    </row>
    <row r="97" spans="183:188" ht="13.5" customHeight="1" x14ac:dyDescent="0.45">
      <c r="GA97" s="222"/>
      <c r="GB97" s="222"/>
      <c r="GC97" s="222"/>
      <c r="GD97" s="222"/>
      <c r="GE97" s="222"/>
      <c r="GF97" s="222"/>
    </row>
    <row r="98" spans="183:188" ht="13.5" customHeight="1" x14ac:dyDescent="0.45">
      <c r="GA98" s="222"/>
      <c r="GB98" s="222"/>
      <c r="GC98" s="222"/>
      <c r="GD98" s="222"/>
      <c r="GE98" s="222"/>
      <c r="GF98" s="222"/>
    </row>
    <row r="99" spans="183:188" ht="13.5" customHeight="1" x14ac:dyDescent="0.45">
      <c r="GA99" s="222"/>
      <c r="GB99" s="222"/>
      <c r="GC99" s="222"/>
      <c r="GD99" s="222"/>
      <c r="GE99" s="222"/>
      <c r="GF99" s="222"/>
    </row>
    <row r="100" spans="183:188" ht="13.5" customHeight="1" x14ac:dyDescent="0.45">
      <c r="GA100" s="222"/>
      <c r="GB100" s="222"/>
      <c r="GC100" s="222"/>
      <c r="GD100" s="222"/>
      <c r="GE100" s="222"/>
      <c r="GF100" s="222"/>
    </row>
    <row r="101" spans="183:188" ht="13.5" customHeight="1" x14ac:dyDescent="0.45">
      <c r="GA101" s="222"/>
      <c r="GB101" s="222"/>
      <c r="GC101" s="222"/>
      <c r="GD101" s="222"/>
      <c r="GE101" s="222"/>
      <c r="GF101" s="222"/>
    </row>
    <row r="102" spans="183:188" ht="13.5" customHeight="1" x14ac:dyDescent="0.45">
      <c r="GA102" s="222"/>
      <c r="GB102" s="222"/>
      <c r="GC102" s="222"/>
      <c r="GD102" s="222"/>
      <c r="GE102" s="222"/>
      <c r="GF102" s="222"/>
    </row>
    <row r="103" spans="183:188" ht="13.5" customHeight="1" x14ac:dyDescent="0.45">
      <c r="GA103" s="222"/>
      <c r="GB103" s="222"/>
      <c r="GC103" s="222"/>
      <c r="GD103" s="222"/>
      <c r="GE103" s="222"/>
      <c r="GF103" s="222"/>
    </row>
    <row r="104" spans="183:188" ht="13.5" customHeight="1" x14ac:dyDescent="0.45">
      <c r="GA104" s="222"/>
      <c r="GB104" s="222"/>
      <c r="GC104" s="222"/>
      <c r="GD104" s="222"/>
      <c r="GE104" s="222"/>
      <c r="GF104" s="222"/>
    </row>
    <row r="105" spans="183:188" ht="13.5" customHeight="1" x14ac:dyDescent="0.45">
      <c r="GA105" s="222"/>
      <c r="GB105" s="222"/>
      <c r="GC105" s="222"/>
      <c r="GD105" s="222"/>
      <c r="GE105" s="222"/>
      <c r="GF105" s="222"/>
    </row>
    <row r="106" spans="183:188" ht="13.5" customHeight="1" x14ac:dyDescent="0.45">
      <c r="GA106" s="222"/>
      <c r="GB106" s="222"/>
      <c r="GC106" s="222"/>
      <c r="GD106" s="222"/>
      <c r="GE106" s="222"/>
      <c r="GF106" s="222"/>
    </row>
    <row r="107" spans="183:188" ht="13.5" customHeight="1" x14ac:dyDescent="0.45">
      <c r="GA107" s="222"/>
      <c r="GB107" s="222"/>
      <c r="GC107" s="222"/>
      <c r="GD107" s="222"/>
      <c r="GE107" s="222"/>
      <c r="GF107" s="222"/>
    </row>
    <row r="108" spans="183:188" ht="13.5" customHeight="1" x14ac:dyDescent="0.45">
      <c r="GA108" s="222"/>
      <c r="GB108" s="222"/>
      <c r="GC108" s="222"/>
      <c r="GD108" s="222"/>
      <c r="GE108" s="222"/>
      <c r="GF108" s="222"/>
    </row>
    <row r="109" spans="183:188" ht="13.5" customHeight="1" x14ac:dyDescent="0.45">
      <c r="GA109" s="222"/>
      <c r="GB109" s="222"/>
      <c r="GC109" s="222"/>
      <c r="GD109" s="222"/>
      <c r="GE109" s="222"/>
      <c r="GF109" s="222"/>
    </row>
    <row r="110" spans="183:188" ht="13.5" customHeight="1" x14ac:dyDescent="0.45">
      <c r="GA110" s="222"/>
      <c r="GB110" s="222"/>
      <c r="GC110" s="222"/>
      <c r="GD110" s="222"/>
      <c r="GE110" s="222"/>
      <c r="GF110" s="222"/>
    </row>
    <row r="111" spans="183:188" ht="13.5" customHeight="1" x14ac:dyDescent="0.45">
      <c r="GA111" s="222"/>
      <c r="GB111" s="222"/>
      <c r="GC111" s="222"/>
      <c r="GD111" s="222"/>
      <c r="GE111" s="222"/>
      <c r="GF111" s="222"/>
    </row>
    <row r="112" spans="183:188" ht="13.5" customHeight="1" x14ac:dyDescent="0.45">
      <c r="GA112" s="222"/>
      <c r="GB112" s="222"/>
      <c r="GC112" s="222"/>
      <c r="GD112" s="222"/>
      <c r="GE112" s="222"/>
      <c r="GF112" s="222"/>
    </row>
    <row r="113" spans="183:188" ht="13.5" customHeight="1" x14ac:dyDescent="0.45">
      <c r="GA113" s="222"/>
      <c r="GB113" s="222"/>
      <c r="GC113" s="222"/>
      <c r="GD113" s="222"/>
      <c r="GE113" s="222"/>
      <c r="GF113" s="222"/>
    </row>
    <row r="114" spans="183:188" ht="13.5" customHeight="1" x14ac:dyDescent="0.45">
      <c r="GA114" s="222"/>
      <c r="GB114" s="222"/>
      <c r="GC114" s="222"/>
      <c r="GD114" s="222"/>
      <c r="GE114" s="222"/>
      <c r="GF114" s="222"/>
    </row>
    <row r="115" spans="183:188" ht="13.5" customHeight="1" x14ac:dyDescent="0.45">
      <c r="GA115" s="222"/>
      <c r="GB115" s="222"/>
      <c r="GC115" s="222"/>
      <c r="GD115" s="222"/>
      <c r="GE115" s="222"/>
      <c r="GF115" s="222"/>
    </row>
    <row r="116" spans="183:188" ht="13.5" customHeight="1" x14ac:dyDescent="0.45">
      <c r="GA116" s="222"/>
      <c r="GB116" s="222"/>
      <c r="GC116" s="222"/>
      <c r="GD116" s="222"/>
      <c r="GE116" s="222"/>
      <c r="GF116" s="222"/>
    </row>
    <row r="117" spans="183:188" ht="13.5" customHeight="1" x14ac:dyDescent="0.45">
      <c r="GA117" s="222"/>
      <c r="GB117" s="222"/>
      <c r="GC117" s="222"/>
      <c r="GD117" s="222"/>
      <c r="GE117" s="222"/>
      <c r="GF117" s="222"/>
    </row>
    <row r="118" spans="183:188" ht="13.5" customHeight="1" x14ac:dyDescent="0.45">
      <c r="GA118" s="222"/>
      <c r="GB118" s="222"/>
      <c r="GC118" s="222"/>
      <c r="GD118" s="222"/>
      <c r="GE118" s="222"/>
      <c r="GF118" s="222"/>
    </row>
    <row r="119" spans="183:188" ht="13.5" customHeight="1" x14ac:dyDescent="0.45">
      <c r="GA119" s="222"/>
      <c r="GB119" s="222"/>
      <c r="GC119" s="222"/>
      <c r="GD119" s="222"/>
      <c r="GE119" s="222"/>
      <c r="GF119" s="222"/>
    </row>
    <row r="120" spans="183:188" ht="13.5" customHeight="1" x14ac:dyDescent="0.45">
      <c r="GA120" s="222"/>
      <c r="GB120" s="222"/>
      <c r="GC120" s="222"/>
      <c r="GD120" s="222"/>
      <c r="GE120" s="222"/>
      <c r="GF120" s="222"/>
    </row>
    <row r="121" spans="183:188" ht="13.5" customHeight="1" x14ac:dyDescent="0.45">
      <c r="GA121" s="222"/>
      <c r="GB121" s="222"/>
      <c r="GC121" s="222"/>
      <c r="GD121" s="222"/>
      <c r="GE121" s="222"/>
      <c r="GF121" s="222"/>
    </row>
    <row r="122" spans="183:188" ht="13.5" customHeight="1" x14ac:dyDescent="0.45">
      <c r="GA122" s="222"/>
      <c r="GB122" s="222"/>
      <c r="GC122" s="222"/>
      <c r="GD122" s="222"/>
      <c r="GE122" s="222"/>
      <c r="GF122" s="222"/>
    </row>
    <row r="123" spans="183:188" ht="13.5" customHeight="1" x14ac:dyDescent="0.45">
      <c r="GA123" s="222"/>
      <c r="GB123" s="222"/>
      <c r="GC123" s="222"/>
      <c r="GD123" s="222"/>
      <c r="GE123" s="222"/>
      <c r="GF123" s="222"/>
    </row>
    <row r="124" spans="183:188" ht="13.5" customHeight="1" x14ac:dyDescent="0.45">
      <c r="GA124" s="222"/>
      <c r="GB124" s="222"/>
      <c r="GC124" s="222"/>
      <c r="GD124" s="222"/>
      <c r="GE124" s="222"/>
      <c r="GF124" s="222"/>
    </row>
    <row r="125" spans="183:188" ht="13.5" customHeight="1" x14ac:dyDescent="0.45">
      <c r="GA125" s="222"/>
      <c r="GB125" s="222"/>
      <c r="GC125" s="222"/>
      <c r="GD125" s="222"/>
      <c r="GE125" s="222"/>
      <c r="GF125" s="222"/>
    </row>
    <row r="126" spans="183:188" ht="13.5" customHeight="1" x14ac:dyDescent="0.45">
      <c r="GA126" s="222"/>
      <c r="GB126" s="222"/>
      <c r="GC126" s="222"/>
      <c r="GD126" s="222"/>
      <c r="GE126" s="222"/>
      <c r="GF126" s="222"/>
    </row>
    <row r="127" spans="183:188" ht="13.5" customHeight="1" x14ac:dyDescent="0.45">
      <c r="GA127" s="222"/>
      <c r="GB127" s="222"/>
      <c r="GC127" s="222"/>
      <c r="GD127" s="222"/>
      <c r="GE127" s="222"/>
      <c r="GF127" s="222"/>
    </row>
    <row r="128" spans="183:188" ht="13.5" customHeight="1" x14ac:dyDescent="0.45">
      <c r="GA128" s="222"/>
      <c r="GB128" s="222"/>
      <c r="GC128" s="222"/>
      <c r="GD128" s="222"/>
      <c r="GE128" s="222"/>
      <c r="GF128" s="222"/>
    </row>
    <row r="129" spans="183:188" ht="13.5" customHeight="1" x14ac:dyDescent="0.45">
      <c r="GA129" s="222"/>
      <c r="GB129" s="222"/>
      <c r="GC129" s="222"/>
      <c r="GD129" s="222"/>
      <c r="GE129" s="222"/>
      <c r="GF129" s="222"/>
    </row>
    <row r="130" spans="183:188" ht="13.5" customHeight="1" x14ac:dyDescent="0.45">
      <c r="GA130" s="222"/>
      <c r="GB130" s="222"/>
      <c r="GC130" s="222"/>
      <c r="GD130" s="222"/>
      <c r="GE130" s="222"/>
      <c r="GF130" s="222"/>
    </row>
    <row r="131" spans="183:188" ht="13.5" customHeight="1" x14ac:dyDescent="0.45">
      <c r="GA131" s="222"/>
      <c r="GB131" s="222"/>
      <c r="GC131" s="222"/>
      <c r="GD131" s="222"/>
      <c r="GE131" s="222"/>
      <c r="GF131" s="222"/>
    </row>
    <row r="132" spans="183:188" ht="13.5" customHeight="1" x14ac:dyDescent="0.45">
      <c r="GA132" s="222"/>
      <c r="GB132" s="222"/>
      <c r="GC132" s="222"/>
      <c r="GD132" s="222"/>
      <c r="GE132" s="222"/>
      <c r="GF132" s="222"/>
    </row>
    <row r="133" spans="183:188" ht="13.5" customHeight="1" x14ac:dyDescent="0.45">
      <c r="GA133" s="222"/>
      <c r="GB133" s="222"/>
      <c r="GC133" s="222"/>
      <c r="GD133" s="222"/>
      <c r="GE133" s="222"/>
      <c r="GF133" s="222"/>
    </row>
    <row r="134" spans="183:188" ht="13.5" customHeight="1" x14ac:dyDescent="0.45">
      <c r="GA134" s="222"/>
      <c r="GB134" s="222"/>
      <c r="GC134" s="222"/>
      <c r="GD134" s="222"/>
      <c r="GE134" s="222"/>
      <c r="GF134" s="222"/>
    </row>
    <row r="135" spans="183:188" ht="13.5" customHeight="1" x14ac:dyDescent="0.45">
      <c r="GA135" s="222"/>
      <c r="GB135" s="222"/>
      <c r="GC135" s="222"/>
      <c r="GD135" s="222"/>
      <c r="GE135" s="222"/>
      <c r="GF135" s="222"/>
    </row>
    <row r="136" spans="183:188" ht="13.5" customHeight="1" x14ac:dyDescent="0.45">
      <c r="GA136" s="222"/>
      <c r="GB136" s="222"/>
      <c r="GC136" s="222"/>
      <c r="GD136" s="222"/>
      <c r="GE136" s="222"/>
      <c r="GF136" s="222"/>
    </row>
    <row r="137" spans="183:188" ht="13.5" customHeight="1" x14ac:dyDescent="0.45">
      <c r="GA137" s="222"/>
      <c r="GB137" s="222"/>
      <c r="GC137" s="222"/>
      <c r="GD137" s="222"/>
      <c r="GE137" s="222"/>
      <c r="GF137" s="222"/>
    </row>
    <row r="138" spans="183:188" ht="13.5" customHeight="1" x14ac:dyDescent="0.45">
      <c r="GA138" s="222"/>
      <c r="GB138" s="222"/>
      <c r="GC138" s="222"/>
      <c r="GD138" s="222"/>
      <c r="GE138" s="222"/>
      <c r="GF138" s="222"/>
    </row>
    <row r="139" spans="183:188" ht="13.5" customHeight="1" x14ac:dyDescent="0.45">
      <c r="GA139" s="222"/>
      <c r="GB139" s="222"/>
      <c r="GC139" s="222"/>
      <c r="GD139" s="222"/>
      <c r="GE139" s="222"/>
      <c r="GF139" s="222"/>
    </row>
    <row r="140" spans="183:188" ht="13.5" customHeight="1" x14ac:dyDescent="0.45"/>
    <row r="141" spans="183:188" ht="13.5" customHeight="1" x14ac:dyDescent="0.45"/>
    <row r="142" spans="183:188" ht="13.5" customHeight="1" x14ac:dyDescent="0.45"/>
    <row r="143" spans="183:188" ht="13.5" customHeight="1" x14ac:dyDescent="0.45"/>
    <row r="144" spans="183:188" ht="13.5" customHeight="1" x14ac:dyDescent="0.45"/>
    <row r="145" ht="13.5" customHeight="1" x14ac:dyDescent="0.45"/>
    <row r="146" ht="13.5" customHeight="1" x14ac:dyDescent="0.45"/>
    <row r="147" ht="13.5" customHeight="1" x14ac:dyDescent="0.45"/>
    <row r="148" ht="13.5" customHeight="1" x14ac:dyDescent="0.45"/>
    <row r="149" ht="13.5" customHeight="1" x14ac:dyDescent="0.45"/>
    <row r="150" ht="13.5" customHeight="1" x14ac:dyDescent="0.45"/>
    <row r="151" ht="13.5" customHeight="1" x14ac:dyDescent="0.45"/>
    <row r="152" ht="13.5" customHeight="1" x14ac:dyDescent="0.45"/>
    <row r="153" ht="13.5" customHeight="1" x14ac:dyDescent="0.45"/>
    <row r="154" ht="13.5" customHeight="1" x14ac:dyDescent="0.45"/>
    <row r="155" ht="13.5" customHeight="1" x14ac:dyDescent="0.45"/>
    <row r="156" ht="13.5" customHeight="1" x14ac:dyDescent="0.45"/>
    <row r="157" ht="13.5" customHeight="1" x14ac:dyDescent="0.45"/>
    <row r="158" ht="13.5" customHeight="1" x14ac:dyDescent="0.45"/>
    <row r="159" ht="13.5" customHeight="1" x14ac:dyDescent="0.45"/>
    <row r="160" ht="13.5" customHeight="1" x14ac:dyDescent="0.45"/>
    <row r="161" ht="13.5" customHeight="1" x14ac:dyDescent="0.45"/>
    <row r="162" ht="13.5" customHeight="1" x14ac:dyDescent="0.45"/>
    <row r="163" ht="13.5" customHeight="1" x14ac:dyDescent="0.45"/>
    <row r="164" ht="13.5" customHeight="1" x14ac:dyDescent="0.45"/>
    <row r="165" ht="13.5" customHeight="1" x14ac:dyDescent="0.45"/>
    <row r="166" ht="13.5" customHeight="1" x14ac:dyDescent="0.45"/>
    <row r="167" ht="13.5" customHeight="1" x14ac:dyDescent="0.45"/>
    <row r="168" ht="13.5" customHeight="1" x14ac:dyDescent="0.45"/>
    <row r="169" ht="13.5" customHeight="1" x14ac:dyDescent="0.45"/>
    <row r="170" ht="13.5" customHeight="1" x14ac:dyDescent="0.45"/>
    <row r="171" ht="13.5" customHeight="1" x14ac:dyDescent="0.45"/>
    <row r="172" ht="13.5" customHeight="1" x14ac:dyDescent="0.45"/>
    <row r="173" ht="13.5" customHeight="1" x14ac:dyDescent="0.45"/>
    <row r="174" ht="13.5" customHeight="1" x14ac:dyDescent="0.45"/>
    <row r="175" ht="13.5" customHeight="1" x14ac:dyDescent="0.45"/>
    <row r="176" ht="13.5" customHeight="1" x14ac:dyDescent="0.45"/>
    <row r="177" ht="13.5" customHeight="1" x14ac:dyDescent="0.45"/>
    <row r="178" ht="13.5" customHeight="1" x14ac:dyDescent="0.45"/>
    <row r="179" ht="13.5" customHeight="1" x14ac:dyDescent="0.45"/>
    <row r="180" ht="13.5" customHeight="1" x14ac:dyDescent="0.45"/>
    <row r="181" ht="13.5" customHeight="1" x14ac:dyDescent="0.45"/>
    <row r="182" ht="13.5" customHeight="1" x14ac:dyDescent="0.45"/>
    <row r="183" ht="13.5" customHeight="1" x14ac:dyDescent="0.45"/>
    <row r="184" ht="13.5" customHeight="1" x14ac:dyDescent="0.45"/>
    <row r="185" ht="13.5" customHeight="1" x14ac:dyDescent="0.45"/>
    <row r="186" ht="13.5" customHeight="1" x14ac:dyDescent="0.45"/>
    <row r="187" ht="13.5" customHeight="1" x14ac:dyDescent="0.45"/>
    <row r="188" ht="13.5" customHeight="1" x14ac:dyDescent="0.45"/>
    <row r="189" ht="13.5" customHeight="1" x14ac:dyDescent="0.45"/>
  </sheetData>
  <mergeCells count="70">
    <mergeCell ref="O4:T4"/>
    <mergeCell ref="O5:T5"/>
    <mergeCell ref="H4:M4"/>
    <mergeCell ref="H5:M5"/>
    <mergeCell ref="A4:F4"/>
    <mergeCell ref="A5:F5"/>
    <mergeCell ref="IE5:IJ5"/>
    <mergeCell ref="HC5:HH5"/>
    <mergeCell ref="GV5:HA5"/>
    <mergeCell ref="GO5:GT5"/>
    <mergeCell ref="GH5:GM5"/>
    <mergeCell ref="HQ5:HV5"/>
    <mergeCell ref="HJ5:HO5"/>
    <mergeCell ref="HX5:IC5"/>
    <mergeCell ref="IE4:IJ4"/>
    <mergeCell ref="HC4:HH4"/>
    <mergeCell ref="GV4:HA4"/>
    <mergeCell ref="GO4:GT4"/>
    <mergeCell ref="HQ4:HV4"/>
    <mergeCell ref="HJ4:HO4"/>
    <mergeCell ref="HX4:IC4"/>
    <mergeCell ref="EK4:EP4"/>
    <mergeCell ref="EK5:EP5"/>
    <mergeCell ref="ER4:EW4"/>
    <mergeCell ref="ER5:EW5"/>
    <mergeCell ref="FM4:FR4"/>
    <mergeCell ref="FM5:FR5"/>
    <mergeCell ref="EY5:FD5"/>
    <mergeCell ref="FF5:FK5"/>
    <mergeCell ref="FF4:FK4"/>
    <mergeCell ref="EY4:FD4"/>
    <mergeCell ref="GH4:GM4"/>
    <mergeCell ref="GA4:GF4"/>
    <mergeCell ref="FT4:FY4"/>
    <mergeCell ref="GA5:GF5"/>
    <mergeCell ref="FT5:FY5"/>
    <mergeCell ref="V4:AA4"/>
    <mergeCell ref="AC4:AH4"/>
    <mergeCell ref="V5:AA5"/>
    <mergeCell ref="AC5:AH5"/>
    <mergeCell ref="CN4:CS4"/>
    <mergeCell ref="CN5:CS5"/>
    <mergeCell ref="CG4:CL4"/>
    <mergeCell ref="CG5:CL5"/>
    <mergeCell ref="BE4:BJ4"/>
    <mergeCell ref="AX5:BC5"/>
    <mergeCell ref="BE5:BJ5"/>
    <mergeCell ref="AX4:BC4"/>
    <mergeCell ref="BZ4:CE4"/>
    <mergeCell ref="BZ5:CE5"/>
    <mergeCell ref="BL4:BQ4"/>
    <mergeCell ref="BS4:BX4"/>
    <mergeCell ref="DI4:DN4"/>
    <mergeCell ref="DI5:DN5"/>
    <mergeCell ref="AJ4:AO4"/>
    <mergeCell ref="AQ4:AV4"/>
    <mergeCell ref="AJ5:AO5"/>
    <mergeCell ref="AQ5:AV5"/>
    <mergeCell ref="BL5:BQ5"/>
    <mergeCell ref="BS5:BX5"/>
    <mergeCell ref="CU4:CZ4"/>
    <mergeCell ref="CU5:CZ5"/>
    <mergeCell ref="DB4:DG4"/>
    <mergeCell ref="DB5:DG5"/>
    <mergeCell ref="ED5:EI5"/>
    <mergeCell ref="DW4:EB4"/>
    <mergeCell ref="DW5:EB5"/>
    <mergeCell ref="DP4:DU4"/>
    <mergeCell ref="DP5:DU5"/>
    <mergeCell ref="ED4:EI4"/>
  </mergeCells>
  <phoneticPr fontId="29" type="noConversion"/>
  <pageMargins left="0.74803149606299213" right="0.74803149606299213" top="0.98425196850393704" bottom="0.98425196850393704" header="0.51181102362204722" footer="0.51181102362204722"/>
  <pageSetup paperSize="9" scale="40" orientation="landscape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WB Digital Window &amp; POS</vt:lpstr>
      <vt:lpstr>MPA Studio Digital Window</vt:lpstr>
      <vt:lpstr>WB VOD EST KT+SK</vt:lpstr>
      <vt:lpstr>WB Daily Screen Count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Oh, Michael</dc:creator>
  <cp:lastModifiedBy>Tae Young Kang</cp:lastModifiedBy>
  <dcterms:created xsi:type="dcterms:W3CDTF">2019-04-26T21:07:02Z</dcterms:created>
  <dcterms:modified xsi:type="dcterms:W3CDTF">2019-06-22T05:24:47Z</dcterms:modified>
</cp:coreProperties>
</file>