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mz\Desktop\"/>
    </mc:Choice>
  </mc:AlternateContent>
  <xr:revisionPtr revIDLastSave="0" documentId="8_{D511F9E4-EFBE-4304-9A4C-C4B4F340F12A}" xr6:coauthVersionLast="41" xr6:coauthVersionMax="41" xr10:uidLastSave="{00000000-0000-0000-0000-000000000000}"/>
  <bookViews>
    <workbookView xWindow="-103" yWindow="-103" windowWidth="19543" windowHeight="12497" activeTab="8" xr2:uid="{00000000-000D-0000-FFFF-FFFF00000000}"/>
  </bookViews>
  <sheets>
    <sheet name="Sheet2" sheetId="5" r:id="rId1"/>
    <sheet name="Sheet3" sheetId="6" r:id="rId2"/>
    <sheet name="Sheet4" sheetId="7" r:id="rId3"/>
    <sheet name="Sheet5" sheetId="8" r:id="rId4"/>
    <sheet name="Sheet6" sheetId="9" r:id="rId5"/>
    <sheet name="Sheet7" sheetId="2" r:id="rId6"/>
    <sheet name="Pivot table" sheetId="19" r:id="rId7"/>
    <sheet name="Data" sheetId="10" r:id="rId8"/>
    <sheet name="Sheet1" sheetId="16" r:id="rId9"/>
  </sheets>
  <definedNames>
    <definedName name="_xlnm._FilterDatabase" localSheetId="7" hidden="1">Data!$A$1:$P$175</definedName>
    <definedName name="_xlnm._FilterDatabase" localSheetId="4" hidden="1">Sheet6!$B$16:$Q$190</definedName>
    <definedName name="MASTER_DATA">Data!$A$1:$P$175</definedName>
    <definedName name="MASTER_HEADERS">Data!$A$1:$P$1</definedName>
    <definedName name="MASTER_ROWS">Data!$B$1:$B$175</definedName>
  </definedNames>
  <calcPr calcId="191029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6" i="19" l="1"/>
  <c r="F26" i="2"/>
  <c r="E25" i="19"/>
  <c r="E24" i="19"/>
  <c r="E23" i="19"/>
  <c r="E21" i="19"/>
  <c r="F25" i="2"/>
  <c r="F24" i="2"/>
  <c r="F23" i="2"/>
  <c r="F22" i="2"/>
  <c r="E19" i="19"/>
  <c r="F21" i="2"/>
  <c r="E13" i="19"/>
  <c r="F16" i="2"/>
  <c r="E12" i="19"/>
  <c r="E11" i="19"/>
  <c r="F14" i="2"/>
  <c r="E9" i="19"/>
  <c r="E8" i="19"/>
  <c r="E6" i="19"/>
  <c r="E5" i="19"/>
  <c r="F15" i="2"/>
  <c r="F13" i="2"/>
  <c r="F12" i="2"/>
  <c r="F11" i="2"/>
  <c r="F10" i="2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7" i="5"/>
  <c r="D11" i="2" l="1"/>
  <c r="D12" i="2"/>
  <c r="D13" i="2"/>
  <c r="D14" i="2"/>
  <c r="D15" i="2"/>
  <c r="D10" i="2"/>
  <c r="O18" i="8" l="1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7" i="8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7" i="7"/>
  <c r="D16" i="2" l="1"/>
  <c r="N175" i="10"/>
  <c r="O190" i="9" s="1"/>
  <c r="M175" i="10"/>
  <c r="N190" i="9" s="1"/>
  <c r="N174" i="10"/>
  <c r="O189" i="9" s="1"/>
  <c r="M174" i="10"/>
  <c r="N189" i="9" s="1"/>
  <c r="N173" i="10"/>
  <c r="O188" i="9" s="1"/>
  <c r="M173" i="10"/>
  <c r="N188" i="9" s="1"/>
  <c r="N172" i="10"/>
  <c r="O187" i="9" s="1"/>
  <c r="M172" i="10"/>
  <c r="N187" i="9" s="1"/>
  <c r="N171" i="10"/>
  <c r="O186" i="9" s="1"/>
  <c r="M171" i="10"/>
  <c r="N186" i="9" s="1"/>
  <c r="N170" i="10"/>
  <c r="O185" i="9" s="1"/>
  <c r="M170" i="10"/>
  <c r="N185" i="9" s="1"/>
  <c r="N169" i="10"/>
  <c r="O184" i="9" s="1"/>
  <c r="M169" i="10"/>
  <c r="N184" i="9" s="1"/>
  <c r="N168" i="10"/>
  <c r="O183" i="9" s="1"/>
  <c r="M168" i="10"/>
  <c r="N183" i="9" s="1"/>
  <c r="N167" i="10"/>
  <c r="O182" i="9" s="1"/>
  <c r="M167" i="10"/>
  <c r="N182" i="9" s="1"/>
  <c r="N166" i="10"/>
  <c r="O181" i="9" s="1"/>
  <c r="M166" i="10"/>
  <c r="N181" i="9" s="1"/>
  <c r="N165" i="10"/>
  <c r="O180" i="9" s="1"/>
  <c r="M165" i="10"/>
  <c r="N180" i="9" s="1"/>
  <c r="N164" i="10"/>
  <c r="O179" i="9" s="1"/>
  <c r="M164" i="10"/>
  <c r="N179" i="9" s="1"/>
  <c r="N163" i="10"/>
  <c r="O178" i="9" s="1"/>
  <c r="M163" i="10"/>
  <c r="N178" i="9" s="1"/>
  <c r="N162" i="10"/>
  <c r="O177" i="9" s="1"/>
  <c r="M162" i="10"/>
  <c r="N177" i="9" s="1"/>
  <c r="N161" i="10"/>
  <c r="O176" i="9" s="1"/>
  <c r="M161" i="10"/>
  <c r="N176" i="9" s="1"/>
  <c r="N160" i="10"/>
  <c r="O175" i="9" s="1"/>
  <c r="M160" i="10"/>
  <c r="N175" i="9" s="1"/>
  <c r="N159" i="10"/>
  <c r="O174" i="9" s="1"/>
  <c r="M159" i="10"/>
  <c r="N174" i="9" s="1"/>
  <c r="N158" i="10"/>
  <c r="O173" i="9" s="1"/>
  <c r="M158" i="10"/>
  <c r="N173" i="9" s="1"/>
  <c r="N157" i="10"/>
  <c r="O172" i="9" s="1"/>
  <c r="M157" i="10"/>
  <c r="N172" i="9" s="1"/>
  <c r="N156" i="10"/>
  <c r="O171" i="9" s="1"/>
  <c r="M156" i="10"/>
  <c r="N171" i="9" s="1"/>
  <c r="N155" i="10"/>
  <c r="O170" i="9" s="1"/>
  <c r="M155" i="10"/>
  <c r="N170" i="9" s="1"/>
  <c r="N154" i="10"/>
  <c r="O169" i="9" s="1"/>
  <c r="M154" i="10"/>
  <c r="N169" i="9" s="1"/>
  <c r="N153" i="10"/>
  <c r="O168" i="9" s="1"/>
  <c r="M153" i="10"/>
  <c r="N168" i="9" s="1"/>
  <c r="N152" i="10"/>
  <c r="O167" i="9" s="1"/>
  <c r="M152" i="10"/>
  <c r="N167" i="9" s="1"/>
  <c r="N151" i="10"/>
  <c r="O166" i="9" s="1"/>
  <c r="M151" i="10"/>
  <c r="N166" i="9" s="1"/>
  <c r="N150" i="10"/>
  <c r="O165" i="9" s="1"/>
  <c r="M150" i="10"/>
  <c r="N165" i="9" s="1"/>
  <c r="N149" i="10"/>
  <c r="O164" i="9" s="1"/>
  <c r="M149" i="10"/>
  <c r="N164" i="9" s="1"/>
  <c r="N148" i="10"/>
  <c r="O163" i="9" s="1"/>
  <c r="M148" i="10"/>
  <c r="N163" i="9" s="1"/>
  <c r="N147" i="10"/>
  <c r="O162" i="9" s="1"/>
  <c r="M147" i="10"/>
  <c r="N162" i="9" s="1"/>
  <c r="N146" i="10"/>
  <c r="O161" i="9" s="1"/>
  <c r="M146" i="10"/>
  <c r="N161" i="9" s="1"/>
  <c r="N145" i="10"/>
  <c r="O160" i="9" s="1"/>
  <c r="M145" i="10"/>
  <c r="N160" i="9" s="1"/>
  <c r="N144" i="10"/>
  <c r="O159" i="9" s="1"/>
  <c r="M144" i="10"/>
  <c r="N159" i="9" s="1"/>
  <c r="N143" i="10"/>
  <c r="O158" i="9" s="1"/>
  <c r="M143" i="10"/>
  <c r="N158" i="9" s="1"/>
  <c r="N142" i="10"/>
  <c r="O157" i="9" s="1"/>
  <c r="M142" i="10"/>
  <c r="N157" i="9" s="1"/>
  <c r="N141" i="10"/>
  <c r="O156" i="9" s="1"/>
  <c r="M141" i="10"/>
  <c r="N156" i="9" s="1"/>
  <c r="N140" i="10"/>
  <c r="O155" i="9" s="1"/>
  <c r="M140" i="10"/>
  <c r="N155" i="9" s="1"/>
  <c r="N139" i="10"/>
  <c r="O154" i="9" s="1"/>
  <c r="M139" i="10"/>
  <c r="N154" i="9" s="1"/>
  <c r="N138" i="10"/>
  <c r="O153" i="9" s="1"/>
  <c r="M138" i="10"/>
  <c r="N153" i="9" s="1"/>
  <c r="N137" i="10"/>
  <c r="O152" i="9" s="1"/>
  <c r="M137" i="10"/>
  <c r="N152" i="9" s="1"/>
  <c r="N136" i="10"/>
  <c r="O151" i="9" s="1"/>
  <c r="M136" i="10"/>
  <c r="N151" i="9" s="1"/>
  <c r="N135" i="10"/>
  <c r="O150" i="9" s="1"/>
  <c r="M135" i="10"/>
  <c r="N150" i="9" s="1"/>
  <c r="N134" i="10"/>
  <c r="O149" i="9" s="1"/>
  <c r="M134" i="10"/>
  <c r="N149" i="9" s="1"/>
  <c r="N133" i="10"/>
  <c r="O148" i="9" s="1"/>
  <c r="M133" i="10"/>
  <c r="N148" i="9" s="1"/>
  <c r="N132" i="10"/>
  <c r="O147" i="9" s="1"/>
  <c r="M132" i="10"/>
  <c r="N147" i="9" s="1"/>
  <c r="N131" i="10"/>
  <c r="O146" i="9" s="1"/>
  <c r="M131" i="10"/>
  <c r="N146" i="9" s="1"/>
  <c r="N130" i="10"/>
  <c r="O145" i="9" s="1"/>
  <c r="M130" i="10"/>
  <c r="N145" i="9" s="1"/>
  <c r="N129" i="10"/>
  <c r="O144" i="9" s="1"/>
  <c r="M129" i="10"/>
  <c r="N144" i="9" s="1"/>
  <c r="N128" i="10"/>
  <c r="O143" i="9" s="1"/>
  <c r="M128" i="10"/>
  <c r="N143" i="9" s="1"/>
  <c r="N127" i="10"/>
  <c r="O142" i="9" s="1"/>
  <c r="M127" i="10"/>
  <c r="N142" i="9" s="1"/>
  <c r="N126" i="10"/>
  <c r="O141" i="9" s="1"/>
  <c r="M126" i="10"/>
  <c r="N141" i="9" s="1"/>
  <c r="N125" i="10"/>
  <c r="O140" i="9" s="1"/>
  <c r="M125" i="10"/>
  <c r="N140" i="9" s="1"/>
  <c r="N124" i="10"/>
  <c r="O139" i="9" s="1"/>
  <c r="M124" i="10"/>
  <c r="N139" i="9" s="1"/>
  <c r="N123" i="10"/>
  <c r="O138" i="9" s="1"/>
  <c r="M123" i="10"/>
  <c r="N138" i="9" s="1"/>
  <c r="N122" i="10"/>
  <c r="O137" i="9" s="1"/>
  <c r="M122" i="10"/>
  <c r="N137" i="9" s="1"/>
  <c r="N121" i="10"/>
  <c r="O136" i="9" s="1"/>
  <c r="M121" i="10"/>
  <c r="N136" i="9" s="1"/>
  <c r="N120" i="10"/>
  <c r="O135" i="9" s="1"/>
  <c r="M120" i="10"/>
  <c r="N135" i="9" s="1"/>
  <c r="N119" i="10"/>
  <c r="O134" i="9" s="1"/>
  <c r="M119" i="10"/>
  <c r="N134" i="9" s="1"/>
  <c r="N118" i="10"/>
  <c r="O133" i="9" s="1"/>
  <c r="M118" i="10"/>
  <c r="N133" i="9" s="1"/>
  <c r="N117" i="10"/>
  <c r="O132" i="9" s="1"/>
  <c r="M117" i="10"/>
  <c r="N132" i="9" s="1"/>
  <c r="N116" i="10"/>
  <c r="O131" i="9" s="1"/>
  <c r="M116" i="10"/>
  <c r="N131" i="9" s="1"/>
  <c r="N115" i="10"/>
  <c r="O130" i="9" s="1"/>
  <c r="M115" i="10"/>
  <c r="N130" i="9" s="1"/>
  <c r="N114" i="10"/>
  <c r="O129" i="9" s="1"/>
  <c r="M114" i="10"/>
  <c r="N129" i="9" s="1"/>
  <c r="N113" i="10"/>
  <c r="O128" i="9" s="1"/>
  <c r="M113" i="10"/>
  <c r="N128" i="9" s="1"/>
  <c r="N112" i="10"/>
  <c r="O127" i="9" s="1"/>
  <c r="M112" i="10"/>
  <c r="N127" i="9" s="1"/>
  <c r="N111" i="10"/>
  <c r="O126" i="9" s="1"/>
  <c r="M111" i="10"/>
  <c r="N126" i="9" s="1"/>
  <c r="N110" i="10"/>
  <c r="O125" i="9" s="1"/>
  <c r="M110" i="10"/>
  <c r="N125" i="9" s="1"/>
  <c r="N109" i="10"/>
  <c r="O124" i="9" s="1"/>
  <c r="M109" i="10"/>
  <c r="N124" i="9" s="1"/>
  <c r="N108" i="10"/>
  <c r="O123" i="9" s="1"/>
  <c r="M108" i="10"/>
  <c r="N123" i="9" s="1"/>
  <c r="N107" i="10"/>
  <c r="O122" i="9" s="1"/>
  <c r="M107" i="10"/>
  <c r="N122" i="9" s="1"/>
  <c r="N106" i="10"/>
  <c r="O121" i="9" s="1"/>
  <c r="M106" i="10"/>
  <c r="N121" i="9" s="1"/>
  <c r="N105" i="10"/>
  <c r="O120" i="9" s="1"/>
  <c r="M105" i="10"/>
  <c r="N120" i="9" s="1"/>
  <c r="N104" i="10"/>
  <c r="O119" i="9" s="1"/>
  <c r="M104" i="10"/>
  <c r="N119" i="9" s="1"/>
  <c r="N103" i="10"/>
  <c r="O118" i="9" s="1"/>
  <c r="M103" i="10"/>
  <c r="N118" i="9" s="1"/>
  <c r="N102" i="10"/>
  <c r="O117" i="9" s="1"/>
  <c r="M102" i="10"/>
  <c r="N117" i="9" s="1"/>
  <c r="N101" i="10"/>
  <c r="O116" i="9" s="1"/>
  <c r="M101" i="10"/>
  <c r="N116" i="9" s="1"/>
  <c r="N100" i="10"/>
  <c r="O115" i="9" s="1"/>
  <c r="M100" i="10"/>
  <c r="N115" i="9" s="1"/>
  <c r="N99" i="10"/>
  <c r="O114" i="9" s="1"/>
  <c r="M99" i="10"/>
  <c r="N114" i="9" s="1"/>
  <c r="N98" i="10"/>
  <c r="O113" i="9" s="1"/>
  <c r="M98" i="10"/>
  <c r="N113" i="9" s="1"/>
  <c r="N97" i="10"/>
  <c r="O112" i="9" s="1"/>
  <c r="M97" i="10"/>
  <c r="N112" i="9" s="1"/>
  <c r="N96" i="10"/>
  <c r="O111" i="9" s="1"/>
  <c r="M96" i="10"/>
  <c r="N111" i="9" s="1"/>
  <c r="N95" i="10"/>
  <c r="O110" i="9" s="1"/>
  <c r="M95" i="10"/>
  <c r="N110" i="9" s="1"/>
  <c r="N94" i="10"/>
  <c r="O109" i="9" s="1"/>
  <c r="M94" i="10"/>
  <c r="N109" i="9" s="1"/>
  <c r="N93" i="10"/>
  <c r="O108" i="9" s="1"/>
  <c r="M93" i="10"/>
  <c r="N108" i="9" s="1"/>
  <c r="N92" i="10"/>
  <c r="O107" i="9" s="1"/>
  <c r="M92" i="10"/>
  <c r="N107" i="9" s="1"/>
  <c r="N91" i="10"/>
  <c r="O106" i="9" s="1"/>
  <c r="M91" i="10"/>
  <c r="N106" i="9" s="1"/>
  <c r="N90" i="10"/>
  <c r="O105" i="9" s="1"/>
  <c r="M90" i="10"/>
  <c r="N105" i="9" s="1"/>
  <c r="N89" i="10"/>
  <c r="O104" i="9" s="1"/>
  <c r="M89" i="10"/>
  <c r="N104" i="9" s="1"/>
  <c r="N88" i="10"/>
  <c r="O103" i="9" s="1"/>
  <c r="M88" i="10"/>
  <c r="N103" i="9" s="1"/>
  <c r="N87" i="10"/>
  <c r="O102" i="9" s="1"/>
  <c r="M87" i="10"/>
  <c r="N102" i="9" s="1"/>
  <c r="N86" i="10"/>
  <c r="O101" i="9" s="1"/>
  <c r="M86" i="10"/>
  <c r="N101" i="9" s="1"/>
  <c r="N85" i="10"/>
  <c r="O100" i="9" s="1"/>
  <c r="M85" i="10"/>
  <c r="N100" i="9" s="1"/>
  <c r="N84" i="10"/>
  <c r="O99" i="9" s="1"/>
  <c r="M84" i="10"/>
  <c r="N99" i="9" s="1"/>
  <c r="N83" i="10"/>
  <c r="O98" i="9" s="1"/>
  <c r="M83" i="10"/>
  <c r="N98" i="9" s="1"/>
  <c r="N82" i="10"/>
  <c r="O97" i="9" s="1"/>
  <c r="M82" i="10"/>
  <c r="N97" i="9" s="1"/>
  <c r="N81" i="10"/>
  <c r="O96" i="9" s="1"/>
  <c r="M81" i="10"/>
  <c r="N96" i="9" s="1"/>
  <c r="N80" i="10"/>
  <c r="O95" i="9" s="1"/>
  <c r="M80" i="10"/>
  <c r="N95" i="9" s="1"/>
  <c r="N79" i="10"/>
  <c r="O79" i="10" s="1"/>
  <c r="M79" i="10"/>
  <c r="N94" i="9" s="1"/>
  <c r="N78" i="10"/>
  <c r="O93" i="9" s="1"/>
  <c r="M78" i="10"/>
  <c r="N93" i="9" s="1"/>
  <c r="N77" i="10"/>
  <c r="O92" i="9" s="1"/>
  <c r="M77" i="10"/>
  <c r="N92" i="9" s="1"/>
  <c r="N76" i="10"/>
  <c r="O91" i="9" s="1"/>
  <c r="M76" i="10"/>
  <c r="N91" i="9" s="1"/>
  <c r="N75" i="10"/>
  <c r="O90" i="9" s="1"/>
  <c r="M75" i="10"/>
  <c r="N90" i="9" s="1"/>
  <c r="N74" i="10"/>
  <c r="O89" i="9" s="1"/>
  <c r="M74" i="10"/>
  <c r="N89" i="9" s="1"/>
  <c r="N73" i="10"/>
  <c r="O88" i="9" s="1"/>
  <c r="M73" i="10"/>
  <c r="N88" i="9" s="1"/>
  <c r="N72" i="10"/>
  <c r="O87" i="9" s="1"/>
  <c r="M72" i="10"/>
  <c r="N87" i="9" s="1"/>
  <c r="N71" i="10"/>
  <c r="O71" i="10" s="1"/>
  <c r="M71" i="10"/>
  <c r="N86" i="9" s="1"/>
  <c r="N70" i="10"/>
  <c r="O85" i="9" s="1"/>
  <c r="M70" i="10"/>
  <c r="N85" i="9" s="1"/>
  <c r="N69" i="10"/>
  <c r="O84" i="9" s="1"/>
  <c r="M69" i="10"/>
  <c r="N84" i="9" s="1"/>
  <c r="N68" i="10"/>
  <c r="O83" i="9" s="1"/>
  <c r="M68" i="10"/>
  <c r="N83" i="9" s="1"/>
  <c r="N67" i="10"/>
  <c r="O67" i="10" s="1"/>
  <c r="M67" i="10"/>
  <c r="N82" i="9" s="1"/>
  <c r="N66" i="10"/>
  <c r="O81" i="9" s="1"/>
  <c r="M66" i="10"/>
  <c r="N81" i="9" s="1"/>
  <c r="N65" i="10"/>
  <c r="O80" i="9" s="1"/>
  <c r="M65" i="10"/>
  <c r="N80" i="9" s="1"/>
  <c r="N64" i="10"/>
  <c r="O79" i="9" s="1"/>
  <c r="M64" i="10"/>
  <c r="N79" i="9" s="1"/>
  <c r="N63" i="10"/>
  <c r="O63" i="10" s="1"/>
  <c r="M63" i="10"/>
  <c r="N78" i="9" s="1"/>
  <c r="N62" i="10"/>
  <c r="O77" i="9" s="1"/>
  <c r="M62" i="10"/>
  <c r="N77" i="9" s="1"/>
  <c r="N61" i="10"/>
  <c r="O76" i="9" s="1"/>
  <c r="M61" i="10"/>
  <c r="N76" i="9" s="1"/>
  <c r="N60" i="10"/>
  <c r="O75" i="9" s="1"/>
  <c r="M60" i="10"/>
  <c r="N75" i="9" s="1"/>
  <c r="N59" i="10"/>
  <c r="O74" i="9" s="1"/>
  <c r="M59" i="10"/>
  <c r="N74" i="9" s="1"/>
  <c r="N58" i="10"/>
  <c r="O73" i="9" s="1"/>
  <c r="M58" i="10"/>
  <c r="N73" i="9" s="1"/>
  <c r="N57" i="10"/>
  <c r="O72" i="9" s="1"/>
  <c r="M57" i="10"/>
  <c r="N72" i="9" s="1"/>
  <c r="N56" i="10"/>
  <c r="O71" i="9" s="1"/>
  <c r="M56" i="10"/>
  <c r="N71" i="9" s="1"/>
  <c r="N55" i="10"/>
  <c r="O55" i="10" s="1"/>
  <c r="M55" i="10"/>
  <c r="N70" i="9" s="1"/>
  <c r="N54" i="10"/>
  <c r="O69" i="9" s="1"/>
  <c r="M54" i="10"/>
  <c r="N69" i="9" s="1"/>
  <c r="N53" i="10"/>
  <c r="O68" i="9" s="1"/>
  <c r="M53" i="10"/>
  <c r="N68" i="9" s="1"/>
  <c r="N52" i="10"/>
  <c r="O67" i="9" s="1"/>
  <c r="M52" i="10"/>
  <c r="N67" i="9" s="1"/>
  <c r="N51" i="10"/>
  <c r="O51" i="10" s="1"/>
  <c r="M51" i="10"/>
  <c r="N66" i="9" s="1"/>
  <c r="N50" i="10"/>
  <c r="O65" i="9" s="1"/>
  <c r="M50" i="10"/>
  <c r="N65" i="9" s="1"/>
  <c r="N49" i="10"/>
  <c r="O64" i="9" s="1"/>
  <c r="M49" i="10"/>
  <c r="N64" i="9" s="1"/>
  <c r="N48" i="10"/>
  <c r="O63" i="9" s="1"/>
  <c r="M48" i="10"/>
  <c r="N63" i="9" s="1"/>
  <c r="N47" i="10"/>
  <c r="O47" i="10" s="1"/>
  <c r="M47" i="10"/>
  <c r="N62" i="9" s="1"/>
  <c r="N46" i="10"/>
  <c r="O61" i="9" s="1"/>
  <c r="M46" i="10"/>
  <c r="N61" i="9" s="1"/>
  <c r="N45" i="10"/>
  <c r="O60" i="9" s="1"/>
  <c r="M45" i="10"/>
  <c r="N60" i="9" s="1"/>
  <c r="N44" i="10"/>
  <c r="O59" i="9" s="1"/>
  <c r="M44" i="10"/>
  <c r="N59" i="9" s="1"/>
  <c r="N43" i="10"/>
  <c r="O43" i="10" s="1"/>
  <c r="M43" i="10"/>
  <c r="N58" i="9" s="1"/>
  <c r="N42" i="10"/>
  <c r="O57" i="9" s="1"/>
  <c r="M42" i="10"/>
  <c r="N57" i="9" s="1"/>
  <c r="N41" i="10"/>
  <c r="O56" i="9" s="1"/>
  <c r="M41" i="10"/>
  <c r="N56" i="9" s="1"/>
  <c r="N40" i="10"/>
  <c r="O55" i="9" s="1"/>
  <c r="M40" i="10"/>
  <c r="N55" i="9" s="1"/>
  <c r="N39" i="10"/>
  <c r="O39" i="10" s="1"/>
  <c r="M39" i="10"/>
  <c r="N54" i="9" s="1"/>
  <c r="N38" i="10"/>
  <c r="O53" i="9" s="1"/>
  <c r="M38" i="10"/>
  <c r="N53" i="9" s="1"/>
  <c r="N37" i="10"/>
  <c r="O52" i="9" s="1"/>
  <c r="M37" i="10"/>
  <c r="N52" i="9" s="1"/>
  <c r="N36" i="10"/>
  <c r="O51" i="9" s="1"/>
  <c r="M36" i="10"/>
  <c r="N51" i="9" s="1"/>
  <c r="N35" i="10"/>
  <c r="O35" i="10" s="1"/>
  <c r="M35" i="10"/>
  <c r="N50" i="9" s="1"/>
  <c r="N34" i="10"/>
  <c r="O49" i="9" s="1"/>
  <c r="M34" i="10"/>
  <c r="N49" i="9" s="1"/>
  <c r="N33" i="10"/>
  <c r="O48" i="9" s="1"/>
  <c r="M33" i="10"/>
  <c r="N48" i="9" s="1"/>
  <c r="N32" i="10"/>
  <c r="O47" i="9" s="1"/>
  <c r="M32" i="10"/>
  <c r="N47" i="9" s="1"/>
  <c r="N31" i="10"/>
  <c r="O31" i="10" s="1"/>
  <c r="M31" i="10"/>
  <c r="N46" i="9" s="1"/>
  <c r="N30" i="10"/>
  <c r="O45" i="9" s="1"/>
  <c r="M30" i="10"/>
  <c r="N45" i="9" s="1"/>
  <c r="N29" i="10"/>
  <c r="O44" i="9" s="1"/>
  <c r="M29" i="10"/>
  <c r="N44" i="9" s="1"/>
  <c r="N28" i="10"/>
  <c r="O43" i="9" s="1"/>
  <c r="M28" i="10"/>
  <c r="N43" i="9" s="1"/>
  <c r="N27" i="10"/>
  <c r="O27" i="10" s="1"/>
  <c r="M27" i="10"/>
  <c r="N42" i="9" s="1"/>
  <c r="N26" i="10"/>
  <c r="O41" i="9" s="1"/>
  <c r="M26" i="10"/>
  <c r="N41" i="9" s="1"/>
  <c r="N25" i="10"/>
  <c r="O40" i="9" s="1"/>
  <c r="M25" i="10"/>
  <c r="N40" i="9" s="1"/>
  <c r="N24" i="10"/>
  <c r="O39" i="9" s="1"/>
  <c r="M24" i="10"/>
  <c r="N39" i="9" s="1"/>
  <c r="N23" i="10"/>
  <c r="O23" i="10" s="1"/>
  <c r="M23" i="10"/>
  <c r="N38" i="9" s="1"/>
  <c r="N22" i="10"/>
  <c r="O37" i="9" s="1"/>
  <c r="M22" i="10"/>
  <c r="N37" i="9" s="1"/>
  <c r="N21" i="10"/>
  <c r="O36" i="9" s="1"/>
  <c r="M21" i="10"/>
  <c r="N36" i="9" s="1"/>
  <c r="N20" i="10"/>
  <c r="O35" i="9" s="1"/>
  <c r="M20" i="10"/>
  <c r="N35" i="9" s="1"/>
  <c r="N19" i="10"/>
  <c r="O19" i="10" s="1"/>
  <c r="M19" i="10"/>
  <c r="N34" i="9" s="1"/>
  <c r="N18" i="10"/>
  <c r="O33" i="9" s="1"/>
  <c r="M18" i="10"/>
  <c r="N33" i="9" s="1"/>
  <c r="N17" i="10"/>
  <c r="O32" i="9" s="1"/>
  <c r="M17" i="10"/>
  <c r="N32" i="9" s="1"/>
  <c r="N16" i="10"/>
  <c r="O31" i="9" s="1"/>
  <c r="M16" i="10"/>
  <c r="N31" i="9" s="1"/>
  <c r="N15" i="10"/>
  <c r="O15" i="10" s="1"/>
  <c r="M15" i="10"/>
  <c r="N30" i="9" s="1"/>
  <c r="N14" i="10"/>
  <c r="O29" i="9" s="1"/>
  <c r="M14" i="10"/>
  <c r="N29" i="9" s="1"/>
  <c r="N13" i="10"/>
  <c r="O28" i="9" s="1"/>
  <c r="M13" i="10"/>
  <c r="N28" i="9" s="1"/>
  <c r="N12" i="10"/>
  <c r="O27" i="9" s="1"/>
  <c r="M12" i="10"/>
  <c r="N27" i="9" s="1"/>
  <c r="N11" i="10"/>
  <c r="O11" i="10" s="1"/>
  <c r="M11" i="10"/>
  <c r="N26" i="9" s="1"/>
  <c r="N10" i="10"/>
  <c r="O25" i="9" s="1"/>
  <c r="M10" i="10"/>
  <c r="N25" i="9" s="1"/>
  <c r="N9" i="10"/>
  <c r="O24" i="9" s="1"/>
  <c r="M9" i="10"/>
  <c r="N24" i="9" s="1"/>
  <c r="N8" i="10"/>
  <c r="O23" i="9" s="1"/>
  <c r="M8" i="10"/>
  <c r="N23" i="9" s="1"/>
  <c r="N7" i="10"/>
  <c r="O7" i="10" s="1"/>
  <c r="M7" i="10"/>
  <c r="N22" i="9" s="1"/>
  <c r="N6" i="10"/>
  <c r="O21" i="9" s="1"/>
  <c r="M6" i="10"/>
  <c r="N21" i="9" s="1"/>
  <c r="N5" i="10"/>
  <c r="O20" i="9" s="1"/>
  <c r="M5" i="10"/>
  <c r="N20" i="9" s="1"/>
  <c r="N4" i="10"/>
  <c r="O19" i="9" s="1"/>
  <c r="M4" i="10"/>
  <c r="N19" i="9" s="1"/>
  <c r="N3" i="10"/>
  <c r="O3" i="10" s="1"/>
  <c r="M3" i="10"/>
  <c r="N18" i="9" s="1"/>
  <c r="N2" i="10"/>
  <c r="O2" i="10" s="1"/>
  <c r="M2" i="10"/>
  <c r="N17" i="9" s="1"/>
  <c r="K175" i="10"/>
  <c r="L190" i="8" s="1"/>
  <c r="K174" i="10"/>
  <c r="L189" i="8" s="1"/>
  <c r="K173" i="10"/>
  <c r="L188" i="8" s="1"/>
  <c r="K172" i="10"/>
  <c r="L187" i="8" s="1"/>
  <c r="K171" i="10"/>
  <c r="L186" i="8" s="1"/>
  <c r="K170" i="10"/>
  <c r="L185" i="8" s="1"/>
  <c r="K169" i="10"/>
  <c r="L184" i="8" s="1"/>
  <c r="K168" i="10"/>
  <c r="L183" i="8" s="1"/>
  <c r="K167" i="10"/>
  <c r="L182" i="8" s="1"/>
  <c r="K166" i="10"/>
  <c r="L181" i="8" s="1"/>
  <c r="K165" i="10"/>
  <c r="L180" i="8" s="1"/>
  <c r="K164" i="10"/>
  <c r="L179" i="8" s="1"/>
  <c r="K163" i="10"/>
  <c r="L178" i="8" s="1"/>
  <c r="K162" i="10"/>
  <c r="L177" i="8" s="1"/>
  <c r="K161" i="10"/>
  <c r="L176" i="8" s="1"/>
  <c r="K160" i="10"/>
  <c r="L175" i="8" s="1"/>
  <c r="K159" i="10"/>
  <c r="L174" i="8" s="1"/>
  <c r="K158" i="10"/>
  <c r="L173" i="8" s="1"/>
  <c r="K157" i="10"/>
  <c r="L172" i="8" s="1"/>
  <c r="K156" i="10"/>
  <c r="L171" i="8" s="1"/>
  <c r="K155" i="10"/>
  <c r="L170" i="8" s="1"/>
  <c r="K154" i="10"/>
  <c r="L169" i="8" s="1"/>
  <c r="K153" i="10"/>
  <c r="L168" i="8" s="1"/>
  <c r="K152" i="10"/>
  <c r="L167" i="8" s="1"/>
  <c r="K151" i="10"/>
  <c r="L166" i="8" s="1"/>
  <c r="K150" i="10"/>
  <c r="L165" i="8" s="1"/>
  <c r="K149" i="10"/>
  <c r="L164" i="8" s="1"/>
  <c r="K148" i="10"/>
  <c r="L163" i="8" s="1"/>
  <c r="K147" i="10"/>
  <c r="L162" i="8" s="1"/>
  <c r="K146" i="10"/>
  <c r="L161" i="8" s="1"/>
  <c r="K145" i="10"/>
  <c r="L160" i="8" s="1"/>
  <c r="K144" i="10"/>
  <c r="L159" i="8" s="1"/>
  <c r="K143" i="10"/>
  <c r="L158" i="8" s="1"/>
  <c r="K142" i="10"/>
  <c r="L157" i="8" s="1"/>
  <c r="K141" i="10"/>
  <c r="L156" i="8" s="1"/>
  <c r="K140" i="10"/>
  <c r="L155" i="8" s="1"/>
  <c r="K139" i="10"/>
  <c r="L154" i="8" s="1"/>
  <c r="K138" i="10"/>
  <c r="L153" i="8" s="1"/>
  <c r="K137" i="10"/>
  <c r="L152" i="8" s="1"/>
  <c r="K136" i="10"/>
  <c r="L151" i="8" s="1"/>
  <c r="K135" i="10"/>
  <c r="L150" i="8" s="1"/>
  <c r="K134" i="10"/>
  <c r="L149" i="8" s="1"/>
  <c r="K133" i="10"/>
  <c r="L148" i="8" s="1"/>
  <c r="K132" i="10"/>
  <c r="L147" i="8" s="1"/>
  <c r="K131" i="10"/>
  <c r="L146" i="8" s="1"/>
  <c r="K130" i="10"/>
  <c r="L145" i="8" s="1"/>
  <c r="K129" i="10"/>
  <c r="L144" i="8" s="1"/>
  <c r="K128" i="10"/>
  <c r="L143" i="8" s="1"/>
  <c r="K127" i="10"/>
  <c r="L142" i="8" s="1"/>
  <c r="K126" i="10"/>
  <c r="L141" i="8" s="1"/>
  <c r="K125" i="10"/>
  <c r="L140" i="8" s="1"/>
  <c r="K124" i="10"/>
  <c r="L139" i="8" s="1"/>
  <c r="K123" i="10"/>
  <c r="L138" i="8" s="1"/>
  <c r="K122" i="10"/>
  <c r="L137" i="8" s="1"/>
  <c r="K121" i="10"/>
  <c r="L136" i="8" s="1"/>
  <c r="K120" i="10"/>
  <c r="L135" i="8" s="1"/>
  <c r="K119" i="10"/>
  <c r="L134" i="8" s="1"/>
  <c r="K118" i="10"/>
  <c r="L133" i="8" s="1"/>
  <c r="K117" i="10"/>
  <c r="L132" i="8" s="1"/>
  <c r="K116" i="10"/>
  <c r="L131" i="8" s="1"/>
  <c r="K115" i="10"/>
  <c r="L130" i="8" s="1"/>
  <c r="K114" i="10"/>
  <c r="L129" i="8" s="1"/>
  <c r="K113" i="10"/>
  <c r="L128" i="8" s="1"/>
  <c r="K112" i="10"/>
  <c r="L127" i="8" s="1"/>
  <c r="K111" i="10"/>
  <c r="L126" i="8" s="1"/>
  <c r="K110" i="10"/>
  <c r="L125" i="8" s="1"/>
  <c r="K109" i="10"/>
  <c r="L124" i="8" s="1"/>
  <c r="K108" i="10"/>
  <c r="L123" i="8" s="1"/>
  <c r="K107" i="10"/>
  <c r="L122" i="8" s="1"/>
  <c r="K106" i="10"/>
  <c r="L121" i="8" s="1"/>
  <c r="K105" i="10"/>
  <c r="L120" i="8" s="1"/>
  <c r="K104" i="10"/>
  <c r="L119" i="8" s="1"/>
  <c r="K103" i="10"/>
  <c r="L118" i="8" s="1"/>
  <c r="K102" i="10"/>
  <c r="L117" i="8" s="1"/>
  <c r="K101" i="10"/>
  <c r="L116" i="8" s="1"/>
  <c r="K100" i="10"/>
  <c r="L115" i="8" s="1"/>
  <c r="K99" i="10"/>
  <c r="L114" i="8" s="1"/>
  <c r="K98" i="10"/>
  <c r="L113" i="8" s="1"/>
  <c r="K97" i="10"/>
  <c r="L112" i="8" s="1"/>
  <c r="K96" i="10"/>
  <c r="L111" i="8" s="1"/>
  <c r="K95" i="10"/>
  <c r="L110" i="8" s="1"/>
  <c r="K94" i="10"/>
  <c r="L109" i="8" s="1"/>
  <c r="K93" i="10"/>
  <c r="L108" i="8" s="1"/>
  <c r="K92" i="10"/>
  <c r="L107" i="8" s="1"/>
  <c r="K91" i="10"/>
  <c r="L106" i="8" s="1"/>
  <c r="K90" i="10"/>
  <c r="L105" i="8" s="1"/>
  <c r="K89" i="10"/>
  <c r="L104" i="8" s="1"/>
  <c r="K88" i="10"/>
  <c r="L103" i="8" s="1"/>
  <c r="K87" i="10"/>
  <c r="L102" i="8" s="1"/>
  <c r="K86" i="10"/>
  <c r="L101" i="8" s="1"/>
  <c r="K85" i="10"/>
  <c r="L100" i="8" s="1"/>
  <c r="K84" i="10"/>
  <c r="L99" i="8" s="1"/>
  <c r="K83" i="10"/>
  <c r="L98" i="8" s="1"/>
  <c r="K82" i="10"/>
  <c r="L97" i="8" s="1"/>
  <c r="K81" i="10"/>
  <c r="L96" i="8" s="1"/>
  <c r="K80" i="10"/>
  <c r="L95" i="8" s="1"/>
  <c r="K79" i="10"/>
  <c r="L94" i="8" s="1"/>
  <c r="K78" i="10"/>
  <c r="L93" i="8" s="1"/>
  <c r="K77" i="10"/>
  <c r="L92" i="8" s="1"/>
  <c r="K76" i="10"/>
  <c r="L91" i="8" s="1"/>
  <c r="K75" i="10"/>
  <c r="L90" i="8" s="1"/>
  <c r="K74" i="10"/>
  <c r="L89" i="8" s="1"/>
  <c r="K73" i="10"/>
  <c r="L88" i="8" s="1"/>
  <c r="K72" i="10"/>
  <c r="L87" i="8" s="1"/>
  <c r="K71" i="10"/>
  <c r="L86" i="8" s="1"/>
  <c r="K70" i="10"/>
  <c r="L85" i="8" s="1"/>
  <c r="K69" i="10"/>
  <c r="L84" i="8" s="1"/>
  <c r="K68" i="10"/>
  <c r="L83" i="8" s="1"/>
  <c r="K67" i="10"/>
  <c r="L82" i="8" s="1"/>
  <c r="K66" i="10"/>
  <c r="L81" i="8" s="1"/>
  <c r="K65" i="10"/>
  <c r="L80" i="8" s="1"/>
  <c r="K64" i="10"/>
  <c r="L79" i="8" s="1"/>
  <c r="K63" i="10"/>
  <c r="L78" i="8" s="1"/>
  <c r="K62" i="10"/>
  <c r="L77" i="8" s="1"/>
  <c r="K61" i="10"/>
  <c r="L76" i="8" s="1"/>
  <c r="K60" i="10"/>
  <c r="L75" i="8" s="1"/>
  <c r="K59" i="10"/>
  <c r="L74" i="8" s="1"/>
  <c r="K58" i="10"/>
  <c r="L73" i="8" s="1"/>
  <c r="K57" i="10"/>
  <c r="L72" i="8" s="1"/>
  <c r="K56" i="10"/>
  <c r="L71" i="8" s="1"/>
  <c r="K55" i="10"/>
  <c r="L70" i="8" s="1"/>
  <c r="K54" i="10"/>
  <c r="L69" i="8" s="1"/>
  <c r="K53" i="10"/>
  <c r="L68" i="8" s="1"/>
  <c r="K52" i="10"/>
  <c r="L67" i="8" s="1"/>
  <c r="K51" i="10"/>
  <c r="L66" i="8" s="1"/>
  <c r="K50" i="10"/>
  <c r="L65" i="8" s="1"/>
  <c r="K49" i="10"/>
  <c r="L64" i="8" s="1"/>
  <c r="K48" i="10"/>
  <c r="L63" i="8" s="1"/>
  <c r="K47" i="10"/>
  <c r="L62" i="8" s="1"/>
  <c r="K46" i="10"/>
  <c r="L61" i="8" s="1"/>
  <c r="K45" i="10"/>
  <c r="L60" i="8" s="1"/>
  <c r="K44" i="10"/>
  <c r="L59" i="8" s="1"/>
  <c r="K43" i="10"/>
  <c r="L58" i="8" s="1"/>
  <c r="K42" i="10"/>
  <c r="L57" i="8" s="1"/>
  <c r="K41" i="10"/>
  <c r="L56" i="8" s="1"/>
  <c r="K40" i="10"/>
  <c r="L55" i="8" s="1"/>
  <c r="K39" i="10"/>
  <c r="L54" i="8" s="1"/>
  <c r="K38" i="10"/>
  <c r="L53" i="8" s="1"/>
  <c r="K37" i="10"/>
  <c r="L52" i="8" s="1"/>
  <c r="K36" i="10"/>
  <c r="L51" i="8" s="1"/>
  <c r="K35" i="10"/>
  <c r="L50" i="8" s="1"/>
  <c r="K34" i="10"/>
  <c r="L49" i="8" s="1"/>
  <c r="K33" i="10"/>
  <c r="L48" i="8" s="1"/>
  <c r="K32" i="10"/>
  <c r="L47" i="8" s="1"/>
  <c r="K31" i="10"/>
  <c r="L46" i="8" s="1"/>
  <c r="K30" i="10"/>
  <c r="L45" i="8" s="1"/>
  <c r="K29" i="10"/>
  <c r="L44" i="8" s="1"/>
  <c r="K28" i="10"/>
  <c r="L43" i="8" s="1"/>
  <c r="K27" i="10"/>
  <c r="L42" i="8" s="1"/>
  <c r="K26" i="10"/>
  <c r="L41" i="8" s="1"/>
  <c r="K25" i="10"/>
  <c r="L40" i="8" s="1"/>
  <c r="K24" i="10"/>
  <c r="L39" i="8" s="1"/>
  <c r="K23" i="10"/>
  <c r="L38" i="8" s="1"/>
  <c r="K22" i="10"/>
  <c r="L37" i="8" s="1"/>
  <c r="K21" i="10"/>
  <c r="L36" i="8" s="1"/>
  <c r="K20" i="10"/>
  <c r="L35" i="8" s="1"/>
  <c r="K19" i="10"/>
  <c r="L34" i="8" s="1"/>
  <c r="K18" i="10"/>
  <c r="L33" i="8" s="1"/>
  <c r="K17" i="10"/>
  <c r="L32" i="8" s="1"/>
  <c r="K16" i="10"/>
  <c r="L31" i="8" s="1"/>
  <c r="K15" i="10"/>
  <c r="L30" i="8" s="1"/>
  <c r="K14" i="10"/>
  <c r="L29" i="8" s="1"/>
  <c r="K13" i="10"/>
  <c r="L28" i="8" s="1"/>
  <c r="K12" i="10"/>
  <c r="L27" i="8" s="1"/>
  <c r="K11" i="10"/>
  <c r="L26" i="8" s="1"/>
  <c r="K10" i="10"/>
  <c r="L25" i="8" s="1"/>
  <c r="K9" i="10"/>
  <c r="L24" i="8" s="1"/>
  <c r="K8" i="10"/>
  <c r="L23" i="8" s="1"/>
  <c r="K7" i="10"/>
  <c r="L22" i="8" s="1"/>
  <c r="K6" i="10"/>
  <c r="L21" i="8" s="1"/>
  <c r="K5" i="10"/>
  <c r="L20" i="8" s="1"/>
  <c r="K4" i="10"/>
  <c r="L19" i="8" s="1"/>
  <c r="K3" i="10"/>
  <c r="L18" i="8" s="1"/>
  <c r="K2" i="10"/>
  <c r="G3" i="10"/>
  <c r="H18" i="6" s="1"/>
  <c r="G4" i="10"/>
  <c r="H19" i="6" s="1"/>
  <c r="G5" i="10"/>
  <c r="H20" i="6" s="1"/>
  <c r="G6" i="10"/>
  <c r="H21" i="6" s="1"/>
  <c r="G7" i="10"/>
  <c r="H22" i="6" s="1"/>
  <c r="G8" i="10"/>
  <c r="H23" i="6" s="1"/>
  <c r="G9" i="10"/>
  <c r="H24" i="6" s="1"/>
  <c r="G10" i="10"/>
  <c r="H25" i="6" s="1"/>
  <c r="G11" i="10"/>
  <c r="H26" i="6" s="1"/>
  <c r="G12" i="10"/>
  <c r="H27" i="6" s="1"/>
  <c r="G13" i="10"/>
  <c r="H28" i="6" s="1"/>
  <c r="G14" i="10"/>
  <c r="H29" i="6" s="1"/>
  <c r="G15" i="10"/>
  <c r="H30" i="6" s="1"/>
  <c r="G16" i="10"/>
  <c r="H31" i="6" s="1"/>
  <c r="G17" i="10"/>
  <c r="H32" i="6" s="1"/>
  <c r="G18" i="10"/>
  <c r="H33" i="6" s="1"/>
  <c r="G19" i="10"/>
  <c r="H34" i="6" s="1"/>
  <c r="G20" i="10"/>
  <c r="H35" i="6" s="1"/>
  <c r="G21" i="10"/>
  <c r="H36" i="6" s="1"/>
  <c r="G22" i="10"/>
  <c r="H37" i="6" s="1"/>
  <c r="G23" i="10"/>
  <c r="H38" i="6" s="1"/>
  <c r="G24" i="10"/>
  <c r="H39" i="6" s="1"/>
  <c r="G25" i="10"/>
  <c r="H40" i="6" s="1"/>
  <c r="G26" i="10"/>
  <c r="H41" i="6" s="1"/>
  <c r="G27" i="10"/>
  <c r="H42" i="6" s="1"/>
  <c r="G28" i="10"/>
  <c r="H43" i="6" s="1"/>
  <c r="G29" i="10"/>
  <c r="H44" i="6" s="1"/>
  <c r="G30" i="10"/>
  <c r="H45" i="6" s="1"/>
  <c r="G31" i="10"/>
  <c r="H46" i="6" s="1"/>
  <c r="G32" i="10"/>
  <c r="H47" i="6" s="1"/>
  <c r="G33" i="10"/>
  <c r="H48" i="6" s="1"/>
  <c r="G34" i="10"/>
  <c r="H49" i="6" s="1"/>
  <c r="G35" i="10"/>
  <c r="H50" i="6" s="1"/>
  <c r="G36" i="10"/>
  <c r="H51" i="6" s="1"/>
  <c r="G37" i="10"/>
  <c r="H52" i="6" s="1"/>
  <c r="G38" i="10"/>
  <c r="H53" i="6" s="1"/>
  <c r="G39" i="10"/>
  <c r="H54" i="6" s="1"/>
  <c r="G40" i="10"/>
  <c r="H55" i="6" s="1"/>
  <c r="G41" i="10"/>
  <c r="H56" i="6" s="1"/>
  <c r="G42" i="10"/>
  <c r="H57" i="6" s="1"/>
  <c r="G43" i="10"/>
  <c r="H58" i="6" s="1"/>
  <c r="G44" i="10"/>
  <c r="H59" i="6" s="1"/>
  <c r="G45" i="10"/>
  <c r="H60" i="6" s="1"/>
  <c r="G46" i="10"/>
  <c r="H61" i="6" s="1"/>
  <c r="G47" i="10"/>
  <c r="H62" i="6" s="1"/>
  <c r="G48" i="10"/>
  <c r="H63" i="6" s="1"/>
  <c r="G49" i="10"/>
  <c r="H64" i="6" s="1"/>
  <c r="G50" i="10"/>
  <c r="H65" i="6" s="1"/>
  <c r="G51" i="10"/>
  <c r="H66" i="6" s="1"/>
  <c r="G52" i="10"/>
  <c r="H67" i="6" s="1"/>
  <c r="G53" i="10"/>
  <c r="H68" i="6" s="1"/>
  <c r="G54" i="10"/>
  <c r="H69" i="6" s="1"/>
  <c r="G55" i="10"/>
  <c r="H70" i="6" s="1"/>
  <c r="G56" i="10"/>
  <c r="H71" i="6" s="1"/>
  <c r="G57" i="10"/>
  <c r="H72" i="6" s="1"/>
  <c r="G58" i="10"/>
  <c r="H73" i="6" s="1"/>
  <c r="G59" i="10"/>
  <c r="H74" i="6" s="1"/>
  <c r="G60" i="10"/>
  <c r="H75" i="6" s="1"/>
  <c r="G61" i="10"/>
  <c r="H76" i="6" s="1"/>
  <c r="G62" i="10"/>
  <c r="H77" i="6" s="1"/>
  <c r="G63" i="10"/>
  <c r="H78" i="6" s="1"/>
  <c r="G64" i="10"/>
  <c r="H79" i="6" s="1"/>
  <c r="G65" i="10"/>
  <c r="H80" i="6" s="1"/>
  <c r="G66" i="10"/>
  <c r="H81" i="6" s="1"/>
  <c r="G67" i="10"/>
  <c r="H82" i="6" s="1"/>
  <c r="G68" i="10"/>
  <c r="H83" i="6" s="1"/>
  <c r="G69" i="10"/>
  <c r="H84" i="6" s="1"/>
  <c r="G70" i="10"/>
  <c r="H85" i="6" s="1"/>
  <c r="G71" i="10"/>
  <c r="H86" i="6" s="1"/>
  <c r="G72" i="10"/>
  <c r="H87" i="6" s="1"/>
  <c r="G73" i="10"/>
  <c r="H88" i="6" s="1"/>
  <c r="G74" i="10"/>
  <c r="H89" i="6" s="1"/>
  <c r="G75" i="10"/>
  <c r="H90" i="6" s="1"/>
  <c r="G76" i="10"/>
  <c r="H91" i="6" s="1"/>
  <c r="G77" i="10"/>
  <c r="H92" i="6" s="1"/>
  <c r="G78" i="10"/>
  <c r="H93" i="6" s="1"/>
  <c r="G79" i="10"/>
  <c r="H94" i="6" s="1"/>
  <c r="G80" i="10"/>
  <c r="H95" i="6" s="1"/>
  <c r="G81" i="10"/>
  <c r="H96" i="6" s="1"/>
  <c r="G82" i="10"/>
  <c r="H97" i="6" s="1"/>
  <c r="G83" i="10"/>
  <c r="H98" i="6" s="1"/>
  <c r="G84" i="10"/>
  <c r="H99" i="6" s="1"/>
  <c r="G85" i="10"/>
  <c r="H100" i="6" s="1"/>
  <c r="G86" i="10"/>
  <c r="H101" i="6" s="1"/>
  <c r="G87" i="10"/>
  <c r="H102" i="6" s="1"/>
  <c r="G88" i="10"/>
  <c r="H103" i="6" s="1"/>
  <c r="G89" i="10"/>
  <c r="H104" i="6" s="1"/>
  <c r="G90" i="10"/>
  <c r="H105" i="6" s="1"/>
  <c r="G91" i="10"/>
  <c r="H106" i="6" s="1"/>
  <c r="G92" i="10"/>
  <c r="H107" i="6" s="1"/>
  <c r="G93" i="10"/>
  <c r="H108" i="6" s="1"/>
  <c r="G94" i="10"/>
  <c r="H109" i="6" s="1"/>
  <c r="G95" i="10"/>
  <c r="H110" i="6" s="1"/>
  <c r="G96" i="10"/>
  <c r="H111" i="6" s="1"/>
  <c r="G97" i="10"/>
  <c r="H112" i="6" s="1"/>
  <c r="G98" i="10"/>
  <c r="H113" i="6" s="1"/>
  <c r="G99" i="10"/>
  <c r="H114" i="6" s="1"/>
  <c r="G100" i="10"/>
  <c r="H115" i="6" s="1"/>
  <c r="G101" i="10"/>
  <c r="H116" i="6" s="1"/>
  <c r="G102" i="10"/>
  <c r="H117" i="6" s="1"/>
  <c r="G103" i="10"/>
  <c r="H118" i="6" s="1"/>
  <c r="G104" i="10"/>
  <c r="H119" i="6" s="1"/>
  <c r="G105" i="10"/>
  <c r="H120" i="6" s="1"/>
  <c r="G106" i="10"/>
  <c r="H121" i="6" s="1"/>
  <c r="G107" i="10"/>
  <c r="H122" i="6" s="1"/>
  <c r="G108" i="10"/>
  <c r="H123" i="6" s="1"/>
  <c r="G109" i="10"/>
  <c r="H124" i="6" s="1"/>
  <c r="G110" i="10"/>
  <c r="H125" i="6" s="1"/>
  <c r="G111" i="10"/>
  <c r="H126" i="6" s="1"/>
  <c r="G112" i="10"/>
  <c r="H127" i="6" s="1"/>
  <c r="G113" i="10"/>
  <c r="H128" i="6" s="1"/>
  <c r="G114" i="10"/>
  <c r="H129" i="6" s="1"/>
  <c r="G115" i="10"/>
  <c r="H130" i="6" s="1"/>
  <c r="G116" i="10"/>
  <c r="H131" i="6" s="1"/>
  <c r="G117" i="10"/>
  <c r="H132" i="6" s="1"/>
  <c r="G118" i="10"/>
  <c r="H133" i="6" s="1"/>
  <c r="G119" i="10"/>
  <c r="H134" i="6" s="1"/>
  <c r="G120" i="10"/>
  <c r="H135" i="6" s="1"/>
  <c r="G121" i="10"/>
  <c r="H136" i="6" s="1"/>
  <c r="G122" i="10"/>
  <c r="H137" i="6" s="1"/>
  <c r="G123" i="10"/>
  <c r="H138" i="6" s="1"/>
  <c r="G124" i="10"/>
  <c r="H139" i="6" s="1"/>
  <c r="G125" i="10"/>
  <c r="H140" i="6" s="1"/>
  <c r="G126" i="10"/>
  <c r="H141" i="6" s="1"/>
  <c r="G127" i="10"/>
  <c r="H142" i="6" s="1"/>
  <c r="G128" i="10"/>
  <c r="H143" i="6" s="1"/>
  <c r="G129" i="10"/>
  <c r="H144" i="6" s="1"/>
  <c r="G130" i="10"/>
  <c r="H145" i="6" s="1"/>
  <c r="G131" i="10"/>
  <c r="H146" i="6" s="1"/>
  <c r="G132" i="10"/>
  <c r="H147" i="6" s="1"/>
  <c r="G133" i="10"/>
  <c r="H148" i="6" s="1"/>
  <c r="G134" i="10"/>
  <c r="H149" i="6" s="1"/>
  <c r="G135" i="10"/>
  <c r="H150" i="6" s="1"/>
  <c r="G136" i="10"/>
  <c r="H151" i="6" s="1"/>
  <c r="G137" i="10"/>
  <c r="H152" i="6" s="1"/>
  <c r="G138" i="10"/>
  <c r="H153" i="6" s="1"/>
  <c r="G139" i="10"/>
  <c r="H154" i="6" s="1"/>
  <c r="G140" i="10"/>
  <c r="H155" i="6" s="1"/>
  <c r="G141" i="10"/>
  <c r="H156" i="6" s="1"/>
  <c r="G142" i="10"/>
  <c r="H157" i="6" s="1"/>
  <c r="G143" i="10"/>
  <c r="H158" i="6" s="1"/>
  <c r="G144" i="10"/>
  <c r="H159" i="6" s="1"/>
  <c r="G145" i="10"/>
  <c r="H160" i="6" s="1"/>
  <c r="G146" i="10"/>
  <c r="H161" i="6" s="1"/>
  <c r="G147" i="10"/>
  <c r="H162" i="6" s="1"/>
  <c r="G148" i="10"/>
  <c r="H163" i="6" s="1"/>
  <c r="G149" i="10"/>
  <c r="H164" i="6" s="1"/>
  <c r="G150" i="10"/>
  <c r="H165" i="6" s="1"/>
  <c r="G151" i="10"/>
  <c r="H166" i="6" s="1"/>
  <c r="G152" i="10"/>
  <c r="H167" i="6" s="1"/>
  <c r="G153" i="10"/>
  <c r="H168" i="6" s="1"/>
  <c r="G154" i="10"/>
  <c r="H169" i="6" s="1"/>
  <c r="G155" i="10"/>
  <c r="H170" i="6" s="1"/>
  <c r="G156" i="10"/>
  <c r="H171" i="6" s="1"/>
  <c r="G157" i="10"/>
  <c r="H172" i="6" s="1"/>
  <c r="G158" i="10"/>
  <c r="H173" i="6" s="1"/>
  <c r="G159" i="10"/>
  <c r="H174" i="6" s="1"/>
  <c r="G160" i="10"/>
  <c r="H175" i="6" s="1"/>
  <c r="G161" i="10"/>
  <c r="H176" i="6" s="1"/>
  <c r="G162" i="10"/>
  <c r="H177" i="6" s="1"/>
  <c r="G163" i="10"/>
  <c r="H178" i="6" s="1"/>
  <c r="G164" i="10"/>
  <c r="H179" i="6" s="1"/>
  <c r="G165" i="10"/>
  <c r="H180" i="6" s="1"/>
  <c r="G166" i="10"/>
  <c r="H181" i="6" s="1"/>
  <c r="G167" i="10"/>
  <c r="H182" i="6" s="1"/>
  <c r="G168" i="10"/>
  <c r="H183" i="6" s="1"/>
  <c r="G169" i="10"/>
  <c r="H184" i="6" s="1"/>
  <c r="G170" i="10"/>
  <c r="H185" i="6" s="1"/>
  <c r="G171" i="10"/>
  <c r="H186" i="6" s="1"/>
  <c r="G172" i="10"/>
  <c r="H187" i="6" s="1"/>
  <c r="G173" i="10"/>
  <c r="H188" i="6" s="1"/>
  <c r="G174" i="10"/>
  <c r="H189" i="6" s="1"/>
  <c r="G175" i="10"/>
  <c r="H190" i="6" s="1"/>
  <c r="G2" i="10"/>
  <c r="H17" i="6" s="1"/>
  <c r="J17" i="6" s="1"/>
  <c r="O175" i="10"/>
  <c r="O143" i="10"/>
  <c r="I171" i="10" l="1"/>
  <c r="J186" i="7" s="1"/>
  <c r="J186" i="6"/>
  <c r="I155" i="10"/>
  <c r="J170" i="7" s="1"/>
  <c r="J170" i="6"/>
  <c r="I139" i="10"/>
  <c r="J154" i="7" s="1"/>
  <c r="J154" i="6"/>
  <c r="I119" i="10"/>
  <c r="J134" i="7" s="1"/>
  <c r="J134" i="6"/>
  <c r="I103" i="10"/>
  <c r="J118" i="7" s="1"/>
  <c r="J118" i="6"/>
  <c r="I87" i="10"/>
  <c r="J102" i="7" s="1"/>
  <c r="J102" i="6"/>
  <c r="I71" i="10"/>
  <c r="J86" i="7" s="1"/>
  <c r="J86" i="6"/>
  <c r="I55" i="10"/>
  <c r="J70" i="7" s="1"/>
  <c r="J70" i="6"/>
  <c r="I39" i="10"/>
  <c r="J54" i="7" s="1"/>
  <c r="J54" i="6"/>
  <c r="I23" i="10"/>
  <c r="J38" i="7" s="1"/>
  <c r="J38" i="6"/>
  <c r="I163" i="10"/>
  <c r="J178" i="7" s="1"/>
  <c r="J178" i="6"/>
  <c r="I147" i="10"/>
  <c r="J162" i="7" s="1"/>
  <c r="J162" i="6"/>
  <c r="I131" i="10"/>
  <c r="J146" i="7" s="1"/>
  <c r="J146" i="6"/>
  <c r="I115" i="10"/>
  <c r="J130" i="7" s="1"/>
  <c r="J130" i="6"/>
  <c r="I99" i="10"/>
  <c r="J114" i="7" s="1"/>
  <c r="J114" i="6"/>
  <c r="I83" i="10"/>
  <c r="J98" i="7" s="1"/>
  <c r="J98" i="6"/>
  <c r="I67" i="10"/>
  <c r="J82" i="7" s="1"/>
  <c r="J82" i="6"/>
  <c r="I47" i="10"/>
  <c r="J62" i="7" s="1"/>
  <c r="J62" i="6"/>
  <c r="I35" i="10"/>
  <c r="J50" i="7" s="1"/>
  <c r="J50" i="6"/>
  <c r="I15" i="10"/>
  <c r="J30" i="7" s="1"/>
  <c r="J30" i="6"/>
  <c r="I162" i="10"/>
  <c r="J177" i="7" s="1"/>
  <c r="J177" i="6"/>
  <c r="I150" i="10"/>
  <c r="J165" i="7" s="1"/>
  <c r="J165" i="6"/>
  <c r="I138" i="10"/>
  <c r="J153" i="7" s="1"/>
  <c r="J153" i="6"/>
  <c r="I130" i="10"/>
  <c r="J145" i="7" s="1"/>
  <c r="J145" i="6"/>
  <c r="I118" i="10"/>
  <c r="J133" i="7" s="1"/>
  <c r="J133" i="6"/>
  <c r="I106" i="10"/>
  <c r="J121" i="7" s="1"/>
  <c r="J121" i="6"/>
  <c r="I94" i="10"/>
  <c r="J109" i="7" s="1"/>
  <c r="J109" i="6"/>
  <c r="I82" i="10"/>
  <c r="J97" i="7" s="1"/>
  <c r="J97" i="6"/>
  <c r="I70" i="10"/>
  <c r="J85" i="7" s="1"/>
  <c r="J85" i="6"/>
  <c r="I58" i="10"/>
  <c r="J73" i="7" s="1"/>
  <c r="J73" i="6"/>
  <c r="I46" i="10"/>
  <c r="J61" i="7" s="1"/>
  <c r="J61" i="6"/>
  <c r="I34" i="10"/>
  <c r="J49" i="7" s="1"/>
  <c r="J49" i="6"/>
  <c r="I22" i="10"/>
  <c r="J37" i="7" s="1"/>
  <c r="J37" i="6"/>
  <c r="I10" i="10"/>
  <c r="J25" i="7" s="1"/>
  <c r="J25" i="6"/>
  <c r="I175" i="10"/>
  <c r="J190" i="7" s="1"/>
  <c r="J190" i="6"/>
  <c r="I159" i="10"/>
  <c r="J174" i="7" s="1"/>
  <c r="J174" i="6"/>
  <c r="I143" i="10"/>
  <c r="J158" i="7" s="1"/>
  <c r="J158" i="6"/>
  <c r="I127" i="10"/>
  <c r="J142" i="7" s="1"/>
  <c r="J142" i="6"/>
  <c r="I111" i="10"/>
  <c r="J126" i="7" s="1"/>
  <c r="J126" i="6"/>
  <c r="I95" i="10"/>
  <c r="J110" i="7" s="1"/>
  <c r="J110" i="6"/>
  <c r="I79" i="10"/>
  <c r="J94" i="7" s="1"/>
  <c r="J94" i="6"/>
  <c r="I63" i="10"/>
  <c r="J78" i="7" s="1"/>
  <c r="J78" i="6"/>
  <c r="I51" i="10"/>
  <c r="J66" i="7" s="1"/>
  <c r="J66" i="6"/>
  <c r="I31" i="10"/>
  <c r="J46" i="7" s="1"/>
  <c r="J46" i="6"/>
  <c r="I19" i="10"/>
  <c r="J34" i="7" s="1"/>
  <c r="J34" i="6"/>
  <c r="I174" i="10"/>
  <c r="J189" i="7" s="1"/>
  <c r="J189" i="6"/>
  <c r="I166" i="10"/>
  <c r="J181" i="7" s="1"/>
  <c r="J181" i="6"/>
  <c r="I154" i="10"/>
  <c r="J169" i="7" s="1"/>
  <c r="J169" i="6"/>
  <c r="I142" i="10"/>
  <c r="J157" i="7" s="1"/>
  <c r="J157" i="6"/>
  <c r="I126" i="10"/>
  <c r="J141" i="7" s="1"/>
  <c r="J141" i="6"/>
  <c r="I114" i="10"/>
  <c r="J129" i="7" s="1"/>
  <c r="J129" i="6"/>
  <c r="I102" i="10"/>
  <c r="J117" i="7" s="1"/>
  <c r="J117" i="6"/>
  <c r="I90" i="10"/>
  <c r="J105" i="7" s="1"/>
  <c r="J105" i="6"/>
  <c r="I78" i="10"/>
  <c r="J93" i="7" s="1"/>
  <c r="J93" i="6"/>
  <c r="I66" i="10"/>
  <c r="E10" i="2" s="1"/>
  <c r="J81" i="6"/>
  <c r="I54" i="10"/>
  <c r="J69" i="7" s="1"/>
  <c r="J69" i="6"/>
  <c r="I42" i="10"/>
  <c r="J57" i="7" s="1"/>
  <c r="J57" i="6"/>
  <c r="I30" i="10"/>
  <c r="J45" i="7" s="1"/>
  <c r="J45" i="6"/>
  <c r="I18" i="10"/>
  <c r="J33" i="7" s="1"/>
  <c r="J33" i="6"/>
  <c r="I165" i="10"/>
  <c r="J180" i="7" s="1"/>
  <c r="J180" i="6"/>
  <c r="I113" i="10"/>
  <c r="J128" i="7" s="1"/>
  <c r="J128" i="6"/>
  <c r="I109" i="10"/>
  <c r="J124" i="7" s="1"/>
  <c r="J124" i="6"/>
  <c r="I105" i="10"/>
  <c r="J120" i="7" s="1"/>
  <c r="J120" i="6"/>
  <c r="I101" i="10"/>
  <c r="J116" i="7" s="1"/>
  <c r="J116" i="6"/>
  <c r="I97" i="10"/>
  <c r="J112" i="7" s="1"/>
  <c r="J112" i="6"/>
  <c r="I93" i="10"/>
  <c r="J108" i="7" s="1"/>
  <c r="J108" i="6"/>
  <c r="I89" i="10"/>
  <c r="J104" i="7" s="1"/>
  <c r="J104" i="6"/>
  <c r="I85" i="10"/>
  <c r="J100" i="7" s="1"/>
  <c r="J100" i="6"/>
  <c r="I81" i="10"/>
  <c r="J96" i="7" s="1"/>
  <c r="J96" i="6"/>
  <c r="I77" i="10"/>
  <c r="J92" i="7" s="1"/>
  <c r="J92" i="6"/>
  <c r="I73" i="10"/>
  <c r="J88" i="7" s="1"/>
  <c r="J88" i="6"/>
  <c r="I69" i="10"/>
  <c r="J84" i="7" s="1"/>
  <c r="J84" i="6"/>
  <c r="I65" i="10"/>
  <c r="E11" i="2" s="1"/>
  <c r="J80" i="6"/>
  <c r="I61" i="10"/>
  <c r="J76" i="7" s="1"/>
  <c r="J76" i="6"/>
  <c r="I57" i="10"/>
  <c r="J72" i="7" s="1"/>
  <c r="J72" i="6"/>
  <c r="I53" i="10"/>
  <c r="J68" i="7" s="1"/>
  <c r="J68" i="6"/>
  <c r="I49" i="10"/>
  <c r="J64" i="7" s="1"/>
  <c r="J64" i="6"/>
  <c r="I45" i="10"/>
  <c r="J60" i="7" s="1"/>
  <c r="J60" i="6"/>
  <c r="I41" i="10"/>
  <c r="J56" i="7" s="1"/>
  <c r="J56" i="6"/>
  <c r="I37" i="10"/>
  <c r="J52" i="7" s="1"/>
  <c r="J52" i="6"/>
  <c r="I33" i="10"/>
  <c r="J48" i="7" s="1"/>
  <c r="J48" i="6"/>
  <c r="I29" i="10"/>
  <c r="J44" i="7" s="1"/>
  <c r="J44" i="6"/>
  <c r="I25" i="10"/>
  <c r="J40" i="7" s="1"/>
  <c r="J40" i="6"/>
  <c r="I21" i="10"/>
  <c r="J36" i="7" s="1"/>
  <c r="J36" i="6"/>
  <c r="I17" i="10"/>
  <c r="J32" i="7" s="1"/>
  <c r="J32" i="6"/>
  <c r="I13" i="10"/>
  <c r="J28" i="7" s="1"/>
  <c r="J28" i="6"/>
  <c r="I167" i="10"/>
  <c r="J182" i="7" s="1"/>
  <c r="J182" i="6"/>
  <c r="I151" i="10"/>
  <c r="J166" i="7" s="1"/>
  <c r="J166" i="6"/>
  <c r="I135" i="10"/>
  <c r="J150" i="7" s="1"/>
  <c r="J150" i="6"/>
  <c r="I123" i="10"/>
  <c r="J138" i="7" s="1"/>
  <c r="J138" i="6"/>
  <c r="I107" i="10"/>
  <c r="J122" i="7" s="1"/>
  <c r="J122" i="6"/>
  <c r="I91" i="10"/>
  <c r="J106" i="7" s="1"/>
  <c r="J106" i="6"/>
  <c r="I75" i="10"/>
  <c r="J90" i="7" s="1"/>
  <c r="J90" i="6"/>
  <c r="I59" i="10"/>
  <c r="J74" i="7" s="1"/>
  <c r="J74" i="6"/>
  <c r="I43" i="10"/>
  <c r="J58" i="7" s="1"/>
  <c r="J58" i="6"/>
  <c r="I27" i="10"/>
  <c r="J42" i="7" s="1"/>
  <c r="J42" i="6"/>
  <c r="I11" i="10"/>
  <c r="J26" i="7" s="1"/>
  <c r="J26" i="6"/>
  <c r="I170" i="10"/>
  <c r="J185" i="7" s="1"/>
  <c r="J185" i="6"/>
  <c r="I158" i="10"/>
  <c r="J173" i="7" s="1"/>
  <c r="J173" i="6"/>
  <c r="I146" i="10"/>
  <c r="J161" i="7" s="1"/>
  <c r="J161" i="6"/>
  <c r="I134" i="10"/>
  <c r="J149" i="7" s="1"/>
  <c r="J149" i="6"/>
  <c r="I122" i="10"/>
  <c r="J137" i="7" s="1"/>
  <c r="J137" i="6"/>
  <c r="I110" i="10"/>
  <c r="J125" i="7" s="1"/>
  <c r="J125" i="6"/>
  <c r="I98" i="10"/>
  <c r="J113" i="7" s="1"/>
  <c r="J113" i="6"/>
  <c r="I86" i="10"/>
  <c r="J101" i="7" s="1"/>
  <c r="J101" i="6"/>
  <c r="I74" i="10"/>
  <c r="J89" i="7" s="1"/>
  <c r="J89" i="6"/>
  <c r="I62" i="10"/>
  <c r="J77" i="7" s="1"/>
  <c r="J77" i="6"/>
  <c r="I50" i="10"/>
  <c r="J65" i="7" s="1"/>
  <c r="J65" i="6"/>
  <c r="I38" i="10"/>
  <c r="J53" i="7" s="1"/>
  <c r="J53" i="6"/>
  <c r="I26" i="10"/>
  <c r="J41" i="7" s="1"/>
  <c r="J41" i="6"/>
  <c r="I14" i="10"/>
  <c r="J29" i="7" s="1"/>
  <c r="J29" i="6"/>
  <c r="I173" i="10"/>
  <c r="J188" i="7" s="1"/>
  <c r="J188" i="6"/>
  <c r="I169" i="10"/>
  <c r="J184" i="7" s="1"/>
  <c r="J184" i="6"/>
  <c r="I161" i="10"/>
  <c r="J176" i="7" s="1"/>
  <c r="J176" i="6"/>
  <c r="I157" i="10"/>
  <c r="J172" i="7" s="1"/>
  <c r="J172" i="6"/>
  <c r="I153" i="10"/>
  <c r="J168" i="7" s="1"/>
  <c r="J168" i="6"/>
  <c r="I149" i="10"/>
  <c r="J164" i="7" s="1"/>
  <c r="J164" i="6"/>
  <c r="I145" i="10"/>
  <c r="J160" i="7" s="1"/>
  <c r="J160" i="6"/>
  <c r="I141" i="10"/>
  <c r="J156" i="7" s="1"/>
  <c r="J156" i="6"/>
  <c r="I137" i="10"/>
  <c r="J152" i="7" s="1"/>
  <c r="J152" i="6"/>
  <c r="I133" i="10"/>
  <c r="E13" i="2" s="1"/>
  <c r="J148" i="6"/>
  <c r="I129" i="10"/>
  <c r="J144" i="7" s="1"/>
  <c r="J144" i="6"/>
  <c r="I125" i="10"/>
  <c r="J140" i="7" s="1"/>
  <c r="J140" i="6"/>
  <c r="I121" i="10"/>
  <c r="J136" i="7" s="1"/>
  <c r="J136" i="6"/>
  <c r="I117" i="10"/>
  <c r="J132" i="7" s="1"/>
  <c r="J132" i="6"/>
  <c r="I172" i="10"/>
  <c r="J187" i="7" s="1"/>
  <c r="J187" i="6"/>
  <c r="I168" i="10"/>
  <c r="J183" i="7" s="1"/>
  <c r="J183" i="6"/>
  <c r="I164" i="10"/>
  <c r="J179" i="7" s="1"/>
  <c r="J179" i="6"/>
  <c r="I160" i="10"/>
  <c r="J175" i="7" s="1"/>
  <c r="J175" i="6"/>
  <c r="I156" i="10"/>
  <c r="J171" i="7" s="1"/>
  <c r="J171" i="6"/>
  <c r="I152" i="10"/>
  <c r="J167" i="7" s="1"/>
  <c r="J167" i="6"/>
  <c r="I148" i="10"/>
  <c r="J163" i="7" s="1"/>
  <c r="J163" i="6"/>
  <c r="I144" i="10"/>
  <c r="J159" i="7" s="1"/>
  <c r="J159" i="6"/>
  <c r="I140" i="10"/>
  <c r="J155" i="7" s="1"/>
  <c r="J155" i="6"/>
  <c r="I136" i="10"/>
  <c r="J151" i="7" s="1"/>
  <c r="J151" i="6"/>
  <c r="I132" i="10"/>
  <c r="J147" i="7" s="1"/>
  <c r="J147" i="6"/>
  <c r="I128" i="10"/>
  <c r="J143" i="7" s="1"/>
  <c r="J143" i="6"/>
  <c r="I124" i="10"/>
  <c r="J139" i="7" s="1"/>
  <c r="J139" i="6"/>
  <c r="I120" i="10"/>
  <c r="J135" i="7" s="1"/>
  <c r="J135" i="6"/>
  <c r="I116" i="10"/>
  <c r="J131" i="7" s="1"/>
  <c r="J131" i="6"/>
  <c r="I112" i="10"/>
  <c r="J127" i="7" s="1"/>
  <c r="J127" i="6"/>
  <c r="I108" i="10"/>
  <c r="J123" i="7" s="1"/>
  <c r="J123" i="6"/>
  <c r="I104" i="10"/>
  <c r="J119" i="7" s="1"/>
  <c r="J119" i="6"/>
  <c r="I100" i="10"/>
  <c r="J115" i="7" s="1"/>
  <c r="J115" i="6"/>
  <c r="I96" i="10"/>
  <c r="J111" i="7" s="1"/>
  <c r="J111" i="6"/>
  <c r="I92" i="10"/>
  <c r="J107" i="7" s="1"/>
  <c r="J107" i="6"/>
  <c r="I88" i="10"/>
  <c r="J103" i="7" s="1"/>
  <c r="J103" i="6"/>
  <c r="I84" i="10"/>
  <c r="J99" i="7" s="1"/>
  <c r="J99" i="6"/>
  <c r="I80" i="10"/>
  <c r="J95" i="7" s="1"/>
  <c r="J95" i="6"/>
  <c r="I76" i="10"/>
  <c r="J91" i="7" s="1"/>
  <c r="J91" i="6"/>
  <c r="I72" i="10"/>
  <c r="J87" i="7" s="1"/>
  <c r="J87" i="6"/>
  <c r="I68" i="10"/>
  <c r="J83" i="7" s="1"/>
  <c r="J83" i="6"/>
  <c r="I64" i="10"/>
  <c r="J79" i="7" s="1"/>
  <c r="J79" i="6"/>
  <c r="I60" i="10"/>
  <c r="J75" i="7" s="1"/>
  <c r="J75" i="6"/>
  <c r="I56" i="10"/>
  <c r="J71" i="7" s="1"/>
  <c r="J71" i="6"/>
  <c r="I52" i="10"/>
  <c r="J67" i="7" s="1"/>
  <c r="J67" i="6"/>
  <c r="I48" i="10"/>
  <c r="J63" i="7" s="1"/>
  <c r="J63" i="6"/>
  <c r="I44" i="10"/>
  <c r="J59" i="7" s="1"/>
  <c r="J59" i="6"/>
  <c r="I40" i="10"/>
  <c r="J55" i="7" s="1"/>
  <c r="J55" i="6"/>
  <c r="I36" i="10"/>
  <c r="J51" i="7" s="1"/>
  <c r="J51" i="6"/>
  <c r="I32" i="10"/>
  <c r="J47" i="7" s="1"/>
  <c r="J47" i="6"/>
  <c r="I28" i="10"/>
  <c r="J43" i="7" s="1"/>
  <c r="J43" i="6"/>
  <c r="I24" i="10"/>
  <c r="J39" i="7" s="1"/>
  <c r="J39" i="6"/>
  <c r="I20" i="10"/>
  <c r="J35" i="7" s="1"/>
  <c r="J35" i="6"/>
  <c r="I16" i="10"/>
  <c r="J31" i="7" s="1"/>
  <c r="J31" i="6"/>
  <c r="I12" i="10"/>
  <c r="J27" i="7" s="1"/>
  <c r="J27" i="6"/>
  <c r="I6" i="10"/>
  <c r="J21" i="7" s="1"/>
  <c r="J21" i="6"/>
  <c r="J24" i="6"/>
  <c r="I9" i="10" s="1"/>
  <c r="J20" i="6"/>
  <c r="I5" i="10" s="1"/>
  <c r="J22" i="6"/>
  <c r="I7" i="10" s="1"/>
  <c r="I8" i="10"/>
  <c r="J23" i="7" s="1"/>
  <c r="J23" i="6"/>
  <c r="J18" i="6"/>
  <c r="I3" i="10" s="1"/>
  <c r="J19" i="6"/>
  <c r="I4" i="10" s="1"/>
  <c r="O111" i="10"/>
  <c r="O95" i="10"/>
  <c r="O159" i="10"/>
  <c r="O127" i="10"/>
  <c r="D22" i="2"/>
  <c r="D23" i="2"/>
  <c r="D21" i="2"/>
  <c r="D24" i="2"/>
  <c r="E23" i="2"/>
  <c r="D25" i="2"/>
  <c r="J148" i="7"/>
  <c r="J80" i="7"/>
  <c r="J81" i="7"/>
  <c r="L17" i="8"/>
  <c r="E12" i="2"/>
  <c r="O114" i="10"/>
  <c r="O164" i="10"/>
  <c r="O78" i="10"/>
  <c r="O42" i="10"/>
  <c r="O100" i="10"/>
  <c r="O136" i="10"/>
  <c r="O168" i="10"/>
  <c r="O70" i="10"/>
  <c r="O30" i="10"/>
  <c r="O122" i="10"/>
  <c r="O158" i="10"/>
  <c r="O172" i="10"/>
  <c r="O6" i="10"/>
  <c r="O52" i="10"/>
  <c r="O86" i="10"/>
  <c r="O108" i="10"/>
  <c r="O150" i="10"/>
  <c r="O160" i="10"/>
  <c r="O174" i="10"/>
  <c r="O18" i="10"/>
  <c r="O60" i="10"/>
  <c r="O94" i="10"/>
  <c r="O128" i="10"/>
  <c r="O154" i="10"/>
  <c r="O10" i="10"/>
  <c r="O24" i="10"/>
  <c r="O36" i="10"/>
  <c r="O48" i="10"/>
  <c r="O56" i="10"/>
  <c r="O66" i="10"/>
  <c r="O74" i="10"/>
  <c r="O90" i="10"/>
  <c r="O96" i="10"/>
  <c r="O104" i="10"/>
  <c r="O118" i="10"/>
  <c r="O126" i="10"/>
  <c r="O132" i="10"/>
  <c r="O140" i="10"/>
  <c r="O146" i="10"/>
  <c r="O14" i="10"/>
  <c r="O26" i="10"/>
  <c r="O38" i="10"/>
  <c r="O50" i="10"/>
  <c r="O58" i="10"/>
  <c r="O68" i="10"/>
  <c r="O76" i="10"/>
  <c r="O84" i="10"/>
  <c r="O92" i="10"/>
  <c r="O98" i="10"/>
  <c r="O106" i="10"/>
  <c r="O112" i="10"/>
  <c r="O120" i="10"/>
  <c r="O134" i="10"/>
  <c r="O142" i="10"/>
  <c r="O148" i="10"/>
  <c r="O156" i="10"/>
  <c r="O162" i="10"/>
  <c r="O170" i="10"/>
  <c r="O8" i="10"/>
  <c r="O22" i="10"/>
  <c r="O34" i="10"/>
  <c r="O46" i="10"/>
  <c r="O54" i="10"/>
  <c r="O62" i="10"/>
  <c r="O72" i="10"/>
  <c r="O80" i="10"/>
  <c r="O88" i="10"/>
  <c r="O102" i="10"/>
  <c r="O110" i="10"/>
  <c r="O116" i="10"/>
  <c r="O124" i="10"/>
  <c r="O130" i="10"/>
  <c r="O138" i="10"/>
  <c r="O144" i="10"/>
  <c r="O152" i="10"/>
  <c r="O166" i="10"/>
  <c r="O82" i="10"/>
  <c r="O91" i="10"/>
  <c r="O107" i="10"/>
  <c r="O123" i="10"/>
  <c r="O139" i="10"/>
  <c r="O155" i="10"/>
  <c r="O171" i="10"/>
  <c r="O75" i="10"/>
  <c r="O87" i="10"/>
  <c r="O119" i="10"/>
  <c r="O135" i="10"/>
  <c r="O151" i="10"/>
  <c r="O167" i="10"/>
  <c r="O33" i="10"/>
  <c r="O59" i="10"/>
  <c r="O103" i="10"/>
  <c r="O83" i="10"/>
  <c r="O99" i="10"/>
  <c r="O115" i="10"/>
  <c r="O131" i="10"/>
  <c r="O147" i="10"/>
  <c r="O163" i="10"/>
  <c r="O40" i="10"/>
  <c r="O12" i="10"/>
  <c r="O28" i="10"/>
  <c r="O44" i="10"/>
  <c r="O16" i="10"/>
  <c r="O32" i="10"/>
  <c r="O4" i="10"/>
  <c r="O20" i="10"/>
  <c r="O64" i="10"/>
  <c r="O21" i="10"/>
  <c r="O53" i="10"/>
  <c r="O73" i="10"/>
  <c r="O13" i="10"/>
  <c r="O93" i="10"/>
  <c r="O109" i="10"/>
  <c r="O117" i="10"/>
  <c r="O133" i="10"/>
  <c r="O141" i="10"/>
  <c r="O149" i="10"/>
  <c r="O157" i="10"/>
  <c r="O165" i="10"/>
  <c r="O173" i="10"/>
  <c r="O37" i="10"/>
  <c r="O77" i="10"/>
  <c r="O25" i="10"/>
  <c r="O5" i="10"/>
  <c r="O17" i="10"/>
  <c r="O49" i="10"/>
  <c r="O69" i="10"/>
  <c r="O65" i="10"/>
  <c r="O57" i="10"/>
  <c r="O85" i="10"/>
  <c r="O101" i="10"/>
  <c r="O125" i="10"/>
  <c r="O29" i="10"/>
  <c r="O45" i="10"/>
  <c r="O9" i="10"/>
  <c r="O41" i="10"/>
  <c r="O61" i="10"/>
  <c r="O81" i="10"/>
  <c r="O89" i="10"/>
  <c r="O97" i="10"/>
  <c r="O105" i="10"/>
  <c r="O113" i="10"/>
  <c r="O121" i="10"/>
  <c r="O129" i="10"/>
  <c r="O137" i="10"/>
  <c r="O145" i="10"/>
  <c r="O153" i="10"/>
  <c r="O161" i="10"/>
  <c r="O169" i="10"/>
  <c r="I2" i="10"/>
  <c r="H188" i="7"/>
  <c r="H180" i="7"/>
  <c r="H172" i="7"/>
  <c r="H164" i="7"/>
  <c r="H156" i="7"/>
  <c r="H148" i="7"/>
  <c r="H140" i="7"/>
  <c r="H132" i="7"/>
  <c r="H124" i="7"/>
  <c r="H116" i="7"/>
  <c r="H108" i="7"/>
  <c r="H100" i="7"/>
  <c r="H92" i="7"/>
  <c r="H84" i="7"/>
  <c r="H76" i="7"/>
  <c r="H68" i="7"/>
  <c r="H60" i="7"/>
  <c r="H52" i="7"/>
  <c r="H44" i="7"/>
  <c r="H36" i="7"/>
  <c r="H28" i="7"/>
  <c r="H20" i="7"/>
  <c r="H186" i="8"/>
  <c r="H178" i="8"/>
  <c r="H170" i="8"/>
  <c r="H162" i="8"/>
  <c r="H154" i="8"/>
  <c r="H146" i="8"/>
  <c r="H138" i="8"/>
  <c r="H130" i="8"/>
  <c r="H122" i="8"/>
  <c r="H114" i="8"/>
  <c r="H106" i="8"/>
  <c r="H98" i="8"/>
  <c r="H90" i="8"/>
  <c r="H82" i="8"/>
  <c r="H74" i="8"/>
  <c r="H66" i="8"/>
  <c r="H58" i="8"/>
  <c r="H50" i="8"/>
  <c r="H42" i="8"/>
  <c r="H34" i="8"/>
  <c r="H26" i="8"/>
  <c r="H18" i="8"/>
  <c r="H184" i="9"/>
  <c r="H176" i="9"/>
  <c r="H168" i="9"/>
  <c r="H160" i="9"/>
  <c r="H152" i="9"/>
  <c r="H144" i="9"/>
  <c r="H136" i="9"/>
  <c r="H128" i="9"/>
  <c r="H120" i="9"/>
  <c r="H112" i="9"/>
  <c r="H104" i="9"/>
  <c r="H96" i="9"/>
  <c r="H88" i="9"/>
  <c r="H80" i="9"/>
  <c r="H72" i="9"/>
  <c r="H64" i="9"/>
  <c r="H56" i="9"/>
  <c r="H48" i="9"/>
  <c r="H40" i="9"/>
  <c r="H32" i="9"/>
  <c r="H24" i="9"/>
  <c r="H187" i="7"/>
  <c r="H179" i="7"/>
  <c r="H171" i="7"/>
  <c r="H163" i="7"/>
  <c r="H155" i="7"/>
  <c r="H147" i="7"/>
  <c r="H139" i="7"/>
  <c r="H131" i="7"/>
  <c r="H123" i="7"/>
  <c r="H115" i="7"/>
  <c r="H107" i="7"/>
  <c r="H99" i="7"/>
  <c r="H91" i="7"/>
  <c r="H83" i="7"/>
  <c r="H75" i="7"/>
  <c r="H67" i="7"/>
  <c r="H59" i="7"/>
  <c r="H51" i="7"/>
  <c r="H43" i="7"/>
  <c r="H35" i="7"/>
  <c r="H27" i="7"/>
  <c r="H19" i="7"/>
  <c r="H185" i="8"/>
  <c r="H177" i="8"/>
  <c r="H169" i="8"/>
  <c r="H161" i="8"/>
  <c r="H153" i="8"/>
  <c r="H145" i="8"/>
  <c r="H137" i="8"/>
  <c r="H129" i="8"/>
  <c r="H121" i="8"/>
  <c r="H113" i="8"/>
  <c r="H105" i="8"/>
  <c r="H97" i="8"/>
  <c r="H89" i="8"/>
  <c r="H81" i="8"/>
  <c r="H73" i="8"/>
  <c r="H65" i="8"/>
  <c r="H57" i="8"/>
  <c r="H49" i="8"/>
  <c r="H41" i="8"/>
  <c r="H33" i="8"/>
  <c r="H25" i="8"/>
  <c r="H17" i="9"/>
  <c r="H183" i="9"/>
  <c r="H175" i="9"/>
  <c r="H167" i="9"/>
  <c r="H159" i="9"/>
  <c r="H151" i="9"/>
  <c r="H143" i="9"/>
  <c r="H135" i="9"/>
  <c r="H127" i="9"/>
  <c r="H119" i="9"/>
  <c r="H111" i="9"/>
  <c r="H103" i="9"/>
  <c r="H95" i="9"/>
  <c r="H87" i="9"/>
  <c r="H79" i="9"/>
  <c r="H71" i="9"/>
  <c r="H63" i="9"/>
  <c r="H55" i="9"/>
  <c r="H47" i="9"/>
  <c r="H39" i="9"/>
  <c r="H31" i="9"/>
  <c r="H23" i="9"/>
  <c r="H186" i="7"/>
  <c r="H178" i="7"/>
  <c r="H170" i="7"/>
  <c r="H162" i="7"/>
  <c r="H154" i="7"/>
  <c r="H146" i="7"/>
  <c r="H138" i="7"/>
  <c r="H130" i="7"/>
  <c r="H122" i="7"/>
  <c r="H114" i="7"/>
  <c r="H106" i="7"/>
  <c r="H98" i="7"/>
  <c r="H90" i="7"/>
  <c r="H82" i="7"/>
  <c r="H74" i="7"/>
  <c r="H66" i="7"/>
  <c r="H58" i="7"/>
  <c r="H50" i="7"/>
  <c r="H42" i="7"/>
  <c r="H34" i="7"/>
  <c r="H26" i="7"/>
  <c r="H18" i="7"/>
  <c r="H184" i="8"/>
  <c r="H176" i="8"/>
  <c r="H168" i="8"/>
  <c r="H160" i="8"/>
  <c r="H152" i="8"/>
  <c r="H144" i="8"/>
  <c r="H136" i="8"/>
  <c r="H128" i="8"/>
  <c r="H120" i="8"/>
  <c r="H112" i="8"/>
  <c r="H104" i="8"/>
  <c r="H96" i="8"/>
  <c r="H88" i="8"/>
  <c r="H80" i="8"/>
  <c r="H72" i="8"/>
  <c r="H64" i="8"/>
  <c r="H56" i="8"/>
  <c r="H48" i="8"/>
  <c r="H40" i="8"/>
  <c r="H32" i="8"/>
  <c r="H24" i="8"/>
  <c r="H190" i="9"/>
  <c r="H182" i="9"/>
  <c r="H174" i="9"/>
  <c r="H166" i="9"/>
  <c r="H158" i="9"/>
  <c r="H150" i="9"/>
  <c r="H142" i="9"/>
  <c r="H134" i="9"/>
  <c r="H126" i="9"/>
  <c r="H118" i="9"/>
  <c r="H110" i="9"/>
  <c r="H102" i="9"/>
  <c r="H94" i="9"/>
  <c r="H86" i="9"/>
  <c r="H78" i="9"/>
  <c r="H70" i="9"/>
  <c r="H62" i="9"/>
  <c r="H54" i="9"/>
  <c r="H46" i="9"/>
  <c r="H38" i="9"/>
  <c r="H30" i="9"/>
  <c r="H22" i="9"/>
  <c r="H185" i="7"/>
  <c r="H177" i="7"/>
  <c r="H169" i="7"/>
  <c r="H161" i="7"/>
  <c r="H153" i="7"/>
  <c r="H145" i="7"/>
  <c r="H137" i="7"/>
  <c r="H129" i="7"/>
  <c r="H121" i="7"/>
  <c r="H113" i="7"/>
  <c r="H105" i="7"/>
  <c r="H97" i="7"/>
  <c r="H89" i="7"/>
  <c r="H81" i="7"/>
  <c r="H73" i="7"/>
  <c r="H65" i="7"/>
  <c r="H57" i="7"/>
  <c r="H49" i="7"/>
  <c r="H41" i="7"/>
  <c r="H33" i="7"/>
  <c r="H25" i="7"/>
  <c r="H17" i="8"/>
  <c r="H183" i="8"/>
  <c r="H175" i="8"/>
  <c r="H167" i="8"/>
  <c r="H159" i="8"/>
  <c r="H151" i="8"/>
  <c r="H143" i="8"/>
  <c r="H135" i="8"/>
  <c r="H127" i="8"/>
  <c r="H119" i="8"/>
  <c r="H111" i="8"/>
  <c r="H103" i="8"/>
  <c r="H95" i="8"/>
  <c r="H87" i="8"/>
  <c r="H79" i="8"/>
  <c r="H71" i="8"/>
  <c r="H63" i="8"/>
  <c r="H55" i="8"/>
  <c r="H47" i="8"/>
  <c r="H39" i="8"/>
  <c r="H31" i="8"/>
  <c r="H23" i="8"/>
  <c r="H189" i="9"/>
  <c r="H181" i="9"/>
  <c r="H173" i="9"/>
  <c r="H165" i="9"/>
  <c r="H157" i="9"/>
  <c r="H149" i="9"/>
  <c r="H141" i="9"/>
  <c r="H133" i="9"/>
  <c r="H125" i="9"/>
  <c r="H117" i="9"/>
  <c r="H109" i="9"/>
  <c r="H101" i="9"/>
  <c r="H93" i="9"/>
  <c r="H85" i="9"/>
  <c r="H77" i="9"/>
  <c r="H69" i="9"/>
  <c r="H61" i="9"/>
  <c r="H53" i="9"/>
  <c r="H45" i="9"/>
  <c r="H37" i="9"/>
  <c r="H29" i="9"/>
  <c r="H21" i="9"/>
  <c r="H184" i="7"/>
  <c r="H176" i="7"/>
  <c r="H168" i="7"/>
  <c r="H160" i="7"/>
  <c r="H152" i="7"/>
  <c r="H144" i="7"/>
  <c r="H136" i="7"/>
  <c r="H128" i="7"/>
  <c r="H120" i="7"/>
  <c r="H112" i="7"/>
  <c r="H104" i="7"/>
  <c r="H96" i="7"/>
  <c r="H88" i="7"/>
  <c r="H80" i="7"/>
  <c r="H72" i="7"/>
  <c r="H64" i="7"/>
  <c r="H56" i="7"/>
  <c r="H48" i="7"/>
  <c r="H40" i="7"/>
  <c r="H32" i="7"/>
  <c r="H24" i="7"/>
  <c r="H190" i="8"/>
  <c r="H182" i="8"/>
  <c r="H174" i="8"/>
  <c r="H166" i="8"/>
  <c r="H158" i="8"/>
  <c r="H150" i="8"/>
  <c r="H142" i="8"/>
  <c r="H134" i="8"/>
  <c r="H126" i="8"/>
  <c r="H118" i="8"/>
  <c r="H110" i="8"/>
  <c r="H102" i="8"/>
  <c r="H94" i="8"/>
  <c r="H86" i="8"/>
  <c r="H78" i="8"/>
  <c r="H70" i="8"/>
  <c r="H62" i="8"/>
  <c r="H54" i="8"/>
  <c r="H46" i="8"/>
  <c r="H38" i="8"/>
  <c r="H30" i="8"/>
  <c r="H22" i="8"/>
  <c r="H188" i="9"/>
  <c r="H180" i="9"/>
  <c r="H172" i="9"/>
  <c r="H164" i="9"/>
  <c r="H156" i="9"/>
  <c r="H148" i="9"/>
  <c r="H140" i="9"/>
  <c r="H132" i="9"/>
  <c r="H124" i="9"/>
  <c r="H116" i="9"/>
  <c r="H108" i="9"/>
  <c r="H100" i="9"/>
  <c r="H92" i="9"/>
  <c r="H84" i="9"/>
  <c r="H76" i="9"/>
  <c r="H68" i="9"/>
  <c r="H60" i="9"/>
  <c r="H52" i="9"/>
  <c r="H44" i="9"/>
  <c r="H36" i="9"/>
  <c r="H28" i="9"/>
  <c r="H20" i="9"/>
  <c r="H17" i="7"/>
  <c r="H183" i="7"/>
  <c r="H175" i="7"/>
  <c r="H167" i="7"/>
  <c r="H159" i="7"/>
  <c r="H151" i="7"/>
  <c r="H143" i="7"/>
  <c r="H135" i="7"/>
  <c r="H127" i="7"/>
  <c r="H119" i="7"/>
  <c r="H111" i="7"/>
  <c r="H103" i="7"/>
  <c r="H95" i="7"/>
  <c r="H87" i="7"/>
  <c r="H79" i="7"/>
  <c r="H71" i="7"/>
  <c r="H63" i="7"/>
  <c r="H55" i="7"/>
  <c r="H47" i="7"/>
  <c r="H39" i="7"/>
  <c r="H31" i="7"/>
  <c r="H23" i="7"/>
  <c r="H189" i="8"/>
  <c r="H181" i="8"/>
  <c r="H173" i="8"/>
  <c r="H165" i="8"/>
  <c r="H157" i="8"/>
  <c r="H149" i="8"/>
  <c r="H141" i="8"/>
  <c r="H133" i="8"/>
  <c r="H125" i="8"/>
  <c r="H117" i="8"/>
  <c r="H109" i="8"/>
  <c r="H101" i="8"/>
  <c r="H93" i="8"/>
  <c r="H85" i="8"/>
  <c r="H77" i="8"/>
  <c r="H69" i="8"/>
  <c r="H61" i="8"/>
  <c r="H53" i="8"/>
  <c r="H45" i="8"/>
  <c r="H37" i="8"/>
  <c r="H29" i="8"/>
  <c r="H21" i="8"/>
  <c r="H187" i="9"/>
  <c r="H179" i="9"/>
  <c r="H171" i="9"/>
  <c r="H163" i="9"/>
  <c r="H155" i="9"/>
  <c r="H147" i="9"/>
  <c r="H139" i="9"/>
  <c r="H131" i="9"/>
  <c r="H123" i="9"/>
  <c r="H115" i="9"/>
  <c r="H107" i="9"/>
  <c r="H99" i="9"/>
  <c r="H91" i="9"/>
  <c r="H83" i="9"/>
  <c r="H75" i="9"/>
  <c r="H67" i="9"/>
  <c r="H59" i="9"/>
  <c r="H51" i="9"/>
  <c r="H43" i="9"/>
  <c r="H35" i="9"/>
  <c r="H27" i="9"/>
  <c r="H19" i="9"/>
  <c r="H190" i="7"/>
  <c r="H182" i="7"/>
  <c r="H174" i="7"/>
  <c r="H166" i="7"/>
  <c r="H158" i="7"/>
  <c r="H150" i="7"/>
  <c r="H142" i="7"/>
  <c r="H134" i="7"/>
  <c r="H126" i="7"/>
  <c r="H118" i="7"/>
  <c r="H110" i="7"/>
  <c r="H102" i="7"/>
  <c r="H94" i="7"/>
  <c r="H86" i="7"/>
  <c r="H78" i="7"/>
  <c r="H70" i="7"/>
  <c r="H62" i="7"/>
  <c r="H54" i="7"/>
  <c r="H46" i="7"/>
  <c r="H38" i="7"/>
  <c r="H30" i="7"/>
  <c r="H22" i="7"/>
  <c r="H188" i="8"/>
  <c r="H180" i="8"/>
  <c r="H172" i="8"/>
  <c r="H164" i="8"/>
  <c r="H156" i="8"/>
  <c r="H148" i="8"/>
  <c r="H140" i="8"/>
  <c r="H132" i="8"/>
  <c r="H124" i="8"/>
  <c r="H116" i="8"/>
  <c r="H108" i="8"/>
  <c r="H100" i="8"/>
  <c r="H92" i="8"/>
  <c r="H84" i="8"/>
  <c r="H76" i="8"/>
  <c r="H68" i="8"/>
  <c r="H60" i="8"/>
  <c r="H52" i="8"/>
  <c r="H44" i="8"/>
  <c r="H36" i="8"/>
  <c r="H28" i="8"/>
  <c r="H20" i="8"/>
  <c r="H186" i="9"/>
  <c r="H178" i="9"/>
  <c r="H170" i="9"/>
  <c r="H162" i="9"/>
  <c r="H154" i="9"/>
  <c r="H146" i="9"/>
  <c r="H138" i="9"/>
  <c r="H130" i="9"/>
  <c r="H122" i="9"/>
  <c r="H114" i="9"/>
  <c r="H106" i="9"/>
  <c r="H98" i="9"/>
  <c r="H90" i="9"/>
  <c r="H82" i="9"/>
  <c r="H74" i="9"/>
  <c r="H66" i="9"/>
  <c r="H58" i="9"/>
  <c r="H50" i="9"/>
  <c r="H42" i="9"/>
  <c r="H34" i="9"/>
  <c r="H26" i="9"/>
  <c r="H18" i="9"/>
  <c r="H189" i="7"/>
  <c r="H181" i="7"/>
  <c r="H173" i="7"/>
  <c r="H165" i="7"/>
  <c r="H157" i="7"/>
  <c r="H149" i="7"/>
  <c r="H141" i="7"/>
  <c r="H133" i="7"/>
  <c r="H125" i="7"/>
  <c r="H117" i="7"/>
  <c r="H109" i="7"/>
  <c r="H101" i="7"/>
  <c r="H93" i="7"/>
  <c r="H85" i="7"/>
  <c r="H77" i="7"/>
  <c r="H69" i="7"/>
  <c r="H61" i="7"/>
  <c r="H53" i="7"/>
  <c r="H45" i="7"/>
  <c r="H37" i="7"/>
  <c r="H29" i="7"/>
  <c r="H21" i="7"/>
  <c r="H187" i="8"/>
  <c r="H179" i="8"/>
  <c r="H171" i="8"/>
  <c r="H163" i="8"/>
  <c r="H155" i="8"/>
  <c r="H147" i="8"/>
  <c r="H139" i="8"/>
  <c r="H131" i="8"/>
  <c r="H123" i="8"/>
  <c r="H115" i="8"/>
  <c r="H107" i="8"/>
  <c r="H99" i="8"/>
  <c r="H91" i="8"/>
  <c r="H83" i="8"/>
  <c r="H75" i="8"/>
  <c r="H67" i="8"/>
  <c r="H59" i="8"/>
  <c r="H51" i="8"/>
  <c r="H43" i="8"/>
  <c r="H35" i="8"/>
  <c r="H27" i="8"/>
  <c r="H19" i="8"/>
  <c r="H185" i="9"/>
  <c r="H177" i="9"/>
  <c r="H169" i="9"/>
  <c r="H161" i="9"/>
  <c r="H153" i="9"/>
  <c r="H145" i="9"/>
  <c r="H137" i="9"/>
  <c r="H129" i="9"/>
  <c r="H121" i="9"/>
  <c r="H113" i="9"/>
  <c r="H105" i="9"/>
  <c r="H97" i="9"/>
  <c r="H89" i="9"/>
  <c r="H81" i="9"/>
  <c r="H73" i="9"/>
  <c r="H65" i="9"/>
  <c r="H57" i="9"/>
  <c r="H49" i="9"/>
  <c r="H41" i="9"/>
  <c r="H33" i="9"/>
  <c r="H25" i="9"/>
  <c r="O94" i="9"/>
  <c r="P94" i="9" s="1"/>
  <c r="Q94" i="9" s="1"/>
  <c r="O86" i="9"/>
  <c r="P86" i="9" s="1"/>
  <c r="Q86" i="9" s="1"/>
  <c r="O82" i="9"/>
  <c r="P82" i="9" s="1"/>
  <c r="Q82" i="9" s="1"/>
  <c r="O78" i="9"/>
  <c r="P78" i="9" s="1"/>
  <c r="Q78" i="9" s="1"/>
  <c r="O70" i="9"/>
  <c r="P70" i="9" s="1"/>
  <c r="Q70" i="9" s="1"/>
  <c r="O66" i="9"/>
  <c r="P66" i="9" s="1"/>
  <c r="Q66" i="9" s="1"/>
  <c r="O62" i="9"/>
  <c r="P62" i="9" s="1"/>
  <c r="Q62" i="9" s="1"/>
  <c r="O58" i="9"/>
  <c r="P58" i="9" s="1"/>
  <c r="Q58" i="9" s="1"/>
  <c r="O54" i="9"/>
  <c r="P54" i="9" s="1"/>
  <c r="Q54" i="9" s="1"/>
  <c r="O50" i="9"/>
  <c r="P50" i="9" s="1"/>
  <c r="Q50" i="9" s="1"/>
  <c r="O46" i="9"/>
  <c r="P46" i="9" s="1"/>
  <c r="Q46" i="9" s="1"/>
  <c r="O42" i="9"/>
  <c r="P42" i="9" s="1"/>
  <c r="Q42" i="9" s="1"/>
  <c r="O38" i="9"/>
  <c r="P38" i="9" s="1"/>
  <c r="Q38" i="9" s="1"/>
  <c r="O34" i="9"/>
  <c r="P34" i="9" s="1"/>
  <c r="Q34" i="9" s="1"/>
  <c r="O30" i="9"/>
  <c r="P30" i="9" s="1"/>
  <c r="Q30" i="9" s="1"/>
  <c r="O26" i="9"/>
  <c r="P26" i="9" s="1"/>
  <c r="Q26" i="9" s="1"/>
  <c r="O22" i="9"/>
  <c r="P22" i="9" s="1"/>
  <c r="Q22" i="9" s="1"/>
  <c r="O18" i="9"/>
  <c r="P18" i="9" s="1"/>
  <c r="Q18" i="9" s="1"/>
  <c r="L185" i="9"/>
  <c r="L177" i="9"/>
  <c r="L169" i="9"/>
  <c r="L161" i="9"/>
  <c r="L153" i="9"/>
  <c r="L145" i="9"/>
  <c r="L137" i="9"/>
  <c r="L129" i="9"/>
  <c r="L121" i="9"/>
  <c r="L113" i="9"/>
  <c r="L105" i="9"/>
  <c r="L97" i="9"/>
  <c r="L89" i="9"/>
  <c r="L81" i="9"/>
  <c r="L73" i="9"/>
  <c r="L65" i="9"/>
  <c r="L57" i="9"/>
  <c r="L49" i="9"/>
  <c r="L41" i="9"/>
  <c r="L33" i="9"/>
  <c r="L25" i="9"/>
  <c r="L184" i="9"/>
  <c r="L176" i="9"/>
  <c r="L168" i="9"/>
  <c r="L160" i="9"/>
  <c r="L152" i="9"/>
  <c r="L144" i="9"/>
  <c r="L136" i="9"/>
  <c r="L128" i="9"/>
  <c r="L120" i="9"/>
  <c r="L112" i="9"/>
  <c r="L104" i="9"/>
  <c r="L96" i="9"/>
  <c r="L88" i="9"/>
  <c r="L80" i="9"/>
  <c r="L72" i="9"/>
  <c r="L64" i="9"/>
  <c r="L56" i="9"/>
  <c r="L48" i="9"/>
  <c r="L40" i="9"/>
  <c r="L32" i="9"/>
  <c r="L24" i="9"/>
  <c r="L183" i="9"/>
  <c r="L175" i="9"/>
  <c r="L167" i="9"/>
  <c r="L159" i="9"/>
  <c r="L151" i="9"/>
  <c r="L143" i="9"/>
  <c r="L135" i="9"/>
  <c r="L127" i="9"/>
  <c r="L119" i="9"/>
  <c r="L111" i="9"/>
  <c r="L103" i="9"/>
  <c r="L95" i="9"/>
  <c r="L87" i="9"/>
  <c r="L79" i="9"/>
  <c r="L71" i="9"/>
  <c r="L63" i="9"/>
  <c r="L55" i="9"/>
  <c r="L47" i="9"/>
  <c r="L39" i="9"/>
  <c r="L31" i="9"/>
  <c r="L23" i="9"/>
  <c r="L190" i="9"/>
  <c r="L182" i="9"/>
  <c r="L174" i="9"/>
  <c r="L166" i="9"/>
  <c r="L158" i="9"/>
  <c r="L150" i="9"/>
  <c r="L142" i="9"/>
  <c r="L134" i="9"/>
  <c r="L126" i="9"/>
  <c r="L118" i="9"/>
  <c r="L110" i="9"/>
  <c r="L102" i="9"/>
  <c r="L94" i="9"/>
  <c r="L86" i="9"/>
  <c r="L78" i="9"/>
  <c r="L70" i="9"/>
  <c r="L62" i="9"/>
  <c r="L54" i="9"/>
  <c r="L46" i="9"/>
  <c r="L38" i="9"/>
  <c r="L30" i="9"/>
  <c r="L22" i="9"/>
  <c r="L189" i="9"/>
  <c r="L181" i="9"/>
  <c r="L173" i="9"/>
  <c r="L165" i="9"/>
  <c r="L157" i="9"/>
  <c r="L149" i="9"/>
  <c r="L141" i="9"/>
  <c r="L133" i="9"/>
  <c r="L125" i="9"/>
  <c r="L117" i="9"/>
  <c r="L109" i="9"/>
  <c r="L101" i="9"/>
  <c r="L93" i="9"/>
  <c r="L85" i="9"/>
  <c r="L77" i="9"/>
  <c r="L69" i="9"/>
  <c r="L61" i="9"/>
  <c r="L53" i="9"/>
  <c r="L45" i="9"/>
  <c r="L37" i="9"/>
  <c r="L29" i="9"/>
  <c r="L21" i="9"/>
  <c r="L188" i="9"/>
  <c r="L180" i="9"/>
  <c r="L172" i="9"/>
  <c r="L164" i="9"/>
  <c r="L156" i="9"/>
  <c r="L148" i="9"/>
  <c r="L140" i="9"/>
  <c r="L132" i="9"/>
  <c r="L124" i="9"/>
  <c r="L116" i="9"/>
  <c r="L108" i="9"/>
  <c r="L100" i="9"/>
  <c r="L92" i="9"/>
  <c r="L84" i="9"/>
  <c r="L76" i="9"/>
  <c r="L68" i="9"/>
  <c r="L60" i="9"/>
  <c r="L52" i="9"/>
  <c r="L44" i="9"/>
  <c r="L36" i="9"/>
  <c r="L28" i="9"/>
  <c r="L20" i="9"/>
  <c r="L187" i="9"/>
  <c r="L179" i="9"/>
  <c r="L171" i="9"/>
  <c r="L163" i="9"/>
  <c r="L155" i="9"/>
  <c r="L147" i="9"/>
  <c r="L139" i="9"/>
  <c r="L131" i="9"/>
  <c r="L123" i="9"/>
  <c r="L115" i="9"/>
  <c r="L107" i="9"/>
  <c r="L99" i="9"/>
  <c r="L91" i="9"/>
  <c r="L83" i="9"/>
  <c r="L75" i="9"/>
  <c r="L67" i="9"/>
  <c r="L59" i="9"/>
  <c r="L51" i="9"/>
  <c r="L43" i="9"/>
  <c r="L35" i="9"/>
  <c r="L27" i="9"/>
  <c r="L19" i="9"/>
  <c r="L186" i="9"/>
  <c r="L178" i="9"/>
  <c r="L170" i="9"/>
  <c r="L162" i="9"/>
  <c r="L154" i="9"/>
  <c r="L146" i="9"/>
  <c r="L138" i="9"/>
  <c r="L130" i="9"/>
  <c r="L122" i="9"/>
  <c r="L114" i="9"/>
  <c r="L106" i="9"/>
  <c r="L98" i="9"/>
  <c r="L90" i="9"/>
  <c r="L82" i="9"/>
  <c r="L74" i="9"/>
  <c r="L66" i="9"/>
  <c r="L58" i="9"/>
  <c r="L50" i="9"/>
  <c r="L42" i="9"/>
  <c r="L34" i="9"/>
  <c r="L26" i="9"/>
  <c r="L18" i="9"/>
  <c r="J185" i="9"/>
  <c r="J177" i="9"/>
  <c r="J169" i="9"/>
  <c r="J161" i="9"/>
  <c r="J153" i="9"/>
  <c r="J145" i="9"/>
  <c r="J137" i="9"/>
  <c r="J129" i="9"/>
  <c r="J121" i="9"/>
  <c r="J113" i="9"/>
  <c r="J105" i="9"/>
  <c r="J97" i="9"/>
  <c r="J89" i="9"/>
  <c r="J81" i="9"/>
  <c r="J73" i="9"/>
  <c r="J65" i="9"/>
  <c r="J57" i="9"/>
  <c r="J49" i="9"/>
  <c r="J41" i="9"/>
  <c r="J33" i="9"/>
  <c r="J25" i="9"/>
  <c r="J184" i="9"/>
  <c r="J176" i="9"/>
  <c r="J168" i="9"/>
  <c r="J160" i="9"/>
  <c r="J152" i="9"/>
  <c r="J144" i="9"/>
  <c r="J136" i="9"/>
  <c r="J128" i="9"/>
  <c r="J120" i="9"/>
  <c r="J112" i="9"/>
  <c r="J104" i="9"/>
  <c r="J96" i="9"/>
  <c r="J88" i="9"/>
  <c r="J80" i="9"/>
  <c r="J72" i="9"/>
  <c r="J64" i="9"/>
  <c r="J56" i="9"/>
  <c r="J48" i="9"/>
  <c r="J40" i="9"/>
  <c r="J32" i="9"/>
  <c r="J183" i="9"/>
  <c r="J175" i="9"/>
  <c r="J167" i="9"/>
  <c r="J159" i="9"/>
  <c r="J151" i="9"/>
  <c r="J143" i="9"/>
  <c r="J135" i="9"/>
  <c r="J127" i="9"/>
  <c r="J119" i="9"/>
  <c r="J111" i="9"/>
  <c r="J103" i="9"/>
  <c r="J95" i="9"/>
  <c r="J87" i="9"/>
  <c r="J79" i="9"/>
  <c r="J71" i="9"/>
  <c r="J63" i="9"/>
  <c r="J55" i="9"/>
  <c r="J47" i="9"/>
  <c r="J39" i="9"/>
  <c r="J31" i="9"/>
  <c r="J23" i="9"/>
  <c r="J190" i="9"/>
  <c r="J182" i="9"/>
  <c r="J174" i="9"/>
  <c r="J166" i="9"/>
  <c r="J158" i="9"/>
  <c r="J150" i="9"/>
  <c r="J142" i="9"/>
  <c r="J134" i="9"/>
  <c r="J126" i="9"/>
  <c r="J118" i="9"/>
  <c r="J110" i="9"/>
  <c r="J102" i="9"/>
  <c r="J94" i="9"/>
  <c r="J86" i="9"/>
  <c r="J78" i="9"/>
  <c r="J70" i="9"/>
  <c r="J62" i="9"/>
  <c r="J54" i="9"/>
  <c r="J46" i="9"/>
  <c r="J38" i="9"/>
  <c r="J30" i="9"/>
  <c r="J189" i="9"/>
  <c r="J181" i="9"/>
  <c r="J173" i="9"/>
  <c r="J165" i="9"/>
  <c r="J157" i="9"/>
  <c r="J149" i="9"/>
  <c r="J141" i="9"/>
  <c r="J133" i="9"/>
  <c r="J125" i="9"/>
  <c r="J117" i="9"/>
  <c r="J109" i="9"/>
  <c r="J101" i="9"/>
  <c r="J93" i="9"/>
  <c r="J85" i="9"/>
  <c r="J77" i="9"/>
  <c r="J69" i="9"/>
  <c r="J61" i="9"/>
  <c r="J53" i="9"/>
  <c r="J45" i="9"/>
  <c r="J37" i="9"/>
  <c r="J29" i="9"/>
  <c r="J21" i="9"/>
  <c r="J188" i="9"/>
  <c r="J180" i="9"/>
  <c r="J172" i="9"/>
  <c r="J164" i="9"/>
  <c r="J156" i="9"/>
  <c r="J148" i="9"/>
  <c r="J140" i="9"/>
  <c r="J132" i="9"/>
  <c r="J124" i="9"/>
  <c r="J116" i="9"/>
  <c r="J108" i="9"/>
  <c r="J100" i="9"/>
  <c r="J92" i="9"/>
  <c r="J84" i="9"/>
  <c r="J76" i="9"/>
  <c r="J68" i="9"/>
  <c r="J60" i="9"/>
  <c r="J52" i="9"/>
  <c r="J44" i="9"/>
  <c r="J36" i="9"/>
  <c r="J28" i="9"/>
  <c r="J187" i="9"/>
  <c r="J179" i="9"/>
  <c r="J171" i="9"/>
  <c r="J163" i="9"/>
  <c r="J155" i="9"/>
  <c r="J147" i="9"/>
  <c r="J139" i="9"/>
  <c r="J131" i="9"/>
  <c r="J123" i="9"/>
  <c r="J115" i="9"/>
  <c r="J107" i="9"/>
  <c r="J99" i="9"/>
  <c r="J91" i="9"/>
  <c r="J83" i="9"/>
  <c r="J75" i="9"/>
  <c r="J67" i="9"/>
  <c r="J59" i="9"/>
  <c r="J51" i="9"/>
  <c r="J43" i="9"/>
  <c r="J35" i="9"/>
  <c r="J27" i="9"/>
  <c r="J186" i="9"/>
  <c r="J178" i="9"/>
  <c r="J170" i="9"/>
  <c r="J162" i="9"/>
  <c r="J154" i="9"/>
  <c r="J146" i="9"/>
  <c r="J138" i="9"/>
  <c r="J130" i="9"/>
  <c r="J122" i="9"/>
  <c r="J114" i="9"/>
  <c r="J106" i="9"/>
  <c r="J98" i="9"/>
  <c r="J90" i="9"/>
  <c r="J82" i="9"/>
  <c r="J74" i="9"/>
  <c r="J66" i="9"/>
  <c r="J58" i="9"/>
  <c r="J50" i="9"/>
  <c r="J42" i="9"/>
  <c r="J34" i="9"/>
  <c r="J26" i="9"/>
  <c r="O17" i="9"/>
  <c r="P17" i="9" s="1"/>
  <c r="Q17" i="9" s="1"/>
  <c r="L17" i="9"/>
  <c r="J185" i="8"/>
  <c r="J177" i="8"/>
  <c r="J169" i="8"/>
  <c r="J161" i="8"/>
  <c r="J153" i="8"/>
  <c r="J145" i="8"/>
  <c r="J137" i="8"/>
  <c r="J129" i="8"/>
  <c r="J121" i="8"/>
  <c r="J113" i="8"/>
  <c r="J105" i="8"/>
  <c r="J97" i="8"/>
  <c r="J89" i="8"/>
  <c r="J81" i="8"/>
  <c r="J73" i="8"/>
  <c r="J65" i="8"/>
  <c r="J57" i="8"/>
  <c r="J49" i="8"/>
  <c r="J41" i="8"/>
  <c r="J33" i="8"/>
  <c r="J25" i="8"/>
  <c r="J184" i="8"/>
  <c r="J176" i="8"/>
  <c r="J168" i="8"/>
  <c r="J160" i="8"/>
  <c r="J152" i="8"/>
  <c r="J144" i="8"/>
  <c r="J136" i="8"/>
  <c r="J128" i="8"/>
  <c r="J120" i="8"/>
  <c r="J112" i="8"/>
  <c r="J104" i="8"/>
  <c r="J96" i="8"/>
  <c r="J88" i="8"/>
  <c r="J80" i="8"/>
  <c r="J72" i="8"/>
  <c r="J64" i="8"/>
  <c r="J56" i="8"/>
  <c r="J48" i="8"/>
  <c r="J40" i="8"/>
  <c r="J32" i="8"/>
  <c r="J183" i="8"/>
  <c r="J175" i="8"/>
  <c r="J167" i="8"/>
  <c r="J159" i="8"/>
  <c r="J151" i="8"/>
  <c r="J143" i="8"/>
  <c r="J135" i="8"/>
  <c r="J127" i="8"/>
  <c r="J119" i="8"/>
  <c r="J111" i="8"/>
  <c r="J103" i="8"/>
  <c r="J95" i="8"/>
  <c r="J87" i="8"/>
  <c r="J79" i="8"/>
  <c r="J71" i="8"/>
  <c r="J63" i="8"/>
  <c r="J55" i="8"/>
  <c r="J47" i="8"/>
  <c r="J39" i="8"/>
  <c r="J31" i="8"/>
  <c r="J23" i="8"/>
  <c r="J190" i="8"/>
  <c r="J182" i="8"/>
  <c r="J174" i="8"/>
  <c r="J166" i="8"/>
  <c r="J158" i="8"/>
  <c r="J150" i="8"/>
  <c r="J142" i="8"/>
  <c r="J134" i="8"/>
  <c r="J126" i="8"/>
  <c r="J118" i="8"/>
  <c r="J110" i="8"/>
  <c r="J102" i="8"/>
  <c r="J94" i="8"/>
  <c r="J86" i="8"/>
  <c r="J78" i="8"/>
  <c r="J70" i="8"/>
  <c r="J62" i="8"/>
  <c r="J54" i="8"/>
  <c r="J46" i="8"/>
  <c r="J38" i="8"/>
  <c r="J30" i="8"/>
  <c r="J189" i="8"/>
  <c r="J181" i="8"/>
  <c r="J173" i="8"/>
  <c r="J165" i="8"/>
  <c r="J157" i="8"/>
  <c r="J149" i="8"/>
  <c r="J141" i="8"/>
  <c r="J133" i="8"/>
  <c r="J125" i="8"/>
  <c r="J117" i="8"/>
  <c r="J109" i="8"/>
  <c r="J101" i="8"/>
  <c r="J93" i="8"/>
  <c r="J85" i="8"/>
  <c r="J77" i="8"/>
  <c r="J69" i="8"/>
  <c r="J61" i="8"/>
  <c r="J53" i="8"/>
  <c r="J45" i="8"/>
  <c r="J37" i="8"/>
  <c r="J29" i="8"/>
  <c r="J21" i="8"/>
  <c r="J188" i="8"/>
  <c r="J180" i="8"/>
  <c r="J172" i="8"/>
  <c r="J164" i="8"/>
  <c r="J156" i="8"/>
  <c r="J148" i="8"/>
  <c r="J140" i="8"/>
  <c r="J132" i="8"/>
  <c r="J124" i="8"/>
  <c r="J116" i="8"/>
  <c r="J108" i="8"/>
  <c r="J100" i="8"/>
  <c r="J92" i="8"/>
  <c r="J84" i="8"/>
  <c r="J76" i="8"/>
  <c r="J68" i="8"/>
  <c r="J60" i="8"/>
  <c r="J52" i="8"/>
  <c r="J44" i="8"/>
  <c r="J36" i="8"/>
  <c r="J28" i="8"/>
  <c r="J187" i="8"/>
  <c r="J179" i="8"/>
  <c r="J171" i="8"/>
  <c r="J163" i="8"/>
  <c r="J155" i="8"/>
  <c r="J147" i="8"/>
  <c r="J139" i="8"/>
  <c r="J131" i="8"/>
  <c r="J123" i="8"/>
  <c r="J115" i="8"/>
  <c r="J107" i="8"/>
  <c r="J99" i="8"/>
  <c r="J91" i="8"/>
  <c r="J83" i="8"/>
  <c r="J75" i="8"/>
  <c r="J67" i="8"/>
  <c r="J59" i="8"/>
  <c r="J51" i="8"/>
  <c r="J43" i="8"/>
  <c r="J35" i="8"/>
  <c r="J27" i="8"/>
  <c r="J186" i="8"/>
  <c r="J178" i="8"/>
  <c r="J170" i="8"/>
  <c r="J162" i="8"/>
  <c r="J154" i="8"/>
  <c r="J146" i="8"/>
  <c r="J138" i="8"/>
  <c r="J130" i="8"/>
  <c r="J122" i="8"/>
  <c r="J114" i="8"/>
  <c r="J106" i="8"/>
  <c r="J98" i="8"/>
  <c r="J90" i="8"/>
  <c r="J82" i="8"/>
  <c r="J74" i="8"/>
  <c r="J66" i="8"/>
  <c r="J58" i="8"/>
  <c r="J50" i="8"/>
  <c r="J42" i="8"/>
  <c r="J34" i="8"/>
  <c r="J26" i="8"/>
  <c r="P190" i="9"/>
  <c r="Q190" i="9" s="1"/>
  <c r="P189" i="9"/>
  <c r="Q189" i="9" s="1"/>
  <c r="P188" i="9"/>
  <c r="Q188" i="9" s="1"/>
  <c r="P187" i="9"/>
  <c r="Q187" i="9" s="1"/>
  <c r="P186" i="9"/>
  <c r="Q186" i="9" s="1"/>
  <c r="P185" i="9"/>
  <c r="Q185" i="9" s="1"/>
  <c r="P184" i="9"/>
  <c r="Q184" i="9" s="1"/>
  <c r="P183" i="9"/>
  <c r="Q183" i="9" s="1"/>
  <c r="P182" i="9"/>
  <c r="Q182" i="9" s="1"/>
  <c r="P181" i="9"/>
  <c r="Q181" i="9" s="1"/>
  <c r="P180" i="9"/>
  <c r="Q180" i="9" s="1"/>
  <c r="P179" i="9"/>
  <c r="Q179" i="9" s="1"/>
  <c r="P178" i="9"/>
  <c r="Q178" i="9" s="1"/>
  <c r="P177" i="9"/>
  <c r="Q177" i="9" s="1"/>
  <c r="P176" i="9"/>
  <c r="Q176" i="9" s="1"/>
  <c r="P175" i="9"/>
  <c r="Q175" i="9" s="1"/>
  <c r="P174" i="9"/>
  <c r="Q174" i="9" s="1"/>
  <c r="P173" i="9"/>
  <c r="Q173" i="9" s="1"/>
  <c r="P172" i="9"/>
  <c r="Q172" i="9" s="1"/>
  <c r="P171" i="9"/>
  <c r="Q171" i="9" s="1"/>
  <c r="P170" i="9"/>
  <c r="Q170" i="9" s="1"/>
  <c r="P169" i="9"/>
  <c r="Q169" i="9" s="1"/>
  <c r="P168" i="9"/>
  <c r="Q168" i="9" s="1"/>
  <c r="P167" i="9"/>
  <c r="Q167" i="9" s="1"/>
  <c r="P166" i="9"/>
  <c r="Q166" i="9" s="1"/>
  <c r="P165" i="9"/>
  <c r="Q165" i="9" s="1"/>
  <c r="P164" i="9"/>
  <c r="Q164" i="9" s="1"/>
  <c r="P163" i="9"/>
  <c r="Q163" i="9" s="1"/>
  <c r="P162" i="9"/>
  <c r="Q162" i="9" s="1"/>
  <c r="P161" i="9"/>
  <c r="Q161" i="9" s="1"/>
  <c r="P160" i="9"/>
  <c r="Q160" i="9" s="1"/>
  <c r="P159" i="9"/>
  <c r="Q159" i="9" s="1"/>
  <c r="P158" i="9"/>
  <c r="Q158" i="9" s="1"/>
  <c r="P157" i="9"/>
  <c r="Q157" i="9" s="1"/>
  <c r="P156" i="9"/>
  <c r="Q156" i="9" s="1"/>
  <c r="P155" i="9"/>
  <c r="Q155" i="9" s="1"/>
  <c r="P154" i="9"/>
  <c r="Q154" i="9" s="1"/>
  <c r="P153" i="9"/>
  <c r="Q153" i="9" s="1"/>
  <c r="P152" i="9"/>
  <c r="Q152" i="9" s="1"/>
  <c r="P151" i="9"/>
  <c r="Q151" i="9" s="1"/>
  <c r="P150" i="9"/>
  <c r="Q150" i="9" s="1"/>
  <c r="P149" i="9"/>
  <c r="Q149" i="9" s="1"/>
  <c r="P148" i="9"/>
  <c r="Q148" i="9" s="1"/>
  <c r="P147" i="9"/>
  <c r="Q147" i="9" s="1"/>
  <c r="P146" i="9"/>
  <c r="Q146" i="9" s="1"/>
  <c r="P145" i="9"/>
  <c r="Q145" i="9" s="1"/>
  <c r="P144" i="9"/>
  <c r="Q144" i="9" s="1"/>
  <c r="P143" i="9"/>
  <c r="Q143" i="9" s="1"/>
  <c r="P142" i="9"/>
  <c r="Q142" i="9" s="1"/>
  <c r="P141" i="9"/>
  <c r="Q141" i="9" s="1"/>
  <c r="P140" i="9"/>
  <c r="Q140" i="9" s="1"/>
  <c r="P139" i="9"/>
  <c r="Q139" i="9" s="1"/>
  <c r="P138" i="9"/>
  <c r="Q138" i="9" s="1"/>
  <c r="P137" i="9"/>
  <c r="Q137" i="9" s="1"/>
  <c r="P136" i="9"/>
  <c r="Q136" i="9" s="1"/>
  <c r="P135" i="9"/>
  <c r="Q135" i="9" s="1"/>
  <c r="P134" i="9"/>
  <c r="Q134" i="9" s="1"/>
  <c r="P133" i="9"/>
  <c r="Q133" i="9" s="1"/>
  <c r="P132" i="9"/>
  <c r="Q132" i="9" s="1"/>
  <c r="P131" i="9"/>
  <c r="Q131" i="9" s="1"/>
  <c r="P130" i="9"/>
  <c r="Q130" i="9" s="1"/>
  <c r="P129" i="9"/>
  <c r="Q129" i="9" s="1"/>
  <c r="P128" i="9"/>
  <c r="Q128" i="9" s="1"/>
  <c r="P127" i="9"/>
  <c r="Q127" i="9" s="1"/>
  <c r="P126" i="9"/>
  <c r="Q126" i="9" s="1"/>
  <c r="P125" i="9"/>
  <c r="Q125" i="9" s="1"/>
  <c r="P124" i="9"/>
  <c r="Q124" i="9" s="1"/>
  <c r="P123" i="9"/>
  <c r="Q123" i="9" s="1"/>
  <c r="P122" i="9"/>
  <c r="Q122" i="9" s="1"/>
  <c r="P121" i="9"/>
  <c r="Q121" i="9" s="1"/>
  <c r="P120" i="9"/>
  <c r="Q120" i="9" s="1"/>
  <c r="P119" i="9"/>
  <c r="Q119" i="9" s="1"/>
  <c r="P118" i="9"/>
  <c r="Q118" i="9" s="1"/>
  <c r="P117" i="9"/>
  <c r="Q117" i="9" s="1"/>
  <c r="P116" i="9"/>
  <c r="Q116" i="9" s="1"/>
  <c r="P115" i="9"/>
  <c r="Q115" i="9" s="1"/>
  <c r="P114" i="9"/>
  <c r="Q114" i="9" s="1"/>
  <c r="P113" i="9"/>
  <c r="Q113" i="9" s="1"/>
  <c r="P112" i="9"/>
  <c r="Q112" i="9" s="1"/>
  <c r="P111" i="9"/>
  <c r="Q111" i="9" s="1"/>
  <c r="P110" i="9"/>
  <c r="Q110" i="9" s="1"/>
  <c r="P109" i="9"/>
  <c r="Q109" i="9" s="1"/>
  <c r="P108" i="9"/>
  <c r="Q108" i="9" s="1"/>
  <c r="P107" i="9"/>
  <c r="Q107" i="9" s="1"/>
  <c r="P106" i="9"/>
  <c r="Q106" i="9" s="1"/>
  <c r="P105" i="9"/>
  <c r="Q105" i="9" s="1"/>
  <c r="P104" i="9"/>
  <c r="Q104" i="9" s="1"/>
  <c r="P103" i="9"/>
  <c r="Q103" i="9" s="1"/>
  <c r="P102" i="9"/>
  <c r="Q102" i="9" s="1"/>
  <c r="P101" i="9"/>
  <c r="Q101" i="9" s="1"/>
  <c r="P100" i="9"/>
  <c r="Q100" i="9" s="1"/>
  <c r="P99" i="9"/>
  <c r="Q99" i="9" s="1"/>
  <c r="P98" i="9"/>
  <c r="Q98" i="9" s="1"/>
  <c r="P97" i="9"/>
  <c r="Q97" i="9" s="1"/>
  <c r="P96" i="9"/>
  <c r="Q96" i="9" s="1"/>
  <c r="P95" i="9"/>
  <c r="Q95" i="9" s="1"/>
  <c r="P93" i="9"/>
  <c r="Q93" i="9" s="1"/>
  <c r="P92" i="9"/>
  <c r="Q92" i="9" s="1"/>
  <c r="P91" i="9"/>
  <c r="Q91" i="9" s="1"/>
  <c r="P90" i="9"/>
  <c r="Q90" i="9" s="1"/>
  <c r="P89" i="9"/>
  <c r="Q89" i="9" s="1"/>
  <c r="P88" i="9"/>
  <c r="Q88" i="9" s="1"/>
  <c r="P87" i="9"/>
  <c r="Q87" i="9" s="1"/>
  <c r="P85" i="9"/>
  <c r="Q85" i="9" s="1"/>
  <c r="P84" i="9"/>
  <c r="Q84" i="9" s="1"/>
  <c r="P83" i="9"/>
  <c r="Q83" i="9" s="1"/>
  <c r="P81" i="9"/>
  <c r="Q81" i="9" s="1"/>
  <c r="P80" i="9"/>
  <c r="Q80" i="9" s="1"/>
  <c r="P79" i="9"/>
  <c r="Q79" i="9" s="1"/>
  <c r="P77" i="9"/>
  <c r="Q77" i="9" s="1"/>
  <c r="P76" i="9"/>
  <c r="Q76" i="9" s="1"/>
  <c r="P75" i="9"/>
  <c r="Q75" i="9" s="1"/>
  <c r="P74" i="9"/>
  <c r="Q74" i="9" s="1"/>
  <c r="P73" i="9"/>
  <c r="Q73" i="9" s="1"/>
  <c r="P72" i="9"/>
  <c r="Q72" i="9" s="1"/>
  <c r="P71" i="9"/>
  <c r="Q71" i="9" s="1"/>
  <c r="P69" i="9"/>
  <c r="Q69" i="9" s="1"/>
  <c r="P68" i="9"/>
  <c r="Q68" i="9" s="1"/>
  <c r="P67" i="9"/>
  <c r="Q67" i="9" s="1"/>
  <c r="P65" i="9"/>
  <c r="Q65" i="9" s="1"/>
  <c r="P64" i="9"/>
  <c r="Q64" i="9" s="1"/>
  <c r="P63" i="9"/>
  <c r="Q63" i="9" s="1"/>
  <c r="P61" i="9"/>
  <c r="Q61" i="9" s="1"/>
  <c r="P60" i="9"/>
  <c r="Q60" i="9" s="1"/>
  <c r="P59" i="9"/>
  <c r="Q59" i="9" s="1"/>
  <c r="P57" i="9"/>
  <c r="Q57" i="9" s="1"/>
  <c r="P56" i="9"/>
  <c r="Q56" i="9" s="1"/>
  <c r="P55" i="9"/>
  <c r="Q55" i="9" s="1"/>
  <c r="P53" i="9"/>
  <c r="Q53" i="9" s="1"/>
  <c r="P52" i="9"/>
  <c r="Q52" i="9" s="1"/>
  <c r="P51" i="9"/>
  <c r="Q51" i="9" s="1"/>
  <c r="P49" i="9"/>
  <c r="Q49" i="9" s="1"/>
  <c r="P48" i="9"/>
  <c r="Q48" i="9" s="1"/>
  <c r="P47" i="9"/>
  <c r="Q47" i="9" s="1"/>
  <c r="P45" i="9"/>
  <c r="Q45" i="9" s="1"/>
  <c r="P44" i="9"/>
  <c r="Q44" i="9" s="1"/>
  <c r="P43" i="9"/>
  <c r="Q43" i="9" s="1"/>
  <c r="P41" i="9"/>
  <c r="Q41" i="9" s="1"/>
  <c r="P40" i="9"/>
  <c r="Q40" i="9" s="1"/>
  <c r="P39" i="9"/>
  <c r="Q39" i="9" s="1"/>
  <c r="P37" i="9"/>
  <c r="Q37" i="9" s="1"/>
  <c r="P36" i="9"/>
  <c r="Q36" i="9" s="1"/>
  <c r="P35" i="9"/>
  <c r="Q35" i="9" s="1"/>
  <c r="P33" i="9"/>
  <c r="Q33" i="9" s="1"/>
  <c r="P32" i="9"/>
  <c r="Q32" i="9" s="1"/>
  <c r="P31" i="9"/>
  <c r="Q31" i="9" s="1"/>
  <c r="P29" i="9"/>
  <c r="Q29" i="9" s="1"/>
  <c r="P28" i="9"/>
  <c r="Q28" i="9" s="1"/>
  <c r="P27" i="9"/>
  <c r="Q27" i="9" s="1"/>
  <c r="P25" i="9"/>
  <c r="Q25" i="9" s="1"/>
  <c r="P24" i="9"/>
  <c r="Q24" i="9" s="1"/>
  <c r="P23" i="9"/>
  <c r="Q23" i="9" s="1"/>
  <c r="P21" i="9"/>
  <c r="Q21" i="9" s="1"/>
  <c r="P20" i="9"/>
  <c r="Q20" i="9" s="1"/>
  <c r="P19" i="9"/>
  <c r="Q19" i="9" s="1"/>
  <c r="J20" i="7" l="1"/>
  <c r="J20" i="8"/>
  <c r="J20" i="9"/>
  <c r="J24" i="7"/>
  <c r="J24" i="9"/>
  <c r="J24" i="8"/>
  <c r="J22" i="7"/>
  <c r="E21" i="2"/>
  <c r="J22" i="9"/>
  <c r="J22" i="8"/>
  <c r="J19" i="7"/>
  <c r="J19" i="8"/>
  <c r="E25" i="2"/>
  <c r="J19" i="9"/>
  <c r="E22" i="2"/>
  <c r="E15" i="2"/>
  <c r="J18" i="7"/>
  <c r="J18" i="8"/>
  <c r="J18" i="9"/>
  <c r="E24" i="2"/>
  <c r="E14" i="2"/>
  <c r="D26" i="2"/>
  <c r="P6" i="10"/>
  <c r="P22" i="10"/>
  <c r="P38" i="10"/>
  <c r="P54" i="10"/>
  <c r="P64" i="10"/>
  <c r="P78" i="10"/>
  <c r="P91" i="10"/>
  <c r="P103" i="10"/>
  <c r="P111" i="10"/>
  <c r="P123" i="10"/>
  <c r="P135" i="10"/>
  <c r="P143" i="10"/>
  <c r="P159" i="10"/>
  <c r="P43" i="10"/>
  <c r="P8" i="10"/>
  <c r="P13" i="10"/>
  <c r="P18" i="10"/>
  <c r="P24" i="10"/>
  <c r="P29" i="10"/>
  <c r="P34" i="10"/>
  <c r="P40" i="10"/>
  <c r="P45" i="10"/>
  <c r="P50" i="10"/>
  <c r="P56" i="10"/>
  <c r="P60" i="10"/>
  <c r="P65" i="10"/>
  <c r="P70" i="10"/>
  <c r="P75" i="10"/>
  <c r="P80" i="10"/>
  <c r="P84" i="10"/>
  <c r="P88" i="10"/>
  <c r="P92" i="10"/>
  <c r="P96" i="10"/>
  <c r="P100" i="10"/>
  <c r="P104" i="10"/>
  <c r="P108" i="10"/>
  <c r="P112" i="10"/>
  <c r="P116" i="10"/>
  <c r="P120" i="10"/>
  <c r="P124" i="10"/>
  <c r="P128" i="10"/>
  <c r="P132" i="10"/>
  <c r="P136" i="10"/>
  <c r="P140" i="10"/>
  <c r="P144" i="10"/>
  <c r="P148" i="10"/>
  <c r="P152" i="10"/>
  <c r="P156" i="10"/>
  <c r="P160" i="10"/>
  <c r="P164" i="10"/>
  <c r="P168" i="10"/>
  <c r="P172" i="10"/>
  <c r="P31" i="10"/>
  <c r="P47" i="10"/>
  <c r="P67" i="10"/>
  <c r="P12" i="10"/>
  <c r="P33" i="10"/>
  <c r="P49" i="10"/>
  <c r="P69" i="10"/>
  <c r="P83" i="10"/>
  <c r="P99" i="10"/>
  <c r="P115" i="10"/>
  <c r="P131" i="10"/>
  <c r="P147" i="10"/>
  <c r="P155" i="10"/>
  <c r="P167" i="10"/>
  <c r="P171" i="10"/>
  <c r="P175" i="10"/>
  <c r="P27" i="10"/>
  <c r="P14" i="10"/>
  <c r="P25" i="10"/>
  <c r="P41" i="10"/>
  <c r="P52" i="10"/>
  <c r="P61" i="10"/>
  <c r="P76" i="10"/>
  <c r="P85" i="10"/>
  <c r="P93" i="10"/>
  <c r="P101" i="10"/>
  <c r="P109" i="10"/>
  <c r="P121" i="10"/>
  <c r="P133" i="10"/>
  <c r="P141" i="10"/>
  <c r="P149" i="10"/>
  <c r="P161" i="10"/>
  <c r="P173" i="10"/>
  <c r="P19" i="10"/>
  <c r="P35" i="10"/>
  <c r="P51" i="10"/>
  <c r="P71" i="10"/>
  <c r="P17" i="10"/>
  <c r="P28" i="10"/>
  <c r="P44" i="10"/>
  <c r="P59" i="10"/>
  <c r="P74" i="10"/>
  <c r="P87" i="10"/>
  <c r="P95" i="10"/>
  <c r="P107" i="10"/>
  <c r="P119" i="10"/>
  <c r="P127" i="10"/>
  <c r="P139" i="10"/>
  <c r="P151" i="10"/>
  <c r="P163" i="10"/>
  <c r="P11" i="10"/>
  <c r="P63" i="10"/>
  <c r="P9" i="10"/>
  <c r="P20" i="10"/>
  <c r="P30" i="10"/>
  <c r="P36" i="10"/>
  <c r="P46" i="10"/>
  <c r="P57" i="10"/>
  <c r="P66" i="10"/>
  <c r="P72" i="10"/>
  <c r="P81" i="10"/>
  <c r="P89" i="10"/>
  <c r="P97" i="10"/>
  <c r="P105" i="10"/>
  <c r="P113" i="10"/>
  <c r="P117" i="10"/>
  <c r="P125" i="10"/>
  <c r="P129" i="10"/>
  <c r="P137" i="10"/>
  <c r="P145" i="10"/>
  <c r="P153" i="10"/>
  <c r="P157" i="10"/>
  <c r="P165" i="10"/>
  <c r="P169" i="10"/>
  <c r="P5" i="10"/>
  <c r="P10" i="10"/>
  <c r="P16" i="10"/>
  <c r="P21" i="10"/>
  <c r="P26" i="10"/>
  <c r="P32" i="10"/>
  <c r="P37" i="10"/>
  <c r="P42" i="10"/>
  <c r="P48" i="10"/>
  <c r="P53" i="10"/>
  <c r="P58" i="10"/>
  <c r="P62" i="10"/>
  <c r="P68" i="10"/>
  <c r="P73" i="10"/>
  <c r="P77" i="10"/>
  <c r="P82" i="10"/>
  <c r="P86" i="10"/>
  <c r="P90" i="10"/>
  <c r="P94" i="10"/>
  <c r="P98" i="10"/>
  <c r="P102" i="10"/>
  <c r="P106" i="10"/>
  <c r="P110" i="10"/>
  <c r="P114" i="10"/>
  <c r="P118" i="10"/>
  <c r="P122" i="10"/>
  <c r="P126" i="10"/>
  <c r="P130" i="10"/>
  <c r="P134" i="10"/>
  <c r="P138" i="10"/>
  <c r="P142" i="10"/>
  <c r="P146" i="10"/>
  <c r="P150" i="10"/>
  <c r="P154" i="10"/>
  <c r="P158" i="10"/>
  <c r="P162" i="10"/>
  <c r="P166" i="10"/>
  <c r="P170" i="10"/>
  <c r="P174" i="10"/>
  <c r="P7" i="10"/>
  <c r="P23" i="10"/>
  <c r="P39" i="10"/>
  <c r="P55" i="10"/>
  <c r="P79" i="10"/>
  <c r="P3" i="10"/>
  <c r="P4" i="10"/>
  <c r="P15" i="10"/>
  <c r="P2" i="10"/>
  <c r="J17" i="7"/>
  <c r="J17" i="8"/>
  <c r="J17" i="9"/>
  <c r="E16" i="2" l="1"/>
  <c r="E42" i="2"/>
  <c r="F42" i="2" s="1"/>
  <c r="E35" i="2"/>
  <c r="E36" i="2"/>
  <c r="F36" i="2" s="1"/>
  <c r="E31" i="2"/>
  <c r="F31" i="2" s="1"/>
  <c r="E33" i="2"/>
  <c r="D32" i="2"/>
  <c r="E32" i="2"/>
  <c r="E37" i="2"/>
  <c r="F37" i="2" s="1"/>
  <c r="D41" i="2"/>
  <c r="F35" i="2"/>
  <c r="E41" i="2"/>
  <c r="F41" i="2" s="1"/>
  <c r="E39" i="2"/>
  <c r="F39" i="2" s="1"/>
  <c r="D35" i="2"/>
  <c r="F33" i="2"/>
  <c r="F32" i="2"/>
  <c r="E38" i="2"/>
  <c r="F38" i="2" s="1"/>
  <c r="E34" i="2"/>
  <c r="F34" i="2" s="1"/>
  <c r="E40" i="2"/>
  <c r="F40" i="2" s="1"/>
  <c r="E26" i="2"/>
  <c r="D36" i="2"/>
  <c r="D42" i="2"/>
  <c r="D31" i="2"/>
  <c r="D37" i="2"/>
  <c r="D33" i="2"/>
  <c r="D39" i="2"/>
  <c r="D34" i="2"/>
  <c r="D40" i="2"/>
  <c r="E43" i="2" l="1"/>
  <c r="F43" i="2" s="1"/>
  <c r="D38" i="2"/>
  <c r="D43" i="2" s="1"/>
</calcChain>
</file>

<file path=xl/sharedStrings.xml><?xml version="1.0" encoding="utf-8"?>
<sst xmlns="http://schemas.openxmlformats.org/spreadsheetml/2006/main" count="3185" uniqueCount="76">
  <si>
    <t>Loan Number</t>
  </si>
  <si>
    <t>Ken's Discount Value Loans</t>
  </si>
  <si>
    <t>Ed's Quality Loan-Mart</t>
  </si>
  <si>
    <t>Shanna's Loan Headquarters</t>
  </si>
  <si>
    <t>Payment</t>
  </si>
  <si>
    <t>Loan Amount</t>
  </si>
  <si>
    <t>Current Balance</t>
  </si>
  <si>
    <t>Payments Made</t>
  </si>
  <si>
    <t>Loan Type</t>
  </si>
  <si>
    <t>FHA</t>
  </si>
  <si>
    <t>ICONV</t>
  </si>
  <si>
    <t>UCONV</t>
  </si>
  <si>
    <t>VA</t>
  </si>
  <si>
    <t>USDA</t>
  </si>
  <si>
    <t>Agency</t>
  </si>
  <si>
    <t>Seller Name</t>
  </si>
  <si>
    <t>FHLMC</t>
  </si>
  <si>
    <t>FNMA</t>
  </si>
  <si>
    <t>GNMA</t>
  </si>
  <si>
    <t>Loan</t>
  </si>
  <si>
    <t>Term (Years)</t>
  </si>
  <si>
    <t>Annual Rate</t>
  </si>
  <si>
    <t>Delinquency</t>
  </si>
  <si>
    <t>3. Using the provided table, append 'Agency' to the portfolio</t>
  </si>
  <si>
    <t>Delinquency (Months)</t>
  </si>
  <si>
    <t>Status</t>
  </si>
  <si>
    <t>30-60</t>
  </si>
  <si>
    <t>0 Months Delinquent</t>
  </si>
  <si>
    <t>1-2 Months Delinquent</t>
  </si>
  <si>
    <t>3 or more Months Delinquent</t>
  </si>
  <si>
    <t>Current</t>
  </si>
  <si>
    <t>90+</t>
  </si>
  <si>
    <t>Foreclosure</t>
  </si>
  <si>
    <t>4a. Using the groups below, append Status to the table</t>
  </si>
  <si>
    <t>4b. Loans that are 6 months or more delinquent are in Foreclosure, flag 'Y' or 'N' for each loan's foreclosure status</t>
  </si>
  <si>
    <t>Foreclosure Comment</t>
  </si>
  <si>
    <t>Foreclosure Step</t>
  </si>
  <si>
    <t>5. Append Foreclosure Step (extract from the foreclosure comment). The field should be blank or "n/a" for loans not in foreclosure.</t>
  </si>
  <si>
    <t>2. Using the previously calculated payments and the provided number of payments made, calculate the Current Balance (present value) for each loan in the portfolio</t>
  </si>
  <si>
    <t>1. Calculate the the loan payment for each loan in the portfolio</t>
  </si>
  <si>
    <t>i.e.: "This Loan is in Step: Service" --&gt; Service</t>
  </si>
  <si>
    <t>Sellers</t>
  </si>
  <si>
    <t># of Loans</t>
  </si>
  <si>
    <t>Judgment</t>
  </si>
  <si>
    <t>Referral</t>
  </si>
  <si>
    <t>Sale</t>
  </si>
  <si>
    <t>Service</t>
  </si>
  <si>
    <t>Weighted Average Rate*</t>
  </si>
  <si>
    <t>*Weighted by Current Balance</t>
  </si>
  <si>
    <t>Loan Rate</t>
  </si>
  <si>
    <t>&gt;=5%</t>
  </si>
  <si>
    <t>&lt;5%</t>
  </si>
  <si>
    <t>FINAL REPORT</t>
  </si>
  <si>
    <t>Table 1</t>
  </si>
  <si>
    <t>Rate Bucket</t>
  </si>
  <si>
    <t>&lt; 4.00%</t>
  </si>
  <si>
    <t>&gt; 8.01%</t>
  </si>
  <si>
    <t>Total:</t>
  </si>
  <si>
    <t>Table 2</t>
  </si>
  <si>
    <t>Table 3</t>
  </si>
  <si>
    <t>4.01%-8.00%</t>
  </si>
  <si>
    <t>6b. Using the data compiled on the "Master Data" tab, recreate tables 1 &amp; 2 using PIVOT TABLES</t>
  </si>
  <si>
    <t>6a. Using the data compiled on the "Master Data" tab, complete the 3 tables using FORMULAS</t>
  </si>
  <si>
    <t>n/a</t>
  </si>
  <si>
    <t>Y</t>
  </si>
  <si>
    <t>This Loan is in Step: Judgment</t>
  </si>
  <si>
    <t>N</t>
  </si>
  <si>
    <t>This Loan is in Step: n/a</t>
  </si>
  <si>
    <t>This Loan is in Step: Referral</t>
  </si>
  <si>
    <t>This Loan is in Step: Sale</t>
  </si>
  <si>
    <t>This Loan is in Step: Service</t>
  </si>
  <si>
    <t>Grand Total</t>
  </si>
  <si>
    <t>Sum of Current Balance</t>
  </si>
  <si>
    <t>Count of Loan</t>
  </si>
  <si>
    <t>&gt;=5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</si>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</sst>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6" x14ac:knownFonts="1">
    <font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6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42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8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8" fontId="0" fillId="0" borderId="0" xfId="0" applyNumberFormat="1" applyBorder="1"/>
    <xf numFmtId="0" fontId="0" fillId="0" borderId="0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applyNumberFormat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3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0" borderId="0" xfId="0" applyFont="1"/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Protection="1">
      <protection hidden="1"/>
    </xf>
    <xf numFmtId="0" fontId="2" fillId="3" borderId="1" xfId="0" applyFont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164" fontId="0" fillId="0" borderId="0" xfId="1" applyNumberFormat="1" applyFont="1" applyProtection="1">
      <protection hidden="1"/>
    </xf>
    <xf numFmtId="10" fontId="0" fillId="0" borderId="0" xfId="2" applyNumberFormat="1" applyFont="1" applyProtection="1">
      <protection hidden="1"/>
    </xf>
    <xf numFmtId="8" fontId="0" fillId="0" borderId="0" xfId="0" applyNumberFormat="1" applyBorder="1" applyProtection="1">
      <protection hidden="1"/>
    </xf>
    <xf numFmtId="165" fontId="0" fillId="0" borderId="0" xfId="0" applyNumberFormat="1" applyProtection="1">
      <protection hidden="1"/>
    </xf>
    <xf numFmtId="0" fontId="2" fillId="0" borderId="3" xfId="0" applyFont="1" applyFill="1" applyBorder="1" applyAlignment="1">
      <alignment horizontal="right"/>
    </xf>
    <xf numFmtId="0" fontId="0" fillId="4" borderId="2" xfId="0" applyFill="1" applyBorder="1"/>
    <xf numFmtId="10" fontId="0" fillId="2" borderId="2" xfId="2" applyNumberFormat="1" applyFont="1" applyFill="1" applyBorder="1" applyAlignment="1">
      <alignment horizontal="center"/>
    </xf>
    <xf numFmtId="10" fontId="0" fillId="4" borderId="2" xfId="2" applyNumberFormat="1" applyFont="1" applyFill="1" applyBorder="1"/>
    <xf numFmtId="0" fontId="4" fillId="0" borderId="0" xfId="3"/>
    <xf numFmtId="0" fontId="4" fillId="0" borderId="0" xfId="3" applyNumberFormat="1"/>
    <xf numFmtId="0" fontId="4" fillId="0" borderId="0" xfId="3" pivotButton="1"/>
    <xf numFmtId="43" fontId="0" fillId="0" borderId="0" xfId="0" applyNumberFormat="1"/>
    <xf numFmtId="0" fontId="5" fillId="5" borderId="4" xfId="3" applyNumberFormat="1" applyFont="1" applyFill="1" applyBorder="1" applyAlignment="1"/>
    <xf numFmtId="10" fontId="4" fillId="0" borderId="0" xfId="2" applyNumberFormat="1" applyFont="1"/>
    <xf numFmtId="10" fontId="5" fillId="5" borderId="5" xfId="2" applyNumberFormat="1" applyFont="1" applyFill="1" applyBorder="1" applyAlignment="1"/>
    <xf numFmtId="10" fontId="5" fillId="0" borderId="4" xfId="2" applyNumberFormat="1" applyFont="1" applyBorder="1" applyAlignment="1"/>
  </cellXfs>
  <cellStyles count="4">
    <cellStyle name="Comma" xfId="1" builtinId="3"/>
    <cellStyle name="Normal" xfId="0" builtinId="0"/>
    <cellStyle name="Normal 2" xfId="3" xr:uid="{30DFBE5C-BD20-45C2-B61D-A69232AF428E}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Book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Book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mz" refreshedDate="43765.597801851851" createdVersion="6" refreshedVersion="6" minRefreshableVersion="3" recordCount="175" xr:uid="{B26418F4-E5B8-4560-81B7-E515282CFBC4}">
  <cacheSource type="worksheet">
    <worksheetSource ref="A1:P1048576" sheet="Sheet1" r:id="rId2"/>
  </cacheSource>
  <cacheFields count="16">
    <cacheField name="Loan" numFmtId="0">
      <sharedItems containsString="0" containsBlank="1" containsNumber="1" containsInteger="1" minValue="1" maxValue="174"/>
    </cacheField>
    <cacheField name="Loan Number" numFmtId="0">
      <sharedItems containsString="0" containsBlank="1" containsNumber="1" containsInteger="1" minValue="10503800" maxValue="98808855"/>
    </cacheField>
    <cacheField name="Seller Name" numFmtId="0">
      <sharedItems containsBlank="1" count="4">
        <s v="Shanna's Loan Headquarters"/>
        <s v="Ed's Quality Loan-Mart"/>
        <s v="Ken's Discount Value Loans"/>
        <m/>
      </sharedItems>
    </cacheField>
    <cacheField name="Loan Amount" numFmtId="0">
      <sharedItems containsString="0" containsBlank="1" containsNumber="1" containsInteger="1" minValue="80000" maxValue="450000"/>
    </cacheField>
    <cacheField name="Annual Rate" numFmtId="0">
      <sharedItems containsString="0" containsBlank="1" containsNumber="1" minValue="2.092235791221576E-2" maxValue="8.948433022180316E-2" count="175">
        <n v="6.3422300277239399E-2"/>
        <n v="4.7923567837379721E-2"/>
        <n v="6.1424733534152585E-2"/>
        <n v="6.9916583821802616E-2"/>
        <n v="5.0134005155326899E-2"/>
        <n v="4.2786225749490842E-2"/>
        <n v="7.9882925276980848E-2"/>
        <n v="3.7834646761219816E-2"/>
        <n v="5.6469996936378344E-2"/>
        <n v="5.6715626593494835E-2"/>
        <n v="4.0215407626109097E-2"/>
        <n v="8.3860466435509498E-2"/>
        <n v="3.5523380678162242E-2"/>
        <n v="3.6067921361398102E-2"/>
        <n v="2.0976206387454444E-2"/>
        <n v="7.3061166730698637E-2"/>
        <n v="2.7097694596205285E-2"/>
        <n v="2.5842605502086724E-2"/>
        <n v="2.7655486798436463E-2"/>
        <n v="8.0418748029822365E-2"/>
        <n v="3.8827805000615556E-2"/>
        <n v="4.0557152115227098E-2"/>
        <n v="7.5597074524101956E-2"/>
        <n v="3.5673924310420199E-2"/>
        <n v="6.0639301234321812E-2"/>
        <n v="3.5562170293429965E-2"/>
        <n v="4.3455090449965803E-2"/>
        <n v="3.2696780273888046E-2"/>
        <n v="7.8578878041267147E-2"/>
        <n v="6.4614921853092214E-2"/>
        <n v="6.2879825673857012E-2"/>
        <n v="5.8930108641721893E-2"/>
        <n v="2.7558682360886048E-2"/>
        <n v="7.7750119768659212E-2"/>
        <n v="3.8020196364644765E-2"/>
        <n v="6.5925739900995997E-2"/>
        <n v="4.1853063215998632E-2"/>
        <n v="2.966497552361293E-2"/>
        <n v="8.1731961592310012E-2"/>
        <n v="2.3124063876185742E-2"/>
        <n v="6.2115111893552351E-2"/>
        <n v="2.4795470508067418E-2"/>
        <n v="6.2624385664536333E-2"/>
        <n v="8.8685443767959421E-2"/>
        <n v="2.8536155301216861E-2"/>
        <n v="6.4588054143448148E-2"/>
        <n v="4.0821913483801812E-2"/>
        <n v="8.0194103559907345E-2"/>
        <n v="2.2996447985654003E-2"/>
        <n v="2.5277016412276896E-2"/>
        <n v="5.6232150677562931E-2"/>
        <n v="5.6587380060444684E-2"/>
        <n v="7.250452793744129E-2"/>
        <n v="7.2752652226458867E-2"/>
        <n v="4.7155846847419934E-2"/>
        <n v="3.5647185007364517E-2"/>
        <n v="3.8124204390776455E-2"/>
        <n v="8.3762295006845983E-2"/>
        <n v="8.3028447544266887E-2"/>
        <n v="3.2246080585092513E-2"/>
        <n v="5.3983098508402307E-2"/>
        <n v="6.6890959133402261E-2"/>
        <n v="2.4040124038044522E-2"/>
        <n v="2.3500078758323658E-2"/>
        <n v="6.6238204969847433E-2"/>
        <n v="8.8488321849944707E-2"/>
        <n v="7.0071082298951745E-2"/>
        <n v="6.9073868790080276E-2"/>
        <n v="8.6516783487079515E-2"/>
        <n v="5.9538523786275999E-2"/>
        <n v="3.7419614625481337E-2"/>
        <n v="3.9502545578306847E-2"/>
        <n v="8.0913712050867476E-2"/>
        <n v="3.5787945697589502E-2"/>
        <n v="7.5454290205374391E-2"/>
        <n v="3.3529466107279624E-2"/>
        <n v="3.8174534059814809E-2"/>
        <n v="8.8639262942166508E-2"/>
        <n v="5.489254667303671E-2"/>
        <n v="7.5436353811503654E-2"/>
        <n v="4.4525794658394374E-2"/>
        <n v="3.9359824408563691E-2"/>
        <n v="6.9952886514902876E-2"/>
        <n v="2.6369708310845265E-2"/>
        <n v="4.3556765273894182E-2"/>
        <n v="2.092235791221576E-2"/>
        <n v="5.6408371052604878E-2"/>
        <n v="8.4050464805110664E-2"/>
        <n v="4.3622348956864891E-2"/>
        <n v="2.3133587418061395E-2"/>
        <n v="7.6002502678293865E-2"/>
        <n v="8.0625304723364447E-2"/>
        <n v="3.1586661242958225E-2"/>
        <n v="6.9094609118500627E-2"/>
        <n v="3.0758992929878257E-2"/>
        <n v="8.3913752944148587E-2"/>
        <n v="5.914795686569916E-2"/>
        <n v="3.401337062358261E-2"/>
        <n v="2.3051931389460947E-2"/>
        <n v="7.9989228013860547E-2"/>
        <n v="4.318656729242594E-2"/>
        <n v="4.9320800002458996E-2"/>
        <n v="8.5050217334716488E-2"/>
        <n v="6.172569651273551E-2"/>
        <n v="6.6777345462205137E-2"/>
        <n v="4.0406672002481922E-2"/>
        <n v="6.9978729603616049E-2"/>
        <n v="7.3541099206711563E-2"/>
        <n v="8.429193812760874E-2"/>
        <n v="2.1001186674988234E-2"/>
        <n v="7.4869625494172767E-2"/>
        <n v="4.0022588821897263E-2"/>
        <n v="5.5915919135758191E-2"/>
        <n v="6.2954123371356599E-2"/>
        <n v="6.1454302986937014E-2"/>
        <n v="4.668521806741701E-2"/>
        <n v="4.9991672426802622E-2"/>
        <n v="8.5340966360992601E-2"/>
        <n v="7.5583847572718132E-2"/>
        <n v="7.7926012795862518E-2"/>
        <n v="2.2360686555375126E-2"/>
        <n v="3.7814520931784459E-2"/>
        <n v="6.2918411461241788E-2"/>
        <n v="3.4605535037912347E-2"/>
        <n v="3.4229733471017439E-2"/>
        <n v="4.7007634568982694E-2"/>
        <n v="8.1868207234357213E-2"/>
        <n v="2.3522228194114383E-2"/>
        <n v="5.9759655653747787E-2"/>
        <n v="5.3519955426174042E-2"/>
        <n v="5.5635707435100275E-2"/>
        <n v="3.4147634194001963E-2"/>
        <n v="5.1870351612887451E-2"/>
        <n v="5.9758883555077774E-2"/>
        <n v="4.3504269841479912E-2"/>
        <n v="6.6997557171815436E-2"/>
        <n v="2.4733212439948523E-2"/>
        <n v="6.5073173837024004E-2"/>
        <n v="7.5409423490472402E-2"/>
        <n v="3.9082079146889916E-2"/>
        <n v="2.918801643188013E-2"/>
        <n v="2.7108181721399505E-2"/>
        <n v="7.8279039349961069E-2"/>
        <n v="8.5661220417817804E-2"/>
        <n v="3.9948712579245552E-2"/>
        <n v="4.8616549792090978E-2"/>
        <n v="2.553940346467095E-2"/>
        <n v="3.759737492262525E-2"/>
        <n v="5.1929476788526233E-2"/>
        <n v="4.9833531113900251E-2"/>
        <n v="4.8171984913974467E-2"/>
        <n v="8.4051872918695605E-2"/>
        <n v="4.7353760052952686E-2"/>
        <n v="3.1754491121864389E-2"/>
        <n v="7.1192531516652197E-2"/>
        <n v="5.577789572375437E-2"/>
        <n v="4.5537190045218612E-2"/>
        <n v="5.0982489981923208E-2"/>
        <n v="3.2977812852717114E-2"/>
        <n v="5.2234852657205018E-2"/>
        <n v="7.8054402152243199E-2"/>
        <n v="8.5197825606209504E-2"/>
        <n v="6.5776912974517682E-2"/>
        <n v="2.8968661386930758E-2"/>
        <n v="2.7107655095394385E-2"/>
        <n v="7.5354629162056694E-2"/>
        <n v="6.4130198135724042E-2"/>
        <n v="8.500410975067306E-2"/>
        <n v="6.538733883278261E-2"/>
        <n v="4.5206795026638533E-2"/>
        <n v="8.0420328455112197E-2"/>
        <n v="8.948433022180316E-2"/>
        <n v="6.1968837801717767E-2"/>
        <n v="5.8198216683628096E-2"/>
        <m/>
      </sharedItems>
      <fieldGroup base="4">
        <rangePr autoStart="0" autoEnd="0" startNum="0" endNum="0.05" groupInterval="5"/>
        <groupItems count="3">
          <s v="&lt;0 or (blank)"/>
          <s v="0-5"/>
          <s v="&gt;5"/>
        </groupItems>
      </fieldGroup>
    </cacheField>
    <cacheField name="Term (Years)" numFmtId="0">
      <sharedItems containsString="0" containsBlank="1" containsNumber="1" containsInteger="1" minValue="10" maxValue="30"/>
    </cacheField>
    <cacheField name="Payment" numFmtId="0">
      <sharedItems containsString="0" containsBlank="1" containsNumber="1" minValue="123171.66113722652" maxValue="5062236.9420873951"/>
    </cacheField>
    <cacheField name="Payments Made" numFmtId="0">
      <sharedItems containsString="0" containsBlank="1" containsNumber="1" containsInteger="1" minValue="3" maxValue="330"/>
    </cacheField>
    <cacheField name="Current Balance" numFmtId="0">
      <sharedItems containsString="0" containsBlank="1" containsNumber="1" minValue="-371931.91078657634" maxValue="-1188.8833135513596"/>
    </cacheField>
    <cacheField name="Loan Type" numFmtId="0">
      <sharedItems containsBlank="1"/>
    </cacheField>
    <cacheField name="Agency" numFmtId="0">
      <sharedItems containsBlank="1"/>
    </cacheField>
    <cacheField name="Delinquency (Months)" numFmtId="0">
      <sharedItems containsString="0" containsBlank="1" containsNumber="1" containsInteger="1" minValue="0" maxValue="10"/>
    </cacheField>
    <cacheField name="Status" numFmtId="0">
      <sharedItems containsBlank="1"/>
    </cacheField>
    <cacheField name="Foreclosure" numFmtId="0">
      <sharedItems containsBlank="1"/>
    </cacheField>
    <cacheField name="Foreclosure Comment" numFmtId="0">
      <sharedItems containsBlank="1"/>
    </cacheField>
    <cacheField name="Foreclosure Ste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mz" refreshedDate="43765.626305324076" createdVersion="6" refreshedVersion="6" minRefreshableVersion="3" recordCount="175" xr:uid="{FDA22BD7-5EFC-4C65-B2A6-7455BBEAB343}">
  <cacheSource type="worksheet">
    <worksheetSource ref="A1:P1048576" sheet="Sheet1" r:id="rId2"/>
  </cacheSource>
  <cacheFields count="16">
    <cacheField name="Loan" numFmtId="0">
      <sharedItems containsString="0" containsBlank="1" containsNumber="1" containsInteger="1" minValue="1" maxValue="174"/>
    </cacheField>
    <cacheField name="Loan Number" numFmtId="0">
      <sharedItems containsString="0" containsBlank="1" containsNumber="1" containsInteger="1" minValue="10503800" maxValue="98808855"/>
    </cacheField>
    <cacheField name="Seller Name" numFmtId="0">
      <sharedItems containsBlank="1"/>
    </cacheField>
    <cacheField name="Loan Amount" numFmtId="0">
      <sharedItems containsString="0" containsBlank="1" containsNumber="1" containsInteger="1" minValue="80000" maxValue="450000"/>
    </cacheField>
    <cacheField name="Annual Rate" numFmtId="0">
      <sharedItems containsString="0" containsBlank="1" containsNumber="1" minValue="2.092235791221576E-2" maxValue="8.948433022180316E-2"/>
    </cacheField>
    <cacheField name="Term (Years)" numFmtId="0">
      <sharedItems containsString="0" containsBlank="1" containsNumber="1" containsInteger="1" minValue="10" maxValue="30"/>
    </cacheField>
    <cacheField name="Payment" numFmtId="0">
      <sharedItems containsString="0" containsBlank="1" containsNumber="1" minValue="123171.66113722652" maxValue="5062236.9420873951"/>
    </cacheField>
    <cacheField name="Payments Made" numFmtId="0">
      <sharedItems containsString="0" containsBlank="1" containsNumber="1" containsInteger="1" minValue="3" maxValue="330"/>
    </cacheField>
    <cacheField name="Current Balance" numFmtId="0">
      <sharedItems containsString="0" containsBlank="1" containsNumber="1" minValue="-371931.91078657634" maxValue="-1188.8833135513596"/>
    </cacheField>
    <cacheField name="Loan Type" numFmtId="0">
      <sharedItems containsBlank="1" count="7">
        <s v="VA"/>
        <s v="UCONV"/>
        <s v="USDA"/>
        <s v="ICONV"/>
        <s v="FHA"/>
        <m/>
        <s v="Formula1" f="1"/>
      </sharedItems>
    </cacheField>
    <cacheField name="Agency" numFmtId="0">
      <sharedItems containsBlank="1" count="4">
        <s v="GNMA"/>
        <s v="FNMA"/>
        <s v="FHLMC"/>
        <m/>
      </sharedItems>
    </cacheField>
    <cacheField name="Delinquency (Months)" numFmtId="0">
      <sharedItems containsString="0" containsBlank="1" containsNumber="1" containsInteger="1" minValue="0" maxValue="10"/>
    </cacheField>
    <cacheField name="Status" numFmtId="0">
      <sharedItems containsBlank="1"/>
    </cacheField>
    <cacheField name="Foreclosure" numFmtId="0">
      <sharedItems containsBlank="1"/>
    </cacheField>
    <cacheField name="Foreclosure Comment" numFmtId="0">
      <sharedItems containsBlank="1"/>
    </cacheField>
    <cacheField name="Foreclosure Step" numFmtId="0">
      <sharedItems containsBlank="1"/>
    </cacheField>
  </cacheFields>
  <calculatedItems count="1">
    <calculatedItem>
      <pivotArea cacheIndex="1" outline="0" fieldPosition="0">
        <references count="1">
          <reference field="9" count="1">
            <x v="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">
  <r>
    <n v="1"/>
    <n v="83449837"/>
    <x v="0"/>
    <n v="280000"/>
    <x v="0"/>
    <n v="30"/>
    <n v="1771458.2938781471"/>
    <n v="191"/>
    <n v="-85767.228502382975"/>
    <s v="VA"/>
    <s v="GNMA"/>
    <n v="6"/>
    <s v="90+"/>
    <s v="Y"/>
    <s v="This Loan is in Step: Judgment"/>
    <s v="Judgment"/>
  </r>
  <r>
    <n v="2"/>
    <n v="41209504"/>
    <x v="0"/>
    <n v="370000"/>
    <x v="1"/>
    <n v="30"/>
    <n v="1506919.1675951311"/>
    <n v="322"/>
    <n v="-301743.14811797719"/>
    <s v="UCONV"/>
    <s v="FNMA"/>
    <n v="5"/>
    <s v="90+"/>
    <s v="N"/>
    <s v="This Loan is in Step: n/a"/>
    <s v="n/a"/>
  </r>
  <r>
    <n v="3"/>
    <n v="25055860"/>
    <x v="0"/>
    <n v="210000"/>
    <x v="2"/>
    <n v="20"/>
    <n v="691836.3287062801"/>
    <n v="32"/>
    <n v="-15495.170564521975"/>
    <s v="USDA"/>
    <s v="GNMA"/>
    <n v="0"/>
    <s v="Current"/>
    <s v="N"/>
    <s v="This Loan is in Step: n/a"/>
    <s v="n/a"/>
  </r>
  <r>
    <n v="4"/>
    <n v="61173887"/>
    <x v="0"/>
    <n v="120000"/>
    <x v="3"/>
    <n v="30"/>
    <n v="911336.61948007834"/>
    <n v="23"/>
    <n v="-2417.4080580836758"/>
    <s v="VA"/>
    <s v="GNMA"/>
    <n v="0"/>
    <s v="Current"/>
    <s v="N"/>
    <s v="This Loan is in Step: n/a"/>
    <s v="n/a"/>
  </r>
  <r>
    <n v="5"/>
    <n v="51398733"/>
    <x v="0"/>
    <n v="350000"/>
    <x v="4"/>
    <n v="20"/>
    <n v="931027.44337903184"/>
    <n v="154"/>
    <n v="-183225.60483191736"/>
    <s v="UCONV"/>
    <s v="FNMA"/>
    <n v="0"/>
    <s v="Current"/>
    <s v="N"/>
    <s v="This Loan is in Step: n/a"/>
    <s v="n/a"/>
  </r>
  <r>
    <n v="6"/>
    <n v="76906141"/>
    <x v="0"/>
    <n v="220000"/>
    <x v="5"/>
    <n v="10"/>
    <n v="334484.14761511289"/>
    <n v="47"/>
    <n v="-75184.868371663761"/>
    <s v="ICONV"/>
    <s v="FHLMC"/>
    <n v="5"/>
    <s v="90+"/>
    <s v="N"/>
    <s v="This Loan is in Step: n/a"/>
    <s v="n/a"/>
  </r>
  <r>
    <n v="7"/>
    <n v="49304139"/>
    <x v="0"/>
    <n v="330000"/>
    <x v="6"/>
    <n v="10"/>
    <n v="711673.31711903214"/>
    <n v="81"/>
    <n v="-192944.25960322487"/>
    <s v="USDA"/>
    <s v="GNMA"/>
    <n v="5"/>
    <s v="90+"/>
    <s v="N"/>
    <s v="This Loan is in Step: n/a"/>
    <s v="n/a"/>
  </r>
  <r>
    <n v="8"/>
    <n v="23473039"/>
    <x v="0"/>
    <n v="160000"/>
    <x v="7"/>
    <n v="30"/>
    <n v="487489.12452248338"/>
    <n v="317"/>
    <n v="-130124.76201764171"/>
    <s v="USDA"/>
    <s v="GNMA"/>
    <n v="3"/>
    <s v="90+"/>
    <s v="N"/>
    <s v="This Loan is in Step: n/a"/>
    <s v="n/a"/>
  </r>
  <r>
    <n v="9"/>
    <n v="53651842"/>
    <x v="0"/>
    <n v="370000"/>
    <x v="8"/>
    <n v="30"/>
    <n v="1922723.1729205011"/>
    <n v="73"/>
    <n v="-34217.38644574878"/>
    <s v="ICONV"/>
    <s v="FHLMC"/>
    <n v="4"/>
    <s v="90+"/>
    <s v="N"/>
    <s v="This Loan is in Step: n/a"/>
    <s v="n/a"/>
  </r>
  <r>
    <n v="10"/>
    <n v="77159777"/>
    <x v="0"/>
    <n v="240000"/>
    <x v="9"/>
    <n v="30"/>
    <n v="1255900.2150309104"/>
    <n v="174"/>
    <n v="-68420.399118804213"/>
    <s v="VA"/>
    <s v="GNMA"/>
    <n v="9"/>
    <s v="90+"/>
    <s v="Y"/>
    <s v="This Loan is in Step: Referral"/>
    <s v="Referral"/>
  </r>
  <r>
    <n v="11"/>
    <n v="66573753"/>
    <x v="0"/>
    <n v="240000"/>
    <x v="10"/>
    <n v="30"/>
    <n v="783266.78226821148"/>
    <n v="80"/>
    <n v="-31545.103547818155"/>
    <s v="UCONV"/>
    <s v="FNMA"/>
    <n v="2"/>
    <s v="30-60"/>
    <s v="N"/>
    <s v="This Loan is in Step: n/a"/>
    <s v="n/a"/>
  </r>
  <r>
    <n v="12"/>
    <n v="35312476"/>
    <x v="0"/>
    <n v="120000"/>
    <x v="11"/>
    <n v="10"/>
    <n v="268481.89462188911"/>
    <n v="103"/>
    <n v="-96346.401212056298"/>
    <s v="FHA"/>
    <s v="GNMA"/>
    <n v="4"/>
    <s v="90+"/>
    <s v="N"/>
    <s v="This Loan is in Step: n/a"/>
    <s v="n/a"/>
  </r>
  <r>
    <n v="13"/>
    <n v="95991315"/>
    <x v="0"/>
    <n v="150000"/>
    <x v="12"/>
    <n v="20"/>
    <n v="301501.47502886795"/>
    <n v="37"/>
    <n v="-16785.331725386419"/>
    <s v="FHA"/>
    <s v="GNMA"/>
    <n v="9"/>
    <s v="90+"/>
    <s v="Y"/>
    <s v="This Loan is in Step: Judgment"/>
    <s v="Judgment"/>
  </r>
  <r>
    <n v="14"/>
    <n v="30278425"/>
    <x v="0"/>
    <n v="100000"/>
    <x v="13"/>
    <n v="20"/>
    <n v="203125.54637898441"/>
    <n v="238"/>
    <n v="-98834.333357045922"/>
    <s v="FHA"/>
    <s v="GNMA"/>
    <n v="8"/>
    <s v="90+"/>
    <s v="Y"/>
    <s v="This Loan is in Step: Sale"/>
    <s v="Sale"/>
  </r>
  <r>
    <n v="15"/>
    <n v="89078715"/>
    <x v="0"/>
    <n v="210000"/>
    <x v="14"/>
    <n v="10"/>
    <n v="258449.38642667342"/>
    <n v="29"/>
    <n v="-46792.53501529499"/>
    <s v="FHA"/>
    <s v="GNMA"/>
    <n v="0"/>
    <s v="Current"/>
    <s v="N"/>
    <s v="This Loan is in Step: n/a"/>
    <s v="n/a"/>
  </r>
  <r>
    <n v="16"/>
    <n v="66655583"/>
    <x v="0"/>
    <n v="390000"/>
    <x v="15"/>
    <n v="10"/>
    <n v="789422.30050290679"/>
    <n v="23"/>
    <n v="-54519.465457495702"/>
    <s v="UCONV"/>
    <s v="FNMA"/>
    <n v="1"/>
    <s v="30-60"/>
    <s v="N"/>
    <s v="This Loan is in Step: n/a"/>
    <s v="n/a"/>
  </r>
  <r>
    <n v="17"/>
    <n v="23457613"/>
    <x v="0"/>
    <n v="240000"/>
    <x v="16"/>
    <n v="20"/>
    <n v="409681.47829768725"/>
    <n v="228"/>
    <n v="-224668.73461976461"/>
    <s v="UCONV"/>
    <s v="FNMA"/>
    <n v="4"/>
    <s v="90+"/>
    <s v="N"/>
    <s v="This Loan is in Step: n/a"/>
    <s v="n/a"/>
  </r>
  <r>
    <n v="18"/>
    <n v="68418670"/>
    <x v="0"/>
    <n v="280000"/>
    <x v="17"/>
    <n v="20"/>
    <n v="466415.18104418524"/>
    <n v="69"/>
    <n v="-66298.17000474027"/>
    <s v="USDA"/>
    <s v="GNMA"/>
    <n v="0"/>
    <s v="Current"/>
    <s v="N"/>
    <s v="This Loan is in Step: n/a"/>
    <s v="n/a"/>
  </r>
  <r>
    <n v="19"/>
    <n v="77337678"/>
    <x v="0"/>
    <n v="310000"/>
    <x v="18"/>
    <n v="20"/>
    <n v="534949.27178088995"/>
    <n v="116"/>
    <n v="-128648.63672672281"/>
    <s v="VA"/>
    <s v="GNMA"/>
    <n v="10"/>
    <s v="90+"/>
    <s v="Y"/>
    <s v="This Loan is in Step: Referral"/>
    <s v="Referral"/>
  </r>
  <r>
    <n v="20"/>
    <n v="66901329"/>
    <x v="0"/>
    <n v="300000"/>
    <x v="19"/>
    <n v="20"/>
    <n v="1409170.3241136274"/>
    <n v="64"/>
    <n v="-40325.894331129435"/>
    <s v="USDA"/>
    <s v="GNMA"/>
    <n v="1"/>
    <s v="30-60"/>
    <s v="N"/>
    <s v="This Loan is in Step: n/a"/>
    <s v="n/a"/>
  </r>
  <r>
    <n v="21"/>
    <n v="14201616"/>
    <x v="0"/>
    <n v="200000"/>
    <x v="20"/>
    <n v="10"/>
    <n v="292728.93246906484"/>
    <n v="44"/>
    <n v="-64511.733918250218"/>
    <s v="FHA"/>
    <s v="GNMA"/>
    <n v="5"/>
    <s v="90+"/>
    <s v="N"/>
    <s v="This Loan is in Step: n/a"/>
    <s v="n/a"/>
  </r>
  <r>
    <n v="22"/>
    <n v="33480177"/>
    <x v="0"/>
    <n v="340000"/>
    <x v="21"/>
    <n v="20"/>
    <n v="753004.7045038573"/>
    <n v="195"/>
    <n v="-253708.92038276279"/>
    <s v="VA"/>
    <s v="GNMA"/>
    <n v="9"/>
    <s v="90+"/>
    <s v="Y"/>
    <s v="This Loan is in Step: Referral"/>
    <s v="Referral"/>
  </r>
  <r>
    <n v="23"/>
    <n v="29381592"/>
    <x v="0"/>
    <n v="360000"/>
    <x v="22"/>
    <n v="10"/>
    <n v="746102.72141420783"/>
    <n v="61"/>
    <n v="-149423.02654785375"/>
    <s v="ICONV"/>
    <s v="FHLMC"/>
    <n v="3"/>
    <s v="90+"/>
    <s v="N"/>
    <s v="This Loan is in Step: n/a"/>
    <s v="n/a"/>
  </r>
  <r>
    <n v="24"/>
    <n v="50137533"/>
    <x v="0"/>
    <n v="320000"/>
    <x v="23"/>
    <n v="30"/>
    <n v="915885.61132705398"/>
    <n v="133"/>
    <n v="-81044.588666497439"/>
    <s v="UCONV"/>
    <s v="FNMA"/>
    <n v="10"/>
    <s v="90+"/>
    <s v="Y"/>
    <s v="This Loan is in Step: Service"/>
    <s v="Service"/>
  </r>
  <r>
    <n v="25"/>
    <n v="52137527"/>
    <x v="0"/>
    <n v="350000"/>
    <x v="24"/>
    <n v="20"/>
    <n v="1136115.1611506785"/>
    <n v="29"/>
    <n v="-23416.756318838448"/>
    <s v="VA"/>
    <s v="GNMA"/>
    <n v="9"/>
    <s v="90+"/>
    <s v="Y"/>
    <s v="This Loan is in Step: Service"/>
    <s v="Service"/>
  </r>
  <r>
    <n v="26"/>
    <n v="49565781"/>
    <x v="0"/>
    <n v="170000"/>
    <x v="25"/>
    <n v="10"/>
    <n v="241107.48422085569"/>
    <n v="3"/>
    <n v="-3555.7453342300387"/>
    <s v="ICONV"/>
    <s v="FHLMC"/>
    <n v="0"/>
    <s v="Current"/>
    <s v="N"/>
    <s v="This Loan is in Step: n/a"/>
    <s v="n/a"/>
  </r>
  <r>
    <n v="27"/>
    <n v="49446589"/>
    <x v="0"/>
    <n v="380000"/>
    <x v="26"/>
    <n v="30"/>
    <n v="1361433.5824913122"/>
    <n v="196"/>
    <n v="-146498.51584531646"/>
    <s v="USDA"/>
    <s v="GNMA"/>
    <n v="4"/>
    <s v="90+"/>
    <s v="N"/>
    <s v="This Loan is in Step: n/a"/>
    <s v="n/a"/>
  </r>
  <r>
    <n v="28"/>
    <n v="67342178"/>
    <x v="0"/>
    <n v="350000"/>
    <x v="27"/>
    <n v="20"/>
    <n v="666077.10212304827"/>
    <n v="38"/>
    <n v="-41379.903039883262"/>
    <s v="VA"/>
    <s v="GNMA"/>
    <n v="0"/>
    <s v="Current"/>
    <s v="N"/>
    <s v="This Loan is in Step: n/a"/>
    <s v="n/a"/>
  </r>
  <r>
    <n v="29"/>
    <n v="97679083"/>
    <x v="0"/>
    <n v="370000"/>
    <x v="28"/>
    <n v="10"/>
    <n v="788353.20205143443"/>
    <n v="48"/>
    <n v="-114537.19468958698"/>
    <s v="UCONV"/>
    <s v="FNMA"/>
    <n v="3"/>
    <s v="90+"/>
    <s v="N"/>
    <s v="This Loan is in Step: n/a"/>
    <s v="n/a"/>
  </r>
  <r>
    <n v="30"/>
    <n v="51105403"/>
    <x v="0"/>
    <n v="210000"/>
    <x v="29"/>
    <n v="20"/>
    <n v="734632.7333140932"/>
    <n v="163"/>
    <n v="-111822.6520402544"/>
    <s v="UCONV"/>
    <s v="FNMA"/>
    <n v="1"/>
    <s v="30-60"/>
    <s v="N"/>
    <s v="This Loan is in Step: n/a"/>
    <s v="n/a"/>
  </r>
  <r>
    <n v="31"/>
    <n v="33064297"/>
    <x v="0"/>
    <n v="100000"/>
    <x v="30"/>
    <n v="10"/>
    <n v="184010.09039448597"/>
    <n v="32"/>
    <n v="-20869.461385007951"/>
    <s v="VA"/>
    <s v="GNMA"/>
    <n v="6"/>
    <s v="90+"/>
    <s v="Y"/>
    <s v="This Loan is in Step: Sale"/>
    <s v="Sale"/>
  </r>
  <r>
    <n v="32"/>
    <n v="91324062"/>
    <x v="0"/>
    <n v="250000"/>
    <x v="31"/>
    <n v="30"/>
    <n v="1393025.0075818254"/>
    <n v="269"/>
    <n v="-141474.48599867258"/>
    <s v="ICONV"/>
    <s v="FHLMC"/>
    <n v="2"/>
    <s v="30-60"/>
    <s v="N"/>
    <s v="This Loan is in Step: n/a"/>
    <s v="n/a"/>
  </r>
  <r>
    <n v="33"/>
    <n v="65209293"/>
    <x v="0"/>
    <n v="450000"/>
    <x v="32"/>
    <n v="30"/>
    <n v="1017212.0798730587"/>
    <n v="212"/>
    <n v="-219545.33365119121"/>
    <s v="UCONV"/>
    <s v="FNMA"/>
    <n v="6"/>
    <s v="90+"/>
    <s v="Y"/>
    <s v="This Loan is in Step: Sale"/>
    <s v="Sale"/>
  </r>
  <r>
    <n v="34"/>
    <n v="14033138"/>
    <x v="0"/>
    <n v="380000"/>
    <x v="33"/>
    <n v="10"/>
    <n v="803460.24804433133"/>
    <n v="3"/>
    <n v="-6350.9010769938695"/>
    <s v="VA"/>
    <s v="GNMA"/>
    <n v="9"/>
    <s v="90+"/>
    <s v="Y"/>
    <s v="This Loan is in Step: Sale"/>
    <s v="Sale"/>
  </r>
  <r>
    <n v="35"/>
    <n v="88766432"/>
    <x v="0"/>
    <n v="360000"/>
    <x v="34"/>
    <n v="20"/>
    <n v="759309.04050216475"/>
    <n v="65"/>
    <n v="-72306.872749917806"/>
    <s v="ICONV"/>
    <s v="FHLMC"/>
    <n v="1"/>
    <s v="30-60"/>
    <s v="N"/>
    <s v="This Loan is in Step: n/a"/>
    <s v="n/a"/>
  </r>
  <r>
    <n v="36"/>
    <n v="95868629"/>
    <x v="0"/>
    <n v="320000"/>
    <x v="35"/>
    <n v="10"/>
    <n v="605925.84169888264"/>
    <n v="4"/>
    <n v="-7624.9737164373755"/>
    <s v="USDA"/>
    <s v="GNMA"/>
    <n v="9"/>
    <s v="90+"/>
    <s v="Y"/>
    <s v="This Loan is in Step: Service"/>
    <s v="Service"/>
  </r>
  <r>
    <n v="37"/>
    <n v="58492506"/>
    <x v="0"/>
    <n v="160000"/>
    <x v="36"/>
    <n v="30"/>
    <n v="547411.82102065475"/>
    <n v="85"/>
    <n v="-22021.34726371026"/>
    <s v="FHA"/>
    <s v="GNMA"/>
    <n v="0"/>
    <s v="Current"/>
    <s v="N"/>
    <s v="This Loan is in Step: n/a"/>
    <s v="n/a"/>
  </r>
  <r>
    <n v="38"/>
    <n v="13713998"/>
    <x v="0"/>
    <n v="140000"/>
    <x v="37"/>
    <n v="30"/>
    <n v="336516.40780166152"/>
    <n v="36"/>
    <n v="-9085.6710751218325"/>
    <s v="VA"/>
    <s v="GNMA"/>
    <n v="8"/>
    <s v="90+"/>
    <s v="Y"/>
    <s v="This Loan is in Step: Sale"/>
    <s v="Sale"/>
  </r>
  <r>
    <n v="39"/>
    <n v="84177304"/>
    <x v="0"/>
    <n v="320000"/>
    <x v="38"/>
    <n v="20"/>
    <n v="1540079.7677148927"/>
    <n v="135"/>
    <n v="-117108.95110405074"/>
    <s v="UCONV"/>
    <s v="FNMA"/>
    <n v="10"/>
    <s v="90+"/>
    <s v="Y"/>
    <s v="This Loan is in Step: Judgment"/>
    <s v="Judgment"/>
  </r>
  <r>
    <n v="40"/>
    <n v="12588878"/>
    <x v="0"/>
    <n v="400000"/>
    <x v="39"/>
    <n v="30"/>
    <n v="794161.763159886"/>
    <n v="152"/>
    <n v="-136000.23534195183"/>
    <s v="VA"/>
    <s v="GNMA"/>
    <n v="9"/>
    <s v="90+"/>
    <s v="Y"/>
    <s v="This Loan is in Step: Referral"/>
    <s v="Referral"/>
  </r>
  <r>
    <n v="41"/>
    <n v="59421574"/>
    <x v="0"/>
    <n v="100000"/>
    <x v="40"/>
    <n v="20"/>
    <n v="333758.05931205838"/>
    <n v="52"/>
    <n v="-12557.129702033326"/>
    <s v="UCONV"/>
    <s v="FNMA"/>
    <n v="8"/>
    <s v="90+"/>
    <s v="Y"/>
    <s v="This Loan is in Step: Referral"/>
    <s v="Referral"/>
  </r>
  <r>
    <n v="42"/>
    <n v="79015075"/>
    <x v="0"/>
    <n v="260000"/>
    <x v="41"/>
    <n v="10"/>
    <n v="332158.46130388812"/>
    <n v="43"/>
    <n v="-85857.851313748819"/>
    <s v="FHA"/>
    <s v="GNMA"/>
    <n v="9"/>
    <s v="90+"/>
    <s v="Y"/>
    <s v="This Loan is in Step: Service"/>
    <s v="Service"/>
  </r>
  <r>
    <n v="43"/>
    <n v="19354278"/>
    <x v="0"/>
    <n v="180000"/>
    <x v="42"/>
    <n v="10"/>
    <n v="330423.0123336793"/>
    <n v="89"/>
    <n v="-122259.33614571238"/>
    <s v="VA"/>
    <s v="GNMA"/>
    <n v="7"/>
    <s v="90+"/>
    <s v="Y"/>
    <s v="This Loan is in Step: Judgment"/>
    <s v="Judgment"/>
  </r>
  <r>
    <n v="44"/>
    <n v="19728173"/>
    <x v="0"/>
    <n v="240000"/>
    <x v="43"/>
    <n v="20"/>
    <n v="1312984.4011284539"/>
    <n v="85"/>
    <n v="-43007.348354657523"/>
    <s v="UCONV"/>
    <s v="FNMA"/>
    <n v="5"/>
    <s v="90+"/>
    <s v="N"/>
    <s v="This Loan is in Step: n/a"/>
    <s v="n/a"/>
  </r>
  <r>
    <n v="45"/>
    <n v="71380476"/>
    <x v="0"/>
    <n v="400000"/>
    <x v="44"/>
    <n v="30"/>
    <n v="930351.09345931734"/>
    <n v="20"/>
    <n v="-14398.496109610658"/>
    <s v="FHA"/>
    <s v="GNMA"/>
    <n v="7"/>
    <s v="90+"/>
    <s v="Y"/>
    <s v="This Loan is in Step: Referral"/>
    <s v="Referral"/>
  </r>
  <r>
    <n v="46"/>
    <n v="53758029"/>
    <x v="0"/>
    <n v="230000"/>
    <x v="45"/>
    <n v="20"/>
    <n v="804191.73986934475"/>
    <n v="153"/>
    <n v="-111508.45911102343"/>
    <s v="USDA"/>
    <s v="GNMA"/>
    <n v="6"/>
    <s v="90+"/>
    <s v="Y"/>
    <s v="This Loan is in Step: Service"/>
    <s v="Service"/>
  </r>
  <r>
    <n v="47"/>
    <n v="74930308"/>
    <x v="0"/>
    <n v="140000"/>
    <x v="46"/>
    <n v="30"/>
    <n v="464965.63345030707"/>
    <n v="30"/>
    <n v="-6267.0024883628976"/>
    <s v="VA"/>
    <s v="GNMA"/>
    <n v="9"/>
    <s v="90+"/>
    <s v="Y"/>
    <s v="This Loan is in Step: Service"/>
    <s v="Service"/>
  </r>
  <r>
    <n v="48"/>
    <n v="82635844"/>
    <x v="0"/>
    <n v="90000"/>
    <x v="47"/>
    <n v="20"/>
    <n v="420996.56750213553"/>
    <n v="8"/>
    <n v="-1248.3295521384809"/>
    <s v="UCONV"/>
    <s v="FNMA"/>
    <n v="4"/>
    <s v="90+"/>
    <s v="N"/>
    <s v="This Loan is in Step: n/a"/>
    <s v="n/a"/>
  </r>
  <r>
    <n v="49"/>
    <n v="38909064"/>
    <x v="0"/>
    <n v="420000"/>
    <x v="48"/>
    <n v="10"/>
    <n v="527218.38704055257"/>
    <n v="36"/>
    <n v="-116032.57667262817"/>
    <s v="UCONV"/>
    <s v="FNMA"/>
    <n v="4"/>
    <s v="90+"/>
    <s v="N"/>
    <s v="This Loan is in Step: n/a"/>
    <s v="n/a"/>
  </r>
  <r>
    <n v="50"/>
    <n v="98808855"/>
    <x v="0"/>
    <n v="200000"/>
    <x v="49"/>
    <n v="10"/>
    <n v="256709.66200595887"/>
    <n v="4"/>
    <n v="-5885.1015246289426"/>
    <s v="FHA"/>
    <s v="GNMA"/>
    <n v="8"/>
    <s v="90+"/>
    <s v="Y"/>
    <s v="This Loan is in Step: Judgment"/>
    <s v="Judgment"/>
  </r>
  <r>
    <n v="51"/>
    <n v="26667365"/>
    <x v="0"/>
    <n v="130000"/>
    <x v="50"/>
    <n v="10"/>
    <n v="224665.91089105717"/>
    <n v="4"/>
    <n v="-3261.2749304520835"/>
    <s v="FHA"/>
    <s v="GNMA"/>
    <n v="3"/>
    <s v="90+"/>
    <s v="N"/>
    <s v="This Loan is in Step: n/a"/>
    <s v="n/a"/>
  </r>
  <r>
    <n v="52"/>
    <n v="80880818"/>
    <x v="0"/>
    <n v="120000"/>
    <x v="51"/>
    <n v="10"/>
    <n v="208082.44272141575"/>
    <n v="77"/>
    <n v="-69053.06264299537"/>
    <s v="VA"/>
    <s v="GNMA"/>
    <n v="7"/>
    <s v="90+"/>
    <s v="Y"/>
    <s v="This Loan is in Step: Referral"/>
    <s v="Referral"/>
  </r>
  <r>
    <n v="53"/>
    <n v="81807183"/>
    <x v="0"/>
    <n v="120000"/>
    <x v="52"/>
    <n v="30"/>
    <n v="979840.25444413233"/>
    <n v="100"/>
    <n v="-12803.676876876061"/>
    <s v="UCONV"/>
    <s v="FNMA"/>
    <n v="9"/>
    <s v="90+"/>
    <s v="Y"/>
    <s v="This Loan is in Step: Judgment"/>
    <s v="Judgment"/>
  </r>
  <r>
    <n v="54"/>
    <n v="14611483"/>
    <x v="0"/>
    <n v="150000"/>
    <x v="53"/>
    <n v="20"/>
    <n v="611059.07427191909"/>
    <n v="76"/>
    <n v="-26780.371775770116"/>
    <s v="UCONV"/>
    <s v="FNMA"/>
    <n v="2"/>
    <s v="30-60"/>
    <s v="N"/>
    <s v="This Loan is in Step: n/a"/>
    <s v="n/a"/>
  </r>
  <r>
    <n v="55"/>
    <n v="97257211"/>
    <x v="0"/>
    <n v="90000"/>
    <x v="54"/>
    <n v="30"/>
    <n v="358576.78470405075"/>
    <n v="156"/>
    <n v="-24467.546696012832"/>
    <s v="ICONV"/>
    <s v="FHLMC"/>
    <n v="5"/>
    <s v="90+"/>
    <s v="N"/>
    <s v="This Loan is in Step: n/a"/>
    <s v="n/a"/>
  </r>
  <r>
    <n v="56"/>
    <n v="94915980"/>
    <x v="0"/>
    <n v="310000"/>
    <x v="55"/>
    <n v="10"/>
    <n v="440027.66754076956"/>
    <n v="36"/>
    <n v="-81713.639225070889"/>
    <s v="USDA"/>
    <s v="GNMA"/>
    <n v="0"/>
    <s v="Current"/>
    <s v="N"/>
    <s v="This Loan is in Step: n/a"/>
    <s v="n/a"/>
  </r>
  <r>
    <n v="57"/>
    <n v="16798870"/>
    <x v="0"/>
    <n v="270000"/>
    <x v="56"/>
    <n v="30"/>
    <n v="829551.34697907977"/>
    <n v="327"/>
    <n v="-230584.96129451855"/>
    <s v="USDA"/>
    <s v="GNMA"/>
    <n v="3"/>
    <s v="90+"/>
    <s v="N"/>
    <s v="This Loan is in Step: n/a"/>
    <s v="n/a"/>
  </r>
  <r>
    <n v="58"/>
    <n v="78996690"/>
    <x v="0"/>
    <n v="280000"/>
    <x v="57"/>
    <n v="30"/>
    <n v="3127369.2059509605"/>
    <n v="187"/>
    <n v="-66605.873523933536"/>
    <s v="USDA"/>
    <s v="GNMA"/>
    <n v="0"/>
    <s v="Current"/>
    <s v="N"/>
    <s v="This Loan is in Step: n/a"/>
    <s v="n/a"/>
  </r>
  <r>
    <n v="59"/>
    <n v="12860906"/>
    <x v="0"/>
    <n v="80000"/>
    <x v="58"/>
    <n v="10"/>
    <n v="177618.67640221692"/>
    <n v="57"/>
    <n v="-29917.681714276579"/>
    <s v="FHA"/>
    <s v="GNMA"/>
    <n v="1"/>
    <s v="30-60"/>
    <s v="N"/>
    <s v="This Loan is in Step: n/a"/>
    <s v="n/a"/>
  </r>
  <r>
    <n v="60"/>
    <n v="24261168"/>
    <x v="0"/>
    <n v="100000"/>
    <x v="59"/>
    <n v="10"/>
    <n v="137351.18967409877"/>
    <n v="33"/>
    <n v="-24372.617932080608"/>
    <s v="VA"/>
    <s v="GNMA"/>
    <n v="0"/>
    <s v="Current"/>
    <s v="N"/>
    <s v="This Loan is in Step: n/a"/>
    <s v="n/a"/>
  </r>
  <r>
    <n v="61"/>
    <n v="61297822"/>
    <x v="0"/>
    <n v="100000"/>
    <x v="60"/>
    <n v="30"/>
    <n v="484182.84707280493"/>
    <n v="238"/>
    <n v="-47376.440694729055"/>
    <s v="ICONV"/>
    <s v="FHLMC"/>
    <n v="0"/>
    <s v="Current"/>
    <s v="N"/>
    <s v="This Loan is in Step: n/a"/>
    <s v="n/a"/>
  </r>
  <r>
    <n v="62"/>
    <n v="25037514"/>
    <x v="0"/>
    <n v="380000"/>
    <x v="61"/>
    <n v="20"/>
    <n v="1387344.4304452194"/>
    <n v="62"/>
    <n v="-55912.653065324004"/>
    <s v="UCONV"/>
    <s v="FNMA"/>
    <n v="0"/>
    <s v="Current"/>
    <s v="N"/>
    <s v="This Loan is in Step: n/a"/>
    <s v="n/a"/>
  </r>
  <r>
    <n v="63"/>
    <n v="64266143"/>
    <x v="0"/>
    <n v="150000"/>
    <x v="62"/>
    <n v="20"/>
    <n v="241229.6739728814"/>
    <n v="205"/>
    <n v="-123395.19795095442"/>
    <s v="UCONV"/>
    <s v="FNMA"/>
    <n v="0"/>
    <s v="Current"/>
    <s v="N"/>
    <s v="This Loan is in Step: n/a"/>
    <s v="n/a"/>
  </r>
  <r>
    <n v="64"/>
    <n v="75089533"/>
    <x v="1"/>
    <n v="100000"/>
    <x v="63"/>
    <n v="30"/>
    <n v="200741.1521863736"/>
    <n v="315"/>
    <n v="-83330.107705510731"/>
    <s v="UCONV"/>
    <s v="FNMA"/>
    <n v="0"/>
    <s v="Current"/>
    <s v="N"/>
    <s v="This Loan is in Step: n/a"/>
    <s v="n/a"/>
  </r>
  <r>
    <n v="65"/>
    <n v="91788629"/>
    <x v="1"/>
    <n v="390000"/>
    <x v="64"/>
    <n v="30"/>
    <n v="2671110.1917949114"/>
    <n v="317"/>
    <n v="-294656.81472138496"/>
    <s v="USDA"/>
    <s v="GNMA"/>
    <n v="0"/>
    <s v="Current"/>
    <s v="N"/>
    <s v="This Loan is in Step: n/a"/>
    <s v="n/a"/>
  </r>
  <r>
    <n v="66"/>
    <n v="93924899"/>
    <x v="1"/>
    <n v="260000"/>
    <x v="65"/>
    <n v="30"/>
    <n v="3308922.2799176387"/>
    <n v="204"/>
    <n v="-69087.979373157621"/>
    <s v="USDA"/>
    <s v="GNMA"/>
    <n v="0"/>
    <s v="Current"/>
    <s v="N"/>
    <s v="This Loan is in Step: n/a"/>
    <s v="n/a"/>
  </r>
  <r>
    <n v="67"/>
    <n v="14685343"/>
    <x v="1"/>
    <n v="230000"/>
    <x v="66"/>
    <n v="30"/>
    <n v="1754311.3374810976"/>
    <n v="237"/>
    <n v="-95898.980088059921"/>
    <s v="UCONV"/>
    <s v="FNMA"/>
    <n v="0"/>
    <s v="Current"/>
    <s v="N"/>
    <s v="This Loan is in Step: n/a"/>
    <s v="n/a"/>
  </r>
  <r>
    <n v="68"/>
    <n v="46047163"/>
    <x v="1"/>
    <n v="180000"/>
    <x v="67"/>
    <n v="10"/>
    <n v="351034.3759227019"/>
    <n v="74"/>
    <n v="-96094.775967545254"/>
    <s v="UCONV"/>
    <s v="FNMA"/>
    <n v="0"/>
    <s v="Current"/>
    <s v="N"/>
    <s v="This Loan is in Step: n/a"/>
    <s v="n/a"/>
  </r>
  <r>
    <n v="69"/>
    <n v="21390949"/>
    <x v="1"/>
    <n v="420000"/>
    <x v="68"/>
    <n v="30"/>
    <n v="5062236.9420873951"/>
    <n v="237"/>
    <n v="-153511.87461986163"/>
    <s v="USDA"/>
    <s v="GNMA"/>
    <n v="0"/>
    <s v="Current"/>
    <s v="N"/>
    <s v="This Loan is in Step: n/a"/>
    <s v="n/a"/>
  </r>
  <r>
    <n v="70"/>
    <n v="86868306"/>
    <x v="1"/>
    <n v="220000"/>
    <x v="69"/>
    <n v="10"/>
    <n v="392274.61008521757"/>
    <n v="118"/>
    <n v="-215161.32898643307"/>
    <s v="FHA"/>
    <s v="GNMA"/>
    <n v="0"/>
    <s v="Current"/>
    <s v="N"/>
    <s v="This Loan is in Step: n/a"/>
    <s v="n/a"/>
  </r>
  <r>
    <n v="71"/>
    <n v="16735695"/>
    <x v="1"/>
    <n v="290000"/>
    <x v="70"/>
    <n v="10"/>
    <n v="418738.16723883391"/>
    <n v="28"/>
    <n v="-58316.336273964436"/>
    <s v="FHA"/>
    <s v="GNMA"/>
    <n v="1"/>
    <s v="30-60"/>
    <s v="N"/>
    <s v="This Loan is in Step: n/a"/>
    <s v="n/a"/>
  </r>
  <r>
    <n v="72"/>
    <n v="46796012"/>
    <x v="1"/>
    <n v="90000"/>
    <x v="71"/>
    <n v="20"/>
    <n v="195323.12013907469"/>
    <n v="161"/>
    <n v="-52279.728501302161"/>
    <s v="ICONV"/>
    <s v="FHLMC"/>
    <n v="10"/>
    <s v="90+"/>
    <s v="Y"/>
    <s v="This Loan is in Step: Service"/>
    <s v="Service"/>
  </r>
  <r>
    <n v="73"/>
    <n v="18909077"/>
    <x v="1"/>
    <n v="280000"/>
    <x v="72"/>
    <n v="10"/>
    <n v="609632.75475596276"/>
    <n v="64"/>
    <n v="-121359.888600306"/>
    <s v="VA"/>
    <s v="GNMA"/>
    <n v="9"/>
    <s v="90+"/>
    <s v="Y"/>
    <s v="This Loan is in Step: Sale"/>
    <s v="Sale"/>
  </r>
  <r>
    <n v="74"/>
    <n v="87247227"/>
    <x v="1"/>
    <n v="350000"/>
    <x v="73"/>
    <n v="30"/>
    <n v="1005063.7712606625"/>
    <n v="293"/>
    <n v="-253744.61296410291"/>
    <s v="VA"/>
    <s v="GNMA"/>
    <n v="4"/>
    <s v="90+"/>
    <s v="N"/>
    <s v="This Loan is in Step: n/a"/>
    <s v="n/a"/>
  </r>
  <r>
    <n v="75"/>
    <n v="75779854"/>
    <x v="1"/>
    <n v="440000"/>
    <x v="74"/>
    <n v="30"/>
    <n v="3901318.1509939167"/>
    <n v="151"/>
    <n v="-81137.9944741293"/>
    <s v="UCONV"/>
    <s v="FNMA"/>
    <n v="1"/>
    <s v="30-60"/>
    <s v="N"/>
    <s v="This Loan is in Step: n/a"/>
    <s v="n/a"/>
  </r>
  <r>
    <n v="76"/>
    <n v="28343036"/>
    <x v="1"/>
    <n v="390000"/>
    <x v="75"/>
    <n v="20"/>
    <n v="754261.37080609496"/>
    <n v="75"/>
    <n v="-95202.936814312401"/>
    <s v="FHA"/>
    <s v="GNMA"/>
    <n v="5"/>
    <s v="90+"/>
    <s v="N"/>
    <s v="This Loan is in Step: n/a"/>
    <s v="n/a"/>
  </r>
  <r>
    <n v="77"/>
    <n v="39275659"/>
    <x v="1"/>
    <n v="280000"/>
    <x v="76"/>
    <n v="20"/>
    <n v="592332.36616532179"/>
    <n v="229"/>
    <n v="-261976.5750333294"/>
    <s v="USDA"/>
    <s v="GNMA"/>
    <n v="4"/>
    <s v="90+"/>
    <s v="N"/>
    <s v="This Loan is in Step: n/a"/>
    <s v="n/a"/>
  </r>
  <r>
    <n v="78"/>
    <n v="86619026"/>
    <x v="1"/>
    <n v="380000"/>
    <x v="77"/>
    <n v="30"/>
    <n v="4856276.4706106801"/>
    <n v="57"/>
    <n v="-15065.857056675792"/>
    <s v="FHA"/>
    <s v="GNMA"/>
    <n v="4"/>
    <s v="90+"/>
    <s v="N"/>
    <s v="This Loan is in Step: n/a"/>
    <s v="n/a"/>
  </r>
  <r>
    <n v="79"/>
    <n v="31354657"/>
    <x v="1"/>
    <n v="110000"/>
    <x v="78"/>
    <n v="10"/>
    <n v="187704.60333523748"/>
    <n v="84"/>
    <n v="-70478.246168117941"/>
    <s v="VA"/>
    <s v="GNMA"/>
    <n v="8"/>
    <s v="90+"/>
    <s v="Y"/>
    <s v="This Loan is in Step: Referral"/>
    <s v="Referral"/>
  </r>
  <r>
    <n v="80"/>
    <n v="87048847"/>
    <x v="1"/>
    <n v="380000"/>
    <x v="79"/>
    <n v="20"/>
    <n v="1627338.3541313638"/>
    <n v="124"/>
    <n v="-127592.90338034008"/>
    <s v="VA"/>
    <s v="GNMA"/>
    <n v="3"/>
    <s v="90+"/>
    <s v="N"/>
    <s v="This Loan is in Step: n/a"/>
    <s v="n/a"/>
  </r>
  <r>
    <n v="81"/>
    <n v="35342493"/>
    <x v="1"/>
    <n v="370000"/>
    <x v="80"/>
    <n v="10"/>
    <n v="571996.56134740589"/>
    <n v="45"/>
    <n v="-119908.46714035224"/>
    <s v="UCONV"/>
    <s v="FNMA"/>
    <n v="6"/>
    <s v="90+"/>
    <s v="Y"/>
    <s v="This Loan is in Step: Service"/>
    <s v="Service"/>
  </r>
  <r>
    <n v="82"/>
    <n v="75556629"/>
    <x v="1"/>
    <n v="310000"/>
    <x v="81"/>
    <n v="30"/>
    <n v="987050.69670216087"/>
    <n v="246"/>
    <n v="-170509.58642769625"/>
    <s v="USDA"/>
    <s v="GNMA"/>
    <n v="9"/>
    <s v="90+"/>
    <s v="Y"/>
    <s v="This Loan is in Step: Referral"/>
    <s v="Referral"/>
  </r>
  <r>
    <n v="83"/>
    <n v="87177391"/>
    <x v="1"/>
    <n v="360000"/>
    <x v="82"/>
    <n v="20"/>
    <n v="1391860.1315654637"/>
    <n v="216"/>
    <n v="-297680.80065955524"/>
    <s v="ICONV"/>
    <s v="FHLMC"/>
    <n v="1"/>
    <s v="30-60"/>
    <s v="N"/>
    <s v="This Loan is in Step: n/a"/>
    <s v="n/a"/>
  </r>
  <r>
    <n v="84"/>
    <n v="70455980"/>
    <x v="1"/>
    <n v="360000"/>
    <x v="83"/>
    <n v="30"/>
    <n v="785990.4727988774"/>
    <n v="329"/>
    <n v="-316646.67139224388"/>
    <s v="USDA"/>
    <s v="GNMA"/>
    <n v="4"/>
    <s v="90+"/>
    <s v="N"/>
    <s v="This Loan is in Step: n/a"/>
    <s v="n/a"/>
  </r>
  <r>
    <n v="85"/>
    <n v="75392997"/>
    <x v="1"/>
    <n v="440000"/>
    <x v="84"/>
    <n v="30"/>
    <n v="1581011.4448917112"/>
    <n v="164"/>
    <n v="-132983.78491712426"/>
    <s v="VA"/>
    <s v="GNMA"/>
    <n v="5"/>
    <s v="90+"/>
    <s v="N"/>
    <s v="This Loan is in Step: n/a"/>
    <s v="n/a"/>
  </r>
  <r>
    <n v="86"/>
    <n v="19338298"/>
    <x v="1"/>
    <n v="210000"/>
    <x v="85"/>
    <n v="20"/>
    <n v="317741.24409677094"/>
    <n v="232"/>
    <n v="-201494.44805640631"/>
    <s v="VA"/>
    <s v="GNMA"/>
    <n v="0"/>
    <s v="Current"/>
    <s v="N"/>
    <s v="This Loan is in Step: n/a"/>
    <s v="n/a"/>
  </r>
  <r>
    <n v="87"/>
    <n v="46089585"/>
    <x v="1"/>
    <n v="360000"/>
    <x v="86"/>
    <n v="15"/>
    <n v="819936.10342159017"/>
    <n v="78"/>
    <n v="-119909.20095847567"/>
    <s v="FHA"/>
    <s v="GNMA"/>
    <n v="0"/>
    <s v="Current"/>
    <s v="N"/>
    <s v="This Loan is in Step: n/a"/>
    <s v="n/a"/>
  </r>
  <r>
    <n v="88"/>
    <n v="82517417"/>
    <x v="1"/>
    <n v="190000"/>
    <x v="87"/>
    <n v="30"/>
    <n v="2139137.0042165285"/>
    <n v="307"/>
    <n v="-126067.29639921511"/>
    <s v="VA"/>
    <s v="GNMA"/>
    <n v="0"/>
    <s v="Current"/>
    <s v="N"/>
    <s v="This Loan is in Step: n/a"/>
    <s v="n/a"/>
  </r>
  <r>
    <n v="89"/>
    <n v="42621092"/>
    <x v="1"/>
    <n v="270000"/>
    <x v="88"/>
    <n v="20"/>
    <n v="634207.21911079588"/>
    <n v="171"/>
    <n v="-167142.66740983693"/>
    <s v="ICONV"/>
    <s v="FHLMC"/>
    <n v="0"/>
    <s v="Current"/>
    <s v="N"/>
    <s v="This Loan is in Step: n/a"/>
    <s v="n/a"/>
  </r>
  <r>
    <n v="90"/>
    <n v="88723122"/>
    <x v="1"/>
    <n v="160000"/>
    <x v="89"/>
    <n v="30"/>
    <n v="317753.42475331016"/>
    <n v="33"/>
    <n v="-10495.048671259234"/>
    <s v="ICONV"/>
    <s v="FHLMC"/>
    <n v="0"/>
    <s v="Current"/>
    <s v="N"/>
    <s v="This Loan is in Step: n/a"/>
    <s v="n/a"/>
  </r>
  <r>
    <n v="91"/>
    <n v="87714312"/>
    <x v="1"/>
    <n v="410000"/>
    <x v="90"/>
    <n v="15"/>
    <n v="1230220.8368308374"/>
    <n v="49"/>
    <n v="-70261.319165212932"/>
    <s v="ICONV"/>
    <s v="FHLMC"/>
    <n v="0"/>
    <s v="Current"/>
    <s v="N"/>
    <s v="This Loan is in Step: n/a"/>
    <s v="n/a"/>
  </r>
  <r>
    <n v="92"/>
    <n v="37402885"/>
    <x v="1"/>
    <n v="100000"/>
    <x v="91"/>
    <n v="30"/>
    <n v="1023891.6293557488"/>
    <n v="17"/>
    <n v="-1188.8833135513596"/>
    <s v="FHA"/>
    <s v="GNMA"/>
    <n v="0"/>
    <s v="Current"/>
    <s v="N"/>
    <s v="This Loan is in Step: n/a"/>
    <s v="n/a"/>
  </r>
  <r>
    <n v="93"/>
    <n v="50004880"/>
    <x v="1"/>
    <n v="200000"/>
    <x v="92"/>
    <n v="15"/>
    <n v="318871.54397174955"/>
    <n v="46"/>
    <n v="-42485.899948768951"/>
    <s v="USDA"/>
    <s v="GNMA"/>
    <n v="0"/>
    <s v="Current"/>
    <s v="N"/>
    <s v="This Loan is in Step: n/a"/>
    <s v="n/a"/>
  </r>
  <r>
    <n v="94"/>
    <n v="54104168"/>
    <x v="1"/>
    <n v="320000"/>
    <x v="93"/>
    <n v="30"/>
    <n v="2374838.9724163287"/>
    <n v="140"/>
    <n v="-57226.786487136531"/>
    <s v="VA"/>
    <s v="GNMA"/>
    <n v="4"/>
    <s v="90+"/>
    <s v="N"/>
    <s v="This Loan is in Step: n/a"/>
    <s v="n/a"/>
  </r>
  <r>
    <n v="95"/>
    <n v="82658753"/>
    <x v="1"/>
    <n v="390000"/>
    <x v="94"/>
    <n v="30"/>
    <n v="967784.3229073952"/>
    <n v="13"/>
    <n v="-8721.07033594116"/>
    <s v="UCONV"/>
    <s v="FNMA"/>
    <n v="2"/>
    <s v="30-60"/>
    <s v="N"/>
    <s v="This Loan is in Step: n/a"/>
    <s v="n/a"/>
  </r>
  <r>
    <n v="96"/>
    <n v="10503800"/>
    <x v="1"/>
    <n v="260000"/>
    <x v="95"/>
    <n v="20"/>
    <n v="1302770.4014525986"/>
    <n v="90"/>
    <n v="-52436.913587989438"/>
    <s v="USDA"/>
    <s v="GNMA"/>
    <n v="8"/>
    <s v="90+"/>
    <s v="Y"/>
    <s v="This Loan is in Step: Service"/>
    <s v="Service"/>
  </r>
  <r>
    <n v="97"/>
    <n v="33072572"/>
    <x v="1"/>
    <n v="390000"/>
    <x v="96"/>
    <n v="15"/>
    <n v="923451.51632273872"/>
    <n v="30"/>
    <n v="-43558.294905693394"/>
    <s v="ICONV"/>
    <s v="FHLMC"/>
    <n v="5"/>
    <s v="90+"/>
    <s v="N"/>
    <s v="This Loan is in Step: n/a"/>
    <s v="n/a"/>
  </r>
  <r>
    <n v="98"/>
    <n v="13860670"/>
    <x v="1"/>
    <n v="160000"/>
    <x v="97"/>
    <n v="20"/>
    <n v="312351.12469896255"/>
    <n v="66"/>
    <n v="-33792.580054277038"/>
    <s v="USDA"/>
    <s v="GNMA"/>
    <n v="10"/>
    <s v="90+"/>
    <s v="Y"/>
    <s v="This Loan is in Step: Judgment"/>
    <s v="Judgment"/>
  </r>
  <r>
    <n v="99"/>
    <n v="78628786"/>
    <x v="1"/>
    <n v="400000"/>
    <x v="98"/>
    <n v="30"/>
    <n v="792483.77486583625"/>
    <n v="17"/>
    <n v="-13325.417114548374"/>
    <s v="FHA"/>
    <s v="GNMA"/>
    <n v="9"/>
    <s v="90+"/>
    <s v="Y"/>
    <s v="This Loan is in Step: Sale"/>
    <s v="Sale"/>
  </r>
  <r>
    <n v="100"/>
    <n v="19293538"/>
    <x v="1"/>
    <n v="110000"/>
    <x v="99"/>
    <n v="20"/>
    <n v="512603.02043539326"/>
    <n v="200"/>
    <n v="-77790.765329196234"/>
    <s v="VA"/>
    <s v="GNMA"/>
    <n v="9"/>
    <s v="90+"/>
    <s v="Y"/>
    <s v="This Loan is in Step: Referral"/>
    <s v="Referral"/>
  </r>
  <r>
    <n v="101"/>
    <n v="74043188"/>
    <x v="1"/>
    <n v="270000"/>
    <x v="100"/>
    <n v="20"/>
    <n v="628931.70408394956"/>
    <n v="145"/>
    <n v="-134878.39360833386"/>
    <s v="VA"/>
    <s v="GNMA"/>
    <n v="9"/>
    <s v="90+"/>
    <s v="Y"/>
    <s v="This Loan is in Step: Service"/>
    <s v="Service"/>
  </r>
  <r>
    <n v="102"/>
    <n v="85981412"/>
    <x v="1"/>
    <n v="100000"/>
    <x v="101"/>
    <n v="20"/>
    <n v="261918.17361115629"/>
    <n v="185"/>
    <n v="-67756.038035990394"/>
    <s v="ICONV"/>
    <s v="FHLMC"/>
    <n v="10"/>
    <s v="90+"/>
    <s v="Y"/>
    <s v="This Loan is in Step: Referral"/>
    <s v="Referral"/>
  </r>
  <r>
    <n v="103"/>
    <n v="28790211"/>
    <x v="1"/>
    <n v="280000"/>
    <x v="102"/>
    <n v="15"/>
    <n v="952589.09516470216"/>
    <n v="118"/>
    <n v="-142010.24698819473"/>
    <s v="ICONV"/>
    <s v="FHLMC"/>
    <n v="3"/>
    <s v="90+"/>
    <s v="N"/>
    <s v="This Loan is in Step: n/a"/>
    <s v="n/a"/>
  </r>
  <r>
    <n v="104"/>
    <n v="74439129"/>
    <x v="1"/>
    <n v="360000"/>
    <x v="103"/>
    <n v="15"/>
    <n v="884071.57828348491"/>
    <n v="157"/>
    <n v="-293534.1516475901"/>
    <s v="USDA"/>
    <s v="GNMA"/>
    <n v="5"/>
    <s v="90+"/>
    <s v="N"/>
    <s v="This Loan is in Step: n/a"/>
    <s v="n/a"/>
  </r>
  <r>
    <n v="105"/>
    <n v="79146016"/>
    <x v="1"/>
    <n v="260000"/>
    <x v="104"/>
    <n v="15"/>
    <n v="685614.68613107735"/>
    <n v="15"/>
    <n v="-13157.720620562486"/>
    <s v="FHA"/>
    <s v="GNMA"/>
    <n v="0"/>
    <s v="Current"/>
    <s v="N"/>
    <s v="This Loan is in Step: n/a"/>
    <s v="n/a"/>
  </r>
  <r>
    <n v="106"/>
    <n v="72685786"/>
    <x v="1"/>
    <n v="280000"/>
    <x v="105"/>
    <n v="15"/>
    <n v="507230.03343396401"/>
    <n v="95"/>
    <n v="-126707.32429757835"/>
    <s v="FHA"/>
    <s v="GNMA"/>
    <n v="3"/>
    <s v="90+"/>
    <s v="N"/>
    <s v="This Loan is in Step: n/a"/>
    <s v="n/a"/>
  </r>
  <r>
    <n v="107"/>
    <n v="66696062"/>
    <x v="1"/>
    <n v="130000"/>
    <x v="106"/>
    <n v="20"/>
    <n v="502859.01295656373"/>
    <n v="62"/>
    <n v="-18579.740705450724"/>
    <s v="ICONV"/>
    <s v="FHLMC"/>
    <n v="0"/>
    <s v="Current"/>
    <s v="N"/>
    <s v="This Loan is in Step: n/a"/>
    <s v="n/a"/>
  </r>
  <r>
    <n v="108"/>
    <n v="84759219"/>
    <x v="1"/>
    <n v="300000"/>
    <x v="107"/>
    <n v="15"/>
    <n v="869763.91898474353"/>
    <n v="72"/>
    <n v="-82741.507441699781"/>
    <s v="USDA"/>
    <s v="GNMA"/>
    <n v="5"/>
    <s v="90+"/>
    <s v="N"/>
    <s v="This Loan is in Step: n/a"/>
    <s v="n/a"/>
  </r>
  <r>
    <n v="109"/>
    <n v="70637400"/>
    <x v="1"/>
    <n v="310000"/>
    <x v="108"/>
    <n v="30"/>
    <n v="3513569.561237799"/>
    <n v="242"/>
    <n v="-120469.94317940781"/>
    <s v="USDA"/>
    <s v="GNMA"/>
    <n v="8"/>
    <s v="90+"/>
    <s v="Y"/>
    <s v="This Loan is in Step: Judgment"/>
    <s v="Judgment"/>
  </r>
  <r>
    <n v="110"/>
    <n v="38798861"/>
    <x v="1"/>
    <n v="430000"/>
    <x v="109"/>
    <n v="15"/>
    <n v="587302.91765346727"/>
    <n v="23"/>
    <n v="-47703.418572621486"/>
    <s v="ICONV"/>
    <s v="FHLMC"/>
    <n v="2"/>
    <s v="30-60"/>
    <s v="N"/>
    <s v="This Loan is in Step: n/a"/>
    <s v="n/a"/>
  </r>
  <r>
    <n v="111"/>
    <n v="76703611"/>
    <x v="1"/>
    <n v="140000"/>
    <x v="110"/>
    <n v="15"/>
    <n v="413489.88689209236"/>
    <n v="108"/>
    <n v="-64971.34205889266"/>
    <s v="ICONV"/>
    <s v="FHLMC"/>
    <n v="5"/>
    <s v="90+"/>
    <s v="N"/>
    <s v="This Loan is in Step: n/a"/>
    <s v="n/a"/>
  </r>
  <r>
    <n v="112"/>
    <n v="70445419"/>
    <x v="1"/>
    <n v="110000"/>
    <x v="111"/>
    <n v="30"/>
    <n v="357006.2733185871"/>
    <n v="61"/>
    <n v="-10697.566236334496"/>
    <s v="USDA"/>
    <s v="GNMA"/>
    <n v="6"/>
    <s v="90+"/>
    <s v="Y"/>
    <s v="This Loan is in Step: Judgment"/>
    <s v="Judgment"/>
  </r>
  <r>
    <n v="113"/>
    <n v="44239553"/>
    <x v="1"/>
    <n v="240000"/>
    <x v="112"/>
    <n v="30"/>
    <n v="1227697.4791186189"/>
    <n v="309"/>
    <n v="-177644.44974050732"/>
    <s v="UCONV"/>
    <s v="FNMA"/>
    <n v="9"/>
    <s v="90+"/>
    <s v="Y"/>
    <s v="This Loan is in Step: Sale"/>
    <s v="Sale"/>
  </r>
  <r>
    <n v="114"/>
    <n v="41349397"/>
    <x v="1"/>
    <n v="270000"/>
    <x v="113"/>
    <n v="20"/>
    <n v="915491.22000811086"/>
    <n v="211"/>
    <n v="-216845.82213888632"/>
    <s v="VA"/>
    <s v="GNMA"/>
    <n v="6"/>
    <s v="90+"/>
    <s v="Y"/>
    <s v="This Loan is in Step: Service"/>
    <s v="Service"/>
  </r>
  <r>
    <n v="115"/>
    <n v="58908267"/>
    <x v="1"/>
    <n v="120000"/>
    <x v="114"/>
    <n v="15"/>
    <n v="293562.63370404387"/>
    <n v="24"/>
    <n v="-10379.167849466556"/>
    <s v="VA"/>
    <s v="GNMA"/>
    <n v="9"/>
    <s v="90+"/>
    <s v="Y"/>
    <s v="This Loan is in Step: Referral"/>
    <s v="Referral"/>
  </r>
  <r>
    <n v="116"/>
    <n v="61089089"/>
    <x v="1"/>
    <n v="340000"/>
    <x v="115"/>
    <n v="30"/>
    <n v="1336477.4707126257"/>
    <n v="67"/>
    <n v="-33161.214319839368"/>
    <s v="USDA"/>
    <s v="GNMA"/>
    <n v="0"/>
    <s v="Current"/>
    <s v="N"/>
    <s v="This Loan is in Step: n/a"/>
    <s v="n/a"/>
  </r>
  <r>
    <n v="117"/>
    <n v="26400832"/>
    <x v="1"/>
    <n v="380000"/>
    <x v="116"/>
    <n v="30"/>
    <n v="1641947.3848982968"/>
    <n v="284"/>
    <n v="-247358.66710427796"/>
    <s v="ICONV"/>
    <s v="FHLMC"/>
    <n v="0"/>
    <s v="Current"/>
    <s v="N"/>
    <s v="This Loan is in Step: n/a"/>
    <s v="n/a"/>
  </r>
  <r>
    <n v="118"/>
    <n v="56764510"/>
    <x v="1"/>
    <n v="340000"/>
    <x v="117"/>
    <n v="15"/>
    <n v="1161373.3458302834"/>
    <n v="17"/>
    <n v="-16866.854889315338"/>
    <s v="USDA"/>
    <s v="GNMA"/>
    <n v="0"/>
    <s v="Current"/>
    <s v="N"/>
    <s v="This Loan is in Step: n/a"/>
    <s v="n/a"/>
  </r>
  <r>
    <n v="119"/>
    <n v="36145045"/>
    <x v="1"/>
    <n v="410000"/>
    <x v="118"/>
    <n v="15"/>
    <n v="1223060.4745975949"/>
    <n v="42"/>
    <n v="-59018.677406888601"/>
    <s v="FHA"/>
    <s v="GNMA"/>
    <n v="0"/>
    <s v="Current"/>
    <s v="N"/>
    <s v="This Loan is in Step: n/a"/>
    <s v="n/a"/>
  </r>
  <r>
    <n v="120"/>
    <n v="29047113"/>
    <x v="1"/>
    <n v="270000"/>
    <x v="119"/>
    <n v="30"/>
    <n v="2564675.0151680592"/>
    <n v="330"/>
    <n v="-217211.49550664463"/>
    <s v="UCONV"/>
    <s v="FNMA"/>
    <n v="0"/>
    <s v="Current"/>
    <s v="N"/>
    <s v="This Loan is in Step: n/a"/>
    <s v="n/a"/>
  </r>
  <r>
    <n v="121"/>
    <n v="87579604"/>
    <x v="1"/>
    <n v="250000"/>
    <x v="120"/>
    <n v="15"/>
    <n v="348339.01779687154"/>
    <n v="90"/>
    <n v="-114552.61079996079"/>
    <s v="UCONV"/>
    <s v="FNMA"/>
    <n v="0"/>
    <s v="Current"/>
    <s v="N"/>
    <s v="This Loan is in Step: n/a"/>
    <s v="n/a"/>
  </r>
  <r>
    <n v="122"/>
    <n v="19460471"/>
    <x v="1"/>
    <n v="190000"/>
    <x v="121"/>
    <n v="30"/>
    <n v="578556.65072200482"/>
    <n v="287"/>
    <n v="-132477.85159090473"/>
    <s v="ICONV"/>
    <s v="FHLMC"/>
    <n v="0"/>
    <s v="Current"/>
    <s v="N"/>
    <s v="This Loan is in Step: n/a"/>
    <s v="n/a"/>
  </r>
  <r>
    <n v="123"/>
    <n v="49318803"/>
    <x v="1"/>
    <n v="300000"/>
    <x v="122"/>
    <n v="15"/>
    <n v="749238.70009440894"/>
    <n v="53"/>
    <n v="-61288.504236396679"/>
    <s v="UCONV"/>
    <s v="FNMA"/>
    <n v="0"/>
    <s v="Current"/>
    <s v="N"/>
    <s v="This Loan is in Step: n/a"/>
    <s v="n/a"/>
  </r>
  <r>
    <n v="124"/>
    <n v="30774746"/>
    <x v="1"/>
    <n v="130000"/>
    <x v="123"/>
    <n v="15"/>
    <n v="216553.55368921621"/>
    <n v="86"/>
    <n v="-53783.461453588374"/>
    <s v="FHA"/>
    <s v="GNMA"/>
    <n v="0"/>
    <s v="Current"/>
    <s v="N"/>
    <s v="This Loan is in Step: n/a"/>
    <s v="n/a"/>
  </r>
  <r>
    <n v="125"/>
    <n v="53409938"/>
    <x v="1"/>
    <n v="110000"/>
    <x v="124"/>
    <n v="30"/>
    <n v="301927.91269762086"/>
    <n v="295"/>
    <n v="-81011.538350046452"/>
    <s v="VA"/>
    <s v="GNMA"/>
    <n v="0"/>
    <s v="Current"/>
    <s v="N"/>
    <s v="This Loan is in Step: n/a"/>
    <s v="n/a"/>
  </r>
  <r>
    <n v="126"/>
    <n v="77171778"/>
    <x v="1"/>
    <n v="210000"/>
    <x v="125"/>
    <n v="20"/>
    <n v="526279.27083690674"/>
    <n v="72"/>
    <n v="-43886.385572034233"/>
    <s v="VA"/>
    <s v="GNMA"/>
    <n v="0"/>
    <s v="Current"/>
    <s v="N"/>
    <s v="This Loan is in Step: n/a"/>
    <s v="n/a"/>
  </r>
  <r>
    <n v="127"/>
    <n v="81971835"/>
    <x v="1"/>
    <n v="320000"/>
    <x v="126"/>
    <n v="15"/>
    <n v="1041754.4263646035"/>
    <n v="4"/>
    <n v="-3675.5879637255262"/>
    <s v="FHA"/>
    <s v="GNMA"/>
    <n v="1"/>
    <s v="30-60"/>
    <s v="N"/>
    <s v="This Loan is in Step: n/a"/>
    <s v="n/a"/>
  </r>
  <r>
    <n v="128"/>
    <n v="48132930"/>
    <x v="1"/>
    <n v="140000"/>
    <x v="127"/>
    <n v="20"/>
    <n v="222881.28975453015"/>
    <n v="100"/>
    <n v="-50476.387821341195"/>
    <s v="USDA"/>
    <s v="GNMA"/>
    <n v="1"/>
    <s v="30-60"/>
    <s v="N"/>
    <s v="This Loan is in Step: n/a"/>
    <s v="n/a"/>
  </r>
  <r>
    <n v="129"/>
    <n v="95454260"/>
    <x v="1"/>
    <n v="200000"/>
    <x v="128"/>
    <n v="30"/>
    <n v="1140910.1961598995"/>
    <n v="22"/>
    <n v="-4638.3167708035489"/>
    <s v="USDA"/>
    <s v="GNMA"/>
    <n v="3"/>
    <s v="90+"/>
    <s v="N"/>
    <s v="This Loan is in Step: n/a"/>
    <s v="n/a"/>
  </r>
  <r>
    <n v="130"/>
    <n v="59273999"/>
    <x v="1"/>
    <n v="360000"/>
    <x v="129"/>
    <n v="15"/>
    <n v="786944.30180111481"/>
    <n v="179"/>
    <n v="-357099.6328454226"/>
    <s v="USDA"/>
    <s v="GNMA"/>
    <n v="3"/>
    <s v="90+"/>
    <s v="N"/>
    <s v="This Loan is in Step: n/a"/>
    <s v="n/a"/>
  </r>
  <r>
    <n v="131"/>
    <n v="74183133"/>
    <x v="1"/>
    <n v="260000"/>
    <x v="130"/>
    <n v="30"/>
    <n v="1319457.8129392094"/>
    <n v="75"/>
    <n v="-25152.247919732603"/>
    <s v="UCONV"/>
    <s v="FNMA"/>
    <n v="6"/>
    <s v="90+"/>
    <s v="Y"/>
    <s v="This Loan is in Step: Service"/>
    <s v="Service"/>
  </r>
  <r>
    <n v="132"/>
    <n v="46404591"/>
    <x v="2"/>
    <n v="440000"/>
    <x v="131"/>
    <n v="20"/>
    <n v="861199.02942839963"/>
    <n v="212"/>
    <n v="-371931.91078657634"/>
    <s v="ICONV"/>
    <s v="FHLMC"/>
    <n v="7"/>
    <s v="90+"/>
    <s v="Y"/>
    <s v="This Loan is in Step: Service"/>
    <s v="Service"/>
  </r>
  <r>
    <n v="133"/>
    <n v="58799609"/>
    <x v="2"/>
    <n v="360000"/>
    <x v="132"/>
    <n v="30"/>
    <n v="1641228.0239864257"/>
    <n v="249"/>
    <n v="-186263.14121846852"/>
    <s v="USDA"/>
    <s v="GNMA"/>
    <n v="4"/>
    <s v="90+"/>
    <s v="N"/>
    <s v="This Loan is in Step: n/a"/>
    <s v="n/a"/>
  </r>
  <r>
    <n v="134"/>
    <n v="45991355"/>
    <x v="2"/>
    <n v="400000"/>
    <x v="133"/>
    <n v="20"/>
    <n v="1277030.6090003443"/>
    <n v="28"/>
    <n v="-26016.693196145097"/>
    <s v="FHA"/>
    <s v="GNMA"/>
    <n v="6"/>
    <s v="90+"/>
    <s v="Y"/>
    <s v="This Loan is in Step: Sale"/>
    <s v="Sale"/>
  </r>
  <r>
    <n v="135"/>
    <n v="40766918"/>
    <x v="2"/>
    <n v="390000"/>
    <x v="134"/>
    <n v="15"/>
    <n v="738716.94980097178"/>
    <n v="49"/>
    <n v="-82407.086631704253"/>
    <s v="VA"/>
    <s v="GNMA"/>
    <n v="5"/>
    <s v="90+"/>
    <s v="N"/>
    <s v="This Loan is in Step: n/a"/>
    <s v="n/a"/>
  </r>
  <r>
    <n v="136"/>
    <n v="50543518"/>
    <x v="2"/>
    <n v="210000"/>
    <x v="135"/>
    <n v="30"/>
    <n v="1469339.1445338668"/>
    <n v="306"/>
    <n v="-146978.54003763097"/>
    <s v="VA"/>
    <s v="GNMA"/>
    <n v="0"/>
    <s v="Current"/>
    <s v="N"/>
    <s v="This Loan is in Step: n/a"/>
    <s v="n/a"/>
  </r>
  <r>
    <n v="137"/>
    <n v="28254071"/>
    <x v="2"/>
    <n v="290000"/>
    <x v="136"/>
    <n v="15"/>
    <n v="418369.65986454627"/>
    <n v="53"/>
    <n v="-74533.616317238033"/>
    <s v="ICONV"/>
    <s v="FHLMC"/>
    <n v="0"/>
    <s v="Current"/>
    <s v="N"/>
    <s v="This Loan is in Step: n/a"/>
    <s v="n/a"/>
  </r>
  <r>
    <n v="138"/>
    <n v="66109061"/>
    <x v="2"/>
    <n v="380000"/>
    <x v="137"/>
    <n v="15"/>
    <n v="978307.2890436647"/>
    <n v="177"/>
    <n v="-370171.57626129244"/>
    <s v="ICONV"/>
    <s v="FHLMC"/>
    <n v="0"/>
    <s v="Current"/>
    <s v="N"/>
    <s v="This Loan is in Step: n/a"/>
    <s v="n/a"/>
  </r>
  <r>
    <n v="139"/>
    <n v="21617507"/>
    <x v="2"/>
    <n v="370000"/>
    <x v="138"/>
    <n v="20"/>
    <n v="1583720.2838160768"/>
    <n v="136"/>
    <n v="-142217.68425781655"/>
    <s v="VA"/>
    <s v="GNMA"/>
    <n v="0"/>
    <s v="Current"/>
    <s v="N"/>
    <s v="This Loan is in Step: n/a"/>
    <s v="n/a"/>
  </r>
  <r>
    <n v="140"/>
    <n v="97989606"/>
    <x v="2"/>
    <n v="190000"/>
    <x v="139"/>
    <n v="15"/>
    <n v="337676.95376410108"/>
    <n v="74"/>
    <n v="-64973.46664913946"/>
    <s v="FHA"/>
    <s v="GNMA"/>
    <n v="0"/>
    <s v="Current"/>
    <s v="N"/>
    <s v="This Loan is in Step: n/a"/>
    <s v="n/a"/>
  </r>
  <r>
    <n v="141"/>
    <n v="39361910"/>
    <x v="2"/>
    <n v="80000"/>
    <x v="140"/>
    <n v="15"/>
    <n v="123171.66113722652"/>
    <n v="7"/>
    <n v="-2501.5126172600653"/>
    <s v="USDA"/>
    <s v="GNMA"/>
    <n v="0"/>
    <s v="Current"/>
    <s v="N"/>
    <s v="This Loan is in Step: n/a"/>
    <s v="n/a"/>
  </r>
  <r>
    <n v="142"/>
    <n v="92208306"/>
    <x v="2"/>
    <n v="200000"/>
    <x v="141"/>
    <n v="20"/>
    <n v="341470.95585217304"/>
    <n v="90"/>
    <n v="-62663.596252343683"/>
    <s v="FHA"/>
    <s v="GNMA"/>
    <n v="0"/>
    <s v="Current"/>
    <s v="N"/>
    <s v="This Loan is in Step: n/a"/>
    <s v="n/a"/>
  </r>
  <r>
    <n v="143"/>
    <n v="70859925"/>
    <x v="2"/>
    <n v="440000"/>
    <x v="142"/>
    <n v="30"/>
    <n v="4220729.9677376384"/>
    <n v="206"/>
    <n v="-132007.55905435781"/>
    <s v="FHA"/>
    <s v="GNMA"/>
    <n v="0"/>
    <s v="Current"/>
    <s v="N"/>
    <s v="This Loan is in Step: n/a"/>
    <s v="n/a"/>
  </r>
  <r>
    <n v="144"/>
    <n v="38351345"/>
    <x v="2"/>
    <n v="230000"/>
    <x v="143"/>
    <n v="30"/>
    <n v="2707432.2142391098"/>
    <n v="316"/>
    <n v="-163017.19422185424"/>
    <s v="FHA"/>
    <s v="GNMA"/>
    <n v="7"/>
    <s v="90+"/>
    <s v="Y"/>
    <s v="This Loan is in Step: Referral"/>
    <s v="Referral"/>
  </r>
  <r>
    <n v="145"/>
    <n v="38803902"/>
    <x v="2"/>
    <n v="110000"/>
    <x v="144"/>
    <n v="15"/>
    <n v="197957.29437108571"/>
    <n v="13"/>
    <n v="-5930.8538392792598"/>
    <s v="ICONV"/>
    <s v="FHLMC"/>
    <n v="9"/>
    <s v="90+"/>
    <s v="Y"/>
    <s v="This Loan is in Step: Referral"/>
    <s v="Referral"/>
  </r>
  <r>
    <n v="146"/>
    <n v="70936359"/>
    <x v="2"/>
    <n v="150000"/>
    <x v="145"/>
    <n v="15"/>
    <n v="305732.68778210512"/>
    <n v="90"/>
    <n v="-61502.825900975819"/>
    <s v="USDA"/>
    <s v="GNMA"/>
    <n v="8"/>
    <s v="90+"/>
    <s v="Y"/>
    <s v="This Loan is in Step: Referral"/>
    <s v="Referral"/>
  </r>
  <r>
    <n v="147"/>
    <n v="22527091"/>
    <x v="2"/>
    <n v="400000"/>
    <x v="146"/>
    <n v="30"/>
    <n v="852374.6759869589"/>
    <n v="276"/>
    <n v="-277684.0942167624"/>
    <s v="ICONV"/>
    <s v="FHLMC"/>
    <n v="1"/>
    <s v="30-60"/>
    <s v="N"/>
    <s v="This Loan is in Step: n/a"/>
    <s v="n/a"/>
  </r>
  <r>
    <n v="148"/>
    <n v="85565195"/>
    <x v="2"/>
    <n v="350000"/>
    <x v="147"/>
    <n v="15"/>
    <n v="608836.96071319608"/>
    <n v="80"/>
    <n v="-131633.85733754354"/>
    <s v="FHA"/>
    <s v="GNMA"/>
    <n v="3"/>
    <s v="90+"/>
    <s v="N"/>
    <s v="This Loan is in Step: n/a"/>
    <s v="n/a"/>
  </r>
  <r>
    <n v="149"/>
    <n v="49758502"/>
    <x v="2"/>
    <n v="130000"/>
    <x v="148"/>
    <n v="15"/>
    <n v="277806.70674596832"/>
    <n v="93"/>
    <n v="-54652.922622379156"/>
    <s v="ICONV"/>
    <s v="FHLMC"/>
    <n v="9"/>
    <s v="90+"/>
    <s v="Y"/>
    <s v="This Loan is in Step: Referral"/>
    <s v="Referral"/>
  </r>
  <r>
    <n v="150"/>
    <n v="44521885"/>
    <x v="2"/>
    <n v="190000"/>
    <x v="149"/>
    <n v="30"/>
    <n v="817272.32812925742"/>
    <n v="174"/>
    <n v="-58268.279894831372"/>
    <s v="FHA"/>
    <s v="GNMA"/>
    <n v="8"/>
    <s v="90+"/>
    <s v="Y"/>
    <s v="This Loan is in Step: Sale"/>
    <s v="Sale"/>
  </r>
  <r>
    <n v="151"/>
    <n v="81877816"/>
    <x v="2"/>
    <n v="120000"/>
    <x v="150"/>
    <n v="15"/>
    <n v="243035.35958179686"/>
    <n v="27"/>
    <n v="-12972.122968389507"/>
    <s v="FHA"/>
    <s v="GNMA"/>
    <n v="7"/>
    <s v="90+"/>
    <s v="Y"/>
    <s v="This Loan is in Step: Referral"/>
    <s v="Referral"/>
  </r>
  <r>
    <n v="152"/>
    <n v="30045340"/>
    <x v="2"/>
    <n v="360000"/>
    <x v="151"/>
    <n v="20"/>
    <n v="1808438.6611132226"/>
    <n v="67"/>
    <n v="-49461.003304171834"/>
    <s v="USDA"/>
    <s v="GNMA"/>
    <n v="7"/>
    <s v="90+"/>
    <s v="Y"/>
    <s v="This Loan is in Step: Service"/>
    <s v="Service"/>
  </r>
  <r>
    <n v="153"/>
    <n v="50054768"/>
    <x v="2"/>
    <n v="140000"/>
    <x v="152"/>
    <n v="15"/>
    <n v="280239.26062128268"/>
    <n v="20"/>
    <n v="-11120.088205194192"/>
    <s v="VA"/>
    <s v="GNMA"/>
    <n v="0"/>
    <s v="Current"/>
    <s v="N"/>
    <s v="This Loan is in Step: n/a"/>
    <s v="n/a"/>
  </r>
  <r>
    <n v="154"/>
    <n v="63115595"/>
    <x v="2"/>
    <n v="420000"/>
    <x v="153"/>
    <n v="30"/>
    <n v="1072853.2723277865"/>
    <n v="40"/>
    <n v="-29465.759566513971"/>
    <s v="FHA"/>
    <s v="GNMA"/>
    <n v="5"/>
    <s v="90+"/>
    <s v="N"/>
    <s v="This Loan is in Step: n/a"/>
    <s v="n/a"/>
  </r>
  <r>
    <n v="155"/>
    <n v="12815365"/>
    <x v="2"/>
    <n v="300000"/>
    <x v="154"/>
    <n v="15"/>
    <n v="841655.36408098519"/>
    <n v="20"/>
    <n v="-19828.675940800164"/>
    <s v="FHA"/>
    <s v="GNMA"/>
    <n v="5"/>
    <s v="90+"/>
    <s v="N"/>
    <s v="This Loan is in Step: n/a"/>
    <s v="n/a"/>
  </r>
  <r>
    <n v="156"/>
    <n v="57963170"/>
    <x v="2"/>
    <n v="190000"/>
    <x v="155"/>
    <n v="15"/>
    <n v="428886.20584859909"/>
    <n v="134"/>
    <n v="-125514.30117097018"/>
    <s v="USDA"/>
    <s v="GNMA"/>
    <n v="1"/>
    <s v="30-60"/>
    <s v="N"/>
    <s v="This Loan is in Step: n/a"/>
    <s v="n/a"/>
  </r>
  <r>
    <n v="157"/>
    <n v="27425669"/>
    <x v="2"/>
    <n v="120000"/>
    <x v="156"/>
    <n v="15"/>
    <n v="234031.07476753427"/>
    <n v="10"/>
    <n v="-4739.5527568259586"/>
    <s v="USDA"/>
    <s v="GNMA"/>
    <n v="10"/>
    <s v="90+"/>
    <s v="Y"/>
    <s v="This Loan is in Step: Sale"/>
    <s v="Sale"/>
  </r>
  <r>
    <n v="158"/>
    <n v="42454326"/>
    <x v="2"/>
    <n v="230000"/>
    <x v="157"/>
    <n v="15"/>
    <n v="484908.77485006728"/>
    <n v="81"/>
    <n v="-82308.569833674133"/>
    <s v="FHA"/>
    <s v="GNMA"/>
    <n v="2"/>
    <s v="30-60"/>
    <s v="N"/>
    <s v="This Loan is in Step: n/a"/>
    <s v="n/a"/>
  </r>
  <r>
    <n v="159"/>
    <n v="43854478"/>
    <x v="2"/>
    <n v="180000"/>
    <x v="158"/>
    <n v="20"/>
    <n v="344423.1820845803"/>
    <n v="55"/>
    <n v="-31460.534915649932"/>
    <s v="VA"/>
    <s v="GNMA"/>
    <n v="0"/>
    <s v="Current"/>
    <s v="N"/>
    <s v="This Loan is in Step: n/a"/>
    <s v="n/a"/>
  </r>
  <r>
    <n v="160"/>
    <n v="28025475"/>
    <x v="2"/>
    <n v="430000"/>
    <x v="159"/>
    <n v="15"/>
    <n v="922908.60421959439"/>
    <n v="128"/>
    <n v="-269733.52539249451"/>
    <s v="FHA"/>
    <s v="GNMA"/>
    <n v="0"/>
    <s v="Current"/>
    <s v="N"/>
    <s v="This Loan is in Step: n/a"/>
    <s v="n/a"/>
  </r>
  <r>
    <n v="161"/>
    <n v="64176281"/>
    <x v="2"/>
    <n v="340000"/>
    <x v="160"/>
    <n v="20"/>
    <n v="1528595.1015152119"/>
    <n v="25"/>
    <n v="-15996.655522704375"/>
    <s v="ICONV"/>
    <s v="FHLMC"/>
    <n v="0"/>
    <s v="Current"/>
    <s v="N"/>
    <s v="This Loan is in Step: n/a"/>
    <s v="n/a"/>
  </r>
  <r>
    <n v="162"/>
    <n v="19068436"/>
    <x v="2"/>
    <n v="90000"/>
    <x v="161"/>
    <n v="20"/>
    <n v="461764.78254360438"/>
    <n v="214"/>
    <n v="-71490.032115532958"/>
    <s v="FHA"/>
    <s v="GNMA"/>
    <n v="0"/>
    <s v="Current"/>
    <s v="N"/>
    <s v="This Loan is in Step: n/a"/>
    <s v="n/a"/>
  </r>
  <r>
    <n v="163"/>
    <n v="55935051"/>
    <x v="2"/>
    <n v="310000"/>
    <x v="162"/>
    <n v="15"/>
    <n v="806039.48639443784"/>
    <n v="171"/>
    <n v="-286232.91874867358"/>
    <s v="ICONV"/>
    <s v="FHLMC"/>
    <n v="0"/>
    <s v="Current"/>
    <s v="N"/>
    <s v="This Loan is in Step: n/a"/>
    <s v="n/a"/>
  </r>
  <r>
    <n v="164"/>
    <n v="58190701"/>
    <x v="2"/>
    <n v="390000"/>
    <x v="163"/>
    <n v="30"/>
    <n v="918605.50857366051"/>
    <n v="42"/>
    <n v="-30071.220801832558"/>
    <s v="ICONV"/>
    <s v="FHLMC"/>
    <n v="0"/>
    <s v="Current"/>
    <s v="N"/>
    <s v="This Loan is in Step: n/a"/>
    <s v="n/a"/>
  </r>
  <r>
    <n v="165"/>
    <n v="22410771"/>
    <x v="2"/>
    <n v="280000"/>
    <x v="164"/>
    <n v="15"/>
    <n v="418212.99381876201"/>
    <n v="122"/>
    <n v="-177099.02449031977"/>
    <s v="ICONV"/>
    <s v="FHLMC"/>
    <n v="0"/>
    <s v="Current"/>
    <s v="N"/>
    <s v="This Loan is in Step: n/a"/>
    <s v="n/a"/>
  </r>
  <r>
    <n v="166"/>
    <n v="60128733"/>
    <x v="2"/>
    <n v="450000"/>
    <x v="165"/>
    <n v="15"/>
    <n v="1338098.6993978794"/>
    <n v="156"/>
    <n v="-357129.568835727"/>
    <s v="UCONV"/>
    <s v="FNMA"/>
    <n v="0"/>
    <s v="Current"/>
    <s v="N"/>
    <s v="This Loan is in Step: n/a"/>
    <s v="n/a"/>
  </r>
  <r>
    <n v="167"/>
    <n v="66609862"/>
    <x v="2"/>
    <n v="400000"/>
    <x v="166"/>
    <n v="15"/>
    <n v="1016205.4259950697"/>
    <n v="139"/>
    <n v="-272713.66972824751"/>
    <s v="ICONV"/>
    <s v="FHLMC"/>
    <n v="0"/>
    <s v="Current"/>
    <s v="N"/>
    <s v="This Loan is in Step: n/a"/>
    <s v="n/a"/>
  </r>
  <r>
    <n v="168"/>
    <n v="64197854"/>
    <x v="2"/>
    <n v="90000"/>
    <x v="167"/>
    <n v="20"/>
    <n v="460119.00650086545"/>
    <n v="144"/>
    <n v="-35730.5524829317"/>
    <s v="UCONV"/>
    <s v="FNMA"/>
    <n v="0"/>
    <s v="Current"/>
    <s v="N"/>
    <s v="This Loan is in Step: n/a"/>
    <s v="n/a"/>
  </r>
  <r>
    <n v="169"/>
    <n v="59656529"/>
    <x v="2"/>
    <n v="100000"/>
    <x v="168"/>
    <n v="20"/>
    <n v="354936.46991043148"/>
    <n v="195"/>
    <n v="-70226.454296506054"/>
    <s v="USDA"/>
    <s v="GNMA"/>
    <n v="0"/>
    <s v="Current"/>
    <s v="N"/>
    <s v="This Loan is in Step: n/a"/>
    <s v="n/a"/>
  </r>
  <r>
    <n v="170"/>
    <n v="27416011"/>
    <x v="2"/>
    <n v="320000"/>
    <x v="169"/>
    <n v="20"/>
    <n v="774808.66277462081"/>
    <n v="120"/>
    <n v="-124502.74609165057"/>
    <s v="ICONV"/>
    <s v="FHLMC"/>
    <n v="6"/>
    <s v="90+"/>
    <s v="Y"/>
    <s v="This Loan is in Step: Service"/>
    <s v="Service"/>
  </r>
  <r>
    <n v="171"/>
    <n v="48475995"/>
    <x v="2"/>
    <n v="270000"/>
    <x v="170"/>
    <n v="15"/>
    <n v="861499.37932639872"/>
    <n v="47"/>
    <n v="-42777.860619125204"/>
    <s v="FHA"/>
    <s v="GNMA"/>
    <n v="9"/>
    <s v="90+"/>
    <s v="Y"/>
    <s v="This Loan is in Step: Judgment"/>
    <s v="Judgment"/>
  </r>
  <r>
    <n v="172"/>
    <n v="71360853"/>
    <x v="2"/>
    <n v="430000"/>
    <x v="171"/>
    <n v="15"/>
    <n v="1555189.3723533445"/>
    <n v="164"/>
    <n v="-364648.55522242171"/>
    <s v="UCONV"/>
    <s v="FNMA"/>
    <n v="5"/>
    <s v="90+"/>
    <s v="N"/>
    <s v="This Loan is in Step: n/a"/>
    <s v="n/a"/>
  </r>
  <r>
    <n v="173"/>
    <n v="35512275"/>
    <x v="2"/>
    <n v="380000"/>
    <x v="172"/>
    <n v="30"/>
    <n v="2307473.8560194247"/>
    <n v="62"/>
    <n v="-26538.865744975541"/>
    <s v="FHA"/>
    <s v="GNMA"/>
    <n v="9"/>
    <s v="90+"/>
    <s v="Y"/>
    <s v="This Loan is in Step: Referral"/>
    <s v="Referral"/>
  </r>
  <r>
    <n v="174"/>
    <n v="38613129"/>
    <x v="2"/>
    <n v="370000"/>
    <x v="173"/>
    <n v="15"/>
    <n v="864384.7648835514"/>
    <n v="28"/>
    <n v="-38644.893300939431"/>
    <s v="USDA"/>
    <s v="GNMA"/>
    <n v="4"/>
    <s v="90+"/>
    <s v="N"/>
    <s v="This Loan is in Step: n/a"/>
    <s v="n/a"/>
  </r>
  <r>
    <m/>
    <m/>
    <x v="3"/>
    <m/>
    <x v="174"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">
  <r>
    <n v="1"/>
    <n v="83449837"/>
    <s v="Shanna's Loan Headquarters"/>
    <n v="280000"/>
    <n v="6.3422300277239399E-2"/>
    <n v="30"/>
    <n v="1771458.2938781471"/>
    <n v="191"/>
    <n v="-85767.228502382975"/>
    <x v="0"/>
    <x v="0"/>
    <n v="6"/>
    <s v="90+"/>
    <s v="Y"/>
    <s v="This Loan is in Step: Judgment"/>
    <s v="Judgment"/>
  </r>
  <r>
    <n v="2"/>
    <n v="41209504"/>
    <s v="Shanna's Loan Headquarters"/>
    <n v="370000"/>
    <n v="4.7923567837379721E-2"/>
    <n v="30"/>
    <n v="1506919.1675951311"/>
    <n v="322"/>
    <n v="-301743.14811797719"/>
    <x v="1"/>
    <x v="1"/>
    <n v="5"/>
    <s v="90+"/>
    <s v="N"/>
    <s v="This Loan is in Step: n/a"/>
    <s v="n/a"/>
  </r>
  <r>
    <n v="3"/>
    <n v="25055860"/>
    <s v="Shanna's Loan Headquarters"/>
    <n v="210000"/>
    <n v="6.1424733534152585E-2"/>
    <n v="20"/>
    <n v="691836.3287062801"/>
    <n v="32"/>
    <n v="-15495.170564521975"/>
    <x v="2"/>
    <x v="0"/>
    <n v="0"/>
    <s v="Current"/>
    <s v="N"/>
    <s v="This Loan is in Step: n/a"/>
    <s v="n/a"/>
  </r>
  <r>
    <n v="4"/>
    <n v="61173887"/>
    <s v="Shanna's Loan Headquarters"/>
    <n v="120000"/>
    <n v="6.9916583821802616E-2"/>
    <n v="30"/>
    <n v="911336.61948007834"/>
    <n v="23"/>
    <n v="-2417.4080580836758"/>
    <x v="0"/>
    <x v="0"/>
    <n v="0"/>
    <s v="Current"/>
    <s v="N"/>
    <s v="This Loan is in Step: n/a"/>
    <s v="n/a"/>
  </r>
  <r>
    <n v="5"/>
    <n v="51398733"/>
    <s v="Shanna's Loan Headquarters"/>
    <n v="350000"/>
    <n v="5.0134005155326899E-2"/>
    <n v="20"/>
    <n v="931027.44337903184"/>
    <n v="154"/>
    <n v="-183225.60483191736"/>
    <x v="1"/>
    <x v="1"/>
    <n v="0"/>
    <s v="Current"/>
    <s v="N"/>
    <s v="This Loan is in Step: n/a"/>
    <s v="n/a"/>
  </r>
  <r>
    <n v="6"/>
    <n v="76906141"/>
    <s v="Shanna's Loan Headquarters"/>
    <n v="220000"/>
    <n v="4.2786225749490842E-2"/>
    <n v="10"/>
    <n v="334484.14761511289"/>
    <n v="47"/>
    <n v="-75184.868371663761"/>
    <x v="3"/>
    <x v="2"/>
    <n v="5"/>
    <s v="90+"/>
    <s v="N"/>
    <s v="This Loan is in Step: n/a"/>
    <s v="n/a"/>
  </r>
  <r>
    <n v="7"/>
    <n v="49304139"/>
    <s v="Shanna's Loan Headquarters"/>
    <n v="330000"/>
    <n v="7.9882925276980848E-2"/>
    <n v="10"/>
    <n v="711673.31711903214"/>
    <n v="81"/>
    <n v="-192944.25960322487"/>
    <x v="2"/>
    <x v="0"/>
    <n v="5"/>
    <s v="90+"/>
    <s v="N"/>
    <s v="This Loan is in Step: n/a"/>
    <s v="n/a"/>
  </r>
  <r>
    <n v="8"/>
    <n v="23473039"/>
    <s v="Shanna's Loan Headquarters"/>
    <n v="160000"/>
    <n v="3.7834646761219816E-2"/>
    <n v="30"/>
    <n v="487489.12452248338"/>
    <n v="317"/>
    <n v="-130124.76201764171"/>
    <x v="2"/>
    <x v="0"/>
    <n v="3"/>
    <s v="90+"/>
    <s v="N"/>
    <s v="This Loan is in Step: n/a"/>
    <s v="n/a"/>
  </r>
  <r>
    <n v="9"/>
    <n v="53651842"/>
    <s v="Shanna's Loan Headquarters"/>
    <n v="370000"/>
    <n v="5.6469996936378344E-2"/>
    <n v="30"/>
    <n v="1922723.1729205011"/>
    <n v="73"/>
    <n v="-34217.38644574878"/>
    <x v="3"/>
    <x v="2"/>
    <n v="4"/>
    <s v="90+"/>
    <s v="N"/>
    <s v="This Loan is in Step: n/a"/>
    <s v="n/a"/>
  </r>
  <r>
    <n v="10"/>
    <n v="77159777"/>
    <s v="Shanna's Loan Headquarters"/>
    <n v="240000"/>
    <n v="5.6715626593494835E-2"/>
    <n v="30"/>
    <n v="1255900.2150309104"/>
    <n v="174"/>
    <n v="-68420.399118804213"/>
    <x v="0"/>
    <x v="0"/>
    <n v="9"/>
    <s v="90+"/>
    <s v="Y"/>
    <s v="This Loan is in Step: Referral"/>
    <s v="Referral"/>
  </r>
  <r>
    <n v="11"/>
    <n v="66573753"/>
    <s v="Shanna's Loan Headquarters"/>
    <n v="240000"/>
    <n v="4.0215407626109097E-2"/>
    <n v="30"/>
    <n v="783266.78226821148"/>
    <n v="80"/>
    <n v="-31545.103547818155"/>
    <x v="1"/>
    <x v="1"/>
    <n v="2"/>
    <s v="30-60"/>
    <s v="N"/>
    <s v="This Loan is in Step: n/a"/>
    <s v="n/a"/>
  </r>
  <r>
    <n v="12"/>
    <n v="35312476"/>
    <s v="Shanna's Loan Headquarters"/>
    <n v="120000"/>
    <n v="8.3860466435509498E-2"/>
    <n v="10"/>
    <n v="268481.89462188911"/>
    <n v="103"/>
    <n v="-96346.401212056298"/>
    <x v="4"/>
    <x v="0"/>
    <n v="4"/>
    <s v="90+"/>
    <s v="N"/>
    <s v="This Loan is in Step: n/a"/>
    <s v="n/a"/>
  </r>
  <r>
    <n v="13"/>
    <n v="95991315"/>
    <s v="Shanna's Loan Headquarters"/>
    <n v="150000"/>
    <n v="3.5523380678162242E-2"/>
    <n v="20"/>
    <n v="301501.47502886795"/>
    <n v="37"/>
    <n v="-16785.331725386419"/>
    <x v="4"/>
    <x v="0"/>
    <n v="9"/>
    <s v="90+"/>
    <s v="Y"/>
    <s v="This Loan is in Step: Judgment"/>
    <s v="Judgment"/>
  </r>
  <r>
    <n v="14"/>
    <n v="30278425"/>
    <s v="Shanna's Loan Headquarters"/>
    <n v="100000"/>
    <n v="3.6067921361398102E-2"/>
    <n v="20"/>
    <n v="203125.54637898441"/>
    <n v="238"/>
    <n v="-98834.333357045922"/>
    <x v="4"/>
    <x v="0"/>
    <n v="8"/>
    <s v="90+"/>
    <s v="Y"/>
    <s v="This Loan is in Step: Sale"/>
    <s v="Sale"/>
  </r>
  <r>
    <n v="15"/>
    <n v="89078715"/>
    <s v="Shanna's Loan Headquarters"/>
    <n v="210000"/>
    <n v="2.0976206387454444E-2"/>
    <n v="10"/>
    <n v="258449.38642667342"/>
    <n v="29"/>
    <n v="-46792.53501529499"/>
    <x v="4"/>
    <x v="0"/>
    <n v="0"/>
    <s v="Current"/>
    <s v="N"/>
    <s v="This Loan is in Step: n/a"/>
    <s v="n/a"/>
  </r>
  <r>
    <n v="16"/>
    <n v="66655583"/>
    <s v="Shanna's Loan Headquarters"/>
    <n v="390000"/>
    <n v="7.3061166730698637E-2"/>
    <n v="10"/>
    <n v="789422.30050290679"/>
    <n v="23"/>
    <n v="-54519.465457495702"/>
    <x v="1"/>
    <x v="1"/>
    <n v="1"/>
    <s v="30-60"/>
    <s v="N"/>
    <s v="This Loan is in Step: n/a"/>
    <s v="n/a"/>
  </r>
  <r>
    <n v="17"/>
    <n v="23457613"/>
    <s v="Shanna's Loan Headquarters"/>
    <n v="240000"/>
    <n v="2.7097694596205285E-2"/>
    <n v="20"/>
    <n v="409681.47829768725"/>
    <n v="228"/>
    <n v="-224668.73461976461"/>
    <x v="1"/>
    <x v="1"/>
    <n v="4"/>
    <s v="90+"/>
    <s v="N"/>
    <s v="This Loan is in Step: n/a"/>
    <s v="n/a"/>
  </r>
  <r>
    <n v="18"/>
    <n v="68418670"/>
    <s v="Shanna's Loan Headquarters"/>
    <n v="280000"/>
    <n v="2.5842605502086724E-2"/>
    <n v="20"/>
    <n v="466415.18104418524"/>
    <n v="69"/>
    <n v="-66298.17000474027"/>
    <x v="2"/>
    <x v="0"/>
    <n v="0"/>
    <s v="Current"/>
    <s v="N"/>
    <s v="This Loan is in Step: n/a"/>
    <s v="n/a"/>
  </r>
  <r>
    <n v="19"/>
    <n v="77337678"/>
    <s v="Shanna's Loan Headquarters"/>
    <n v="310000"/>
    <n v="2.7655486798436463E-2"/>
    <n v="20"/>
    <n v="534949.27178088995"/>
    <n v="116"/>
    <n v="-128648.63672672281"/>
    <x v="0"/>
    <x v="0"/>
    <n v="10"/>
    <s v="90+"/>
    <s v="Y"/>
    <s v="This Loan is in Step: Referral"/>
    <s v="Referral"/>
  </r>
  <r>
    <n v="20"/>
    <n v="66901329"/>
    <s v="Shanna's Loan Headquarters"/>
    <n v="300000"/>
    <n v="8.0418748029822365E-2"/>
    <n v="20"/>
    <n v="1409170.3241136274"/>
    <n v="64"/>
    <n v="-40325.894331129435"/>
    <x v="2"/>
    <x v="0"/>
    <n v="1"/>
    <s v="30-60"/>
    <s v="N"/>
    <s v="This Loan is in Step: n/a"/>
    <s v="n/a"/>
  </r>
  <r>
    <n v="21"/>
    <n v="14201616"/>
    <s v="Shanna's Loan Headquarters"/>
    <n v="200000"/>
    <n v="3.8827805000615556E-2"/>
    <n v="10"/>
    <n v="292728.93246906484"/>
    <n v="44"/>
    <n v="-64511.733918250218"/>
    <x v="4"/>
    <x v="0"/>
    <n v="5"/>
    <s v="90+"/>
    <s v="N"/>
    <s v="This Loan is in Step: n/a"/>
    <s v="n/a"/>
  </r>
  <r>
    <n v="22"/>
    <n v="33480177"/>
    <s v="Shanna's Loan Headquarters"/>
    <n v="340000"/>
    <n v="4.0557152115227098E-2"/>
    <n v="20"/>
    <n v="753004.7045038573"/>
    <n v="195"/>
    <n v="-253708.92038276279"/>
    <x v="0"/>
    <x v="0"/>
    <n v="9"/>
    <s v="90+"/>
    <s v="Y"/>
    <s v="This Loan is in Step: Referral"/>
    <s v="Referral"/>
  </r>
  <r>
    <n v="23"/>
    <n v="29381592"/>
    <s v="Shanna's Loan Headquarters"/>
    <n v="360000"/>
    <n v="7.5597074524101956E-2"/>
    <n v="10"/>
    <n v="746102.72141420783"/>
    <n v="61"/>
    <n v="-149423.02654785375"/>
    <x v="3"/>
    <x v="2"/>
    <n v="3"/>
    <s v="90+"/>
    <s v="N"/>
    <s v="This Loan is in Step: n/a"/>
    <s v="n/a"/>
  </r>
  <r>
    <n v="24"/>
    <n v="50137533"/>
    <s v="Shanna's Loan Headquarters"/>
    <n v="320000"/>
    <n v="3.5673924310420199E-2"/>
    <n v="30"/>
    <n v="915885.61132705398"/>
    <n v="133"/>
    <n v="-81044.588666497439"/>
    <x v="1"/>
    <x v="1"/>
    <n v="10"/>
    <s v="90+"/>
    <s v="Y"/>
    <s v="This Loan is in Step: Service"/>
    <s v="Service"/>
  </r>
  <r>
    <n v="25"/>
    <n v="52137527"/>
    <s v="Shanna's Loan Headquarters"/>
    <n v="350000"/>
    <n v="6.0639301234321812E-2"/>
    <n v="20"/>
    <n v="1136115.1611506785"/>
    <n v="29"/>
    <n v="-23416.756318838448"/>
    <x v="0"/>
    <x v="0"/>
    <n v="9"/>
    <s v="90+"/>
    <s v="Y"/>
    <s v="This Loan is in Step: Service"/>
    <s v="Service"/>
  </r>
  <r>
    <n v="26"/>
    <n v="49565781"/>
    <s v="Shanna's Loan Headquarters"/>
    <n v="170000"/>
    <n v="3.5562170293429965E-2"/>
    <n v="10"/>
    <n v="241107.48422085569"/>
    <n v="3"/>
    <n v="-3555.7453342300387"/>
    <x v="3"/>
    <x v="2"/>
    <n v="0"/>
    <s v="Current"/>
    <s v="N"/>
    <s v="This Loan is in Step: n/a"/>
    <s v="n/a"/>
  </r>
  <r>
    <n v="27"/>
    <n v="49446589"/>
    <s v="Shanna's Loan Headquarters"/>
    <n v="380000"/>
    <n v="4.3455090449965803E-2"/>
    <n v="30"/>
    <n v="1361433.5824913122"/>
    <n v="196"/>
    <n v="-146498.51584531646"/>
    <x v="2"/>
    <x v="0"/>
    <n v="4"/>
    <s v="90+"/>
    <s v="N"/>
    <s v="This Loan is in Step: n/a"/>
    <s v="n/a"/>
  </r>
  <r>
    <n v="28"/>
    <n v="67342178"/>
    <s v="Shanna's Loan Headquarters"/>
    <n v="350000"/>
    <n v="3.2696780273888046E-2"/>
    <n v="20"/>
    <n v="666077.10212304827"/>
    <n v="38"/>
    <n v="-41379.903039883262"/>
    <x v="0"/>
    <x v="0"/>
    <n v="0"/>
    <s v="Current"/>
    <s v="N"/>
    <s v="This Loan is in Step: n/a"/>
    <s v="n/a"/>
  </r>
  <r>
    <n v="29"/>
    <n v="97679083"/>
    <s v="Shanna's Loan Headquarters"/>
    <n v="370000"/>
    <n v="7.8578878041267147E-2"/>
    <n v="10"/>
    <n v="788353.20205143443"/>
    <n v="48"/>
    <n v="-114537.19468958698"/>
    <x v="1"/>
    <x v="1"/>
    <n v="3"/>
    <s v="90+"/>
    <s v="N"/>
    <s v="This Loan is in Step: n/a"/>
    <s v="n/a"/>
  </r>
  <r>
    <n v="30"/>
    <n v="51105403"/>
    <s v="Shanna's Loan Headquarters"/>
    <n v="210000"/>
    <n v="6.4614921853092214E-2"/>
    <n v="20"/>
    <n v="734632.7333140932"/>
    <n v="163"/>
    <n v="-111822.6520402544"/>
    <x v="1"/>
    <x v="1"/>
    <n v="1"/>
    <s v="30-60"/>
    <s v="N"/>
    <s v="This Loan is in Step: n/a"/>
    <s v="n/a"/>
  </r>
  <r>
    <n v="31"/>
    <n v="33064297"/>
    <s v="Shanna's Loan Headquarters"/>
    <n v="100000"/>
    <n v="6.2879825673857012E-2"/>
    <n v="10"/>
    <n v="184010.09039448597"/>
    <n v="32"/>
    <n v="-20869.461385007951"/>
    <x v="0"/>
    <x v="0"/>
    <n v="6"/>
    <s v="90+"/>
    <s v="Y"/>
    <s v="This Loan is in Step: Sale"/>
    <s v="Sale"/>
  </r>
  <r>
    <n v="32"/>
    <n v="91324062"/>
    <s v="Shanna's Loan Headquarters"/>
    <n v="250000"/>
    <n v="5.8930108641721893E-2"/>
    <n v="30"/>
    <n v="1393025.0075818254"/>
    <n v="269"/>
    <n v="-141474.48599867258"/>
    <x v="3"/>
    <x v="2"/>
    <n v="2"/>
    <s v="30-60"/>
    <s v="N"/>
    <s v="This Loan is in Step: n/a"/>
    <s v="n/a"/>
  </r>
  <r>
    <n v="33"/>
    <n v="65209293"/>
    <s v="Shanna's Loan Headquarters"/>
    <n v="450000"/>
    <n v="2.7558682360886048E-2"/>
    <n v="30"/>
    <n v="1017212.0798730587"/>
    <n v="212"/>
    <n v="-219545.33365119121"/>
    <x v="1"/>
    <x v="1"/>
    <n v="6"/>
    <s v="90+"/>
    <s v="Y"/>
    <s v="This Loan is in Step: Sale"/>
    <s v="Sale"/>
  </r>
  <r>
    <n v="34"/>
    <n v="14033138"/>
    <s v="Shanna's Loan Headquarters"/>
    <n v="380000"/>
    <n v="7.7750119768659212E-2"/>
    <n v="10"/>
    <n v="803460.24804433133"/>
    <n v="3"/>
    <n v="-6350.9010769938695"/>
    <x v="0"/>
    <x v="0"/>
    <n v="9"/>
    <s v="90+"/>
    <s v="Y"/>
    <s v="This Loan is in Step: Sale"/>
    <s v="Sale"/>
  </r>
  <r>
    <n v="35"/>
    <n v="88766432"/>
    <s v="Shanna's Loan Headquarters"/>
    <n v="360000"/>
    <n v="3.8020196364644765E-2"/>
    <n v="20"/>
    <n v="759309.04050216475"/>
    <n v="65"/>
    <n v="-72306.872749917806"/>
    <x v="3"/>
    <x v="2"/>
    <n v="1"/>
    <s v="30-60"/>
    <s v="N"/>
    <s v="This Loan is in Step: n/a"/>
    <s v="n/a"/>
  </r>
  <r>
    <n v="36"/>
    <n v="95868629"/>
    <s v="Shanna's Loan Headquarters"/>
    <n v="320000"/>
    <n v="6.5925739900995997E-2"/>
    <n v="10"/>
    <n v="605925.84169888264"/>
    <n v="4"/>
    <n v="-7624.9737164373755"/>
    <x v="2"/>
    <x v="0"/>
    <n v="9"/>
    <s v="90+"/>
    <s v="Y"/>
    <s v="This Loan is in Step: Service"/>
    <s v="Service"/>
  </r>
  <r>
    <n v="37"/>
    <n v="58492506"/>
    <s v="Shanna's Loan Headquarters"/>
    <n v="160000"/>
    <n v="4.1853063215998632E-2"/>
    <n v="30"/>
    <n v="547411.82102065475"/>
    <n v="85"/>
    <n v="-22021.34726371026"/>
    <x v="4"/>
    <x v="0"/>
    <n v="0"/>
    <s v="Current"/>
    <s v="N"/>
    <s v="This Loan is in Step: n/a"/>
    <s v="n/a"/>
  </r>
  <r>
    <n v="38"/>
    <n v="13713998"/>
    <s v="Shanna's Loan Headquarters"/>
    <n v="140000"/>
    <n v="2.966497552361293E-2"/>
    <n v="30"/>
    <n v="336516.40780166152"/>
    <n v="36"/>
    <n v="-9085.6710751218325"/>
    <x v="0"/>
    <x v="0"/>
    <n v="8"/>
    <s v="90+"/>
    <s v="Y"/>
    <s v="This Loan is in Step: Sale"/>
    <s v="Sale"/>
  </r>
  <r>
    <n v="39"/>
    <n v="84177304"/>
    <s v="Shanna's Loan Headquarters"/>
    <n v="320000"/>
    <n v="8.1731961592310012E-2"/>
    <n v="20"/>
    <n v="1540079.7677148927"/>
    <n v="135"/>
    <n v="-117108.95110405074"/>
    <x v="1"/>
    <x v="1"/>
    <n v="10"/>
    <s v="90+"/>
    <s v="Y"/>
    <s v="This Loan is in Step: Judgment"/>
    <s v="Judgment"/>
  </r>
  <r>
    <n v="40"/>
    <n v="12588878"/>
    <s v="Shanna's Loan Headquarters"/>
    <n v="400000"/>
    <n v="2.3124063876185742E-2"/>
    <n v="30"/>
    <n v="794161.763159886"/>
    <n v="152"/>
    <n v="-136000.23534195183"/>
    <x v="0"/>
    <x v="0"/>
    <n v="9"/>
    <s v="90+"/>
    <s v="Y"/>
    <s v="This Loan is in Step: Referral"/>
    <s v="Referral"/>
  </r>
  <r>
    <n v="41"/>
    <n v="59421574"/>
    <s v="Shanna's Loan Headquarters"/>
    <n v="100000"/>
    <n v="6.2115111893552351E-2"/>
    <n v="20"/>
    <n v="333758.05931205838"/>
    <n v="52"/>
    <n v="-12557.129702033326"/>
    <x v="1"/>
    <x v="1"/>
    <n v="8"/>
    <s v="90+"/>
    <s v="Y"/>
    <s v="This Loan is in Step: Referral"/>
    <s v="Referral"/>
  </r>
  <r>
    <n v="42"/>
    <n v="79015075"/>
    <s v="Shanna's Loan Headquarters"/>
    <n v="260000"/>
    <n v="2.4795470508067418E-2"/>
    <n v="10"/>
    <n v="332158.46130388812"/>
    <n v="43"/>
    <n v="-85857.851313748819"/>
    <x v="4"/>
    <x v="0"/>
    <n v="9"/>
    <s v="90+"/>
    <s v="Y"/>
    <s v="This Loan is in Step: Service"/>
    <s v="Service"/>
  </r>
  <r>
    <n v="43"/>
    <n v="19354278"/>
    <s v="Shanna's Loan Headquarters"/>
    <n v="180000"/>
    <n v="6.2624385664536333E-2"/>
    <n v="10"/>
    <n v="330423.0123336793"/>
    <n v="89"/>
    <n v="-122259.33614571238"/>
    <x v="0"/>
    <x v="0"/>
    <n v="7"/>
    <s v="90+"/>
    <s v="Y"/>
    <s v="This Loan is in Step: Judgment"/>
    <s v="Judgment"/>
  </r>
  <r>
    <n v="44"/>
    <n v="19728173"/>
    <s v="Shanna's Loan Headquarters"/>
    <n v="240000"/>
    <n v="8.8685443767959421E-2"/>
    <n v="20"/>
    <n v="1312984.4011284539"/>
    <n v="85"/>
    <n v="-43007.348354657523"/>
    <x v="1"/>
    <x v="1"/>
    <n v="5"/>
    <s v="90+"/>
    <s v="N"/>
    <s v="This Loan is in Step: n/a"/>
    <s v="n/a"/>
  </r>
  <r>
    <n v="45"/>
    <n v="71380476"/>
    <s v="Shanna's Loan Headquarters"/>
    <n v="400000"/>
    <n v="2.8536155301216861E-2"/>
    <n v="30"/>
    <n v="930351.09345931734"/>
    <n v="20"/>
    <n v="-14398.496109610658"/>
    <x v="4"/>
    <x v="0"/>
    <n v="7"/>
    <s v="90+"/>
    <s v="Y"/>
    <s v="This Loan is in Step: Referral"/>
    <s v="Referral"/>
  </r>
  <r>
    <n v="46"/>
    <n v="53758029"/>
    <s v="Shanna's Loan Headquarters"/>
    <n v="230000"/>
    <n v="6.4588054143448148E-2"/>
    <n v="20"/>
    <n v="804191.73986934475"/>
    <n v="153"/>
    <n v="-111508.45911102343"/>
    <x v="2"/>
    <x v="0"/>
    <n v="6"/>
    <s v="90+"/>
    <s v="Y"/>
    <s v="This Loan is in Step: Service"/>
    <s v="Service"/>
  </r>
  <r>
    <n v="47"/>
    <n v="74930308"/>
    <s v="Shanna's Loan Headquarters"/>
    <n v="140000"/>
    <n v="4.0821913483801812E-2"/>
    <n v="30"/>
    <n v="464965.63345030707"/>
    <n v="30"/>
    <n v="-6267.0024883628976"/>
    <x v="0"/>
    <x v="0"/>
    <n v="9"/>
    <s v="90+"/>
    <s v="Y"/>
    <s v="This Loan is in Step: Service"/>
    <s v="Service"/>
  </r>
  <r>
    <n v="48"/>
    <n v="82635844"/>
    <s v="Shanna's Loan Headquarters"/>
    <n v="90000"/>
    <n v="8.0194103559907345E-2"/>
    <n v="20"/>
    <n v="420996.56750213553"/>
    <n v="8"/>
    <n v="-1248.3295521384809"/>
    <x v="1"/>
    <x v="1"/>
    <n v="4"/>
    <s v="90+"/>
    <s v="N"/>
    <s v="This Loan is in Step: n/a"/>
    <s v="n/a"/>
  </r>
  <r>
    <n v="49"/>
    <n v="38909064"/>
    <s v="Shanna's Loan Headquarters"/>
    <n v="420000"/>
    <n v="2.2996447985654003E-2"/>
    <n v="10"/>
    <n v="527218.38704055257"/>
    <n v="36"/>
    <n v="-116032.57667262817"/>
    <x v="1"/>
    <x v="1"/>
    <n v="4"/>
    <s v="90+"/>
    <s v="N"/>
    <s v="This Loan is in Step: n/a"/>
    <s v="n/a"/>
  </r>
  <r>
    <n v="50"/>
    <n v="98808855"/>
    <s v="Shanna's Loan Headquarters"/>
    <n v="200000"/>
    <n v="2.5277016412276896E-2"/>
    <n v="10"/>
    <n v="256709.66200595887"/>
    <n v="4"/>
    <n v="-5885.1015246289426"/>
    <x v="4"/>
    <x v="0"/>
    <n v="8"/>
    <s v="90+"/>
    <s v="Y"/>
    <s v="This Loan is in Step: Judgment"/>
    <s v="Judgment"/>
  </r>
  <r>
    <n v="51"/>
    <n v="26667365"/>
    <s v="Shanna's Loan Headquarters"/>
    <n v="130000"/>
    <n v="5.6232150677562931E-2"/>
    <n v="10"/>
    <n v="224665.91089105717"/>
    <n v="4"/>
    <n v="-3261.2749304520835"/>
    <x v="4"/>
    <x v="0"/>
    <n v="3"/>
    <s v="90+"/>
    <s v="N"/>
    <s v="This Loan is in Step: n/a"/>
    <s v="n/a"/>
  </r>
  <r>
    <n v="52"/>
    <n v="80880818"/>
    <s v="Shanna's Loan Headquarters"/>
    <n v="120000"/>
    <n v="5.6587380060444684E-2"/>
    <n v="10"/>
    <n v="208082.44272141575"/>
    <n v="77"/>
    <n v="-69053.06264299537"/>
    <x v="0"/>
    <x v="0"/>
    <n v="7"/>
    <s v="90+"/>
    <s v="Y"/>
    <s v="This Loan is in Step: Referral"/>
    <s v="Referral"/>
  </r>
  <r>
    <n v="53"/>
    <n v="81807183"/>
    <s v="Shanna's Loan Headquarters"/>
    <n v="120000"/>
    <n v="7.250452793744129E-2"/>
    <n v="30"/>
    <n v="979840.25444413233"/>
    <n v="100"/>
    <n v="-12803.676876876061"/>
    <x v="1"/>
    <x v="1"/>
    <n v="9"/>
    <s v="90+"/>
    <s v="Y"/>
    <s v="This Loan is in Step: Judgment"/>
    <s v="Judgment"/>
  </r>
  <r>
    <n v="54"/>
    <n v="14611483"/>
    <s v="Shanna's Loan Headquarters"/>
    <n v="150000"/>
    <n v="7.2752652226458867E-2"/>
    <n v="20"/>
    <n v="611059.07427191909"/>
    <n v="76"/>
    <n v="-26780.371775770116"/>
    <x v="1"/>
    <x v="1"/>
    <n v="2"/>
    <s v="30-60"/>
    <s v="N"/>
    <s v="This Loan is in Step: n/a"/>
    <s v="n/a"/>
  </r>
  <r>
    <n v="55"/>
    <n v="97257211"/>
    <s v="Shanna's Loan Headquarters"/>
    <n v="90000"/>
    <n v="4.7155846847419934E-2"/>
    <n v="30"/>
    <n v="358576.78470405075"/>
    <n v="156"/>
    <n v="-24467.546696012832"/>
    <x v="3"/>
    <x v="2"/>
    <n v="5"/>
    <s v="90+"/>
    <s v="N"/>
    <s v="This Loan is in Step: n/a"/>
    <s v="n/a"/>
  </r>
  <r>
    <n v="56"/>
    <n v="94915980"/>
    <s v="Shanna's Loan Headquarters"/>
    <n v="310000"/>
    <n v="3.5647185007364517E-2"/>
    <n v="10"/>
    <n v="440027.66754076956"/>
    <n v="36"/>
    <n v="-81713.639225070889"/>
    <x v="2"/>
    <x v="0"/>
    <n v="0"/>
    <s v="Current"/>
    <s v="N"/>
    <s v="This Loan is in Step: n/a"/>
    <s v="n/a"/>
  </r>
  <r>
    <n v="57"/>
    <n v="16798870"/>
    <s v="Shanna's Loan Headquarters"/>
    <n v="270000"/>
    <n v="3.8124204390776455E-2"/>
    <n v="30"/>
    <n v="829551.34697907977"/>
    <n v="327"/>
    <n v="-230584.96129451855"/>
    <x v="2"/>
    <x v="0"/>
    <n v="3"/>
    <s v="90+"/>
    <s v="N"/>
    <s v="This Loan is in Step: n/a"/>
    <s v="n/a"/>
  </r>
  <r>
    <n v="58"/>
    <n v="78996690"/>
    <s v="Shanna's Loan Headquarters"/>
    <n v="280000"/>
    <n v="8.3762295006845983E-2"/>
    <n v="30"/>
    <n v="3127369.2059509605"/>
    <n v="187"/>
    <n v="-66605.873523933536"/>
    <x v="2"/>
    <x v="0"/>
    <n v="0"/>
    <s v="Current"/>
    <s v="N"/>
    <s v="This Loan is in Step: n/a"/>
    <s v="n/a"/>
  </r>
  <r>
    <n v="59"/>
    <n v="12860906"/>
    <s v="Shanna's Loan Headquarters"/>
    <n v="80000"/>
    <n v="8.3028447544266887E-2"/>
    <n v="10"/>
    <n v="177618.67640221692"/>
    <n v="57"/>
    <n v="-29917.681714276579"/>
    <x v="4"/>
    <x v="0"/>
    <n v="1"/>
    <s v="30-60"/>
    <s v="N"/>
    <s v="This Loan is in Step: n/a"/>
    <s v="n/a"/>
  </r>
  <r>
    <n v="60"/>
    <n v="24261168"/>
    <s v="Shanna's Loan Headquarters"/>
    <n v="100000"/>
    <n v="3.2246080585092513E-2"/>
    <n v="10"/>
    <n v="137351.18967409877"/>
    <n v="33"/>
    <n v="-24372.617932080608"/>
    <x v="0"/>
    <x v="0"/>
    <n v="0"/>
    <s v="Current"/>
    <s v="N"/>
    <s v="This Loan is in Step: n/a"/>
    <s v="n/a"/>
  </r>
  <r>
    <n v="61"/>
    <n v="61297822"/>
    <s v="Shanna's Loan Headquarters"/>
    <n v="100000"/>
    <n v="5.3983098508402307E-2"/>
    <n v="30"/>
    <n v="484182.84707280493"/>
    <n v="238"/>
    <n v="-47376.440694729055"/>
    <x v="3"/>
    <x v="2"/>
    <n v="0"/>
    <s v="Current"/>
    <s v="N"/>
    <s v="This Loan is in Step: n/a"/>
    <s v="n/a"/>
  </r>
  <r>
    <n v="62"/>
    <n v="25037514"/>
    <s v="Shanna's Loan Headquarters"/>
    <n v="380000"/>
    <n v="6.6890959133402261E-2"/>
    <n v="20"/>
    <n v="1387344.4304452194"/>
    <n v="62"/>
    <n v="-55912.653065324004"/>
    <x v="1"/>
    <x v="1"/>
    <n v="0"/>
    <s v="Current"/>
    <s v="N"/>
    <s v="This Loan is in Step: n/a"/>
    <s v="n/a"/>
  </r>
  <r>
    <n v="63"/>
    <n v="64266143"/>
    <s v="Shanna's Loan Headquarters"/>
    <n v="150000"/>
    <n v="2.4040124038044522E-2"/>
    <n v="20"/>
    <n v="241229.6739728814"/>
    <n v="205"/>
    <n v="-123395.19795095442"/>
    <x v="1"/>
    <x v="1"/>
    <n v="0"/>
    <s v="Current"/>
    <s v="N"/>
    <s v="This Loan is in Step: n/a"/>
    <s v="n/a"/>
  </r>
  <r>
    <n v="64"/>
    <n v="75089533"/>
    <s v="Ed's Quality Loan-Mart"/>
    <n v="100000"/>
    <n v="2.3500078758323658E-2"/>
    <n v="30"/>
    <n v="200741.1521863736"/>
    <n v="315"/>
    <n v="-83330.107705510731"/>
    <x v="1"/>
    <x v="1"/>
    <n v="0"/>
    <s v="Current"/>
    <s v="N"/>
    <s v="This Loan is in Step: n/a"/>
    <s v="n/a"/>
  </r>
  <r>
    <n v="65"/>
    <n v="91788629"/>
    <s v="Ed's Quality Loan-Mart"/>
    <n v="390000"/>
    <n v="6.6238204969847433E-2"/>
    <n v="30"/>
    <n v="2671110.1917949114"/>
    <n v="317"/>
    <n v="-294656.81472138496"/>
    <x v="2"/>
    <x v="0"/>
    <n v="0"/>
    <s v="Current"/>
    <s v="N"/>
    <s v="This Loan is in Step: n/a"/>
    <s v="n/a"/>
  </r>
  <r>
    <n v="66"/>
    <n v="93924899"/>
    <s v="Ed's Quality Loan-Mart"/>
    <n v="260000"/>
    <n v="8.8488321849944707E-2"/>
    <n v="30"/>
    <n v="3308922.2799176387"/>
    <n v="204"/>
    <n v="-69087.979373157621"/>
    <x v="2"/>
    <x v="0"/>
    <n v="0"/>
    <s v="Current"/>
    <s v="N"/>
    <s v="This Loan is in Step: n/a"/>
    <s v="n/a"/>
  </r>
  <r>
    <n v="67"/>
    <n v="14685343"/>
    <s v="Ed's Quality Loan-Mart"/>
    <n v="230000"/>
    <n v="7.0071082298951745E-2"/>
    <n v="30"/>
    <n v="1754311.3374810976"/>
    <n v="237"/>
    <n v="-95898.980088059921"/>
    <x v="1"/>
    <x v="1"/>
    <n v="0"/>
    <s v="Current"/>
    <s v="N"/>
    <s v="This Loan is in Step: n/a"/>
    <s v="n/a"/>
  </r>
  <r>
    <n v="68"/>
    <n v="46047163"/>
    <s v="Ed's Quality Loan-Mart"/>
    <n v="180000"/>
    <n v="6.9073868790080276E-2"/>
    <n v="10"/>
    <n v="351034.3759227019"/>
    <n v="74"/>
    <n v="-96094.775967545254"/>
    <x v="1"/>
    <x v="1"/>
    <n v="0"/>
    <s v="Current"/>
    <s v="N"/>
    <s v="This Loan is in Step: n/a"/>
    <s v="n/a"/>
  </r>
  <r>
    <n v="69"/>
    <n v="21390949"/>
    <s v="Ed's Quality Loan-Mart"/>
    <n v="420000"/>
    <n v="8.6516783487079515E-2"/>
    <n v="30"/>
    <n v="5062236.9420873951"/>
    <n v="237"/>
    <n v="-153511.87461986163"/>
    <x v="2"/>
    <x v="0"/>
    <n v="0"/>
    <s v="Current"/>
    <s v="N"/>
    <s v="This Loan is in Step: n/a"/>
    <s v="n/a"/>
  </r>
  <r>
    <n v="70"/>
    <n v="86868306"/>
    <s v="Ed's Quality Loan-Mart"/>
    <n v="220000"/>
    <n v="5.9538523786275999E-2"/>
    <n v="10"/>
    <n v="392274.61008521757"/>
    <n v="118"/>
    <n v="-215161.32898643307"/>
    <x v="4"/>
    <x v="0"/>
    <n v="0"/>
    <s v="Current"/>
    <s v="N"/>
    <s v="This Loan is in Step: n/a"/>
    <s v="n/a"/>
  </r>
  <r>
    <n v="71"/>
    <n v="16735695"/>
    <s v="Ed's Quality Loan-Mart"/>
    <n v="290000"/>
    <n v="3.7419614625481337E-2"/>
    <n v="10"/>
    <n v="418738.16723883391"/>
    <n v="28"/>
    <n v="-58316.336273964436"/>
    <x v="4"/>
    <x v="0"/>
    <n v="1"/>
    <s v="30-60"/>
    <s v="N"/>
    <s v="This Loan is in Step: n/a"/>
    <s v="n/a"/>
  </r>
  <r>
    <n v="72"/>
    <n v="46796012"/>
    <s v="Ed's Quality Loan-Mart"/>
    <n v="90000"/>
    <n v="3.9502545578306847E-2"/>
    <n v="20"/>
    <n v="195323.12013907469"/>
    <n v="161"/>
    <n v="-52279.728501302161"/>
    <x v="3"/>
    <x v="2"/>
    <n v="10"/>
    <s v="90+"/>
    <s v="Y"/>
    <s v="This Loan is in Step: Service"/>
    <s v="Service"/>
  </r>
  <r>
    <n v="73"/>
    <n v="18909077"/>
    <s v="Ed's Quality Loan-Mart"/>
    <n v="280000"/>
    <n v="8.0913712050867476E-2"/>
    <n v="10"/>
    <n v="609632.75475596276"/>
    <n v="64"/>
    <n v="-121359.888600306"/>
    <x v="0"/>
    <x v="0"/>
    <n v="9"/>
    <s v="90+"/>
    <s v="Y"/>
    <s v="This Loan is in Step: Sale"/>
    <s v="Sale"/>
  </r>
  <r>
    <n v="74"/>
    <n v="87247227"/>
    <s v="Ed's Quality Loan-Mart"/>
    <n v="350000"/>
    <n v="3.5787945697589502E-2"/>
    <n v="30"/>
    <n v="1005063.7712606625"/>
    <n v="293"/>
    <n v="-253744.61296410291"/>
    <x v="0"/>
    <x v="0"/>
    <n v="4"/>
    <s v="90+"/>
    <s v="N"/>
    <s v="This Loan is in Step: n/a"/>
    <s v="n/a"/>
  </r>
  <r>
    <n v="75"/>
    <n v="75779854"/>
    <s v="Ed's Quality Loan-Mart"/>
    <n v="440000"/>
    <n v="7.5454290205374391E-2"/>
    <n v="30"/>
    <n v="3901318.1509939167"/>
    <n v="151"/>
    <n v="-81137.9944741293"/>
    <x v="1"/>
    <x v="1"/>
    <n v="1"/>
    <s v="30-60"/>
    <s v="N"/>
    <s v="This Loan is in Step: n/a"/>
    <s v="n/a"/>
  </r>
  <r>
    <n v="76"/>
    <n v="28343036"/>
    <s v="Ed's Quality Loan-Mart"/>
    <n v="390000"/>
    <n v="3.3529466107279624E-2"/>
    <n v="20"/>
    <n v="754261.37080609496"/>
    <n v="75"/>
    <n v="-95202.936814312401"/>
    <x v="4"/>
    <x v="0"/>
    <n v="5"/>
    <s v="90+"/>
    <s v="N"/>
    <s v="This Loan is in Step: n/a"/>
    <s v="n/a"/>
  </r>
  <r>
    <n v="77"/>
    <n v="39275659"/>
    <s v="Ed's Quality Loan-Mart"/>
    <n v="280000"/>
    <n v="3.8174534059814809E-2"/>
    <n v="20"/>
    <n v="592332.36616532179"/>
    <n v="229"/>
    <n v="-261976.5750333294"/>
    <x v="2"/>
    <x v="0"/>
    <n v="4"/>
    <s v="90+"/>
    <s v="N"/>
    <s v="This Loan is in Step: n/a"/>
    <s v="n/a"/>
  </r>
  <r>
    <n v="78"/>
    <n v="86619026"/>
    <s v="Ed's Quality Loan-Mart"/>
    <n v="380000"/>
    <n v="8.8639262942166508E-2"/>
    <n v="30"/>
    <n v="4856276.4706106801"/>
    <n v="57"/>
    <n v="-15065.857056675792"/>
    <x v="4"/>
    <x v="0"/>
    <n v="4"/>
    <s v="90+"/>
    <s v="N"/>
    <s v="This Loan is in Step: n/a"/>
    <s v="n/a"/>
  </r>
  <r>
    <n v="79"/>
    <n v="31354657"/>
    <s v="Ed's Quality Loan-Mart"/>
    <n v="110000"/>
    <n v="5.489254667303671E-2"/>
    <n v="10"/>
    <n v="187704.60333523748"/>
    <n v="84"/>
    <n v="-70478.246168117941"/>
    <x v="0"/>
    <x v="0"/>
    <n v="8"/>
    <s v="90+"/>
    <s v="Y"/>
    <s v="This Loan is in Step: Referral"/>
    <s v="Referral"/>
  </r>
  <r>
    <n v="80"/>
    <n v="87048847"/>
    <s v="Ed's Quality Loan-Mart"/>
    <n v="380000"/>
    <n v="7.5436353811503654E-2"/>
    <n v="20"/>
    <n v="1627338.3541313638"/>
    <n v="124"/>
    <n v="-127592.90338034008"/>
    <x v="0"/>
    <x v="0"/>
    <n v="3"/>
    <s v="90+"/>
    <s v="N"/>
    <s v="This Loan is in Step: n/a"/>
    <s v="n/a"/>
  </r>
  <r>
    <n v="81"/>
    <n v="35342493"/>
    <s v="Ed's Quality Loan-Mart"/>
    <n v="370000"/>
    <n v="4.4525794658394374E-2"/>
    <n v="10"/>
    <n v="571996.56134740589"/>
    <n v="45"/>
    <n v="-119908.46714035224"/>
    <x v="1"/>
    <x v="1"/>
    <n v="6"/>
    <s v="90+"/>
    <s v="Y"/>
    <s v="This Loan is in Step: Service"/>
    <s v="Service"/>
  </r>
  <r>
    <n v="82"/>
    <n v="75556629"/>
    <s v="Ed's Quality Loan-Mart"/>
    <n v="310000"/>
    <n v="3.9359824408563691E-2"/>
    <n v="30"/>
    <n v="987050.69670216087"/>
    <n v="246"/>
    <n v="-170509.58642769625"/>
    <x v="2"/>
    <x v="0"/>
    <n v="9"/>
    <s v="90+"/>
    <s v="Y"/>
    <s v="This Loan is in Step: Referral"/>
    <s v="Referral"/>
  </r>
  <r>
    <n v="83"/>
    <n v="87177391"/>
    <s v="Ed's Quality Loan-Mart"/>
    <n v="360000"/>
    <n v="6.9952886514902876E-2"/>
    <n v="20"/>
    <n v="1391860.1315654637"/>
    <n v="216"/>
    <n v="-297680.80065955524"/>
    <x v="3"/>
    <x v="2"/>
    <n v="1"/>
    <s v="30-60"/>
    <s v="N"/>
    <s v="This Loan is in Step: n/a"/>
    <s v="n/a"/>
  </r>
  <r>
    <n v="84"/>
    <n v="70455980"/>
    <s v="Ed's Quality Loan-Mart"/>
    <n v="360000"/>
    <n v="2.6369708310845265E-2"/>
    <n v="30"/>
    <n v="785990.4727988774"/>
    <n v="329"/>
    <n v="-316646.67139224388"/>
    <x v="2"/>
    <x v="0"/>
    <n v="4"/>
    <s v="90+"/>
    <s v="N"/>
    <s v="This Loan is in Step: n/a"/>
    <s v="n/a"/>
  </r>
  <r>
    <n v="85"/>
    <n v="75392997"/>
    <s v="Ed's Quality Loan-Mart"/>
    <n v="440000"/>
    <n v="4.3556765273894182E-2"/>
    <n v="30"/>
    <n v="1581011.4448917112"/>
    <n v="164"/>
    <n v="-132983.78491712426"/>
    <x v="0"/>
    <x v="0"/>
    <n v="5"/>
    <s v="90+"/>
    <s v="N"/>
    <s v="This Loan is in Step: n/a"/>
    <s v="n/a"/>
  </r>
  <r>
    <n v="86"/>
    <n v="19338298"/>
    <s v="Ed's Quality Loan-Mart"/>
    <n v="210000"/>
    <n v="2.092235791221576E-2"/>
    <n v="20"/>
    <n v="317741.24409677094"/>
    <n v="232"/>
    <n v="-201494.44805640631"/>
    <x v="0"/>
    <x v="0"/>
    <n v="0"/>
    <s v="Current"/>
    <s v="N"/>
    <s v="This Loan is in Step: n/a"/>
    <s v="n/a"/>
  </r>
  <r>
    <n v="87"/>
    <n v="46089585"/>
    <s v="Ed's Quality Loan-Mart"/>
    <n v="360000"/>
    <n v="5.6408371052604878E-2"/>
    <n v="15"/>
    <n v="819936.10342159017"/>
    <n v="78"/>
    <n v="-119909.20095847567"/>
    <x v="4"/>
    <x v="0"/>
    <n v="0"/>
    <s v="Current"/>
    <s v="N"/>
    <s v="This Loan is in Step: n/a"/>
    <s v="n/a"/>
  </r>
  <r>
    <n v="88"/>
    <n v="82517417"/>
    <s v="Ed's Quality Loan-Mart"/>
    <n v="190000"/>
    <n v="8.4050464805110664E-2"/>
    <n v="30"/>
    <n v="2139137.0042165285"/>
    <n v="307"/>
    <n v="-126067.29639921511"/>
    <x v="0"/>
    <x v="0"/>
    <n v="0"/>
    <s v="Current"/>
    <s v="N"/>
    <s v="This Loan is in Step: n/a"/>
    <s v="n/a"/>
  </r>
  <r>
    <n v="89"/>
    <n v="42621092"/>
    <s v="Ed's Quality Loan-Mart"/>
    <n v="270000"/>
    <n v="4.3622348956864891E-2"/>
    <n v="20"/>
    <n v="634207.21911079588"/>
    <n v="171"/>
    <n v="-167142.66740983693"/>
    <x v="3"/>
    <x v="2"/>
    <n v="0"/>
    <s v="Current"/>
    <s v="N"/>
    <s v="This Loan is in Step: n/a"/>
    <s v="n/a"/>
  </r>
  <r>
    <n v="90"/>
    <n v="88723122"/>
    <s v="Ed's Quality Loan-Mart"/>
    <n v="160000"/>
    <n v="2.3133587418061395E-2"/>
    <n v="30"/>
    <n v="317753.42475331016"/>
    <n v="33"/>
    <n v="-10495.048671259234"/>
    <x v="3"/>
    <x v="2"/>
    <n v="0"/>
    <s v="Current"/>
    <s v="N"/>
    <s v="This Loan is in Step: n/a"/>
    <s v="n/a"/>
  </r>
  <r>
    <n v="91"/>
    <n v="87714312"/>
    <s v="Ed's Quality Loan-Mart"/>
    <n v="410000"/>
    <n v="7.6002502678293865E-2"/>
    <n v="15"/>
    <n v="1230220.8368308374"/>
    <n v="49"/>
    <n v="-70261.319165212932"/>
    <x v="3"/>
    <x v="2"/>
    <n v="0"/>
    <s v="Current"/>
    <s v="N"/>
    <s v="This Loan is in Step: n/a"/>
    <s v="n/a"/>
  </r>
  <r>
    <n v="92"/>
    <n v="37402885"/>
    <s v="Ed's Quality Loan-Mart"/>
    <n v="100000"/>
    <n v="8.0625304723364447E-2"/>
    <n v="30"/>
    <n v="1023891.6293557488"/>
    <n v="17"/>
    <n v="-1188.8833135513596"/>
    <x v="4"/>
    <x v="0"/>
    <n v="0"/>
    <s v="Current"/>
    <s v="N"/>
    <s v="This Loan is in Step: n/a"/>
    <s v="n/a"/>
  </r>
  <r>
    <n v="93"/>
    <n v="50004880"/>
    <s v="Ed's Quality Loan-Mart"/>
    <n v="200000"/>
    <n v="3.1586661242958225E-2"/>
    <n v="15"/>
    <n v="318871.54397174955"/>
    <n v="46"/>
    <n v="-42485.899948768951"/>
    <x v="2"/>
    <x v="0"/>
    <n v="0"/>
    <s v="Current"/>
    <s v="N"/>
    <s v="This Loan is in Step: n/a"/>
    <s v="n/a"/>
  </r>
  <r>
    <n v="94"/>
    <n v="54104168"/>
    <s v="Ed's Quality Loan-Mart"/>
    <n v="320000"/>
    <n v="6.9094609118500627E-2"/>
    <n v="30"/>
    <n v="2374838.9724163287"/>
    <n v="140"/>
    <n v="-57226.786487136531"/>
    <x v="0"/>
    <x v="0"/>
    <n v="4"/>
    <s v="90+"/>
    <s v="N"/>
    <s v="This Loan is in Step: n/a"/>
    <s v="n/a"/>
  </r>
  <r>
    <n v="95"/>
    <n v="82658753"/>
    <s v="Ed's Quality Loan-Mart"/>
    <n v="390000"/>
    <n v="3.0758992929878257E-2"/>
    <n v="30"/>
    <n v="967784.3229073952"/>
    <n v="13"/>
    <n v="-8721.07033594116"/>
    <x v="1"/>
    <x v="1"/>
    <n v="2"/>
    <s v="30-60"/>
    <s v="N"/>
    <s v="This Loan is in Step: n/a"/>
    <s v="n/a"/>
  </r>
  <r>
    <n v="96"/>
    <n v="10503800"/>
    <s v="Ed's Quality Loan-Mart"/>
    <n v="260000"/>
    <n v="8.3913752944148587E-2"/>
    <n v="20"/>
    <n v="1302770.4014525986"/>
    <n v="90"/>
    <n v="-52436.913587989438"/>
    <x v="2"/>
    <x v="0"/>
    <n v="8"/>
    <s v="90+"/>
    <s v="Y"/>
    <s v="This Loan is in Step: Service"/>
    <s v="Service"/>
  </r>
  <r>
    <n v="97"/>
    <n v="33072572"/>
    <s v="Ed's Quality Loan-Mart"/>
    <n v="390000"/>
    <n v="5.914795686569916E-2"/>
    <n v="15"/>
    <n v="923451.51632273872"/>
    <n v="30"/>
    <n v="-43558.294905693394"/>
    <x v="3"/>
    <x v="2"/>
    <n v="5"/>
    <s v="90+"/>
    <s v="N"/>
    <s v="This Loan is in Step: n/a"/>
    <s v="n/a"/>
  </r>
  <r>
    <n v="98"/>
    <n v="13860670"/>
    <s v="Ed's Quality Loan-Mart"/>
    <n v="160000"/>
    <n v="3.401337062358261E-2"/>
    <n v="20"/>
    <n v="312351.12469896255"/>
    <n v="66"/>
    <n v="-33792.580054277038"/>
    <x v="2"/>
    <x v="0"/>
    <n v="10"/>
    <s v="90+"/>
    <s v="Y"/>
    <s v="This Loan is in Step: Judgment"/>
    <s v="Judgment"/>
  </r>
  <r>
    <n v="99"/>
    <n v="78628786"/>
    <s v="Ed's Quality Loan-Mart"/>
    <n v="400000"/>
    <n v="2.3051931389460947E-2"/>
    <n v="30"/>
    <n v="792483.77486583625"/>
    <n v="17"/>
    <n v="-13325.417114548374"/>
    <x v="4"/>
    <x v="0"/>
    <n v="9"/>
    <s v="90+"/>
    <s v="Y"/>
    <s v="This Loan is in Step: Sale"/>
    <s v="Sale"/>
  </r>
  <r>
    <n v="100"/>
    <n v="19293538"/>
    <s v="Ed's Quality Loan-Mart"/>
    <n v="110000"/>
    <n v="7.9989228013860547E-2"/>
    <n v="20"/>
    <n v="512603.02043539326"/>
    <n v="200"/>
    <n v="-77790.765329196234"/>
    <x v="0"/>
    <x v="0"/>
    <n v="9"/>
    <s v="90+"/>
    <s v="Y"/>
    <s v="This Loan is in Step: Referral"/>
    <s v="Referral"/>
  </r>
  <r>
    <n v="101"/>
    <n v="74043188"/>
    <s v="Ed's Quality Loan-Mart"/>
    <n v="270000"/>
    <n v="4.318656729242594E-2"/>
    <n v="20"/>
    <n v="628931.70408394956"/>
    <n v="145"/>
    <n v="-134878.39360833386"/>
    <x v="0"/>
    <x v="0"/>
    <n v="9"/>
    <s v="90+"/>
    <s v="Y"/>
    <s v="This Loan is in Step: Service"/>
    <s v="Service"/>
  </r>
  <r>
    <n v="102"/>
    <n v="85981412"/>
    <s v="Ed's Quality Loan-Mart"/>
    <n v="100000"/>
    <n v="4.9320800002458996E-2"/>
    <n v="20"/>
    <n v="261918.17361115629"/>
    <n v="185"/>
    <n v="-67756.038035990394"/>
    <x v="3"/>
    <x v="2"/>
    <n v="10"/>
    <s v="90+"/>
    <s v="Y"/>
    <s v="This Loan is in Step: Referral"/>
    <s v="Referral"/>
  </r>
  <r>
    <n v="103"/>
    <n v="28790211"/>
    <s v="Ed's Quality Loan-Mart"/>
    <n v="280000"/>
    <n v="8.5050217334716488E-2"/>
    <n v="15"/>
    <n v="952589.09516470216"/>
    <n v="118"/>
    <n v="-142010.24698819473"/>
    <x v="3"/>
    <x v="2"/>
    <n v="3"/>
    <s v="90+"/>
    <s v="N"/>
    <s v="This Loan is in Step: n/a"/>
    <s v="n/a"/>
  </r>
  <r>
    <n v="104"/>
    <n v="74439129"/>
    <s v="Ed's Quality Loan-Mart"/>
    <n v="360000"/>
    <n v="6.172569651273551E-2"/>
    <n v="15"/>
    <n v="884071.57828348491"/>
    <n v="157"/>
    <n v="-293534.1516475901"/>
    <x v="2"/>
    <x v="0"/>
    <n v="5"/>
    <s v="90+"/>
    <s v="N"/>
    <s v="This Loan is in Step: n/a"/>
    <s v="n/a"/>
  </r>
  <r>
    <n v="105"/>
    <n v="79146016"/>
    <s v="Ed's Quality Loan-Mart"/>
    <n v="260000"/>
    <n v="6.6777345462205137E-2"/>
    <n v="15"/>
    <n v="685614.68613107735"/>
    <n v="15"/>
    <n v="-13157.720620562486"/>
    <x v="4"/>
    <x v="0"/>
    <n v="0"/>
    <s v="Current"/>
    <s v="N"/>
    <s v="This Loan is in Step: n/a"/>
    <s v="n/a"/>
  </r>
  <r>
    <n v="106"/>
    <n v="72685786"/>
    <s v="Ed's Quality Loan-Mart"/>
    <n v="280000"/>
    <n v="4.0406672002481922E-2"/>
    <n v="15"/>
    <n v="507230.03343396401"/>
    <n v="95"/>
    <n v="-126707.32429757835"/>
    <x v="4"/>
    <x v="0"/>
    <n v="3"/>
    <s v="90+"/>
    <s v="N"/>
    <s v="This Loan is in Step: n/a"/>
    <s v="n/a"/>
  </r>
  <r>
    <n v="107"/>
    <n v="66696062"/>
    <s v="Ed's Quality Loan-Mart"/>
    <n v="130000"/>
    <n v="6.9978729603616049E-2"/>
    <n v="20"/>
    <n v="502859.01295656373"/>
    <n v="62"/>
    <n v="-18579.740705450724"/>
    <x v="3"/>
    <x v="2"/>
    <n v="0"/>
    <s v="Current"/>
    <s v="N"/>
    <s v="This Loan is in Step: n/a"/>
    <s v="n/a"/>
  </r>
  <r>
    <n v="108"/>
    <n v="84759219"/>
    <s v="Ed's Quality Loan-Mart"/>
    <n v="300000"/>
    <n v="7.3541099206711563E-2"/>
    <n v="15"/>
    <n v="869763.91898474353"/>
    <n v="72"/>
    <n v="-82741.507441699781"/>
    <x v="2"/>
    <x v="0"/>
    <n v="5"/>
    <s v="90+"/>
    <s v="N"/>
    <s v="This Loan is in Step: n/a"/>
    <s v="n/a"/>
  </r>
  <r>
    <n v="109"/>
    <n v="70637400"/>
    <s v="Ed's Quality Loan-Mart"/>
    <n v="310000"/>
    <n v="8.429193812760874E-2"/>
    <n v="30"/>
    <n v="3513569.561237799"/>
    <n v="242"/>
    <n v="-120469.94317940781"/>
    <x v="2"/>
    <x v="0"/>
    <n v="8"/>
    <s v="90+"/>
    <s v="Y"/>
    <s v="This Loan is in Step: Judgment"/>
    <s v="Judgment"/>
  </r>
  <r>
    <n v="110"/>
    <n v="38798861"/>
    <s v="Ed's Quality Loan-Mart"/>
    <n v="430000"/>
    <n v="2.1001186674988234E-2"/>
    <n v="15"/>
    <n v="587302.91765346727"/>
    <n v="23"/>
    <n v="-47703.418572621486"/>
    <x v="3"/>
    <x v="2"/>
    <n v="2"/>
    <s v="30-60"/>
    <s v="N"/>
    <s v="This Loan is in Step: n/a"/>
    <s v="n/a"/>
  </r>
  <r>
    <n v="111"/>
    <n v="76703611"/>
    <s v="Ed's Quality Loan-Mart"/>
    <n v="140000"/>
    <n v="7.4869625494172767E-2"/>
    <n v="15"/>
    <n v="413489.88689209236"/>
    <n v="108"/>
    <n v="-64971.34205889266"/>
    <x v="3"/>
    <x v="2"/>
    <n v="5"/>
    <s v="90+"/>
    <s v="N"/>
    <s v="This Loan is in Step: n/a"/>
    <s v="n/a"/>
  </r>
  <r>
    <n v="112"/>
    <n v="70445419"/>
    <s v="Ed's Quality Loan-Mart"/>
    <n v="110000"/>
    <n v="4.0022588821897263E-2"/>
    <n v="30"/>
    <n v="357006.2733185871"/>
    <n v="61"/>
    <n v="-10697.566236334496"/>
    <x v="2"/>
    <x v="0"/>
    <n v="6"/>
    <s v="90+"/>
    <s v="Y"/>
    <s v="This Loan is in Step: Judgment"/>
    <s v="Judgment"/>
  </r>
  <r>
    <n v="113"/>
    <n v="44239553"/>
    <s v="Ed's Quality Loan-Mart"/>
    <n v="240000"/>
    <n v="5.5915919135758191E-2"/>
    <n v="30"/>
    <n v="1227697.4791186189"/>
    <n v="309"/>
    <n v="-177644.44974050732"/>
    <x v="1"/>
    <x v="1"/>
    <n v="9"/>
    <s v="90+"/>
    <s v="Y"/>
    <s v="This Loan is in Step: Sale"/>
    <s v="Sale"/>
  </r>
  <r>
    <n v="114"/>
    <n v="41349397"/>
    <s v="Ed's Quality Loan-Mart"/>
    <n v="270000"/>
    <n v="6.2954123371356599E-2"/>
    <n v="20"/>
    <n v="915491.22000811086"/>
    <n v="211"/>
    <n v="-216845.82213888632"/>
    <x v="0"/>
    <x v="0"/>
    <n v="6"/>
    <s v="90+"/>
    <s v="Y"/>
    <s v="This Loan is in Step: Service"/>
    <s v="Service"/>
  </r>
  <r>
    <n v="115"/>
    <n v="58908267"/>
    <s v="Ed's Quality Loan-Mart"/>
    <n v="120000"/>
    <n v="6.1454302986937014E-2"/>
    <n v="15"/>
    <n v="293562.63370404387"/>
    <n v="24"/>
    <n v="-10379.167849466556"/>
    <x v="0"/>
    <x v="0"/>
    <n v="9"/>
    <s v="90+"/>
    <s v="Y"/>
    <s v="This Loan is in Step: Referral"/>
    <s v="Referral"/>
  </r>
  <r>
    <n v="116"/>
    <n v="61089089"/>
    <s v="Ed's Quality Loan-Mart"/>
    <n v="340000"/>
    <n v="4.668521806741701E-2"/>
    <n v="30"/>
    <n v="1336477.4707126257"/>
    <n v="67"/>
    <n v="-33161.214319839368"/>
    <x v="2"/>
    <x v="0"/>
    <n v="0"/>
    <s v="Current"/>
    <s v="N"/>
    <s v="This Loan is in Step: n/a"/>
    <s v="n/a"/>
  </r>
  <r>
    <n v="117"/>
    <n v="26400832"/>
    <s v="Ed's Quality Loan-Mart"/>
    <n v="380000"/>
    <n v="4.9991672426802622E-2"/>
    <n v="30"/>
    <n v="1641947.3848982968"/>
    <n v="284"/>
    <n v="-247358.66710427796"/>
    <x v="3"/>
    <x v="2"/>
    <n v="0"/>
    <s v="Current"/>
    <s v="N"/>
    <s v="This Loan is in Step: n/a"/>
    <s v="n/a"/>
  </r>
  <r>
    <n v="118"/>
    <n v="56764510"/>
    <s v="Ed's Quality Loan-Mart"/>
    <n v="340000"/>
    <n v="8.5340966360992601E-2"/>
    <n v="15"/>
    <n v="1161373.3458302834"/>
    <n v="17"/>
    <n v="-16866.854889315338"/>
    <x v="2"/>
    <x v="0"/>
    <n v="0"/>
    <s v="Current"/>
    <s v="N"/>
    <s v="This Loan is in Step: n/a"/>
    <s v="n/a"/>
  </r>
  <r>
    <n v="119"/>
    <n v="36145045"/>
    <s v="Ed's Quality Loan-Mart"/>
    <n v="410000"/>
    <n v="7.5583847572718132E-2"/>
    <n v="15"/>
    <n v="1223060.4745975949"/>
    <n v="42"/>
    <n v="-59018.677406888601"/>
    <x v="4"/>
    <x v="0"/>
    <n v="0"/>
    <s v="Current"/>
    <s v="N"/>
    <s v="This Loan is in Step: n/a"/>
    <s v="n/a"/>
  </r>
  <r>
    <n v="120"/>
    <n v="29047113"/>
    <s v="Ed's Quality Loan-Mart"/>
    <n v="270000"/>
    <n v="7.7926012795862518E-2"/>
    <n v="30"/>
    <n v="2564675.0151680592"/>
    <n v="330"/>
    <n v="-217211.49550664463"/>
    <x v="1"/>
    <x v="1"/>
    <n v="0"/>
    <s v="Current"/>
    <s v="N"/>
    <s v="This Loan is in Step: n/a"/>
    <s v="n/a"/>
  </r>
  <r>
    <n v="121"/>
    <n v="87579604"/>
    <s v="Ed's Quality Loan-Mart"/>
    <n v="250000"/>
    <n v="2.2360686555375126E-2"/>
    <n v="15"/>
    <n v="348339.01779687154"/>
    <n v="90"/>
    <n v="-114552.61079996079"/>
    <x v="1"/>
    <x v="1"/>
    <n v="0"/>
    <s v="Current"/>
    <s v="N"/>
    <s v="This Loan is in Step: n/a"/>
    <s v="n/a"/>
  </r>
  <r>
    <n v="122"/>
    <n v="19460471"/>
    <s v="Ed's Quality Loan-Mart"/>
    <n v="190000"/>
    <n v="3.7814520931784459E-2"/>
    <n v="30"/>
    <n v="578556.65072200482"/>
    <n v="287"/>
    <n v="-132477.85159090473"/>
    <x v="3"/>
    <x v="2"/>
    <n v="0"/>
    <s v="Current"/>
    <s v="N"/>
    <s v="This Loan is in Step: n/a"/>
    <s v="n/a"/>
  </r>
  <r>
    <n v="123"/>
    <n v="49318803"/>
    <s v="Ed's Quality Loan-Mart"/>
    <n v="300000"/>
    <n v="6.2918411461241788E-2"/>
    <n v="15"/>
    <n v="749238.70009440894"/>
    <n v="53"/>
    <n v="-61288.504236396679"/>
    <x v="1"/>
    <x v="1"/>
    <n v="0"/>
    <s v="Current"/>
    <s v="N"/>
    <s v="This Loan is in Step: n/a"/>
    <s v="n/a"/>
  </r>
  <r>
    <n v="124"/>
    <n v="30774746"/>
    <s v="Ed's Quality Loan-Mart"/>
    <n v="130000"/>
    <n v="3.4605535037912347E-2"/>
    <n v="15"/>
    <n v="216553.55368921621"/>
    <n v="86"/>
    <n v="-53783.461453588374"/>
    <x v="4"/>
    <x v="0"/>
    <n v="0"/>
    <s v="Current"/>
    <s v="N"/>
    <s v="This Loan is in Step: n/a"/>
    <s v="n/a"/>
  </r>
  <r>
    <n v="125"/>
    <n v="53409938"/>
    <s v="Ed's Quality Loan-Mart"/>
    <n v="110000"/>
    <n v="3.4229733471017439E-2"/>
    <n v="30"/>
    <n v="301927.91269762086"/>
    <n v="295"/>
    <n v="-81011.538350046452"/>
    <x v="0"/>
    <x v="0"/>
    <n v="0"/>
    <s v="Current"/>
    <s v="N"/>
    <s v="This Loan is in Step: n/a"/>
    <s v="n/a"/>
  </r>
  <r>
    <n v="126"/>
    <n v="77171778"/>
    <s v="Ed's Quality Loan-Mart"/>
    <n v="210000"/>
    <n v="4.7007634568982694E-2"/>
    <n v="20"/>
    <n v="526279.27083690674"/>
    <n v="72"/>
    <n v="-43886.385572034233"/>
    <x v="0"/>
    <x v="0"/>
    <n v="0"/>
    <s v="Current"/>
    <s v="N"/>
    <s v="This Loan is in Step: n/a"/>
    <s v="n/a"/>
  </r>
  <r>
    <n v="127"/>
    <n v="81971835"/>
    <s v="Ed's Quality Loan-Mart"/>
    <n v="320000"/>
    <n v="8.1868207234357213E-2"/>
    <n v="15"/>
    <n v="1041754.4263646035"/>
    <n v="4"/>
    <n v="-3675.5879637255262"/>
    <x v="4"/>
    <x v="0"/>
    <n v="1"/>
    <s v="30-60"/>
    <s v="N"/>
    <s v="This Loan is in Step: n/a"/>
    <s v="n/a"/>
  </r>
  <r>
    <n v="128"/>
    <n v="48132930"/>
    <s v="Ed's Quality Loan-Mart"/>
    <n v="140000"/>
    <n v="2.3522228194114383E-2"/>
    <n v="20"/>
    <n v="222881.28975453015"/>
    <n v="100"/>
    <n v="-50476.387821341195"/>
    <x v="2"/>
    <x v="0"/>
    <n v="1"/>
    <s v="30-60"/>
    <s v="N"/>
    <s v="This Loan is in Step: n/a"/>
    <s v="n/a"/>
  </r>
  <r>
    <n v="129"/>
    <n v="95454260"/>
    <s v="Ed's Quality Loan-Mart"/>
    <n v="200000"/>
    <n v="5.9759655653747787E-2"/>
    <n v="30"/>
    <n v="1140910.1961598995"/>
    <n v="22"/>
    <n v="-4638.3167708035489"/>
    <x v="2"/>
    <x v="0"/>
    <n v="3"/>
    <s v="90+"/>
    <s v="N"/>
    <s v="This Loan is in Step: n/a"/>
    <s v="n/a"/>
  </r>
  <r>
    <n v="130"/>
    <n v="59273999"/>
    <s v="Ed's Quality Loan-Mart"/>
    <n v="360000"/>
    <n v="5.3519955426174042E-2"/>
    <n v="15"/>
    <n v="786944.30180111481"/>
    <n v="179"/>
    <n v="-357099.6328454226"/>
    <x v="2"/>
    <x v="0"/>
    <n v="3"/>
    <s v="90+"/>
    <s v="N"/>
    <s v="This Loan is in Step: n/a"/>
    <s v="n/a"/>
  </r>
  <r>
    <n v="131"/>
    <n v="74183133"/>
    <s v="Ed's Quality Loan-Mart"/>
    <n v="260000"/>
    <n v="5.5635707435100275E-2"/>
    <n v="30"/>
    <n v="1319457.8129392094"/>
    <n v="75"/>
    <n v="-25152.247919732603"/>
    <x v="1"/>
    <x v="1"/>
    <n v="6"/>
    <s v="90+"/>
    <s v="Y"/>
    <s v="This Loan is in Step: Service"/>
    <s v="Service"/>
  </r>
  <r>
    <n v="132"/>
    <n v="46404591"/>
    <s v="Ken's Discount Value Loans"/>
    <n v="440000"/>
    <n v="3.4147634194001963E-2"/>
    <n v="20"/>
    <n v="861199.02942839963"/>
    <n v="212"/>
    <n v="-371931.91078657634"/>
    <x v="3"/>
    <x v="2"/>
    <n v="7"/>
    <s v="90+"/>
    <s v="Y"/>
    <s v="This Loan is in Step: Service"/>
    <s v="Service"/>
  </r>
  <r>
    <n v="133"/>
    <n v="58799609"/>
    <s v="Ken's Discount Value Loans"/>
    <n v="360000"/>
    <n v="5.1870351612887451E-2"/>
    <n v="30"/>
    <n v="1641228.0239864257"/>
    <n v="249"/>
    <n v="-186263.14121846852"/>
    <x v="2"/>
    <x v="0"/>
    <n v="4"/>
    <s v="90+"/>
    <s v="N"/>
    <s v="This Loan is in Step: n/a"/>
    <s v="n/a"/>
  </r>
  <r>
    <n v="134"/>
    <n v="45991355"/>
    <s v="Ken's Discount Value Loans"/>
    <n v="400000"/>
    <n v="5.9758883555077774E-2"/>
    <n v="20"/>
    <n v="1277030.6090003443"/>
    <n v="28"/>
    <n v="-26016.693196145097"/>
    <x v="4"/>
    <x v="0"/>
    <n v="6"/>
    <s v="90+"/>
    <s v="Y"/>
    <s v="This Loan is in Step: Sale"/>
    <s v="Sale"/>
  </r>
  <r>
    <n v="135"/>
    <n v="40766918"/>
    <s v="Ken's Discount Value Loans"/>
    <n v="390000"/>
    <n v="4.3504269841479912E-2"/>
    <n v="15"/>
    <n v="738716.94980097178"/>
    <n v="49"/>
    <n v="-82407.086631704253"/>
    <x v="0"/>
    <x v="0"/>
    <n v="5"/>
    <s v="90+"/>
    <s v="N"/>
    <s v="This Loan is in Step: n/a"/>
    <s v="n/a"/>
  </r>
  <r>
    <n v="136"/>
    <n v="50543518"/>
    <s v="Ken's Discount Value Loans"/>
    <n v="210000"/>
    <n v="6.6997557171815436E-2"/>
    <n v="30"/>
    <n v="1469339.1445338668"/>
    <n v="306"/>
    <n v="-146978.54003763097"/>
    <x v="0"/>
    <x v="0"/>
    <n v="0"/>
    <s v="Current"/>
    <s v="N"/>
    <s v="This Loan is in Step: n/a"/>
    <s v="n/a"/>
  </r>
  <r>
    <n v="137"/>
    <n v="28254071"/>
    <s v="Ken's Discount Value Loans"/>
    <n v="290000"/>
    <n v="2.4733212439948523E-2"/>
    <n v="15"/>
    <n v="418369.65986454627"/>
    <n v="53"/>
    <n v="-74533.616317238033"/>
    <x v="3"/>
    <x v="2"/>
    <n v="0"/>
    <s v="Current"/>
    <s v="N"/>
    <s v="This Loan is in Step: n/a"/>
    <s v="n/a"/>
  </r>
  <r>
    <n v="138"/>
    <n v="66109061"/>
    <s v="Ken's Discount Value Loans"/>
    <n v="380000"/>
    <n v="6.5073173837024004E-2"/>
    <n v="15"/>
    <n v="978307.2890436647"/>
    <n v="177"/>
    <n v="-370171.57626129244"/>
    <x v="3"/>
    <x v="2"/>
    <n v="0"/>
    <s v="Current"/>
    <s v="N"/>
    <s v="This Loan is in Step: n/a"/>
    <s v="n/a"/>
  </r>
  <r>
    <n v="139"/>
    <n v="21617507"/>
    <s v="Ken's Discount Value Loans"/>
    <n v="370000"/>
    <n v="7.5409423490472402E-2"/>
    <n v="20"/>
    <n v="1583720.2838160768"/>
    <n v="136"/>
    <n v="-142217.68425781655"/>
    <x v="0"/>
    <x v="0"/>
    <n v="0"/>
    <s v="Current"/>
    <s v="N"/>
    <s v="This Loan is in Step: n/a"/>
    <s v="n/a"/>
  </r>
  <r>
    <n v="140"/>
    <n v="97989606"/>
    <s v="Ken's Discount Value Loans"/>
    <n v="190000"/>
    <n v="3.9082079146889916E-2"/>
    <n v="15"/>
    <n v="337676.95376410108"/>
    <n v="74"/>
    <n v="-64973.46664913946"/>
    <x v="4"/>
    <x v="0"/>
    <n v="0"/>
    <s v="Current"/>
    <s v="N"/>
    <s v="This Loan is in Step: n/a"/>
    <s v="n/a"/>
  </r>
  <r>
    <n v="141"/>
    <n v="39361910"/>
    <s v="Ken's Discount Value Loans"/>
    <n v="80000"/>
    <n v="2.918801643188013E-2"/>
    <n v="15"/>
    <n v="123171.66113722652"/>
    <n v="7"/>
    <n v="-2501.5126172600653"/>
    <x v="2"/>
    <x v="0"/>
    <n v="0"/>
    <s v="Current"/>
    <s v="N"/>
    <s v="This Loan is in Step: n/a"/>
    <s v="n/a"/>
  </r>
  <r>
    <n v="142"/>
    <n v="92208306"/>
    <s v="Ken's Discount Value Loans"/>
    <n v="200000"/>
    <n v="2.7108181721399505E-2"/>
    <n v="20"/>
    <n v="341470.95585217304"/>
    <n v="90"/>
    <n v="-62663.596252343683"/>
    <x v="4"/>
    <x v="0"/>
    <n v="0"/>
    <s v="Current"/>
    <s v="N"/>
    <s v="This Loan is in Step: n/a"/>
    <s v="n/a"/>
  </r>
  <r>
    <n v="143"/>
    <n v="70859925"/>
    <s v="Ken's Discount Value Loans"/>
    <n v="440000"/>
    <n v="7.8279039349961069E-2"/>
    <n v="30"/>
    <n v="4220729.9677376384"/>
    <n v="206"/>
    <n v="-132007.55905435781"/>
    <x v="4"/>
    <x v="0"/>
    <n v="0"/>
    <s v="Current"/>
    <s v="N"/>
    <s v="This Loan is in Step: n/a"/>
    <s v="n/a"/>
  </r>
  <r>
    <n v="144"/>
    <n v="38351345"/>
    <s v="Ken's Discount Value Loans"/>
    <n v="230000"/>
    <n v="8.5661220417817804E-2"/>
    <n v="30"/>
    <n v="2707432.2142391098"/>
    <n v="316"/>
    <n v="-163017.19422185424"/>
    <x v="4"/>
    <x v="0"/>
    <n v="7"/>
    <s v="90+"/>
    <s v="Y"/>
    <s v="This Loan is in Step: Referral"/>
    <s v="Referral"/>
  </r>
  <r>
    <n v="145"/>
    <n v="38803902"/>
    <s v="Ken's Discount Value Loans"/>
    <n v="110000"/>
    <n v="3.9948712579245552E-2"/>
    <n v="15"/>
    <n v="197957.29437108571"/>
    <n v="13"/>
    <n v="-5930.8538392792598"/>
    <x v="3"/>
    <x v="2"/>
    <n v="9"/>
    <s v="90+"/>
    <s v="Y"/>
    <s v="This Loan is in Step: Referral"/>
    <s v="Referral"/>
  </r>
  <r>
    <n v="146"/>
    <n v="70936359"/>
    <s v="Ken's Discount Value Loans"/>
    <n v="150000"/>
    <n v="4.8616549792090978E-2"/>
    <n v="15"/>
    <n v="305732.68778210512"/>
    <n v="90"/>
    <n v="-61502.825900975819"/>
    <x v="2"/>
    <x v="0"/>
    <n v="8"/>
    <s v="90+"/>
    <s v="Y"/>
    <s v="This Loan is in Step: Referral"/>
    <s v="Referral"/>
  </r>
  <r>
    <n v="147"/>
    <n v="22527091"/>
    <s v="Ken's Discount Value Loans"/>
    <n v="400000"/>
    <n v="2.553940346467095E-2"/>
    <n v="30"/>
    <n v="852374.6759869589"/>
    <n v="276"/>
    <n v="-277684.0942167624"/>
    <x v="3"/>
    <x v="2"/>
    <n v="1"/>
    <s v="30-60"/>
    <s v="N"/>
    <s v="This Loan is in Step: n/a"/>
    <s v="n/a"/>
  </r>
  <r>
    <n v="148"/>
    <n v="85565195"/>
    <s v="Ken's Discount Value Loans"/>
    <n v="350000"/>
    <n v="3.759737492262525E-2"/>
    <n v="15"/>
    <n v="608836.96071319608"/>
    <n v="80"/>
    <n v="-131633.85733754354"/>
    <x v="4"/>
    <x v="0"/>
    <n v="3"/>
    <s v="90+"/>
    <s v="N"/>
    <s v="This Loan is in Step: n/a"/>
    <s v="n/a"/>
  </r>
  <r>
    <n v="149"/>
    <n v="49758502"/>
    <s v="Ken's Discount Value Loans"/>
    <n v="130000"/>
    <n v="5.1929476788526233E-2"/>
    <n v="15"/>
    <n v="277806.70674596832"/>
    <n v="93"/>
    <n v="-54652.922622379156"/>
    <x v="3"/>
    <x v="2"/>
    <n v="9"/>
    <s v="90+"/>
    <s v="Y"/>
    <s v="This Loan is in Step: Referral"/>
    <s v="Referral"/>
  </r>
  <r>
    <n v="150"/>
    <n v="44521885"/>
    <s v="Ken's Discount Value Loans"/>
    <n v="190000"/>
    <n v="4.9833531113900251E-2"/>
    <n v="30"/>
    <n v="817272.32812925742"/>
    <n v="174"/>
    <n v="-58268.279894831372"/>
    <x v="4"/>
    <x v="0"/>
    <n v="8"/>
    <s v="90+"/>
    <s v="Y"/>
    <s v="This Loan is in Step: Sale"/>
    <s v="Sale"/>
  </r>
  <r>
    <n v="151"/>
    <n v="81877816"/>
    <s v="Ken's Discount Value Loans"/>
    <n v="120000"/>
    <n v="4.8171984913974467E-2"/>
    <n v="15"/>
    <n v="243035.35958179686"/>
    <n v="27"/>
    <n v="-12972.122968389507"/>
    <x v="4"/>
    <x v="0"/>
    <n v="7"/>
    <s v="90+"/>
    <s v="Y"/>
    <s v="This Loan is in Step: Referral"/>
    <s v="Referral"/>
  </r>
  <r>
    <n v="152"/>
    <n v="30045340"/>
    <s v="Ken's Discount Value Loans"/>
    <n v="360000"/>
    <n v="8.4051872918695605E-2"/>
    <n v="20"/>
    <n v="1808438.6611132226"/>
    <n v="67"/>
    <n v="-49461.003304171834"/>
    <x v="2"/>
    <x v="0"/>
    <n v="7"/>
    <s v="90+"/>
    <s v="Y"/>
    <s v="This Loan is in Step: Service"/>
    <s v="Service"/>
  </r>
  <r>
    <n v="153"/>
    <n v="50054768"/>
    <s v="Ken's Discount Value Loans"/>
    <n v="140000"/>
    <n v="4.7353760052952686E-2"/>
    <n v="15"/>
    <n v="280239.26062128268"/>
    <n v="20"/>
    <n v="-11120.088205194192"/>
    <x v="0"/>
    <x v="0"/>
    <n v="0"/>
    <s v="Current"/>
    <s v="N"/>
    <s v="This Loan is in Step: n/a"/>
    <s v="n/a"/>
  </r>
  <r>
    <n v="154"/>
    <n v="63115595"/>
    <s v="Ken's Discount Value Loans"/>
    <n v="420000"/>
    <n v="3.1754491121864389E-2"/>
    <n v="30"/>
    <n v="1072853.2723277865"/>
    <n v="40"/>
    <n v="-29465.759566513971"/>
    <x v="4"/>
    <x v="0"/>
    <n v="5"/>
    <s v="90+"/>
    <s v="N"/>
    <s v="This Loan is in Step: n/a"/>
    <s v="n/a"/>
  </r>
  <r>
    <n v="155"/>
    <n v="12815365"/>
    <s v="Ken's Discount Value Loans"/>
    <n v="300000"/>
    <n v="7.1192531516652197E-2"/>
    <n v="15"/>
    <n v="841655.36408098519"/>
    <n v="20"/>
    <n v="-19828.675940800164"/>
    <x v="4"/>
    <x v="0"/>
    <n v="5"/>
    <s v="90+"/>
    <s v="N"/>
    <s v="This Loan is in Step: n/a"/>
    <s v="n/a"/>
  </r>
  <r>
    <n v="156"/>
    <n v="57963170"/>
    <s v="Ken's Discount Value Loans"/>
    <n v="190000"/>
    <n v="5.577789572375437E-2"/>
    <n v="15"/>
    <n v="428886.20584859909"/>
    <n v="134"/>
    <n v="-125514.30117097018"/>
    <x v="2"/>
    <x v="0"/>
    <n v="1"/>
    <s v="30-60"/>
    <s v="N"/>
    <s v="This Loan is in Step: n/a"/>
    <s v="n/a"/>
  </r>
  <r>
    <n v="157"/>
    <n v="27425669"/>
    <s v="Ken's Discount Value Loans"/>
    <n v="120000"/>
    <n v="4.5537190045218612E-2"/>
    <n v="15"/>
    <n v="234031.07476753427"/>
    <n v="10"/>
    <n v="-4739.5527568259586"/>
    <x v="2"/>
    <x v="0"/>
    <n v="10"/>
    <s v="90+"/>
    <s v="Y"/>
    <s v="This Loan is in Step: Sale"/>
    <s v="Sale"/>
  </r>
  <r>
    <n v="158"/>
    <n v="42454326"/>
    <s v="Ken's Discount Value Loans"/>
    <n v="230000"/>
    <n v="5.0982489981923208E-2"/>
    <n v="15"/>
    <n v="484908.77485006728"/>
    <n v="81"/>
    <n v="-82308.569833674133"/>
    <x v="4"/>
    <x v="0"/>
    <n v="2"/>
    <s v="30-60"/>
    <s v="N"/>
    <s v="This Loan is in Step: n/a"/>
    <s v="n/a"/>
  </r>
  <r>
    <n v="159"/>
    <n v="43854478"/>
    <s v="Ken's Discount Value Loans"/>
    <n v="180000"/>
    <n v="3.2977812852717114E-2"/>
    <n v="20"/>
    <n v="344423.1820845803"/>
    <n v="55"/>
    <n v="-31460.534915649932"/>
    <x v="0"/>
    <x v="0"/>
    <n v="0"/>
    <s v="Current"/>
    <s v="N"/>
    <s v="This Loan is in Step: n/a"/>
    <s v="n/a"/>
  </r>
  <r>
    <n v="160"/>
    <n v="28025475"/>
    <s v="Ken's Discount Value Loans"/>
    <n v="430000"/>
    <n v="5.2234852657205018E-2"/>
    <n v="15"/>
    <n v="922908.60421959439"/>
    <n v="128"/>
    <n v="-269733.52539249451"/>
    <x v="4"/>
    <x v="0"/>
    <n v="0"/>
    <s v="Current"/>
    <s v="N"/>
    <s v="This Loan is in Step: n/a"/>
    <s v="n/a"/>
  </r>
  <r>
    <n v="161"/>
    <n v="64176281"/>
    <s v="Ken's Discount Value Loans"/>
    <n v="340000"/>
    <n v="7.8054402152243199E-2"/>
    <n v="20"/>
    <n v="1528595.1015152119"/>
    <n v="25"/>
    <n v="-15996.655522704375"/>
    <x v="3"/>
    <x v="2"/>
    <n v="0"/>
    <s v="Current"/>
    <s v="N"/>
    <s v="This Loan is in Step: n/a"/>
    <s v="n/a"/>
  </r>
  <r>
    <n v="162"/>
    <n v="19068436"/>
    <s v="Ken's Discount Value Loans"/>
    <n v="90000"/>
    <n v="8.5197825606209504E-2"/>
    <n v="20"/>
    <n v="461764.78254360438"/>
    <n v="214"/>
    <n v="-71490.032115532958"/>
    <x v="4"/>
    <x v="0"/>
    <n v="0"/>
    <s v="Current"/>
    <s v="N"/>
    <s v="This Loan is in Step: n/a"/>
    <s v="n/a"/>
  </r>
  <r>
    <n v="163"/>
    <n v="55935051"/>
    <s v="Ken's Discount Value Loans"/>
    <n v="310000"/>
    <n v="6.5776912974517682E-2"/>
    <n v="15"/>
    <n v="806039.48639443784"/>
    <n v="171"/>
    <n v="-286232.91874867358"/>
    <x v="3"/>
    <x v="2"/>
    <n v="0"/>
    <s v="Current"/>
    <s v="N"/>
    <s v="This Loan is in Step: n/a"/>
    <s v="n/a"/>
  </r>
  <r>
    <n v="164"/>
    <n v="58190701"/>
    <s v="Ken's Discount Value Loans"/>
    <n v="390000"/>
    <n v="2.8968661386930758E-2"/>
    <n v="30"/>
    <n v="918605.50857366051"/>
    <n v="42"/>
    <n v="-30071.220801832558"/>
    <x v="3"/>
    <x v="2"/>
    <n v="0"/>
    <s v="Current"/>
    <s v="N"/>
    <s v="This Loan is in Step: n/a"/>
    <s v="n/a"/>
  </r>
  <r>
    <n v="165"/>
    <n v="22410771"/>
    <s v="Ken's Discount Value Loans"/>
    <n v="280000"/>
    <n v="2.7107655095394385E-2"/>
    <n v="15"/>
    <n v="418212.99381876201"/>
    <n v="122"/>
    <n v="-177099.02449031977"/>
    <x v="3"/>
    <x v="2"/>
    <n v="0"/>
    <s v="Current"/>
    <s v="N"/>
    <s v="This Loan is in Step: n/a"/>
    <s v="n/a"/>
  </r>
  <r>
    <n v="166"/>
    <n v="60128733"/>
    <s v="Ken's Discount Value Loans"/>
    <n v="450000"/>
    <n v="7.5354629162056694E-2"/>
    <n v="15"/>
    <n v="1338098.6993978794"/>
    <n v="156"/>
    <n v="-357129.568835727"/>
    <x v="1"/>
    <x v="1"/>
    <n v="0"/>
    <s v="Current"/>
    <s v="N"/>
    <s v="This Loan is in Step: n/a"/>
    <s v="n/a"/>
  </r>
  <r>
    <n v="167"/>
    <n v="66609862"/>
    <s v="Ken's Discount Value Loans"/>
    <n v="400000"/>
    <n v="6.4130198135724042E-2"/>
    <n v="15"/>
    <n v="1016205.4259950697"/>
    <n v="139"/>
    <n v="-272713.66972824751"/>
    <x v="3"/>
    <x v="2"/>
    <n v="0"/>
    <s v="Current"/>
    <s v="N"/>
    <s v="This Loan is in Step: n/a"/>
    <s v="n/a"/>
  </r>
  <r>
    <n v="168"/>
    <n v="64197854"/>
    <s v="Ken's Discount Value Loans"/>
    <n v="90000"/>
    <n v="8.500410975067306E-2"/>
    <n v="20"/>
    <n v="460119.00650086545"/>
    <n v="144"/>
    <n v="-35730.5524829317"/>
    <x v="1"/>
    <x v="1"/>
    <n v="0"/>
    <s v="Current"/>
    <s v="N"/>
    <s v="This Loan is in Step: n/a"/>
    <s v="n/a"/>
  </r>
  <r>
    <n v="169"/>
    <n v="59656529"/>
    <s v="Ken's Discount Value Loans"/>
    <n v="100000"/>
    <n v="6.538733883278261E-2"/>
    <n v="20"/>
    <n v="354936.46991043148"/>
    <n v="195"/>
    <n v="-70226.454296506054"/>
    <x v="2"/>
    <x v="0"/>
    <n v="0"/>
    <s v="Current"/>
    <s v="N"/>
    <s v="This Loan is in Step: n/a"/>
    <s v="n/a"/>
  </r>
  <r>
    <n v="170"/>
    <n v="27416011"/>
    <s v="Ken's Discount Value Loans"/>
    <n v="320000"/>
    <n v="4.5206795026638533E-2"/>
    <n v="20"/>
    <n v="774808.66277462081"/>
    <n v="120"/>
    <n v="-124502.74609165057"/>
    <x v="3"/>
    <x v="2"/>
    <n v="6"/>
    <s v="90+"/>
    <s v="Y"/>
    <s v="This Loan is in Step: Service"/>
    <s v="Service"/>
  </r>
  <r>
    <n v="171"/>
    <n v="48475995"/>
    <s v="Ken's Discount Value Loans"/>
    <n v="270000"/>
    <n v="8.0420328455112197E-2"/>
    <n v="15"/>
    <n v="861499.37932639872"/>
    <n v="47"/>
    <n v="-42777.860619125204"/>
    <x v="4"/>
    <x v="0"/>
    <n v="9"/>
    <s v="90+"/>
    <s v="Y"/>
    <s v="This Loan is in Step: Judgment"/>
    <s v="Judgment"/>
  </r>
  <r>
    <n v="172"/>
    <n v="71360853"/>
    <s v="Ken's Discount Value Loans"/>
    <n v="430000"/>
    <n v="8.948433022180316E-2"/>
    <n v="15"/>
    <n v="1555189.3723533445"/>
    <n v="164"/>
    <n v="-364648.55522242171"/>
    <x v="1"/>
    <x v="1"/>
    <n v="5"/>
    <s v="90+"/>
    <s v="N"/>
    <s v="This Loan is in Step: n/a"/>
    <s v="n/a"/>
  </r>
  <r>
    <n v="173"/>
    <n v="35512275"/>
    <s v="Ken's Discount Value Loans"/>
    <n v="380000"/>
    <n v="6.1968837801717767E-2"/>
    <n v="30"/>
    <n v="2307473.8560194247"/>
    <n v="62"/>
    <n v="-26538.865744975541"/>
    <x v="4"/>
    <x v="0"/>
    <n v="9"/>
    <s v="90+"/>
    <s v="Y"/>
    <s v="This Loan is in Step: Referral"/>
    <s v="Referral"/>
  </r>
  <r>
    <n v="174"/>
    <n v="38613129"/>
    <s v="Ken's Discount Value Loans"/>
    <n v="370000"/>
    <n v="5.8198216683628096E-2"/>
    <n v="15"/>
    <n v="864384.7648835514"/>
    <n v="28"/>
    <n v="-38644.893300939431"/>
    <x v="2"/>
    <x v="0"/>
    <n v="4"/>
    <s v="90+"/>
    <s v="N"/>
    <s v="This Loan is in Step: n/a"/>
    <s v="n/a"/>
  </r>
  <r>
    <m/>
    <m/>
    <m/>
    <m/>
    <m/>
    <m/>
    <m/>
    <m/>
    <m/>
    <x v="5"/>
    <x v="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04C0FF-A703-4AF7-8BF5-DE3E23A49A0B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17:D26" firstHeaderRow="0" firstDataRow="1" firstDataCol="2"/>
  <pivotFields count="16"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 sortType="ascending">
      <items count="8">
        <item x="4"/>
        <item h="1" f="1" x="6"/>
        <item x="3"/>
        <item x="1"/>
        <item x="2"/>
        <item x="0"/>
        <item h="1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>
      <items count="5">
        <item x="2"/>
        <item x="1"/>
        <item x="0"/>
        <item h="1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0"/>
    <field x="9"/>
  </rowFields>
  <rowItems count="9">
    <i>
      <x/>
    </i>
    <i r="1">
      <x v="2"/>
    </i>
    <i>
      <x v="1"/>
    </i>
    <i r="1">
      <x v="3"/>
    </i>
    <i>
      <x v="2"/>
    </i>
    <i r="1">
      <x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an" fld="0" subtotal="count" baseField="10" baseItem="0"/>
    <dataField name="Sum of Current Balanc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5010D1-2B64-4281-9452-586FB2F200A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3:D13" firstHeaderRow="0" firstDataRow="1" firstDataCol="2"/>
  <pivotFields count="16"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>
      <items count="5">
        <item x="1"/>
        <item x="2"/>
        <item x="0"/>
        <item h="1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 sortType="ascending">
      <items count="4">
        <item x="0"/>
        <item n="&gt;=5" x="2"/>
        <item n="&lt;5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4"/>
  </rowFields>
  <rowItems count="10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an" fld="0" subtotal="count" baseField="2" baseItem="0"/>
    <dataField name="Sum of Current Balanc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190"/>
  <sheetViews>
    <sheetView topLeftCell="A40" zoomScale="142" zoomScaleNormal="71" workbookViewId="0">
      <selection activeCell="J20" sqref="J20"/>
    </sheetView>
  </sheetViews>
  <sheetFormatPr defaultRowHeight="10.75" x14ac:dyDescent="0.3"/>
  <cols>
    <col min="1" max="1" width="2.5" customWidth="1"/>
    <col min="2" max="2" width="4.796875" bestFit="1" customWidth="1"/>
    <col min="3" max="3" width="11.5" bestFit="1" customWidth="1"/>
    <col min="4" max="4" width="24.19921875" bestFit="1" customWidth="1"/>
    <col min="5" max="5" width="11.5" bestFit="1" customWidth="1"/>
    <col min="6" max="6" width="10.5" bestFit="1" customWidth="1"/>
    <col min="7" max="7" width="10.69921875" bestFit="1" customWidth="1"/>
    <col min="8" max="8" width="13.09765625" bestFit="1" customWidth="1"/>
    <col min="9" max="9" width="9.296875" style="7"/>
  </cols>
  <sheetData>
    <row r="1" spans="2:9" x14ac:dyDescent="0.3">
      <c r="I1"/>
    </row>
    <row r="2" spans="2:9" x14ac:dyDescent="0.3">
      <c r="B2" t="s">
        <v>39</v>
      </c>
      <c r="I2"/>
    </row>
    <row r="3" spans="2:9" x14ac:dyDescent="0.3">
      <c r="I3"/>
    </row>
    <row r="4" spans="2:9" x14ac:dyDescent="0.3">
      <c r="I4"/>
    </row>
    <row r="5" spans="2:9" x14ac:dyDescent="0.3">
      <c r="I5"/>
    </row>
    <row r="6" spans="2:9" x14ac:dyDescent="0.3">
      <c r="I6"/>
    </row>
    <row r="7" spans="2:9" x14ac:dyDescent="0.3">
      <c r="I7"/>
    </row>
    <row r="8" spans="2:9" x14ac:dyDescent="0.3">
      <c r="I8"/>
    </row>
    <row r="9" spans="2:9" x14ac:dyDescent="0.3">
      <c r="I9"/>
    </row>
    <row r="10" spans="2:9" x14ac:dyDescent="0.3">
      <c r="I10"/>
    </row>
    <row r="11" spans="2:9" x14ac:dyDescent="0.3">
      <c r="I11"/>
    </row>
    <row r="12" spans="2:9" x14ac:dyDescent="0.3">
      <c r="I12"/>
    </row>
    <row r="13" spans="2:9" x14ac:dyDescent="0.3">
      <c r="I13"/>
    </row>
    <row r="14" spans="2:9" x14ac:dyDescent="0.3">
      <c r="I14"/>
    </row>
    <row r="15" spans="2:9" x14ac:dyDescent="0.3">
      <c r="I15"/>
    </row>
    <row r="16" spans="2:9" x14ac:dyDescent="0.3">
      <c r="B16" s="8" t="s">
        <v>19</v>
      </c>
      <c r="C16" s="8" t="s">
        <v>0</v>
      </c>
      <c r="D16" s="9" t="s">
        <v>15</v>
      </c>
      <c r="E16" s="9" t="s">
        <v>5</v>
      </c>
      <c r="F16" s="9" t="s">
        <v>21</v>
      </c>
      <c r="G16" s="9" t="s">
        <v>20</v>
      </c>
      <c r="H16" s="4" t="s">
        <v>4</v>
      </c>
    </row>
    <row r="17" spans="2:8" x14ac:dyDescent="0.3">
      <c r="B17">
        <v>1</v>
      </c>
      <c r="C17">
        <v>83449837</v>
      </c>
      <c r="D17" t="s">
        <v>3</v>
      </c>
      <c r="E17" s="2">
        <v>280000</v>
      </c>
      <c r="F17" s="1">
        <v>6.3422300277239399E-2</v>
      </c>
      <c r="G17">
        <v>30</v>
      </c>
      <c r="H17" s="6">
        <f>PMT(F17/12,G17*12,E17)</f>
        <v>-1740.8388784193021</v>
      </c>
    </row>
    <row r="18" spans="2:8" x14ac:dyDescent="0.3">
      <c r="B18">
        <v>2</v>
      </c>
      <c r="C18">
        <v>41209504</v>
      </c>
      <c r="D18" t="s">
        <v>3</v>
      </c>
      <c r="E18" s="2">
        <v>370000</v>
      </c>
      <c r="F18" s="1">
        <v>4.7923567837379721E-2</v>
      </c>
      <c r="G18">
        <v>30</v>
      </c>
      <c r="H18" s="6">
        <f t="shared" ref="H18:H81" si="0">PMT(F18/12,G18*12,E18)</f>
        <v>-1939.5527972832565</v>
      </c>
    </row>
    <row r="19" spans="2:8" x14ac:dyDescent="0.3">
      <c r="B19">
        <v>3</v>
      </c>
      <c r="C19">
        <v>25055860</v>
      </c>
      <c r="D19" t="s">
        <v>3</v>
      </c>
      <c r="E19" s="2">
        <v>210000</v>
      </c>
      <c r="F19" s="1">
        <v>6.1424733534152585E-2</v>
      </c>
      <c r="G19">
        <v>20</v>
      </c>
      <c r="H19" s="6">
        <f t="shared" si="0"/>
        <v>-1521.8167990007571</v>
      </c>
    </row>
    <row r="20" spans="2:8" x14ac:dyDescent="0.3">
      <c r="B20">
        <v>4</v>
      </c>
      <c r="C20">
        <v>61173887</v>
      </c>
      <c r="D20" t="s">
        <v>3</v>
      </c>
      <c r="E20" s="2">
        <v>120000</v>
      </c>
      <c r="F20" s="1">
        <v>6.9916583821802616E-2</v>
      </c>
      <c r="G20">
        <v>30</v>
      </c>
      <c r="H20" s="6">
        <f t="shared" si="0"/>
        <v>-797.69084311639654</v>
      </c>
    </row>
    <row r="21" spans="2:8" x14ac:dyDescent="0.3">
      <c r="B21">
        <v>5</v>
      </c>
      <c r="C21">
        <v>51398733</v>
      </c>
      <c r="D21" t="s">
        <v>3</v>
      </c>
      <c r="E21" s="2">
        <v>350000</v>
      </c>
      <c r="F21" s="1">
        <v>5.0134005155326899E-2</v>
      </c>
      <c r="G21">
        <v>20</v>
      </c>
      <c r="H21" s="6">
        <f t="shared" si="0"/>
        <v>-2312.4368284914549</v>
      </c>
    </row>
    <row r="22" spans="2:8" x14ac:dyDescent="0.3">
      <c r="B22">
        <v>6</v>
      </c>
      <c r="C22">
        <v>76906141</v>
      </c>
      <c r="D22" t="s">
        <v>3</v>
      </c>
      <c r="E22" s="2">
        <v>220000</v>
      </c>
      <c r="F22" s="1">
        <v>4.2786225749490842E-2</v>
      </c>
      <c r="G22">
        <v>10</v>
      </c>
      <c r="H22" s="6">
        <f t="shared" si="0"/>
        <v>-2256.6410339925496</v>
      </c>
    </row>
    <row r="23" spans="2:8" x14ac:dyDescent="0.3">
      <c r="B23">
        <v>7</v>
      </c>
      <c r="C23">
        <v>49304139</v>
      </c>
      <c r="D23" t="s">
        <v>3</v>
      </c>
      <c r="E23" s="2">
        <v>330000</v>
      </c>
      <c r="F23" s="1">
        <v>7.9882925276980848E-2</v>
      </c>
      <c r="G23">
        <v>10</v>
      </c>
      <c r="H23" s="6">
        <f t="shared" si="0"/>
        <v>-4001.7694462201434</v>
      </c>
    </row>
    <row r="24" spans="2:8" x14ac:dyDescent="0.3">
      <c r="B24">
        <v>8</v>
      </c>
      <c r="C24">
        <v>23473039</v>
      </c>
      <c r="D24" t="s">
        <v>3</v>
      </c>
      <c r="E24" s="2">
        <v>160000</v>
      </c>
      <c r="F24" s="1">
        <v>3.7834646761219816E-2</v>
      </c>
      <c r="G24">
        <v>30</v>
      </c>
      <c r="H24" s="6">
        <f t="shared" si="0"/>
        <v>-744.02648275288288</v>
      </c>
    </row>
    <row r="25" spans="2:8" x14ac:dyDescent="0.3">
      <c r="B25">
        <v>9</v>
      </c>
      <c r="C25">
        <v>53651842</v>
      </c>
      <c r="D25" t="s">
        <v>3</v>
      </c>
      <c r="E25" s="2">
        <v>370000</v>
      </c>
      <c r="F25" s="1">
        <v>5.6469996936378344E-2</v>
      </c>
      <c r="G25">
        <v>30</v>
      </c>
      <c r="H25" s="6">
        <f t="shared" si="0"/>
        <v>-2135.0707200458078</v>
      </c>
    </row>
    <row r="26" spans="2:8" x14ac:dyDescent="0.3">
      <c r="B26">
        <v>10</v>
      </c>
      <c r="C26">
        <v>77159777</v>
      </c>
      <c r="D26" t="s">
        <v>3</v>
      </c>
      <c r="E26" s="2">
        <v>240000</v>
      </c>
      <c r="F26" s="1">
        <v>5.6715626593494835E-2</v>
      </c>
      <c r="G26">
        <v>30</v>
      </c>
      <c r="H26" s="6">
        <f t="shared" si="0"/>
        <v>-1388.6390205991597</v>
      </c>
    </row>
    <row r="27" spans="2:8" x14ac:dyDescent="0.3">
      <c r="B27">
        <v>11</v>
      </c>
      <c r="C27">
        <v>66573753</v>
      </c>
      <c r="D27" t="s">
        <v>3</v>
      </c>
      <c r="E27" s="2">
        <v>240000</v>
      </c>
      <c r="F27" s="1">
        <v>4.0215407626109097E-2</v>
      </c>
      <c r="G27">
        <v>30</v>
      </c>
      <c r="H27" s="6">
        <f t="shared" si="0"/>
        <v>-1148.7791567926149</v>
      </c>
    </row>
    <row r="28" spans="2:8" x14ac:dyDescent="0.3">
      <c r="B28">
        <v>12</v>
      </c>
      <c r="C28">
        <v>35312476</v>
      </c>
      <c r="D28" t="s">
        <v>3</v>
      </c>
      <c r="E28" s="2">
        <v>120000</v>
      </c>
      <c r="F28" s="1">
        <v>8.3860466435509498E-2</v>
      </c>
      <c r="G28">
        <v>10</v>
      </c>
      <c r="H28" s="6">
        <f t="shared" si="0"/>
        <v>-1480.5247973648513</v>
      </c>
    </row>
    <row r="29" spans="2:8" x14ac:dyDescent="0.3">
      <c r="B29">
        <v>13</v>
      </c>
      <c r="C29">
        <v>95991315</v>
      </c>
      <c r="D29" t="s">
        <v>3</v>
      </c>
      <c r="E29" s="2">
        <v>150000</v>
      </c>
      <c r="F29" s="1">
        <v>3.5523380678162242E-2</v>
      </c>
      <c r="G29">
        <v>20</v>
      </c>
      <c r="H29" s="6">
        <f t="shared" si="0"/>
        <v>-873.97914438024759</v>
      </c>
    </row>
    <row r="30" spans="2:8" x14ac:dyDescent="0.3">
      <c r="B30">
        <v>14</v>
      </c>
      <c r="C30">
        <v>30278425</v>
      </c>
      <c r="D30" t="s">
        <v>3</v>
      </c>
      <c r="E30" s="2">
        <v>100000</v>
      </c>
      <c r="F30" s="1">
        <v>3.6067921361398102E-2</v>
      </c>
      <c r="G30">
        <v>20</v>
      </c>
      <c r="H30" s="6">
        <f t="shared" si="0"/>
        <v>-585.46233413051527</v>
      </c>
    </row>
    <row r="31" spans="2:8" x14ac:dyDescent="0.3">
      <c r="B31">
        <v>15</v>
      </c>
      <c r="C31">
        <v>89078715</v>
      </c>
      <c r="D31" t="s">
        <v>3</v>
      </c>
      <c r="E31" s="2">
        <v>210000</v>
      </c>
      <c r="F31" s="1">
        <v>2.0976206387454444E-2</v>
      </c>
      <c r="G31">
        <v>10</v>
      </c>
      <c r="H31" s="6">
        <f t="shared" si="0"/>
        <v>-1941.4772703169913</v>
      </c>
    </row>
    <row r="32" spans="2:8" x14ac:dyDescent="0.3">
      <c r="B32">
        <v>16</v>
      </c>
      <c r="C32">
        <v>66655583</v>
      </c>
      <c r="D32" t="s">
        <v>3</v>
      </c>
      <c r="E32" s="2">
        <v>390000</v>
      </c>
      <c r="F32" s="1">
        <v>7.3061166730698637E-2</v>
      </c>
      <c r="G32">
        <v>10</v>
      </c>
      <c r="H32" s="6">
        <f t="shared" si="0"/>
        <v>-4589.999762786163</v>
      </c>
    </row>
    <row r="33" spans="2:8" x14ac:dyDescent="0.3">
      <c r="B33">
        <v>17</v>
      </c>
      <c r="C33">
        <v>23457613</v>
      </c>
      <c r="D33" t="s">
        <v>3</v>
      </c>
      <c r="E33" s="2">
        <v>240000</v>
      </c>
      <c r="F33" s="1">
        <v>2.7097694596205285E-2</v>
      </c>
      <c r="G33">
        <v>20</v>
      </c>
      <c r="H33" s="6">
        <f t="shared" si="0"/>
        <v>-1296.4355820821277</v>
      </c>
    </row>
    <row r="34" spans="2:8" x14ac:dyDescent="0.3">
      <c r="B34">
        <v>18</v>
      </c>
      <c r="C34">
        <v>68418670</v>
      </c>
      <c r="D34" t="s">
        <v>3</v>
      </c>
      <c r="E34" s="2">
        <v>280000</v>
      </c>
      <c r="F34" s="1">
        <v>2.5842605502086724E-2</v>
      </c>
      <c r="G34">
        <v>20</v>
      </c>
      <c r="H34" s="6">
        <f t="shared" si="0"/>
        <v>-1495.248625286298</v>
      </c>
    </row>
    <row r="35" spans="2:8" x14ac:dyDescent="0.3">
      <c r="B35">
        <v>19</v>
      </c>
      <c r="C35">
        <v>77337678</v>
      </c>
      <c r="D35" t="s">
        <v>3</v>
      </c>
      <c r="E35" s="2">
        <v>310000</v>
      </c>
      <c r="F35" s="1">
        <v>2.7655486798436463E-2</v>
      </c>
      <c r="G35">
        <v>20</v>
      </c>
      <c r="H35" s="6">
        <f t="shared" si="0"/>
        <v>-1683.0972026395843</v>
      </c>
    </row>
    <row r="36" spans="2:8" x14ac:dyDescent="0.3">
      <c r="B36">
        <v>20</v>
      </c>
      <c r="C36">
        <v>66901329</v>
      </c>
      <c r="D36" t="s">
        <v>3</v>
      </c>
      <c r="E36" s="2">
        <v>300000</v>
      </c>
      <c r="F36" s="1">
        <v>8.0418748029822365E-2</v>
      </c>
      <c r="G36">
        <v>20</v>
      </c>
      <c r="H36" s="6">
        <f t="shared" si="0"/>
        <v>-2517.1441496255266</v>
      </c>
    </row>
    <row r="37" spans="2:8" x14ac:dyDescent="0.3">
      <c r="B37">
        <v>21</v>
      </c>
      <c r="C37">
        <v>14201616</v>
      </c>
      <c r="D37" t="s">
        <v>3</v>
      </c>
      <c r="E37" s="2">
        <v>200000</v>
      </c>
      <c r="F37" s="1">
        <v>3.8827805000615556E-2</v>
      </c>
      <c r="G37">
        <v>10</v>
      </c>
      <c r="H37" s="6">
        <f t="shared" si="0"/>
        <v>-2013.7795253375859</v>
      </c>
    </row>
    <row r="38" spans="2:8" x14ac:dyDescent="0.3">
      <c r="B38">
        <v>22</v>
      </c>
      <c r="C38">
        <v>33480177</v>
      </c>
      <c r="D38" t="s">
        <v>3</v>
      </c>
      <c r="E38" s="2">
        <v>340000</v>
      </c>
      <c r="F38" s="1">
        <v>4.0557152115227098E-2</v>
      </c>
      <c r="G38">
        <v>20</v>
      </c>
      <c r="H38" s="6">
        <f t="shared" si="0"/>
        <v>-2070.3285625997696</v>
      </c>
    </row>
    <row r="39" spans="2:8" x14ac:dyDescent="0.3">
      <c r="B39">
        <v>23</v>
      </c>
      <c r="C39">
        <v>29381592</v>
      </c>
      <c r="D39" t="s">
        <v>3</v>
      </c>
      <c r="E39" s="2">
        <v>360000</v>
      </c>
      <c r="F39" s="1">
        <v>7.5597074524101956E-2</v>
      </c>
      <c r="G39">
        <v>10</v>
      </c>
      <c r="H39" s="6">
        <f t="shared" si="0"/>
        <v>-4284.4905459633765</v>
      </c>
    </row>
    <row r="40" spans="2:8" x14ac:dyDescent="0.3">
      <c r="B40">
        <v>24</v>
      </c>
      <c r="C40">
        <v>50137533</v>
      </c>
      <c r="D40" t="s">
        <v>3</v>
      </c>
      <c r="E40" s="2">
        <v>320000</v>
      </c>
      <c r="F40" s="1">
        <v>3.5673924310420199E-2</v>
      </c>
      <c r="G40">
        <v>30</v>
      </c>
      <c r="H40" s="6">
        <f t="shared" si="0"/>
        <v>-1449.008116844846</v>
      </c>
    </row>
    <row r="41" spans="2:8" x14ac:dyDescent="0.3">
      <c r="B41">
        <v>25</v>
      </c>
      <c r="C41">
        <v>52137527</v>
      </c>
      <c r="D41" t="s">
        <v>3</v>
      </c>
      <c r="E41" s="2">
        <v>350000</v>
      </c>
      <c r="F41" s="1">
        <v>6.0639301234321812E-2</v>
      </c>
      <c r="G41">
        <v>20</v>
      </c>
      <c r="H41" s="6">
        <f t="shared" si="0"/>
        <v>-2520.4343866910913</v>
      </c>
    </row>
    <row r="42" spans="2:8" x14ac:dyDescent="0.3">
      <c r="B42">
        <v>26</v>
      </c>
      <c r="C42">
        <v>49565781</v>
      </c>
      <c r="D42" t="s">
        <v>3</v>
      </c>
      <c r="E42" s="2">
        <v>170000</v>
      </c>
      <c r="F42" s="1">
        <v>3.5562170293429965E-2</v>
      </c>
      <c r="G42">
        <v>10</v>
      </c>
      <c r="H42" s="6">
        <f t="shared" si="0"/>
        <v>-1685.5402859385708</v>
      </c>
    </row>
    <row r="43" spans="2:8" x14ac:dyDescent="0.3">
      <c r="B43">
        <v>27</v>
      </c>
      <c r="C43">
        <v>49446589</v>
      </c>
      <c r="D43" t="s">
        <v>3</v>
      </c>
      <c r="E43" s="2">
        <v>380000</v>
      </c>
      <c r="F43" s="1">
        <v>4.3455090449965803E-2</v>
      </c>
      <c r="G43">
        <v>30</v>
      </c>
      <c r="H43" s="6">
        <f t="shared" si="0"/>
        <v>-1890.6798699800634</v>
      </c>
    </row>
    <row r="44" spans="2:8" x14ac:dyDescent="0.3">
      <c r="B44">
        <v>28</v>
      </c>
      <c r="C44">
        <v>67342178</v>
      </c>
      <c r="D44" t="s">
        <v>3</v>
      </c>
      <c r="E44" s="2">
        <v>350000</v>
      </c>
      <c r="F44" s="1">
        <v>3.2696780273888046E-2</v>
      </c>
      <c r="G44">
        <v>20</v>
      </c>
      <c r="H44" s="6">
        <f t="shared" si="0"/>
        <v>-1988.6805492732656</v>
      </c>
    </row>
    <row r="45" spans="2:8" x14ac:dyDescent="0.3">
      <c r="B45">
        <v>29</v>
      </c>
      <c r="C45">
        <v>97679083</v>
      </c>
      <c r="D45" t="s">
        <v>3</v>
      </c>
      <c r="E45" s="2">
        <v>370000</v>
      </c>
      <c r="F45" s="1">
        <v>7.8578878041267147E-2</v>
      </c>
      <c r="G45">
        <v>10</v>
      </c>
      <c r="H45" s="6">
        <f t="shared" si="0"/>
        <v>-4461.3851306356137</v>
      </c>
    </row>
    <row r="46" spans="2:8" x14ac:dyDescent="0.3">
      <c r="B46">
        <v>30</v>
      </c>
      <c r="C46">
        <v>51105403</v>
      </c>
      <c r="D46" t="s">
        <v>3</v>
      </c>
      <c r="E46" s="2">
        <v>210000</v>
      </c>
      <c r="F46" s="1">
        <v>6.4614921853092214E-2</v>
      </c>
      <c r="G46">
        <v>20</v>
      </c>
      <c r="H46" s="6">
        <f t="shared" si="0"/>
        <v>-1560.9463857623168</v>
      </c>
    </row>
    <row r="47" spans="2:8" x14ac:dyDescent="0.3">
      <c r="B47">
        <v>31</v>
      </c>
      <c r="C47">
        <v>33064297</v>
      </c>
      <c r="D47" t="s">
        <v>3</v>
      </c>
      <c r="E47" s="2">
        <v>100000</v>
      </c>
      <c r="F47" s="1">
        <v>6.2879825673857012E-2</v>
      </c>
      <c r="G47">
        <v>10</v>
      </c>
      <c r="H47" s="6">
        <f t="shared" si="0"/>
        <v>-1124.7219318772229</v>
      </c>
    </row>
    <row r="48" spans="2:8" x14ac:dyDescent="0.3">
      <c r="B48">
        <v>32</v>
      </c>
      <c r="C48">
        <v>91324062</v>
      </c>
      <c r="D48" t="s">
        <v>3</v>
      </c>
      <c r="E48" s="2">
        <v>250000</v>
      </c>
      <c r="F48" s="1">
        <v>5.8930108641721893E-2</v>
      </c>
      <c r="G48">
        <v>30</v>
      </c>
      <c r="H48" s="6">
        <f t="shared" si="0"/>
        <v>-1481.7234013926939</v>
      </c>
    </row>
    <row r="49" spans="2:8" x14ac:dyDescent="0.3">
      <c r="B49">
        <v>33</v>
      </c>
      <c r="C49">
        <v>65209293</v>
      </c>
      <c r="D49" t="s">
        <v>3</v>
      </c>
      <c r="E49" s="2">
        <v>450000</v>
      </c>
      <c r="F49" s="1">
        <v>2.7558682360886048E-2</v>
      </c>
      <c r="G49">
        <v>30</v>
      </c>
      <c r="H49" s="6">
        <f t="shared" si="0"/>
        <v>-1838.4843521166476</v>
      </c>
    </row>
    <row r="50" spans="2:8" x14ac:dyDescent="0.3">
      <c r="B50">
        <v>34</v>
      </c>
      <c r="C50">
        <v>14033138</v>
      </c>
      <c r="D50" t="s">
        <v>3</v>
      </c>
      <c r="E50" s="2">
        <v>380000</v>
      </c>
      <c r="F50" s="1">
        <v>7.7750119768659212E-2</v>
      </c>
      <c r="G50">
        <v>10</v>
      </c>
      <c r="H50" s="6">
        <f t="shared" si="0"/>
        <v>-4565.3970033060141</v>
      </c>
    </row>
    <row r="51" spans="2:8" x14ac:dyDescent="0.3">
      <c r="B51">
        <v>35</v>
      </c>
      <c r="C51">
        <v>88766432</v>
      </c>
      <c r="D51" t="s">
        <v>3</v>
      </c>
      <c r="E51" s="2">
        <v>360000</v>
      </c>
      <c r="F51" s="1">
        <v>3.8020196364644765E-2</v>
      </c>
      <c r="G51">
        <v>20</v>
      </c>
      <c r="H51" s="6">
        <f t="shared" si="0"/>
        <v>-2144.156616038792</v>
      </c>
    </row>
    <row r="52" spans="2:8" x14ac:dyDescent="0.3">
      <c r="B52">
        <v>36</v>
      </c>
      <c r="C52">
        <v>95868629</v>
      </c>
      <c r="D52" t="s">
        <v>3</v>
      </c>
      <c r="E52" s="2">
        <v>320000</v>
      </c>
      <c r="F52" s="1">
        <v>6.5925739900995997E-2</v>
      </c>
      <c r="G52">
        <v>10</v>
      </c>
      <c r="H52" s="6">
        <f t="shared" si="0"/>
        <v>-3648.6260665192822</v>
      </c>
    </row>
    <row r="53" spans="2:8" x14ac:dyDescent="0.3">
      <c r="B53">
        <v>37</v>
      </c>
      <c r="C53">
        <v>58492506</v>
      </c>
      <c r="D53" t="s">
        <v>3</v>
      </c>
      <c r="E53" s="2">
        <v>160000</v>
      </c>
      <c r="F53" s="1">
        <v>4.1853063215998632E-2</v>
      </c>
      <c r="G53">
        <v>30</v>
      </c>
      <c r="H53" s="6">
        <f t="shared" si="0"/>
        <v>-781.05591764247345</v>
      </c>
    </row>
    <row r="54" spans="2:8" x14ac:dyDescent="0.3">
      <c r="B54">
        <v>38</v>
      </c>
      <c r="C54">
        <v>13713998</v>
      </c>
      <c r="D54" t="s">
        <v>3</v>
      </c>
      <c r="E54" s="2">
        <v>140000</v>
      </c>
      <c r="F54" s="1">
        <v>2.966497552361293E-2</v>
      </c>
      <c r="G54">
        <v>30</v>
      </c>
      <c r="H54" s="6">
        <f t="shared" si="0"/>
        <v>-587.71904292656291</v>
      </c>
    </row>
    <row r="55" spans="2:8" x14ac:dyDescent="0.3">
      <c r="B55">
        <v>39</v>
      </c>
      <c r="C55">
        <v>84177304</v>
      </c>
      <c r="D55" t="s">
        <v>3</v>
      </c>
      <c r="E55" s="2">
        <v>320000</v>
      </c>
      <c r="F55" s="1">
        <v>8.1731961592310012E-2</v>
      </c>
      <c r="G55">
        <v>20</v>
      </c>
      <c r="H55" s="6">
        <f t="shared" si="0"/>
        <v>-2711.2034857582971</v>
      </c>
    </row>
    <row r="56" spans="2:8" x14ac:dyDescent="0.3">
      <c r="B56">
        <v>40</v>
      </c>
      <c r="C56">
        <v>12588878</v>
      </c>
      <c r="D56" t="s">
        <v>3</v>
      </c>
      <c r="E56" s="2">
        <v>400000</v>
      </c>
      <c r="F56" s="1">
        <v>2.3124063876185742E-2</v>
      </c>
      <c r="G56">
        <v>30</v>
      </c>
      <c r="H56" s="6">
        <f t="shared" si="0"/>
        <v>-1541.7473542373507</v>
      </c>
    </row>
    <row r="57" spans="2:8" x14ac:dyDescent="0.3">
      <c r="B57">
        <v>41</v>
      </c>
      <c r="C57">
        <v>59421574</v>
      </c>
      <c r="D57" t="s">
        <v>3</v>
      </c>
      <c r="E57" s="2">
        <v>100000</v>
      </c>
      <c r="F57" s="1">
        <v>6.2115111893552351E-2</v>
      </c>
      <c r="G57">
        <v>20</v>
      </c>
      <c r="H57" s="6">
        <f t="shared" si="0"/>
        <v>-728.68662035775344</v>
      </c>
    </row>
    <row r="58" spans="2:8" x14ac:dyDescent="0.3">
      <c r="B58">
        <v>42</v>
      </c>
      <c r="C58">
        <v>79015075</v>
      </c>
      <c r="D58" t="s">
        <v>3</v>
      </c>
      <c r="E58" s="2">
        <v>260000</v>
      </c>
      <c r="F58" s="1">
        <v>2.4795470508067418E-2</v>
      </c>
      <c r="G58">
        <v>10</v>
      </c>
      <c r="H58" s="6">
        <f t="shared" si="0"/>
        <v>-2448.6000303478299</v>
      </c>
    </row>
    <row r="59" spans="2:8" x14ac:dyDescent="0.3">
      <c r="B59">
        <v>43</v>
      </c>
      <c r="C59">
        <v>19354278</v>
      </c>
      <c r="D59" t="s">
        <v>3</v>
      </c>
      <c r="E59" s="2">
        <v>180000</v>
      </c>
      <c r="F59" s="1">
        <v>6.2624385664536333E-2</v>
      </c>
      <c r="G59">
        <v>10</v>
      </c>
      <c r="H59" s="6">
        <f t="shared" si="0"/>
        <v>-2022.1737064684473</v>
      </c>
    </row>
    <row r="60" spans="2:8" x14ac:dyDescent="0.3">
      <c r="B60">
        <v>44</v>
      </c>
      <c r="C60">
        <v>19728173</v>
      </c>
      <c r="D60" t="s">
        <v>3</v>
      </c>
      <c r="E60" s="2">
        <v>240000</v>
      </c>
      <c r="F60" s="1">
        <v>8.8685443767959421E-2</v>
      </c>
      <c r="G60">
        <v>20</v>
      </c>
      <c r="H60" s="6">
        <f t="shared" si="0"/>
        <v>-2139.0935536794937</v>
      </c>
    </row>
    <row r="61" spans="2:8" x14ac:dyDescent="0.3">
      <c r="B61">
        <v>45</v>
      </c>
      <c r="C61">
        <v>71380476</v>
      </c>
      <c r="D61" t="s">
        <v>3</v>
      </c>
      <c r="E61" s="2">
        <v>400000</v>
      </c>
      <c r="F61" s="1">
        <v>2.8536155301216861E-2</v>
      </c>
      <c r="G61">
        <v>30</v>
      </c>
      <c r="H61" s="6">
        <f t="shared" si="0"/>
        <v>-1655.0012718596352</v>
      </c>
    </row>
    <row r="62" spans="2:8" x14ac:dyDescent="0.3">
      <c r="B62">
        <v>46</v>
      </c>
      <c r="C62">
        <v>53758029</v>
      </c>
      <c r="D62" t="s">
        <v>3</v>
      </c>
      <c r="E62" s="2">
        <v>230000</v>
      </c>
      <c r="F62" s="1">
        <v>6.4588054143448148E-2</v>
      </c>
      <c r="G62">
        <v>20</v>
      </c>
      <c r="H62" s="6">
        <f t="shared" si="0"/>
        <v>-1709.2447127954504</v>
      </c>
    </row>
    <row r="63" spans="2:8" x14ac:dyDescent="0.3">
      <c r="B63">
        <v>47</v>
      </c>
      <c r="C63">
        <v>74930308</v>
      </c>
      <c r="D63" t="s">
        <v>3</v>
      </c>
      <c r="E63" s="2">
        <v>140000</v>
      </c>
      <c r="F63" s="1">
        <v>4.0821913483801812E-2</v>
      </c>
      <c r="G63">
        <v>30</v>
      </c>
      <c r="H63" s="6">
        <f t="shared" si="0"/>
        <v>-675.03220560611874</v>
      </c>
    </row>
    <row r="64" spans="2:8" x14ac:dyDescent="0.3">
      <c r="B64">
        <v>48</v>
      </c>
      <c r="C64">
        <v>82635844</v>
      </c>
      <c r="D64" t="s">
        <v>3</v>
      </c>
      <c r="E64" s="2">
        <v>90000</v>
      </c>
      <c r="F64" s="1">
        <v>8.0194103559907345E-2</v>
      </c>
      <c r="G64">
        <v>20</v>
      </c>
      <c r="H64" s="6">
        <f t="shared" si="0"/>
        <v>-753.8836385245346</v>
      </c>
    </row>
    <row r="65" spans="2:8" x14ac:dyDescent="0.3">
      <c r="B65">
        <v>49</v>
      </c>
      <c r="C65">
        <v>38909064</v>
      </c>
      <c r="D65" t="s">
        <v>3</v>
      </c>
      <c r="E65" s="2">
        <v>420000</v>
      </c>
      <c r="F65" s="1">
        <v>2.2996447985654003E-2</v>
      </c>
      <c r="G65">
        <v>10</v>
      </c>
      <c r="H65" s="6">
        <f t="shared" si="0"/>
        <v>-3921.1865201602018</v>
      </c>
    </row>
    <row r="66" spans="2:8" x14ac:dyDescent="0.3">
      <c r="B66">
        <v>50</v>
      </c>
      <c r="C66">
        <v>98808855</v>
      </c>
      <c r="D66" t="s">
        <v>3</v>
      </c>
      <c r="E66" s="2">
        <v>200000</v>
      </c>
      <c r="F66" s="1">
        <v>2.5277016412276896E-2</v>
      </c>
      <c r="G66">
        <v>10</v>
      </c>
      <c r="H66" s="6">
        <f t="shared" si="0"/>
        <v>-1887.9184579969824</v>
      </c>
    </row>
    <row r="67" spans="2:8" x14ac:dyDescent="0.3">
      <c r="B67">
        <v>51</v>
      </c>
      <c r="C67">
        <v>26667365</v>
      </c>
      <c r="D67" t="s">
        <v>3</v>
      </c>
      <c r="E67" s="2">
        <v>130000</v>
      </c>
      <c r="F67" s="1">
        <v>5.6232150677562931E-2</v>
      </c>
      <c r="G67">
        <v>10</v>
      </c>
      <c r="H67" s="6">
        <f t="shared" si="0"/>
        <v>-1418.7918010041205</v>
      </c>
    </row>
    <row r="68" spans="2:8" x14ac:dyDescent="0.3">
      <c r="B68">
        <v>52</v>
      </c>
      <c r="C68">
        <v>80880818</v>
      </c>
      <c r="D68" t="s">
        <v>3</v>
      </c>
      <c r="E68" s="2">
        <v>120000</v>
      </c>
      <c r="F68" s="1">
        <v>5.6587380060444684E-2</v>
      </c>
      <c r="G68">
        <v>10</v>
      </c>
      <c r="H68" s="6">
        <f t="shared" si="0"/>
        <v>-1311.7742239228342</v>
      </c>
    </row>
    <row r="69" spans="2:8" x14ac:dyDescent="0.3">
      <c r="B69">
        <v>53</v>
      </c>
      <c r="C69">
        <v>81807183</v>
      </c>
      <c r="D69" t="s">
        <v>3</v>
      </c>
      <c r="E69" s="2">
        <v>120000</v>
      </c>
      <c r="F69" s="1">
        <v>7.250452793744129E-2</v>
      </c>
      <c r="G69">
        <v>30</v>
      </c>
      <c r="H69" s="6">
        <f t="shared" si="0"/>
        <v>-818.64839053490459</v>
      </c>
    </row>
    <row r="70" spans="2:8" x14ac:dyDescent="0.3">
      <c r="B70">
        <v>54</v>
      </c>
      <c r="C70">
        <v>14611483</v>
      </c>
      <c r="D70" t="s">
        <v>3</v>
      </c>
      <c r="E70" s="2">
        <v>150000</v>
      </c>
      <c r="F70" s="1">
        <v>7.2752652226458867E-2</v>
      </c>
      <c r="G70">
        <v>20</v>
      </c>
      <c r="H70" s="6">
        <f t="shared" si="0"/>
        <v>-1187.8612740753533</v>
      </c>
    </row>
    <row r="71" spans="2:8" x14ac:dyDescent="0.3">
      <c r="B71">
        <v>55</v>
      </c>
      <c r="C71">
        <v>97257211</v>
      </c>
      <c r="D71" t="s">
        <v>3</v>
      </c>
      <c r="E71" s="2">
        <v>90000</v>
      </c>
      <c r="F71" s="1">
        <v>4.7155846847419934E-2</v>
      </c>
      <c r="G71">
        <v>30</v>
      </c>
      <c r="H71" s="6">
        <f t="shared" si="0"/>
        <v>-467.61745240145035</v>
      </c>
    </row>
    <row r="72" spans="2:8" x14ac:dyDescent="0.3">
      <c r="B72">
        <v>56</v>
      </c>
      <c r="C72">
        <v>94915980</v>
      </c>
      <c r="D72" t="s">
        <v>3</v>
      </c>
      <c r="E72" s="2">
        <v>310000</v>
      </c>
      <c r="F72" s="1">
        <v>3.5647185007364517E-2</v>
      </c>
      <c r="G72">
        <v>10</v>
      </c>
      <c r="H72" s="6">
        <f t="shared" si="0"/>
        <v>-3074.8690260412382</v>
      </c>
    </row>
    <row r="73" spans="2:8" x14ac:dyDescent="0.3">
      <c r="B73">
        <v>57</v>
      </c>
      <c r="C73">
        <v>16798870</v>
      </c>
      <c r="D73" t="s">
        <v>3</v>
      </c>
      <c r="E73" s="2">
        <v>270000</v>
      </c>
      <c r="F73" s="1">
        <v>3.8124204390776455E-2</v>
      </c>
      <c r="G73">
        <v>30</v>
      </c>
      <c r="H73" s="6">
        <f t="shared" si="0"/>
        <v>-1259.9946484214199</v>
      </c>
    </row>
    <row r="74" spans="2:8" x14ac:dyDescent="0.3">
      <c r="B74">
        <v>58</v>
      </c>
      <c r="C74">
        <v>78996690</v>
      </c>
      <c r="D74" t="s">
        <v>3</v>
      </c>
      <c r="E74" s="2">
        <v>280000</v>
      </c>
      <c r="F74" s="1">
        <v>8.3762295006845983E-2</v>
      </c>
      <c r="G74">
        <v>30</v>
      </c>
      <c r="H74" s="6">
        <f t="shared" si="0"/>
        <v>-2128.4452821872769</v>
      </c>
    </row>
    <row r="75" spans="2:8" x14ac:dyDescent="0.3">
      <c r="B75">
        <v>59</v>
      </c>
      <c r="C75">
        <v>12860906</v>
      </c>
      <c r="D75" t="s">
        <v>3</v>
      </c>
      <c r="E75" s="2">
        <v>80000</v>
      </c>
      <c r="F75" s="1">
        <v>8.3028447544266887E-2</v>
      </c>
      <c r="G75">
        <v>10</v>
      </c>
      <c r="H75" s="6">
        <f t="shared" si="0"/>
        <v>-983.46990744473135</v>
      </c>
    </row>
    <row r="76" spans="2:8" x14ac:dyDescent="0.3">
      <c r="B76">
        <v>60</v>
      </c>
      <c r="C76">
        <v>24261168</v>
      </c>
      <c r="D76" t="s">
        <v>3</v>
      </c>
      <c r="E76" s="2">
        <v>100000</v>
      </c>
      <c r="F76" s="1">
        <v>3.2246080585092513E-2</v>
      </c>
      <c r="G76">
        <v>10</v>
      </c>
      <c r="H76" s="6">
        <f t="shared" si="0"/>
        <v>-976.00994049914834</v>
      </c>
    </row>
    <row r="77" spans="2:8" x14ac:dyDescent="0.3">
      <c r="B77">
        <v>61</v>
      </c>
      <c r="C77">
        <v>61297822</v>
      </c>
      <c r="D77" t="s">
        <v>3</v>
      </c>
      <c r="E77" s="2">
        <v>100000</v>
      </c>
      <c r="F77" s="1">
        <v>5.3983098508402307E-2</v>
      </c>
      <c r="G77">
        <v>30</v>
      </c>
      <c r="H77" s="6">
        <f t="shared" si="0"/>
        <v>-561.42529354833619</v>
      </c>
    </row>
    <row r="78" spans="2:8" x14ac:dyDescent="0.3">
      <c r="B78">
        <v>62</v>
      </c>
      <c r="C78">
        <v>25037514</v>
      </c>
      <c r="D78" t="s">
        <v>3</v>
      </c>
      <c r="E78" s="2">
        <v>380000</v>
      </c>
      <c r="F78" s="1">
        <v>6.6890959133402261E-2</v>
      </c>
      <c r="G78">
        <v>20</v>
      </c>
      <c r="H78" s="6">
        <f t="shared" si="0"/>
        <v>-2875.6399914511162</v>
      </c>
    </row>
    <row r="79" spans="2:8" x14ac:dyDescent="0.3">
      <c r="B79">
        <v>63</v>
      </c>
      <c r="C79">
        <v>64266143</v>
      </c>
      <c r="D79" t="s">
        <v>3</v>
      </c>
      <c r="E79" s="2">
        <v>150000</v>
      </c>
      <c r="F79" s="1">
        <v>2.4040124038044522E-2</v>
      </c>
      <c r="G79">
        <v>20</v>
      </c>
      <c r="H79" s="6">
        <f t="shared" si="0"/>
        <v>-787.85872743274172</v>
      </c>
    </row>
    <row r="80" spans="2:8" x14ac:dyDescent="0.3">
      <c r="B80">
        <v>64</v>
      </c>
      <c r="C80">
        <v>75089533</v>
      </c>
      <c r="D80" t="s">
        <v>2</v>
      </c>
      <c r="E80" s="2">
        <v>100000</v>
      </c>
      <c r="F80" s="1">
        <v>2.3500078758323658E-2</v>
      </c>
      <c r="G80">
        <v>30</v>
      </c>
      <c r="H80" s="6">
        <f t="shared" si="0"/>
        <v>-387.36679047648778</v>
      </c>
    </row>
    <row r="81" spans="2:8" x14ac:dyDescent="0.3">
      <c r="B81">
        <v>65</v>
      </c>
      <c r="C81">
        <v>91788629</v>
      </c>
      <c r="D81" t="s">
        <v>2</v>
      </c>
      <c r="E81" s="2">
        <v>390000</v>
      </c>
      <c r="F81" s="1">
        <v>6.6238204969847433E-2</v>
      </c>
      <c r="G81">
        <v>30</v>
      </c>
      <c r="H81" s="6">
        <f t="shared" si="0"/>
        <v>-2496.9085946625487</v>
      </c>
    </row>
    <row r="82" spans="2:8" x14ac:dyDescent="0.3">
      <c r="B82">
        <v>66</v>
      </c>
      <c r="C82">
        <v>93924899</v>
      </c>
      <c r="D82" t="s">
        <v>2</v>
      </c>
      <c r="E82" s="2">
        <v>260000</v>
      </c>
      <c r="F82" s="1">
        <v>8.8488321849944707E-2</v>
      </c>
      <c r="G82">
        <v>30</v>
      </c>
      <c r="H82" s="6">
        <f t="shared" ref="H82:H145" si="1">PMT(F82/12,G82*12,E82)</f>
        <v>-2063.8011239785942</v>
      </c>
    </row>
    <row r="83" spans="2:8" x14ac:dyDescent="0.3">
      <c r="B83">
        <v>67</v>
      </c>
      <c r="C83">
        <v>14685343</v>
      </c>
      <c r="D83" t="s">
        <v>2</v>
      </c>
      <c r="E83" s="2">
        <v>230000</v>
      </c>
      <c r="F83" s="1">
        <v>7.0071082298951745E-2</v>
      </c>
      <c r="G83">
        <v>30</v>
      </c>
      <c r="H83" s="6">
        <f t="shared" si="1"/>
        <v>-1531.293884883142</v>
      </c>
    </row>
    <row r="84" spans="2:8" x14ac:dyDescent="0.3">
      <c r="B84">
        <v>68</v>
      </c>
      <c r="C84">
        <v>46047163</v>
      </c>
      <c r="D84" t="s">
        <v>2</v>
      </c>
      <c r="E84" s="2">
        <v>180000</v>
      </c>
      <c r="F84" s="1">
        <v>6.9073868790080276E-2</v>
      </c>
      <c r="G84">
        <v>10</v>
      </c>
      <c r="H84" s="6">
        <f t="shared" si="1"/>
        <v>-2081.3710610219168</v>
      </c>
    </row>
    <row r="85" spans="2:8" x14ac:dyDescent="0.3">
      <c r="B85">
        <v>69</v>
      </c>
      <c r="C85">
        <v>21390949</v>
      </c>
      <c r="D85" t="s">
        <v>2</v>
      </c>
      <c r="E85" s="2">
        <v>420000</v>
      </c>
      <c r="F85" s="1">
        <v>8.6516783487079515E-2</v>
      </c>
      <c r="G85">
        <v>30</v>
      </c>
      <c r="H85" s="6">
        <f t="shared" si="1"/>
        <v>-3274.6923069116292</v>
      </c>
    </row>
    <row r="86" spans="2:8" x14ac:dyDescent="0.3">
      <c r="B86">
        <v>70</v>
      </c>
      <c r="C86">
        <v>86868306</v>
      </c>
      <c r="D86" t="s">
        <v>2</v>
      </c>
      <c r="E86" s="2">
        <v>220000</v>
      </c>
      <c r="F86" s="1">
        <v>5.9538523786275999E-2</v>
      </c>
      <c r="G86">
        <v>10</v>
      </c>
      <c r="H86" s="6">
        <f t="shared" si="1"/>
        <v>-2437.3558171598584</v>
      </c>
    </row>
    <row r="87" spans="2:8" x14ac:dyDescent="0.3">
      <c r="B87">
        <v>71</v>
      </c>
      <c r="C87">
        <v>16735695</v>
      </c>
      <c r="D87" t="s">
        <v>2</v>
      </c>
      <c r="E87" s="2">
        <v>290000</v>
      </c>
      <c r="F87" s="1">
        <v>3.7419614625481337E-2</v>
      </c>
      <c r="G87">
        <v>10</v>
      </c>
      <c r="H87" s="6">
        <f t="shared" si="1"/>
        <v>-2900.6762025728844</v>
      </c>
    </row>
    <row r="88" spans="2:8" x14ac:dyDescent="0.3">
      <c r="B88">
        <v>72</v>
      </c>
      <c r="C88">
        <v>46796012</v>
      </c>
      <c r="D88" t="s">
        <v>2</v>
      </c>
      <c r="E88" s="2">
        <v>90000</v>
      </c>
      <c r="F88" s="1">
        <v>3.9502545578306847E-2</v>
      </c>
      <c r="G88">
        <v>20</v>
      </c>
      <c r="H88" s="6">
        <f t="shared" si="1"/>
        <v>-543.02606512443833</v>
      </c>
    </row>
    <row r="89" spans="2:8" x14ac:dyDescent="0.3">
      <c r="B89">
        <v>73</v>
      </c>
      <c r="C89">
        <v>18909077</v>
      </c>
      <c r="D89" t="s">
        <v>2</v>
      </c>
      <c r="E89" s="2">
        <v>280000</v>
      </c>
      <c r="F89" s="1">
        <v>8.0913712050867476E-2</v>
      </c>
      <c r="G89">
        <v>10</v>
      </c>
      <c r="H89" s="6">
        <f t="shared" si="1"/>
        <v>-3410.7063010811376</v>
      </c>
    </row>
    <row r="90" spans="2:8" x14ac:dyDescent="0.3">
      <c r="B90">
        <v>74</v>
      </c>
      <c r="C90">
        <v>87247227</v>
      </c>
      <c r="D90" t="s">
        <v>2</v>
      </c>
      <c r="E90" s="2">
        <v>350000</v>
      </c>
      <c r="F90" s="1">
        <v>3.5787945697589502E-2</v>
      </c>
      <c r="G90">
        <v>30</v>
      </c>
      <c r="H90" s="6">
        <f t="shared" si="1"/>
        <v>-1587.0911310039264</v>
      </c>
    </row>
    <row r="91" spans="2:8" x14ac:dyDescent="0.3">
      <c r="B91">
        <v>75</v>
      </c>
      <c r="C91">
        <v>75779854</v>
      </c>
      <c r="D91" t="s">
        <v>2</v>
      </c>
      <c r="E91" s="2">
        <v>440000</v>
      </c>
      <c r="F91" s="1">
        <v>7.5454290205374391E-2</v>
      </c>
      <c r="G91">
        <v>30</v>
      </c>
      <c r="H91" s="6">
        <f t="shared" si="1"/>
        <v>-3090.2427562976304</v>
      </c>
    </row>
    <row r="92" spans="2:8" x14ac:dyDescent="0.3">
      <c r="B92">
        <v>76</v>
      </c>
      <c r="C92">
        <v>28343036</v>
      </c>
      <c r="D92" t="s">
        <v>2</v>
      </c>
      <c r="E92" s="2">
        <v>390000</v>
      </c>
      <c r="F92" s="1">
        <v>3.3529466107279624E-2</v>
      </c>
      <c r="G92">
        <v>20</v>
      </c>
      <c r="H92" s="6">
        <f t="shared" si="1"/>
        <v>-2232.4839059240298</v>
      </c>
    </row>
    <row r="93" spans="2:8" x14ac:dyDescent="0.3">
      <c r="B93">
        <v>77</v>
      </c>
      <c r="C93">
        <v>39275659</v>
      </c>
      <c r="D93" t="s">
        <v>2</v>
      </c>
      <c r="E93" s="2">
        <v>280000</v>
      </c>
      <c r="F93" s="1">
        <v>3.8174534059814809E-2</v>
      </c>
      <c r="G93">
        <v>20</v>
      </c>
      <c r="H93" s="6">
        <f t="shared" si="1"/>
        <v>-1669.9330862531151</v>
      </c>
    </row>
    <row r="94" spans="2:8" x14ac:dyDescent="0.3">
      <c r="B94">
        <v>78</v>
      </c>
      <c r="C94">
        <v>86619026</v>
      </c>
      <c r="D94" t="s">
        <v>2</v>
      </c>
      <c r="E94" s="2">
        <v>380000</v>
      </c>
      <c r="F94" s="1">
        <v>8.8639262942166508E-2</v>
      </c>
      <c r="G94">
        <v>30</v>
      </c>
      <c r="H94" s="6">
        <f t="shared" si="1"/>
        <v>-3020.4343909700733</v>
      </c>
    </row>
    <row r="95" spans="2:8" x14ac:dyDescent="0.3">
      <c r="B95">
        <v>79</v>
      </c>
      <c r="C95">
        <v>31354657</v>
      </c>
      <c r="D95" t="s">
        <v>2</v>
      </c>
      <c r="E95" s="2">
        <v>110000</v>
      </c>
      <c r="F95" s="1">
        <v>5.489254667303671E-2</v>
      </c>
      <c r="G95">
        <v>10</v>
      </c>
      <c r="H95" s="6">
        <f t="shared" si="1"/>
        <v>-1193.2034618023984</v>
      </c>
    </row>
    <row r="96" spans="2:8" x14ac:dyDescent="0.3">
      <c r="B96">
        <v>80</v>
      </c>
      <c r="C96">
        <v>87048847</v>
      </c>
      <c r="D96" t="s">
        <v>2</v>
      </c>
      <c r="E96" s="2">
        <v>380000</v>
      </c>
      <c r="F96" s="1">
        <v>7.5436353811503654E-2</v>
      </c>
      <c r="G96">
        <v>20</v>
      </c>
      <c r="H96" s="6">
        <f t="shared" si="1"/>
        <v>-3071.4010993646089</v>
      </c>
    </row>
    <row r="97" spans="2:8" x14ac:dyDescent="0.3">
      <c r="B97">
        <v>81</v>
      </c>
      <c r="C97">
        <v>35342493</v>
      </c>
      <c r="D97" t="s">
        <v>2</v>
      </c>
      <c r="E97" s="2">
        <v>370000</v>
      </c>
      <c r="F97" s="1">
        <v>4.4525794658394374E-2</v>
      </c>
      <c r="G97">
        <v>10</v>
      </c>
      <c r="H97" s="6">
        <f t="shared" si="1"/>
        <v>-3826.169015377312</v>
      </c>
    </row>
    <row r="98" spans="2:8" x14ac:dyDescent="0.3">
      <c r="B98">
        <v>82</v>
      </c>
      <c r="C98">
        <v>75556629</v>
      </c>
      <c r="D98" t="s">
        <v>2</v>
      </c>
      <c r="E98" s="2">
        <v>310000</v>
      </c>
      <c r="F98" s="1">
        <v>3.9359824408563691E-2</v>
      </c>
      <c r="G98">
        <v>30</v>
      </c>
      <c r="H98" s="6">
        <f t="shared" si="1"/>
        <v>-1468.5691609622631</v>
      </c>
    </row>
    <row r="99" spans="2:8" x14ac:dyDescent="0.3">
      <c r="B99">
        <v>83</v>
      </c>
      <c r="C99">
        <v>87177391</v>
      </c>
      <c r="D99" t="s">
        <v>2</v>
      </c>
      <c r="E99" s="2">
        <v>360000</v>
      </c>
      <c r="F99" s="1">
        <v>6.9952886514902876E-2</v>
      </c>
      <c r="G99">
        <v>20</v>
      </c>
      <c r="H99" s="6">
        <f t="shared" si="1"/>
        <v>-2790.058179585259</v>
      </c>
    </row>
    <row r="100" spans="2:8" x14ac:dyDescent="0.3">
      <c r="B100">
        <v>84</v>
      </c>
      <c r="C100">
        <v>70455980</v>
      </c>
      <c r="D100" t="s">
        <v>2</v>
      </c>
      <c r="E100" s="2">
        <v>360000</v>
      </c>
      <c r="F100" s="1">
        <v>2.6369708310845265E-2</v>
      </c>
      <c r="G100">
        <v>30</v>
      </c>
      <c r="H100" s="6">
        <f t="shared" si="1"/>
        <v>-1448.2046136394538</v>
      </c>
    </row>
    <row r="101" spans="2:8" x14ac:dyDescent="0.3">
      <c r="B101">
        <v>85</v>
      </c>
      <c r="C101">
        <v>75392997</v>
      </c>
      <c r="D101" t="s">
        <v>2</v>
      </c>
      <c r="E101" s="2">
        <v>440000</v>
      </c>
      <c r="F101" s="1">
        <v>4.3556765273894182E-2</v>
      </c>
      <c r="G101">
        <v>30</v>
      </c>
      <c r="H101" s="6">
        <f t="shared" si="1"/>
        <v>-2191.8431353548999</v>
      </c>
    </row>
    <row r="102" spans="2:8" x14ac:dyDescent="0.3">
      <c r="B102">
        <v>86</v>
      </c>
      <c r="C102">
        <v>19338298</v>
      </c>
      <c r="D102" t="s">
        <v>2</v>
      </c>
      <c r="E102" s="2">
        <v>210000</v>
      </c>
      <c r="F102" s="1">
        <v>2.092235791221576E-2</v>
      </c>
      <c r="G102">
        <v>20</v>
      </c>
      <c r="H102" s="6">
        <f t="shared" si="1"/>
        <v>-1071.5526430845575</v>
      </c>
    </row>
    <row r="103" spans="2:8" x14ac:dyDescent="0.3">
      <c r="B103">
        <v>87</v>
      </c>
      <c r="C103">
        <v>46089585</v>
      </c>
      <c r="D103" t="s">
        <v>2</v>
      </c>
      <c r="E103" s="2">
        <v>360000</v>
      </c>
      <c r="F103" s="1">
        <v>5.6408371052604878E-2</v>
      </c>
      <c r="G103">
        <v>15</v>
      </c>
      <c r="H103" s="6">
        <f t="shared" si="1"/>
        <v>-2968.4742211011367</v>
      </c>
    </row>
    <row r="104" spans="2:8" x14ac:dyDescent="0.3">
      <c r="B104">
        <v>88</v>
      </c>
      <c r="C104">
        <v>82517417</v>
      </c>
      <c r="D104" t="s">
        <v>2</v>
      </c>
      <c r="E104" s="2">
        <v>190000</v>
      </c>
      <c r="F104" s="1">
        <v>8.4050464805110664E-2</v>
      </c>
      <c r="G104">
        <v>30</v>
      </c>
      <c r="H104" s="6">
        <f t="shared" si="1"/>
        <v>-1448.1689745522599</v>
      </c>
    </row>
    <row r="105" spans="2:8" x14ac:dyDescent="0.3">
      <c r="B105">
        <v>89</v>
      </c>
      <c r="C105">
        <v>42621092</v>
      </c>
      <c r="D105" t="s">
        <v>2</v>
      </c>
      <c r="E105" s="2">
        <v>270000</v>
      </c>
      <c r="F105" s="1">
        <v>4.3622348956864891E-2</v>
      </c>
      <c r="G105">
        <v>20</v>
      </c>
      <c r="H105" s="6">
        <f t="shared" si="1"/>
        <v>-1688.1403027146584</v>
      </c>
    </row>
    <row r="106" spans="2:8" x14ac:dyDescent="0.3">
      <c r="B106">
        <v>90</v>
      </c>
      <c r="C106">
        <v>88723122</v>
      </c>
      <c r="D106" t="s">
        <v>2</v>
      </c>
      <c r="E106" s="2">
        <v>160000</v>
      </c>
      <c r="F106" s="1">
        <v>2.3133587418061395E-2</v>
      </c>
      <c r="G106">
        <v>30</v>
      </c>
      <c r="H106" s="6">
        <f t="shared" si="1"/>
        <v>-616.77704074120834</v>
      </c>
    </row>
    <row r="107" spans="2:8" x14ac:dyDescent="0.3">
      <c r="B107">
        <v>91</v>
      </c>
      <c r="C107">
        <v>87714312</v>
      </c>
      <c r="D107" t="s">
        <v>2</v>
      </c>
      <c r="E107" s="2">
        <v>410000</v>
      </c>
      <c r="F107" s="1">
        <v>7.6002502678293865E-2</v>
      </c>
      <c r="G107">
        <v>15</v>
      </c>
      <c r="H107" s="6">
        <f t="shared" si="1"/>
        <v>-3824.1453134030444</v>
      </c>
    </row>
    <row r="108" spans="2:8" x14ac:dyDescent="0.3">
      <c r="B108">
        <v>92</v>
      </c>
      <c r="C108">
        <v>37402885</v>
      </c>
      <c r="D108" t="s">
        <v>2</v>
      </c>
      <c r="E108" s="2">
        <v>100000</v>
      </c>
      <c r="F108" s="1">
        <v>8.0625304723364447E-2</v>
      </c>
      <c r="G108">
        <v>30</v>
      </c>
      <c r="H108" s="6">
        <f t="shared" si="1"/>
        <v>-738.12836595525948</v>
      </c>
    </row>
    <row r="109" spans="2:8" x14ac:dyDescent="0.3">
      <c r="B109">
        <v>93</v>
      </c>
      <c r="C109">
        <v>50004880</v>
      </c>
      <c r="D109" t="s">
        <v>2</v>
      </c>
      <c r="E109" s="2">
        <v>200000</v>
      </c>
      <c r="F109" s="1">
        <v>3.1586661242958225E-2</v>
      </c>
      <c r="G109">
        <v>15</v>
      </c>
      <c r="H109" s="6">
        <f t="shared" si="1"/>
        <v>-1396.4764067875863</v>
      </c>
    </row>
    <row r="110" spans="2:8" x14ac:dyDescent="0.3">
      <c r="B110">
        <v>94</v>
      </c>
      <c r="C110">
        <v>54104168</v>
      </c>
      <c r="D110" t="s">
        <v>2</v>
      </c>
      <c r="E110" s="2">
        <v>320000</v>
      </c>
      <c r="F110" s="1">
        <v>6.9094609118500627E-2</v>
      </c>
      <c r="G110">
        <v>30</v>
      </c>
      <c r="H110" s="6">
        <f t="shared" si="1"/>
        <v>-2109.5458171216096</v>
      </c>
    </row>
    <row r="111" spans="2:8" x14ac:dyDescent="0.3">
      <c r="B111">
        <v>95</v>
      </c>
      <c r="C111">
        <v>82658753</v>
      </c>
      <c r="D111" t="s">
        <v>2</v>
      </c>
      <c r="E111" s="2">
        <v>390000</v>
      </c>
      <c r="F111" s="1">
        <v>3.0758992929878257E-2</v>
      </c>
      <c r="G111">
        <v>30</v>
      </c>
      <c r="H111" s="6">
        <f t="shared" si="1"/>
        <v>-1660.2631024193468</v>
      </c>
    </row>
    <row r="112" spans="2:8" x14ac:dyDescent="0.3">
      <c r="B112">
        <v>96</v>
      </c>
      <c r="C112">
        <v>10503800</v>
      </c>
      <c r="D112" t="s">
        <v>2</v>
      </c>
      <c r="E112" s="2">
        <v>260000</v>
      </c>
      <c r="F112" s="1">
        <v>8.3913752944148587E-2</v>
      </c>
      <c r="G112">
        <v>20</v>
      </c>
      <c r="H112" s="6">
        <f t="shared" si="1"/>
        <v>-2238.4973019559488</v>
      </c>
    </row>
    <row r="113" spans="2:8" x14ac:dyDescent="0.3">
      <c r="B113">
        <v>97</v>
      </c>
      <c r="C113">
        <v>33072572</v>
      </c>
      <c r="D113" t="s">
        <v>2</v>
      </c>
      <c r="E113" s="2">
        <v>390000</v>
      </c>
      <c r="F113" s="1">
        <v>5.914795686569916E-2</v>
      </c>
      <c r="G113">
        <v>15</v>
      </c>
      <c r="H113" s="6">
        <f t="shared" si="1"/>
        <v>-3273.1159683163173</v>
      </c>
    </row>
    <row r="114" spans="2:8" x14ac:dyDescent="0.3">
      <c r="B114">
        <v>98</v>
      </c>
      <c r="C114">
        <v>13860670</v>
      </c>
      <c r="D114" t="s">
        <v>2</v>
      </c>
      <c r="E114" s="2">
        <v>160000</v>
      </c>
      <c r="F114" s="1">
        <v>3.401337062358261E-2</v>
      </c>
      <c r="G114">
        <v>20</v>
      </c>
      <c r="H114" s="6">
        <f t="shared" si="1"/>
        <v>-919.84426907277771</v>
      </c>
    </row>
    <row r="115" spans="2:8" x14ac:dyDescent="0.3">
      <c r="B115">
        <v>99</v>
      </c>
      <c r="C115">
        <v>78628786</v>
      </c>
      <c r="D115" t="s">
        <v>2</v>
      </c>
      <c r="E115" s="2">
        <v>400000</v>
      </c>
      <c r="F115" s="1">
        <v>2.3051931389460947E-2</v>
      </c>
      <c r="G115">
        <v>30</v>
      </c>
      <c r="H115" s="6">
        <f t="shared" si="1"/>
        <v>-1540.2689912021608</v>
      </c>
    </row>
    <row r="116" spans="2:8" x14ac:dyDescent="0.3">
      <c r="B116">
        <v>100</v>
      </c>
      <c r="C116">
        <v>19293538</v>
      </c>
      <c r="D116" t="s">
        <v>2</v>
      </c>
      <c r="E116" s="2">
        <v>110000</v>
      </c>
      <c r="F116" s="1">
        <v>7.9989228013860547E-2</v>
      </c>
      <c r="G116">
        <v>20</v>
      </c>
      <c r="H116" s="6">
        <f t="shared" si="1"/>
        <v>-920.01033320253225</v>
      </c>
    </row>
    <row r="117" spans="2:8" x14ac:dyDescent="0.3">
      <c r="B117">
        <v>101</v>
      </c>
      <c r="C117">
        <v>74043188</v>
      </c>
      <c r="D117" t="s">
        <v>2</v>
      </c>
      <c r="E117" s="2">
        <v>270000</v>
      </c>
      <c r="F117" s="1">
        <v>4.318656729242594E-2</v>
      </c>
      <c r="G117">
        <v>20</v>
      </c>
      <c r="H117" s="6">
        <f t="shared" si="1"/>
        <v>-1681.8370465093874</v>
      </c>
    </row>
    <row r="118" spans="2:8" x14ac:dyDescent="0.3">
      <c r="B118">
        <v>102</v>
      </c>
      <c r="C118">
        <v>85981412</v>
      </c>
      <c r="D118" t="s">
        <v>2</v>
      </c>
      <c r="E118" s="2">
        <v>100000</v>
      </c>
      <c r="F118" s="1">
        <v>4.9320800002458996E-2</v>
      </c>
      <c r="G118">
        <v>20</v>
      </c>
      <c r="H118" s="6">
        <f t="shared" si="1"/>
        <v>-656.20946828759884</v>
      </c>
    </row>
    <row r="119" spans="2:8" x14ac:dyDescent="0.3">
      <c r="B119">
        <v>103</v>
      </c>
      <c r="C119">
        <v>28790211</v>
      </c>
      <c r="D119" t="s">
        <v>2</v>
      </c>
      <c r="E119" s="2">
        <v>280000</v>
      </c>
      <c r="F119" s="1">
        <v>8.5050217334716488E-2</v>
      </c>
      <c r="G119">
        <v>15</v>
      </c>
      <c r="H119" s="6">
        <f t="shared" si="1"/>
        <v>-2758.0950332798766</v>
      </c>
    </row>
    <row r="120" spans="2:8" x14ac:dyDescent="0.3">
      <c r="B120">
        <v>104</v>
      </c>
      <c r="C120">
        <v>74439129</v>
      </c>
      <c r="D120" t="s">
        <v>2</v>
      </c>
      <c r="E120" s="2">
        <v>360000</v>
      </c>
      <c r="F120" s="1">
        <v>6.172569651273551E-2</v>
      </c>
      <c r="G120">
        <v>15</v>
      </c>
      <c r="H120" s="6">
        <f t="shared" si="1"/>
        <v>-3071.5504974779028</v>
      </c>
    </row>
    <row r="121" spans="2:8" x14ac:dyDescent="0.3">
      <c r="B121">
        <v>105</v>
      </c>
      <c r="C121">
        <v>79146016</v>
      </c>
      <c r="D121" t="s">
        <v>2</v>
      </c>
      <c r="E121" s="2">
        <v>260000</v>
      </c>
      <c r="F121" s="1">
        <v>6.6777345462205137E-2</v>
      </c>
      <c r="G121">
        <v>15</v>
      </c>
      <c r="H121" s="6">
        <f t="shared" si="1"/>
        <v>-2290.360204717053</v>
      </c>
    </row>
    <row r="122" spans="2:8" x14ac:dyDescent="0.3">
      <c r="B122">
        <v>106</v>
      </c>
      <c r="C122">
        <v>72685786</v>
      </c>
      <c r="D122" t="s">
        <v>2</v>
      </c>
      <c r="E122" s="2">
        <v>280000</v>
      </c>
      <c r="F122" s="1">
        <v>4.0406672002481922E-2</v>
      </c>
      <c r="G122">
        <v>15</v>
      </c>
      <c r="H122" s="6">
        <f t="shared" si="1"/>
        <v>-2076.8370206374502</v>
      </c>
    </row>
    <row r="123" spans="2:8" x14ac:dyDescent="0.3">
      <c r="B123">
        <v>107</v>
      </c>
      <c r="C123">
        <v>66696062</v>
      </c>
      <c r="D123" t="s">
        <v>2</v>
      </c>
      <c r="E123" s="2">
        <v>130000</v>
      </c>
      <c r="F123" s="1">
        <v>6.9978729603616049E-2</v>
      </c>
      <c r="G123">
        <v>20</v>
      </c>
      <c r="H123" s="6">
        <f t="shared" si="1"/>
        <v>-1007.7226440856219</v>
      </c>
    </row>
    <row r="124" spans="2:8" x14ac:dyDescent="0.3">
      <c r="B124">
        <v>108</v>
      </c>
      <c r="C124">
        <v>84759219</v>
      </c>
      <c r="D124" t="s">
        <v>2</v>
      </c>
      <c r="E124" s="2">
        <v>300000</v>
      </c>
      <c r="F124" s="1">
        <v>7.3541099206711563E-2</v>
      </c>
      <c r="G124">
        <v>15</v>
      </c>
      <c r="H124" s="6">
        <f t="shared" si="1"/>
        <v>-2756.2241468293892</v>
      </c>
    </row>
    <row r="125" spans="2:8" x14ac:dyDescent="0.3">
      <c r="B125">
        <v>109</v>
      </c>
      <c r="C125">
        <v>70637400</v>
      </c>
      <c r="D125" t="s">
        <v>2</v>
      </c>
      <c r="E125" s="2">
        <v>310000</v>
      </c>
      <c r="F125" s="1">
        <v>8.429193812760874E-2</v>
      </c>
      <c r="G125">
        <v>30</v>
      </c>
      <c r="H125" s="6">
        <f t="shared" si="1"/>
        <v>-2368.0931864350027</v>
      </c>
    </row>
    <row r="126" spans="2:8" x14ac:dyDescent="0.3">
      <c r="B126">
        <v>110</v>
      </c>
      <c r="C126">
        <v>38798861</v>
      </c>
      <c r="D126" t="s">
        <v>2</v>
      </c>
      <c r="E126" s="2">
        <v>430000</v>
      </c>
      <c r="F126" s="1">
        <v>2.1001186674988234E-2</v>
      </c>
      <c r="G126">
        <v>15</v>
      </c>
      <c r="H126" s="6">
        <f t="shared" si="1"/>
        <v>-2786.9555157276159</v>
      </c>
    </row>
    <row r="127" spans="2:8" x14ac:dyDescent="0.3">
      <c r="B127">
        <v>111</v>
      </c>
      <c r="C127">
        <v>76703611</v>
      </c>
      <c r="D127" t="s">
        <v>2</v>
      </c>
      <c r="E127" s="2">
        <v>140000</v>
      </c>
      <c r="F127" s="1">
        <v>7.4869625494172767E-2</v>
      </c>
      <c r="G127">
        <v>15</v>
      </c>
      <c r="H127" s="6">
        <f t="shared" si="1"/>
        <v>-1296.7803011909505</v>
      </c>
    </row>
    <row r="128" spans="2:8" x14ac:dyDescent="0.3">
      <c r="B128">
        <v>112</v>
      </c>
      <c r="C128">
        <v>70445419</v>
      </c>
      <c r="D128" t="s">
        <v>2</v>
      </c>
      <c r="E128" s="2">
        <v>110000</v>
      </c>
      <c r="F128" s="1">
        <v>4.0022588821897263E-2</v>
      </c>
      <c r="G128">
        <v>30</v>
      </c>
      <c r="H128" s="6">
        <f t="shared" si="1"/>
        <v>-525.30008525464871</v>
      </c>
    </row>
    <row r="129" spans="2:8" x14ac:dyDescent="0.3">
      <c r="B129">
        <v>113</v>
      </c>
      <c r="C129">
        <v>44239553</v>
      </c>
      <c r="D129" t="s">
        <v>2</v>
      </c>
      <c r="E129" s="2">
        <v>240000</v>
      </c>
      <c r="F129" s="1">
        <v>5.5915919135758191E-2</v>
      </c>
      <c r="G129">
        <v>30</v>
      </c>
      <c r="H129" s="6">
        <f t="shared" si="1"/>
        <v>-1376.5173548341957</v>
      </c>
    </row>
    <row r="130" spans="2:8" x14ac:dyDescent="0.3">
      <c r="B130">
        <v>114</v>
      </c>
      <c r="C130">
        <v>41349397</v>
      </c>
      <c r="D130" t="s">
        <v>2</v>
      </c>
      <c r="E130" s="2">
        <v>270000</v>
      </c>
      <c r="F130" s="1">
        <v>6.2954123371356599E-2</v>
      </c>
      <c r="G130">
        <v>20</v>
      </c>
      <c r="H130" s="6">
        <f t="shared" si="1"/>
        <v>-1980.6592873396762</v>
      </c>
    </row>
    <row r="131" spans="2:8" x14ac:dyDescent="0.3">
      <c r="B131">
        <v>115</v>
      </c>
      <c r="C131">
        <v>58908267</v>
      </c>
      <c r="D131" t="s">
        <v>2</v>
      </c>
      <c r="E131" s="2">
        <v>120000</v>
      </c>
      <c r="F131" s="1">
        <v>6.1454302986937014E-2</v>
      </c>
      <c r="G131">
        <v>15</v>
      </c>
      <c r="H131" s="6">
        <f t="shared" si="1"/>
        <v>-1022.0808233240052</v>
      </c>
    </row>
    <row r="132" spans="2:8" x14ac:dyDescent="0.3">
      <c r="B132">
        <v>116</v>
      </c>
      <c r="C132">
        <v>61089089</v>
      </c>
      <c r="D132" t="s">
        <v>2</v>
      </c>
      <c r="E132" s="2">
        <v>340000</v>
      </c>
      <c r="F132" s="1">
        <v>4.668521806741701E-2</v>
      </c>
      <c r="G132">
        <v>30</v>
      </c>
      <c r="H132" s="6">
        <f t="shared" si="1"/>
        <v>-1756.9414700267623</v>
      </c>
    </row>
    <row r="133" spans="2:8" x14ac:dyDescent="0.3">
      <c r="B133">
        <v>117</v>
      </c>
      <c r="C133">
        <v>26400832</v>
      </c>
      <c r="D133" t="s">
        <v>2</v>
      </c>
      <c r="E133" s="2">
        <v>380000</v>
      </c>
      <c r="F133" s="1">
        <v>4.9991672426802622E-2</v>
      </c>
      <c r="G133">
        <v>30</v>
      </c>
      <c r="H133" s="6">
        <f t="shared" si="1"/>
        <v>-2039.7287724035755</v>
      </c>
    </row>
    <row r="134" spans="2:8" x14ac:dyDescent="0.3">
      <c r="B134">
        <v>118</v>
      </c>
      <c r="C134">
        <v>56764510</v>
      </c>
      <c r="D134" t="s">
        <v>2</v>
      </c>
      <c r="E134" s="2">
        <v>340000</v>
      </c>
      <c r="F134" s="1">
        <v>8.5340966360992601E-2</v>
      </c>
      <c r="G134">
        <v>15</v>
      </c>
      <c r="H134" s="6">
        <f t="shared" si="1"/>
        <v>-3354.913387689614</v>
      </c>
    </row>
    <row r="135" spans="2:8" x14ac:dyDescent="0.3">
      <c r="B135">
        <v>119</v>
      </c>
      <c r="C135">
        <v>36145045</v>
      </c>
      <c r="D135" t="s">
        <v>2</v>
      </c>
      <c r="E135" s="2">
        <v>410000</v>
      </c>
      <c r="F135" s="1">
        <v>7.5583847572718132E-2</v>
      </c>
      <c r="G135">
        <v>15</v>
      </c>
      <c r="H135" s="6">
        <f t="shared" si="1"/>
        <v>-3814.3663631752834</v>
      </c>
    </row>
    <row r="136" spans="2:8" x14ac:dyDescent="0.3">
      <c r="B136">
        <v>120</v>
      </c>
      <c r="C136">
        <v>29047113</v>
      </c>
      <c r="D136" t="s">
        <v>2</v>
      </c>
      <c r="E136" s="2">
        <v>270000</v>
      </c>
      <c r="F136" s="1">
        <v>7.7926012795862518E-2</v>
      </c>
      <c r="G136">
        <v>30</v>
      </c>
      <c r="H136" s="6">
        <f t="shared" si="1"/>
        <v>-1942.2676240636117</v>
      </c>
    </row>
    <row r="137" spans="2:8" x14ac:dyDescent="0.3">
      <c r="B137">
        <v>121</v>
      </c>
      <c r="C137">
        <v>87579604</v>
      </c>
      <c r="D137" t="s">
        <v>2</v>
      </c>
      <c r="E137" s="2">
        <v>250000</v>
      </c>
      <c r="F137" s="1">
        <v>2.2360686555375126E-2</v>
      </c>
      <c r="G137">
        <v>15</v>
      </c>
      <c r="H137" s="6">
        <f t="shared" si="1"/>
        <v>-1636.0907706143087</v>
      </c>
    </row>
    <row r="138" spans="2:8" x14ac:dyDescent="0.3">
      <c r="B138">
        <v>122</v>
      </c>
      <c r="C138">
        <v>19460471</v>
      </c>
      <c r="D138" t="s">
        <v>2</v>
      </c>
      <c r="E138" s="2">
        <v>190000</v>
      </c>
      <c r="F138" s="1">
        <v>3.7814520931784459E-2</v>
      </c>
      <c r="G138">
        <v>30</v>
      </c>
      <c r="H138" s="6">
        <f t="shared" si="1"/>
        <v>-883.31401145040593</v>
      </c>
    </row>
    <row r="139" spans="2:8" x14ac:dyDescent="0.3">
      <c r="B139">
        <v>123</v>
      </c>
      <c r="C139">
        <v>49318803</v>
      </c>
      <c r="D139" t="s">
        <v>2</v>
      </c>
      <c r="E139" s="2">
        <v>300000</v>
      </c>
      <c r="F139" s="1">
        <v>6.2918411461241788E-2</v>
      </c>
      <c r="G139">
        <v>15</v>
      </c>
      <c r="H139" s="6">
        <f t="shared" si="1"/>
        <v>-2579.1148082440081</v>
      </c>
    </row>
    <row r="140" spans="2:8" x14ac:dyDescent="0.3">
      <c r="B140">
        <v>124</v>
      </c>
      <c r="C140">
        <v>30774746</v>
      </c>
      <c r="D140" t="s">
        <v>2</v>
      </c>
      <c r="E140" s="2">
        <v>130000</v>
      </c>
      <c r="F140" s="1">
        <v>3.4605535037912347E-2</v>
      </c>
      <c r="G140">
        <v>15</v>
      </c>
      <c r="H140" s="6">
        <f t="shared" si="1"/>
        <v>-926.83108054887657</v>
      </c>
    </row>
    <row r="141" spans="2:8" x14ac:dyDescent="0.3">
      <c r="B141">
        <v>125</v>
      </c>
      <c r="C141">
        <v>53409938</v>
      </c>
      <c r="D141" t="s">
        <v>2</v>
      </c>
      <c r="E141" s="2">
        <v>110000</v>
      </c>
      <c r="F141" s="1">
        <v>3.4229733471017439E-2</v>
      </c>
      <c r="G141">
        <v>30</v>
      </c>
      <c r="H141" s="6">
        <f t="shared" si="1"/>
        <v>-489.23164472366238</v>
      </c>
    </row>
    <row r="142" spans="2:8" x14ac:dyDescent="0.3">
      <c r="B142">
        <v>126</v>
      </c>
      <c r="C142">
        <v>77171778</v>
      </c>
      <c r="D142" t="s">
        <v>2</v>
      </c>
      <c r="E142" s="2">
        <v>210000</v>
      </c>
      <c r="F142" s="1">
        <v>4.7007634568982694E-2</v>
      </c>
      <c r="G142">
        <v>20</v>
      </c>
      <c r="H142" s="6">
        <f t="shared" si="1"/>
        <v>-1351.4291694817948</v>
      </c>
    </row>
    <row r="143" spans="2:8" x14ac:dyDescent="0.3">
      <c r="B143">
        <v>127</v>
      </c>
      <c r="C143">
        <v>81971835</v>
      </c>
      <c r="D143" t="s">
        <v>2</v>
      </c>
      <c r="E143" s="2">
        <v>320000</v>
      </c>
      <c r="F143" s="1">
        <v>8.1868207234357213E-2</v>
      </c>
      <c r="G143">
        <v>15</v>
      </c>
      <c r="H143" s="6">
        <f t="shared" si="1"/>
        <v>-3092.6989074109324</v>
      </c>
    </row>
    <row r="144" spans="2:8" x14ac:dyDescent="0.3">
      <c r="B144">
        <v>128</v>
      </c>
      <c r="C144">
        <v>48132930</v>
      </c>
      <c r="D144" t="s">
        <v>2</v>
      </c>
      <c r="E144" s="2">
        <v>140000</v>
      </c>
      <c r="F144" s="1">
        <v>2.3522228194114383E-2</v>
      </c>
      <c r="G144">
        <v>20</v>
      </c>
      <c r="H144" s="6">
        <f t="shared" si="1"/>
        <v>-731.82649204647726</v>
      </c>
    </row>
    <row r="145" spans="2:8" x14ac:dyDescent="0.3">
      <c r="B145">
        <v>129</v>
      </c>
      <c r="C145">
        <v>95454260</v>
      </c>
      <c r="D145" t="s">
        <v>2</v>
      </c>
      <c r="E145" s="2">
        <v>200000</v>
      </c>
      <c r="F145" s="1">
        <v>5.9759655653747787E-2</v>
      </c>
      <c r="G145">
        <v>30</v>
      </c>
      <c r="H145" s="6">
        <f t="shared" si="1"/>
        <v>-1196.0123591701058</v>
      </c>
    </row>
    <row r="146" spans="2:8" x14ac:dyDescent="0.3">
      <c r="B146">
        <v>130</v>
      </c>
      <c r="C146">
        <v>59273999</v>
      </c>
      <c r="D146" t="s">
        <v>2</v>
      </c>
      <c r="E146" s="2">
        <v>360000</v>
      </c>
      <c r="F146" s="1">
        <v>5.3519955426174042E-2</v>
      </c>
      <c r="G146">
        <v>15</v>
      </c>
      <c r="H146" s="6">
        <f t="shared" ref="H146:H190" si="2">PMT(F146/12,G146*12,E146)</f>
        <v>-2913.3027813134468</v>
      </c>
    </row>
    <row r="147" spans="2:8" x14ac:dyDescent="0.3">
      <c r="B147">
        <v>131</v>
      </c>
      <c r="C147">
        <v>74183133</v>
      </c>
      <c r="D147" t="s">
        <v>2</v>
      </c>
      <c r="E147" s="2">
        <v>260000</v>
      </c>
      <c r="F147" s="1">
        <v>5.5635707435100275E-2</v>
      </c>
      <c r="G147">
        <v>30</v>
      </c>
      <c r="H147" s="6">
        <f t="shared" si="2"/>
        <v>-1486.6382135935514</v>
      </c>
    </row>
    <row r="148" spans="2:8" x14ac:dyDescent="0.3">
      <c r="B148">
        <v>132</v>
      </c>
      <c r="C148">
        <v>46404591</v>
      </c>
      <c r="D148" t="s">
        <v>1</v>
      </c>
      <c r="E148" s="2">
        <v>440000</v>
      </c>
      <c r="F148" s="1">
        <v>3.4147634194001963E-2</v>
      </c>
      <c r="G148">
        <v>20</v>
      </c>
      <c r="H148" s="6">
        <f t="shared" si="2"/>
        <v>-2532.5930831414826</v>
      </c>
    </row>
    <row r="149" spans="2:8" x14ac:dyDescent="0.3">
      <c r="B149">
        <v>133</v>
      </c>
      <c r="C149">
        <v>58799609</v>
      </c>
      <c r="D149" t="s">
        <v>1</v>
      </c>
      <c r="E149" s="2">
        <v>360000</v>
      </c>
      <c r="F149" s="1">
        <v>5.1870351612887451E-2</v>
      </c>
      <c r="G149">
        <v>30</v>
      </c>
      <c r="H149" s="6">
        <f t="shared" si="2"/>
        <v>-1973.9169150348255</v>
      </c>
    </row>
    <row r="150" spans="2:8" x14ac:dyDescent="0.3">
      <c r="B150">
        <v>134</v>
      </c>
      <c r="C150">
        <v>45991355</v>
      </c>
      <c r="D150" t="s">
        <v>1</v>
      </c>
      <c r="E150" s="2">
        <v>400000</v>
      </c>
      <c r="F150" s="1">
        <v>5.9758883555077774E-2</v>
      </c>
      <c r="G150">
        <v>20</v>
      </c>
      <c r="H150" s="6">
        <f t="shared" si="2"/>
        <v>-2860.1629593829925</v>
      </c>
    </row>
    <row r="151" spans="2:8" x14ac:dyDescent="0.3">
      <c r="B151">
        <v>135</v>
      </c>
      <c r="C151">
        <v>40766918</v>
      </c>
      <c r="D151" t="s">
        <v>1</v>
      </c>
      <c r="E151" s="2">
        <v>390000</v>
      </c>
      <c r="F151" s="1">
        <v>4.3504269841479912E-2</v>
      </c>
      <c r="G151">
        <v>15</v>
      </c>
      <c r="H151" s="6">
        <f t="shared" si="2"/>
        <v>-2953.747545750673</v>
      </c>
    </row>
    <row r="152" spans="2:8" x14ac:dyDescent="0.3">
      <c r="B152">
        <v>136</v>
      </c>
      <c r="C152">
        <v>50543518</v>
      </c>
      <c r="D152" t="s">
        <v>1</v>
      </c>
      <c r="E152" s="2">
        <v>210000</v>
      </c>
      <c r="F152" s="1">
        <v>6.6997557171815436E-2</v>
      </c>
      <c r="G152">
        <v>30</v>
      </c>
      <c r="H152" s="6">
        <f t="shared" si="2"/>
        <v>-1355.0497259540837</v>
      </c>
    </row>
    <row r="153" spans="2:8" x14ac:dyDescent="0.3">
      <c r="B153">
        <v>137</v>
      </c>
      <c r="C153">
        <v>28254071</v>
      </c>
      <c r="D153" t="s">
        <v>1</v>
      </c>
      <c r="E153" s="2">
        <v>290000</v>
      </c>
      <c r="F153" s="1">
        <v>2.4733212439948523E-2</v>
      </c>
      <c r="G153">
        <v>15</v>
      </c>
      <c r="H153" s="6">
        <f t="shared" si="2"/>
        <v>-1930.0487801292927</v>
      </c>
    </row>
    <row r="154" spans="2:8" x14ac:dyDescent="0.3">
      <c r="B154">
        <v>138</v>
      </c>
      <c r="C154">
        <v>66109061</v>
      </c>
      <c r="D154" t="s">
        <v>1</v>
      </c>
      <c r="E154" s="2">
        <v>380000</v>
      </c>
      <c r="F154" s="1">
        <v>6.5073173837024004E-2</v>
      </c>
      <c r="G154">
        <v>15</v>
      </c>
      <c r="H154" s="6">
        <f t="shared" si="2"/>
        <v>-3311.7367835051036</v>
      </c>
    </row>
    <row r="155" spans="2:8" x14ac:dyDescent="0.3">
      <c r="B155">
        <v>139</v>
      </c>
      <c r="C155">
        <v>21617507</v>
      </c>
      <c r="D155" t="s">
        <v>1</v>
      </c>
      <c r="E155" s="2">
        <v>370000</v>
      </c>
      <c r="F155" s="1">
        <v>7.5409423490472402E-2</v>
      </c>
      <c r="G155">
        <v>20</v>
      </c>
      <c r="H155" s="6">
        <f t="shared" si="2"/>
        <v>-2989.9645471773642</v>
      </c>
    </row>
    <row r="156" spans="2:8" x14ac:dyDescent="0.3">
      <c r="B156">
        <v>140</v>
      </c>
      <c r="C156">
        <v>97989606</v>
      </c>
      <c r="D156" t="s">
        <v>1</v>
      </c>
      <c r="E156" s="2">
        <v>190000</v>
      </c>
      <c r="F156" s="1">
        <v>3.9082079146889916E-2</v>
      </c>
      <c r="G156">
        <v>15</v>
      </c>
      <c r="H156" s="6">
        <f t="shared" si="2"/>
        <v>-1396.6832379755779</v>
      </c>
    </row>
    <row r="157" spans="2:8" x14ac:dyDescent="0.3">
      <c r="B157">
        <v>141</v>
      </c>
      <c r="C157">
        <v>39361910</v>
      </c>
      <c r="D157" t="s">
        <v>1</v>
      </c>
      <c r="E157" s="2">
        <v>80000</v>
      </c>
      <c r="F157" s="1">
        <v>2.918801643188013E-2</v>
      </c>
      <c r="G157">
        <v>15</v>
      </c>
      <c r="H157" s="6">
        <f t="shared" si="2"/>
        <v>-549.34651843590734</v>
      </c>
    </row>
    <row r="158" spans="2:8" x14ac:dyDescent="0.3">
      <c r="B158">
        <v>142</v>
      </c>
      <c r="C158">
        <v>92208306</v>
      </c>
      <c r="D158" t="s">
        <v>1</v>
      </c>
      <c r="E158" s="2">
        <v>200000</v>
      </c>
      <c r="F158" s="1">
        <v>2.7108181721399505E-2</v>
      </c>
      <c r="G158">
        <v>20</v>
      </c>
      <c r="H158" s="6">
        <f t="shared" si="2"/>
        <v>-1080.4663531994659</v>
      </c>
    </row>
    <row r="159" spans="2:8" x14ac:dyDescent="0.3">
      <c r="B159">
        <v>143</v>
      </c>
      <c r="C159">
        <v>70859925</v>
      </c>
      <c r="D159" t="s">
        <v>1</v>
      </c>
      <c r="E159" s="2">
        <v>440000</v>
      </c>
      <c r="F159" s="1">
        <v>7.8279039349961069E-2</v>
      </c>
      <c r="G159">
        <v>30</v>
      </c>
      <c r="H159" s="6">
        <f t="shared" si="2"/>
        <v>-3175.9338745549298</v>
      </c>
    </row>
    <row r="160" spans="2:8" x14ac:dyDescent="0.3">
      <c r="B160">
        <v>144</v>
      </c>
      <c r="C160">
        <v>38351345</v>
      </c>
      <c r="D160" t="s">
        <v>1</v>
      </c>
      <c r="E160" s="2">
        <v>230000</v>
      </c>
      <c r="F160" s="1">
        <v>8.5661220417817804E-2</v>
      </c>
      <c r="G160">
        <v>30</v>
      </c>
      <c r="H160" s="6">
        <f t="shared" si="2"/>
        <v>-1779.2903232090136</v>
      </c>
    </row>
    <row r="161" spans="2:8" x14ac:dyDescent="0.3">
      <c r="B161">
        <v>145</v>
      </c>
      <c r="C161">
        <v>38803902</v>
      </c>
      <c r="D161" t="s">
        <v>1</v>
      </c>
      <c r="E161" s="2">
        <v>110000</v>
      </c>
      <c r="F161" s="1">
        <v>3.9948712579245552E-2</v>
      </c>
      <c r="G161">
        <v>15</v>
      </c>
      <c r="H161" s="6">
        <f t="shared" si="2"/>
        <v>-813.37403255032621</v>
      </c>
    </row>
    <row r="162" spans="2:8" x14ac:dyDescent="0.3">
      <c r="B162">
        <v>146</v>
      </c>
      <c r="C162">
        <v>70936359</v>
      </c>
      <c r="D162" t="s">
        <v>1</v>
      </c>
      <c r="E162" s="2">
        <v>150000</v>
      </c>
      <c r="F162" s="1">
        <v>4.8616549792090978E-2</v>
      </c>
      <c r="G162">
        <v>15</v>
      </c>
      <c r="H162" s="6">
        <f t="shared" si="2"/>
        <v>-1175.4085597861902</v>
      </c>
    </row>
    <row r="163" spans="2:8" x14ac:dyDescent="0.3">
      <c r="B163">
        <v>147</v>
      </c>
      <c r="C163">
        <v>22527091</v>
      </c>
      <c r="D163" t="s">
        <v>1</v>
      </c>
      <c r="E163" s="2">
        <v>400000</v>
      </c>
      <c r="F163" s="1">
        <v>2.553940346467095E-2</v>
      </c>
      <c r="G163">
        <v>30</v>
      </c>
      <c r="H163" s="6">
        <f t="shared" si="2"/>
        <v>-1591.7243056429579</v>
      </c>
    </row>
    <row r="164" spans="2:8" x14ac:dyDescent="0.3">
      <c r="B164">
        <v>148</v>
      </c>
      <c r="C164">
        <v>85565195</v>
      </c>
      <c r="D164" t="s">
        <v>1</v>
      </c>
      <c r="E164" s="2">
        <v>350000</v>
      </c>
      <c r="F164" s="1">
        <v>3.759737492262525E-2</v>
      </c>
      <c r="G164">
        <v>15</v>
      </c>
      <c r="H164" s="6">
        <f t="shared" si="2"/>
        <v>-2546.9696911629712</v>
      </c>
    </row>
    <row r="165" spans="2:8" x14ac:dyDescent="0.3">
      <c r="B165">
        <v>149</v>
      </c>
      <c r="C165">
        <v>49758502</v>
      </c>
      <c r="D165" t="s">
        <v>1</v>
      </c>
      <c r="E165" s="2">
        <v>130000</v>
      </c>
      <c r="F165" s="1">
        <v>5.1929476788526233E-2</v>
      </c>
      <c r="G165">
        <v>15</v>
      </c>
      <c r="H165" s="6">
        <f t="shared" si="2"/>
        <v>-1041.1453845544738</v>
      </c>
    </row>
    <row r="166" spans="2:8" x14ac:dyDescent="0.3">
      <c r="B166">
        <v>150</v>
      </c>
      <c r="C166">
        <v>44521885</v>
      </c>
      <c r="D166" t="s">
        <v>1</v>
      </c>
      <c r="E166" s="2">
        <v>190000</v>
      </c>
      <c r="F166" s="1">
        <v>4.9833531113900251E-2</v>
      </c>
      <c r="G166">
        <v>30</v>
      </c>
      <c r="H166" s="6">
        <f t="shared" si="2"/>
        <v>-1018.0289241065121</v>
      </c>
    </row>
    <row r="167" spans="2:8" x14ac:dyDescent="0.3">
      <c r="B167">
        <v>151</v>
      </c>
      <c r="C167">
        <v>81877816</v>
      </c>
      <c r="D167" t="s">
        <v>1</v>
      </c>
      <c r="E167" s="2">
        <v>120000</v>
      </c>
      <c r="F167" s="1">
        <v>4.8171984913974467E-2</v>
      </c>
      <c r="G167">
        <v>15</v>
      </c>
      <c r="H167" s="6">
        <f t="shared" si="2"/>
        <v>-937.56465618487778</v>
      </c>
    </row>
    <row r="168" spans="2:8" x14ac:dyDescent="0.3">
      <c r="B168">
        <v>152</v>
      </c>
      <c r="C168">
        <v>30045340</v>
      </c>
      <c r="D168" t="s">
        <v>1</v>
      </c>
      <c r="E168" s="2">
        <v>360000</v>
      </c>
      <c r="F168" s="1">
        <v>8.4051872918695605E-2</v>
      </c>
      <c r="G168">
        <v>20</v>
      </c>
      <c r="H168" s="6">
        <f t="shared" si="2"/>
        <v>-3102.5943125677773</v>
      </c>
    </row>
    <row r="169" spans="2:8" x14ac:dyDescent="0.3">
      <c r="B169">
        <v>153</v>
      </c>
      <c r="C169">
        <v>50054768</v>
      </c>
      <c r="D169" t="s">
        <v>1</v>
      </c>
      <c r="E169" s="2">
        <v>140000</v>
      </c>
      <c r="F169" s="1">
        <v>4.7353760052952686E-2</v>
      </c>
      <c r="G169">
        <v>15</v>
      </c>
      <c r="H169" s="6">
        <f t="shared" si="2"/>
        <v>-1087.9085190630351</v>
      </c>
    </row>
    <row r="170" spans="2:8" x14ac:dyDescent="0.3">
      <c r="B170">
        <v>154</v>
      </c>
      <c r="C170">
        <v>63115595</v>
      </c>
      <c r="D170" t="s">
        <v>1</v>
      </c>
      <c r="E170" s="2">
        <v>420000</v>
      </c>
      <c r="F170" s="1">
        <v>3.1754491121864389E-2</v>
      </c>
      <c r="G170">
        <v>30</v>
      </c>
      <c r="H170" s="6">
        <f t="shared" si="2"/>
        <v>-1810.7258825168124</v>
      </c>
    </row>
    <row r="171" spans="2:8" x14ac:dyDescent="0.3">
      <c r="B171">
        <v>155</v>
      </c>
      <c r="C171">
        <v>12815365</v>
      </c>
      <c r="D171" t="s">
        <v>1</v>
      </c>
      <c r="E171" s="2">
        <v>300000</v>
      </c>
      <c r="F171" s="1">
        <v>7.1192531516652197E-2</v>
      </c>
      <c r="G171">
        <v>15</v>
      </c>
      <c r="H171" s="6">
        <f t="shared" si="2"/>
        <v>-2716.5257069980771</v>
      </c>
    </row>
    <row r="172" spans="2:8" x14ac:dyDescent="0.3">
      <c r="B172">
        <v>156</v>
      </c>
      <c r="C172">
        <v>57963170</v>
      </c>
      <c r="D172" t="s">
        <v>1</v>
      </c>
      <c r="E172" s="2">
        <v>190000</v>
      </c>
      <c r="F172" s="1">
        <v>5.577789572375437E-2</v>
      </c>
      <c r="G172">
        <v>15</v>
      </c>
      <c r="H172" s="6">
        <f t="shared" si="2"/>
        <v>-1560.3127311548092</v>
      </c>
    </row>
    <row r="173" spans="2:8" x14ac:dyDescent="0.3">
      <c r="B173">
        <v>157</v>
      </c>
      <c r="C173">
        <v>27425669</v>
      </c>
      <c r="D173" t="s">
        <v>1</v>
      </c>
      <c r="E173" s="2">
        <v>120000</v>
      </c>
      <c r="F173" s="1">
        <v>4.5537190045218612E-2</v>
      </c>
      <c r="G173">
        <v>15</v>
      </c>
      <c r="H173" s="6">
        <f t="shared" si="2"/>
        <v>-921.28990326889095</v>
      </c>
    </row>
    <row r="174" spans="2:8" x14ac:dyDescent="0.3">
      <c r="B174">
        <v>158</v>
      </c>
      <c r="C174">
        <v>42454326</v>
      </c>
      <c r="D174" t="s">
        <v>1</v>
      </c>
      <c r="E174" s="2">
        <v>230000</v>
      </c>
      <c r="F174" s="1">
        <v>5.0982489981923208E-2</v>
      </c>
      <c r="G174">
        <v>15</v>
      </c>
      <c r="H174" s="6">
        <f t="shared" si="2"/>
        <v>-1830.6184473844403</v>
      </c>
    </row>
    <row r="175" spans="2:8" x14ac:dyDescent="0.3">
      <c r="B175">
        <v>159</v>
      </c>
      <c r="C175">
        <v>43854478</v>
      </c>
      <c r="D175" t="s">
        <v>1</v>
      </c>
      <c r="E175" s="2">
        <v>180000</v>
      </c>
      <c r="F175" s="1">
        <v>3.2977812852717114E-2</v>
      </c>
      <c r="G175">
        <v>20</v>
      </c>
      <c r="H175" s="6">
        <f t="shared" si="2"/>
        <v>-1025.3204880582011</v>
      </c>
    </row>
    <row r="176" spans="2:8" x14ac:dyDescent="0.3">
      <c r="B176">
        <v>160</v>
      </c>
      <c r="C176">
        <v>28025475</v>
      </c>
      <c r="D176" t="s">
        <v>1</v>
      </c>
      <c r="E176" s="2">
        <v>430000</v>
      </c>
      <c r="F176" s="1">
        <v>5.2234852657205018E-2</v>
      </c>
      <c r="G176">
        <v>15</v>
      </c>
      <c r="H176" s="6">
        <f t="shared" si="2"/>
        <v>-3450.6822795469407</v>
      </c>
    </row>
    <row r="177" spans="2:8" x14ac:dyDescent="0.3">
      <c r="B177">
        <v>161</v>
      </c>
      <c r="C177">
        <v>64176281</v>
      </c>
      <c r="D177" t="s">
        <v>1</v>
      </c>
      <c r="E177" s="2">
        <v>340000</v>
      </c>
      <c r="F177" s="1">
        <v>7.8054402152243199E-2</v>
      </c>
      <c r="G177">
        <v>20</v>
      </c>
      <c r="H177" s="6">
        <f t="shared" si="2"/>
        <v>-2802.8658140065268</v>
      </c>
    </row>
    <row r="178" spans="2:8" x14ac:dyDescent="0.3">
      <c r="B178">
        <v>162</v>
      </c>
      <c r="C178">
        <v>19068436</v>
      </c>
      <c r="D178" t="s">
        <v>1</v>
      </c>
      <c r="E178" s="2">
        <v>90000</v>
      </c>
      <c r="F178" s="1">
        <v>8.5197825606209504E-2</v>
      </c>
      <c r="G178">
        <v>20</v>
      </c>
      <c r="H178" s="6">
        <f t="shared" si="2"/>
        <v>-782.16813742200156</v>
      </c>
    </row>
    <row r="179" spans="2:8" x14ac:dyDescent="0.3">
      <c r="B179">
        <v>163</v>
      </c>
      <c r="C179">
        <v>55935051</v>
      </c>
      <c r="D179" t="s">
        <v>1</v>
      </c>
      <c r="E179" s="2">
        <v>310000</v>
      </c>
      <c r="F179" s="1">
        <v>6.5776912974517682E-2</v>
      </c>
      <c r="G179">
        <v>15</v>
      </c>
      <c r="H179" s="6">
        <f t="shared" si="2"/>
        <v>-2713.6904725412978</v>
      </c>
    </row>
    <row r="180" spans="2:8" x14ac:dyDescent="0.3">
      <c r="B180">
        <v>164</v>
      </c>
      <c r="C180">
        <v>58190701</v>
      </c>
      <c r="D180" t="s">
        <v>1</v>
      </c>
      <c r="E180" s="2">
        <v>390000</v>
      </c>
      <c r="F180" s="1">
        <v>2.8968661386930758E-2</v>
      </c>
      <c r="G180">
        <v>30</v>
      </c>
      <c r="H180" s="6">
        <f t="shared" si="2"/>
        <v>-1622.6425259479668</v>
      </c>
    </row>
    <row r="181" spans="2:8" x14ac:dyDescent="0.3">
      <c r="B181">
        <v>165</v>
      </c>
      <c r="C181">
        <v>22410771</v>
      </c>
      <c r="D181" t="s">
        <v>1</v>
      </c>
      <c r="E181" s="2">
        <v>280000</v>
      </c>
      <c r="F181" s="1">
        <v>2.7107655095394385E-2</v>
      </c>
      <c r="G181">
        <v>15</v>
      </c>
      <c r="H181" s="6">
        <f t="shared" si="2"/>
        <v>-1894.9174430384887</v>
      </c>
    </row>
    <row r="182" spans="2:8" x14ac:dyDescent="0.3">
      <c r="B182">
        <v>166</v>
      </c>
      <c r="C182">
        <v>60128733</v>
      </c>
      <c r="D182" t="s">
        <v>1</v>
      </c>
      <c r="E182" s="2">
        <v>450000</v>
      </c>
      <c r="F182" s="1">
        <v>7.5354629162056694E-2</v>
      </c>
      <c r="G182">
        <v>15</v>
      </c>
      <c r="H182" s="6">
        <f t="shared" si="2"/>
        <v>-4180.6293078023364</v>
      </c>
    </row>
    <row r="183" spans="2:8" x14ac:dyDescent="0.3">
      <c r="B183">
        <v>167</v>
      </c>
      <c r="C183">
        <v>66609862</v>
      </c>
      <c r="D183" t="s">
        <v>1</v>
      </c>
      <c r="E183" s="2">
        <v>400000</v>
      </c>
      <c r="F183" s="1">
        <v>6.4130198135724042E-2</v>
      </c>
      <c r="G183">
        <v>15</v>
      </c>
      <c r="H183" s="6">
        <f t="shared" si="2"/>
        <v>-3465.3314397950089</v>
      </c>
    </row>
    <row r="184" spans="2:8" x14ac:dyDescent="0.3">
      <c r="B184">
        <v>168</v>
      </c>
      <c r="C184">
        <v>64197854</v>
      </c>
      <c r="D184" t="s">
        <v>1</v>
      </c>
      <c r="E184" s="2">
        <v>90000</v>
      </c>
      <c r="F184" s="1">
        <v>8.500410975067306E-2</v>
      </c>
      <c r="G184">
        <v>20</v>
      </c>
      <c r="H184" s="6">
        <f t="shared" si="2"/>
        <v>-781.06432030082647</v>
      </c>
    </row>
    <row r="185" spans="2:8" x14ac:dyDescent="0.3">
      <c r="B185">
        <v>169</v>
      </c>
      <c r="C185">
        <v>59656529</v>
      </c>
      <c r="D185" t="s">
        <v>1</v>
      </c>
      <c r="E185" s="2">
        <v>100000</v>
      </c>
      <c r="F185" s="1">
        <v>6.5387338832782596E-2</v>
      </c>
      <c r="G185">
        <v>20</v>
      </c>
      <c r="H185" s="6">
        <f t="shared" si="2"/>
        <v>-747.85526058280811</v>
      </c>
    </row>
    <row r="186" spans="2:8" x14ac:dyDescent="0.3">
      <c r="B186">
        <v>170</v>
      </c>
      <c r="C186">
        <v>27416011</v>
      </c>
      <c r="D186" t="s">
        <v>1</v>
      </c>
      <c r="E186" s="2">
        <v>320000</v>
      </c>
      <c r="F186" s="1">
        <v>4.5206795026638533E-2</v>
      </c>
      <c r="G186">
        <v>20</v>
      </c>
      <c r="H186" s="6">
        <f t="shared" si="2"/>
        <v>-2028.0517953301764</v>
      </c>
    </row>
    <row r="187" spans="2:8" x14ac:dyDescent="0.3">
      <c r="B187">
        <v>171</v>
      </c>
      <c r="C187">
        <v>48475995</v>
      </c>
      <c r="D187" t="s">
        <v>1</v>
      </c>
      <c r="E187" s="2">
        <v>270000</v>
      </c>
      <c r="F187" s="1">
        <v>8.0420328455112197E-2</v>
      </c>
      <c r="G187">
        <v>15</v>
      </c>
      <c r="H187" s="6">
        <f t="shared" si="2"/>
        <v>-2586.8165856002333</v>
      </c>
    </row>
    <row r="188" spans="2:8" x14ac:dyDescent="0.3">
      <c r="B188">
        <v>172</v>
      </c>
      <c r="C188">
        <v>71360853</v>
      </c>
      <c r="D188" t="s">
        <v>1</v>
      </c>
      <c r="E188" s="2">
        <v>430000</v>
      </c>
      <c r="F188" s="1">
        <v>8.948433022180316E-2</v>
      </c>
      <c r="G188">
        <v>15</v>
      </c>
      <c r="H188" s="6">
        <f t="shared" si="2"/>
        <v>-4348.1654276527343</v>
      </c>
    </row>
    <row r="189" spans="2:8" x14ac:dyDescent="0.3">
      <c r="B189">
        <v>173</v>
      </c>
      <c r="C189">
        <v>35512275</v>
      </c>
      <c r="D189" t="s">
        <v>1</v>
      </c>
      <c r="E189" s="2">
        <v>380000</v>
      </c>
      <c r="F189" s="1">
        <v>6.1968837801717767E-2</v>
      </c>
      <c r="G189">
        <v>30</v>
      </c>
      <c r="H189" s="6">
        <f t="shared" si="2"/>
        <v>-2326.6137587718663</v>
      </c>
    </row>
    <row r="190" spans="2:8" x14ac:dyDescent="0.3">
      <c r="B190">
        <v>174</v>
      </c>
      <c r="C190">
        <v>38613129</v>
      </c>
      <c r="D190" t="s">
        <v>1</v>
      </c>
      <c r="E190" s="2">
        <v>370000</v>
      </c>
      <c r="F190" s="1">
        <v>5.8198216683628103E-2</v>
      </c>
      <c r="G190">
        <v>15</v>
      </c>
      <c r="H190" s="6">
        <f t="shared" si="2"/>
        <v>-3086.3680567423221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K190"/>
  <sheetViews>
    <sheetView topLeftCell="E11" zoomScale="185" workbookViewId="0">
      <selection activeCell="J17" sqref="J17"/>
    </sheetView>
  </sheetViews>
  <sheetFormatPr defaultRowHeight="10.75" x14ac:dyDescent="0.3"/>
  <cols>
    <col min="1" max="1" width="2.5" customWidth="1"/>
    <col min="2" max="2" width="4.8984375" bestFit="1" customWidth="1"/>
    <col min="3" max="3" width="11.59765625" bestFit="1" customWidth="1"/>
    <col min="4" max="4" width="24.19921875" bestFit="1" customWidth="1"/>
    <col min="5" max="5" width="11.59765625" bestFit="1" customWidth="1"/>
    <col min="6" max="6" width="10.59765625" bestFit="1" customWidth="1"/>
    <col min="7" max="7" width="10.796875" bestFit="1" customWidth="1"/>
    <col min="8" max="8" width="13.09765625" bestFit="1" customWidth="1"/>
    <col min="9" max="9" width="13.796875" style="7" bestFit="1" customWidth="1"/>
    <col min="10" max="10" width="13.69921875" bestFit="1" customWidth="1"/>
    <col min="11" max="11" width="11.09765625" bestFit="1" customWidth="1"/>
  </cols>
  <sheetData>
    <row r="1" spans="2:10" x14ac:dyDescent="0.3">
      <c r="I1"/>
    </row>
    <row r="2" spans="2:10" x14ac:dyDescent="0.3">
      <c r="B2" t="s">
        <v>38</v>
      </c>
      <c r="I2"/>
    </row>
    <row r="3" spans="2:10" x14ac:dyDescent="0.3">
      <c r="I3"/>
    </row>
    <row r="4" spans="2:10" x14ac:dyDescent="0.3">
      <c r="I4"/>
    </row>
    <row r="5" spans="2:10" x14ac:dyDescent="0.3">
      <c r="I5"/>
    </row>
    <row r="6" spans="2:10" x14ac:dyDescent="0.3">
      <c r="I6"/>
    </row>
    <row r="7" spans="2:10" x14ac:dyDescent="0.3">
      <c r="I7"/>
    </row>
    <row r="8" spans="2:10" x14ac:dyDescent="0.3">
      <c r="I8"/>
    </row>
    <row r="9" spans="2:10" x14ac:dyDescent="0.3">
      <c r="I9"/>
    </row>
    <row r="10" spans="2:10" x14ac:dyDescent="0.3">
      <c r="I10"/>
    </row>
    <row r="11" spans="2:10" x14ac:dyDescent="0.3">
      <c r="I11"/>
    </row>
    <row r="12" spans="2:10" x14ac:dyDescent="0.3">
      <c r="I12"/>
    </row>
    <row r="13" spans="2:10" x14ac:dyDescent="0.3">
      <c r="I13"/>
    </row>
    <row r="14" spans="2:10" x14ac:dyDescent="0.3">
      <c r="I14"/>
    </row>
    <row r="15" spans="2:10" x14ac:dyDescent="0.3">
      <c r="I15"/>
    </row>
    <row r="16" spans="2:10" x14ac:dyDescent="0.3">
      <c r="B16" s="8" t="s">
        <v>19</v>
      </c>
      <c r="C16" s="8" t="s">
        <v>0</v>
      </c>
      <c r="D16" s="9" t="s">
        <v>15</v>
      </c>
      <c r="E16" s="9" t="s">
        <v>5</v>
      </c>
      <c r="F16" s="9" t="s">
        <v>21</v>
      </c>
      <c r="G16" s="9" t="s">
        <v>20</v>
      </c>
      <c r="H16" s="9" t="s">
        <v>4</v>
      </c>
      <c r="I16" s="9" t="s">
        <v>7</v>
      </c>
      <c r="J16" s="4" t="s">
        <v>6</v>
      </c>
    </row>
    <row r="17" spans="2:11" x14ac:dyDescent="0.3">
      <c r="B17">
        <v>1</v>
      </c>
      <c r="C17">
        <v>83449837</v>
      </c>
      <c r="D17" t="s">
        <v>3</v>
      </c>
      <c r="E17" s="2">
        <v>280000</v>
      </c>
      <c r="F17" s="1">
        <v>6.3422300277239399E-2</v>
      </c>
      <c r="G17">
        <v>30</v>
      </c>
      <c r="H17" s="6">
        <f t="shared" ref="H17:H48" si="0">INDEX(MASTER_DATA,MATCH($C17,MASTER_ROWS,0),MATCH(H$16,MASTER_HEADERS,0))</f>
        <v>-1740.8388784193021</v>
      </c>
      <c r="I17">
        <v>191</v>
      </c>
      <c r="J17" s="3">
        <f>PV(F17/12,G17*12-I17,H17)</f>
        <v>194232.77149761905</v>
      </c>
      <c r="K17" s="37"/>
    </row>
    <row r="18" spans="2:11" x14ac:dyDescent="0.3">
      <c r="B18">
        <v>2</v>
      </c>
      <c r="C18">
        <v>41209504</v>
      </c>
      <c r="D18" t="s">
        <v>3</v>
      </c>
      <c r="E18" s="2">
        <v>370000</v>
      </c>
      <c r="F18" s="1">
        <v>4.7923567837379721E-2</v>
      </c>
      <c r="G18">
        <v>30</v>
      </c>
      <c r="H18" s="6">
        <f t="shared" si="0"/>
        <v>-1939.5527972832565</v>
      </c>
      <c r="I18">
        <v>322</v>
      </c>
      <c r="J18" s="3">
        <f t="shared" ref="J18:J81" si="1">PV(F18/12,G18*12-I18,H18)</f>
        <v>68256.85188202397</v>
      </c>
    </row>
    <row r="19" spans="2:11" x14ac:dyDescent="0.3">
      <c r="B19">
        <v>3</v>
      </c>
      <c r="C19">
        <v>25055860</v>
      </c>
      <c r="D19" t="s">
        <v>3</v>
      </c>
      <c r="E19" s="2">
        <v>210000</v>
      </c>
      <c r="F19" s="1">
        <v>6.1424733534152585E-2</v>
      </c>
      <c r="G19">
        <v>20</v>
      </c>
      <c r="H19" s="6">
        <f t="shared" si="0"/>
        <v>-1521.8167990007571</v>
      </c>
      <c r="I19">
        <v>32</v>
      </c>
      <c r="J19" s="3">
        <f t="shared" si="1"/>
        <v>194504.82943547497</v>
      </c>
    </row>
    <row r="20" spans="2:11" x14ac:dyDescent="0.3">
      <c r="B20">
        <v>4</v>
      </c>
      <c r="C20">
        <v>61173887</v>
      </c>
      <c r="D20" t="s">
        <v>3</v>
      </c>
      <c r="E20" s="2">
        <v>120000</v>
      </c>
      <c r="F20" s="1">
        <v>6.9916583821802616E-2</v>
      </c>
      <c r="G20">
        <v>30</v>
      </c>
      <c r="H20" s="6">
        <f t="shared" si="0"/>
        <v>-797.69084311639654</v>
      </c>
      <c r="I20">
        <v>23</v>
      </c>
      <c r="J20" s="3">
        <f t="shared" si="1"/>
        <v>117582.59194191683</v>
      </c>
    </row>
    <row r="21" spans="2:11" x14ac:dyDescent="0.3">
      <c r="B21">
        <v>5</v>
      </c>
      <c r="C21">
        <v>51398733</v>
      </c>
      <c r="D21" t="s">
        <v>3</v>
      </c>
      <c r="E21" s="2">
        <v>350000</v>
      </c>
      <c r="F21" s="1">
        <v>5.0134005155326899E-2</v>
      </c>
      <c r="G21">
        <v>20</v>
      </c>
      <c r="H21" s="6">
        <f t="shared" si="0"/>
        <v>-2312.4368284914549</v>
      </c>
      <c r="I21">
        <v>154</v>
      </c>
      <c r="J21" s="3">
        <f t="shared" si="1"/>
        <v>166774.39516807985</v>
      </c>
    </row>
    <row r="22" spans="2:11" x14ac:dyDescent="0.3">
      <c r="B22">
        <v>6</v>
      </c>
      <c r="C22">
        <v>76906141</v>
      </c>
      <c r="D22" t="s">
        <v>3</v>
      </c>
      <c r="E22" s="2">
        <v>220000</v>
      </c>
      <c r="F22" s="1">
        <v>4.2786225749490842E-2</v>
      </c>
      <c r="G22">
        <v>10</v>
      </c>
      <c r="H22" s="6">
        <f t="shared" si="0"/>
        <v>-2256.6410339925496</v>
      </c>
      <c r="I22">
        <v>47</v>
      </c>
      <c r="J22" s="3">
        <f t="shared" si="1"/>
        <v>144815.13162833391</v>
      </c>
    </row>
    <row r="23" spans="2:11" x14ac:dyDescent="0.3">
      <c r="B23">
        <v>7</v>
      </c>
      <c r="C23">
        <v>49304139</v>
      </c>
      <c r="D23" t="s">
        <v>3</v>
      </c>
      <c r="E23" s="2">
        <v>330000</v>
      </c>
      <c r="F23" s="1">
        <v>7.9882925276980848E-2</v>
      </c>
      <c r="G23">
        <v>10</v>
      </c>
      <c r="H23" s="6">
        <f t="shared" si="0"/>
        <v>-4001.7694462201434</v>
      </c>
      <c r="I23">
        <v>81</v>
      </c>
      <c r="J23" s="3">
        <f t="shared" si="1"/>
        <v>137055.7403967772</v>
      </c>
    </row>
    <row r="24" spans="2:11" x14ac:dyDescent="0.3">
      <c r="B24">
        <v>8</v>
      </c>
      <c r="C24">
        <v>23473039</v>
      </c>
      <c r="D24" t="s">
        <v>3</v>
      </c>
      <c r="E24" s="2">
        <v>160000</v>
      </c>
      <c r="F24" s="1">
        <v>3.7834646761219816E-2</v>
      </c>
      <c r="G24">
        <v>30</v>
      </c>
      <c r="H24" s="6">
        <f t="shared" si="0"/>
        <v>-744.02648275288288</v>
      </c>
      <c r="I24">
        <v>317</v>
      </c>
      <c r="J24" s="3">
        <f t="shared" si="1"/>
        <v>29875.237982358442</v>
      </c>
    </row>
    <row r="25" spans="2:11" x14ac:dyDescent="0.3">
      <c r="B25">
        <v>9</v>
      </c>
      <c r="C25">
        <v>53651842</v>
      </c>
      <c r="D25" t="s">
        <v>3</v>
      </c>
      <c r="E25" s="2">
        <v>370000</v>
      </c>
      <c r="F25" s="1">
        <v>5.6469996936378344E-2</v>
      </c>
      <c r="G25">
        <v>30</v>
      </c>
      <c r="H25" s="6">
        <f t="shared" si="0"/>
        <v>-2135.0707200458078</v>
      </c>
      <c r="I25">
        <v>73</v>
      </c>
      <c r="J25" s="3">
        <f t="shared" si="1"/>
        <v>335782.61355425371</v>
      </c>
    </row>
    <row r="26" spans="2:11" x14ac:dyDescent="0.3">
      <c r="B26">
        <v>10</v>
      </c>
      <c r="C26">
        <v>77159777</v>
      </c>
      <c r="D26" t="s">
        <v>3</v>
      </c>
      <c r="E26" s="2">
        <v>240000</v>
      </c>
      <c r="F26" s="1">
        <v>5.6715626593494835E-2</v>
      </c>
      <c r="G26">
        <v>30</v>
      </c>
      <c r="H26" s="6">
        <f t="shared" si="0"/>
        <v>-1388.6390205991597</v>
      </c>
      <c r="I26">
        <v>174</v>
      </c>
      <c r="J26" s="3">
        <f t="shared" si="1"/>
        <v>171579.60088119478</v>
      </c>
    </row>
    <row r="27" spans="2:11" x14ac:dyDescent="0.3">
      <c r="B27">
        <v>11</v>
      </c>
      <c r="C27">
        <v>66573753</v>
      </c>
      <c r="D27" t="s">
        <v>3</v>
      </c>
      <c r="E27" s="2">
        <v>240000</v>
      </c>
      <c r="F27" s="1">
        <v>4.0215407626109097E-2</v>
      </c>
      <c r="G27">
        <v>30</v>
      </c>
      <c r="H27" s="6">
        <f t="shared" si="0"/>
        <v>-1148.7791567926149</v>
      </c>
      <c r="I27">
        <v>80</v>
      </c>
      <c r="J27" s="3">
        <f t="shared" si="1"/>
        <v>208454.89645217644</v>
      </c>
    </row>
    <row r="28" spans="2:11" x14ac:dyDescent="0.3">
      <c r="B28">
        <v>12</v>
      </c>
      <c r="C28">
        <v>35312476</v>
      </c>
      <c r="D28" t="s">
        <v>3</v>
      </c>
      <c r="E28" s="2">
        <v>120000</v>
      </c>
      <c r="F28" s="1">
        <v>8.3860466435509498E-2</v>
      </c>
      <c r="G28">
        <v>10</v>
      </c>
      <c r="H28" s="6">
        <f t="shared" si="0"/>
        <v>-1480.5247973648513</v>
      </c>
      <c r="I28">
        <v>103</v>
      </c>
      <c r="J28" s="3">
        <f t="shared" si="1"/>
        <v>23653.598787943563</v>
      </c>
    </row>
    <row r="29" spans="2:11" x14ac:dyDescent="0.3">
      <c r="B29">
        <v>13</v>
      </c>
      <c r="C29">
        <v>95991315</v>
      </c>
      <c r="D29" t="s">
        <v>3</v>
      </c>
      <c r="E29" s="2">
        <v>150000</v>
      </c>
      <c r="F29" s="1">
        <v>3.5523380678162242E-2</v>
      </c>
      <c r="G29">
        <v>20</v>
      </c>
      <c r="H29" s="6">
        <f t="shared" si="0"/>
        <v>-873.97914438024759</v>
      </c>
      <c r="I29">
        <v>37</v>
      </c>
      <c r="J29" s="3">
        <f t="shared" si="1"/>
        <v>133214.66827461461</v>
      </c>
    </row>
    <row r="30" spans="2:11" x14ac:dyDescent="0.3">
      <c r="B30">
        <v>14</v>
      </c>
      <c r="C30">
        <v>30278425</v>
      </c>
      <c r="D30" t="s">
        <v>3</v>
      </c>
      <c r="E30" s="2">
        <v>100000</v>
      </c>
      <c r="F30" s="1">
        <v>3.6067921361398102E-2</v>
      </c>
      <c r="G30">
        <v>20</v>
      </c>
      <c r="H30" s="6">
        <f t="shared" si="0"/>
        <v>-585.46233413051527</v>
      </c>
      <c r="I30">
        <v>238</v>
      </c>
      <c r="J30" s="3">
        <f t="shared" si="1"/>
        <v>1165.6666429540903</v>
      </c>
    </row>
    <row r="31" spans="2:11" x14ac:dyDescent="0.3">
      <c r="B31">
        <v>15</v>
      </c>
      <c r="C31">
        <v>89078715</v>
      </c>
      <c r="D31" t="s">
        <v>3</v>
      </c>
      <c r="E31" s="2">
        <v>210000</v>
      </c>
      <c r="F31" s="1">
        <v>2.0976206387454444E-2</v>
      </c>
      <c r="G31">
        <v>10</v>
      </c>
      <c r="H31" s="6">
        <f t="shared" si="0"/>
        <v>-1941.4772703169913</v>
      </c>
      <c r="I31">
        <v>29</v>
      </c>
      <c r="J31" s="3">
        <f t="shared" si="1"/>
        <v>163207.46498471222</v>
      </c>
    </row>
    <row r="32" spans="2:11" x14ac:dyDescent="0.3">
      <c r="B32">
        <v>16</v>
      </c>
      <c r="C32">
        <v>66655583</v>
      </c>
      <c r="D32" t="s">
        <v>3</v>
      </c>
      <c r="E32" s="2">
        <v>390000</v>
      </c>
      <c r="F32" s="1">
        <v>7.3061166730698637E-2</v>
      </c>
      <c r="G32">
        <v>10</v>
      </c>
      <c r="H32" s="6">
        <f t="shared" si="0"/>
        <v>-4589.999762786163</v>
      </c>
      <c r="I32">
        <v>23</v>
      </c>
      <c r="J32" s="3">
        <f t="shared" si="1"/>
        <v>335480.53454250272</v>
      </c>
    </row>
    <row r="33" spans="2:10" x14ac:dyDescent="0.3">
      <c r="B33">
        <v>17</v>
      </c>
      <c r="C33">
        <v>23457613</v>
      </c>
      <c r="D33" t="s">
        <v>3</v>
      </c>
      <c r="E33" s="2">
        <v>240000</v>
      </c>
      <c r="F33" s="1">
        <v>2.7097694596205285E-2</v>
      </c>
      <c r="G33">
        <v>20</v>
      </c>
      <c r="H33" s="6">
        <f t="shared" si="0"/>
        <v>-1296.4355820821277</v>
      </c>
      <c r="I33">
        <v>228</v>
      </c>
      <c r="J33" s="3">
        <f t="shared" si="1"/>
        <v>15331.265380235949</v>
      </c>
    </row>
    <row r="34" spans="2:10" x14ac:dyDescent="0.3">
      <c r="B34">
        <v>18</v>
      </c>
      <c r="C34">
        <v>68418670</v>
      </c>
      <c r="D34" t="s">
        <v>3</v>
      </c>
      <c r="E34" s="2">
        <v>280000</v>
      </c>
      <c r="F34" s="1">
        <v>2.5842605502086724E-2</v>
      </c>
      <c r="G34">
        <v>20</v>
      </c>
      <c r="H34" s="6">
        <f t="shared" si="0"/>
        <v>-1495.248625286298</v>
      </c>
      <c r="I34">
        <v>69</v>
      </c>
      <c r="J34" s="3">
        <f t="shared" si="1"/>
        <v>213701.82999526226</v>
      </c>
    </row>
    <row r="35" spans="2:10" x14ac:dyDescent="0.3">
      <c r="B35">
        <v>19</v>
      </c>
      <c r="C35">
        <v>77337678</v>
      </c>
      <c r="D35" t="s">
        <v>3</v>
      </c>
      <c r="E35" s="2">
        <v>310000</v>
      </c>
      <c r="F35" s="1">
        <v>2.7655486798436463E-2</v>
      </c>
      <c r="G35">
        <v>20</v>
      </c>
      <c r="H35" s="6">
        <f t="shared" si="0"/>
        <v>-1683.0972026395843</v>
      </c>
      <c r="I35">
        <v>116</v>
      </c>
      <c r="J35" s="3">
        <f t="shared" si="1"/>
        <v>181351.36327327162</v>
      </c>
    </row>
    <row r="36" spans="2:10" x14ac:dyDescent="0.3">
      <c r="B36">
        <v>20</v>
      </c>
      <c r="C36">
        <v>66901329</v>
      </c>
      <c r="D36" t="s">
        <v>3</v>
      </c>
      <c r="E36" s="2">
        <v>300000</v>
      </c>
      <c r="F36" s="1">
        <v>8.0418748029822365E-2</v>
      </c>
      <c r="G36">
        <v>20</v>
      </c>
      <c r="H36" s="6">
        <f t="shared" si="0"/>
        <v>-2517.1441496255266</v>
      </c>
      <c r="I36">
        <v>64</v>
      </c>
      <c r="J36" s="3">
        <f t="shared" si="1"/>
        <v>259674.1056688689</v>
      </c>
    </row>
    <row r="37" spans="2:10" x14ac:dyDescent="0.3">
      <c r="B37">
        <v>21</v>
      </c>
      <c r="C37">
        <v>14201616</v>
      </c>
      <c r="D37" t="s">
        <v>3</v>
      </c>
      <c r="E37" s="2">
        <v>200000</v>
      </c>
      <c r="F37" s="1">
        <v>3.8827805000615556E-2</v>
      </c>
      <c r="G37">
        <v>10</v>
      </c>
      <c r="H37" s="6">
        <f t="shared" si="0"/>
        <v>-2013.7795253375859</v>
      </c>
      <c r="I37">
        <v>44</v>
      </c>
      <c r="J37" s="3">
        <f t="shared" si="1"/>
        <v>135488.26608174641</v>
      </c>
    </row>
    <row r="38" spans="2:10" x14ac:dyDescent="0.3">
      <c r="B38">
        <v>22</v>
      </c>
      <c r="C38">
        <v>33480177</v>
      </c>
      <c r="D38" t="s">
        <v>3</v>
      </c>
      <c r="E38" s="2">
        <v>340000</v>
      </c>
      <c r="F38" s="1">
        <v>4.0557152115227098E-2</v>
      </c>
      <c r="G38">
        <v>20</v>
      </c>
      <c r="H38" s="6">
        <f t="shared" si="0"/>
        <v>-2070.3285625997696</v>
      </c>
      <c r="I38">
        <v>195</v>
      </c>
      <c r="J38" s="3">
        <f t="shared" si="1"/>
        <v>86291.079617235722</v>
      </c>
    </row>
    <row r="39" spans="2:10" x14ac:dyDescent="0.3">
      <c r="B39">
        <v>23</v>
      </c>
      <c r="C39">
        <v>29381592</v>
      </c>
      <c r="D39" t="s">
        <v>3</v>
      </c>
      <c r="E39" s="2">
        <v>360000</v>
      </c>
      <c r="F39" s="1">
        <v>7.5597074524101956E-2</v>
      </c>
      <c r="G39">
        <v>10</v>
      </c>
      <c r="H39" s="6">
        <f t="shared" si="0"/>
        <v>-4284.4905459633765</v>
      </c>
      <c r="I39">
        <v>61</v>
      </c>
      <c r="J39" s="3">
        <f t="shared" si="1"/>
        <v>210576.97345214253</v>
      </c>
    </row>
    <row r="40" spans="2:10" x14ac:dyDescent="0.3">
      <c r="B40">
        <v>24</v>
      </c>
      <c r="C40">
        <v>50137533</v>
      </c>
      <c r="D40" t="s">
        <v>3</v>
      </c>
      <c r="E40" s="2">
        <v>320000</v>
      </c>
      <c r="F40" s="1">
        <v>3.5673924310420199E-2</v>
      </c>
      <c r="G40">
        <v>30</v>
      </c>
      <c r="H40" s="6">
        <f t="shared" si="0"/>
        <v>-1449.008116844846</v>
      </c>
      <c r="I40">
        <v>133</v>
      </c>
      <c r="J40" s="3">
        <f t="shared" si="1"/>
        <v>238955.41133350937</v>
      </c>
    </row>
    <row r="41" spans="2:10" x14ac:dyDescent="0.3">
      <c r="B41">
        <v>25</v>
      </c>
      <c r="C41">
        <v>52137527</v>
      </c>
      <c r="D41" t="s">
        <v>3</v>
      </c>
      <c r="E41" s="2">
        <v>350000</v>
      </c>
      <c r="F41" s="1">
        <v>6.0639301234321812E-2</v>
      </c>
      <c r="G41">
        <v>20</v>
      </c>
      <c r="H41" s="6">
        <f t="shared" si="0"/>
        <v>-2520.4343866910913</v>
      </c>
      <c r="I41">
        <v>29</v>
      </c>
      <c r="J41" s="3">
        <f t="shared" si="1"/>
        <v>326583.24368116446</v>
      </c>
    </row>
    <row r="42" spans="2:10" x14ac:dyDescent="0.3">
      <c r="B42">
        <v>26</v>
      </c>
      <c r="C42">
        <v>49565781</v>
      </c>
      <c r="D42" t="s">
        <v>3</v>
      </c>
      <c r="E42" s="2">
        <v>170000</v>
      </c>
      <c r="F42" s="1">
        <v>3.5562170293429965E-2</v>
      </c>
      <c r="G42">
        <v>10</v>
      </c>
      <c r="H42" s="6">
        <f t="shared" si="0"/>
        <v>-1685.5402859385708</v>
      </c>
      <c r="I42">
        <v>3</v>
      </c>
      <c r="J42" s="3">
        <f t="shared" si="1"/>
        <v>166444.25466576836</v>
      </c>
    </row>
    <row r="43" spans="2:10" x14ac:dyDescent="0.3">
      <c r="B43">
        <v>27</v>
      </c>
      <c r="C43">
        <v>49446589</v>
      </c>
      <c r="D43" t="s">
        <v>3</v>
      </c>
      <c r="E43" s="2">
        <v>380000</v>
      </c>
      <c r="F43" s="1">
        <v>4.3455090449965803E-2</v>
      </c>
      <c r="G43">
        <v>30</v>
      </c>
      <c r="H43" s="6">
        <f t="shared" si="0"/>
        <v>-1890.6798699800634</v>
      </c>
      <c r="I43">
        <v>196</v>
      </c>
      <c r="J43" s="3">
        <f t="shared" si="1"/>
        <v>233501.48415468709</v>
      </c>
    </row>
    <row r="44" spans="2:10" x14ac:dyDescent="0.3">
      <c r="B44">
        <v>28</v>
      </c>
      <c r="C44">
        <v>67342178</v>
      </c>
      <c r="D44" t="s">
        <v>3</v>
      </c>
      <c r="E44" s="2">
        <v>350000</v>
      </c>
      <c r="F44" s="1">
        <v>3.2696780273888046E-2</v>
      </c>
      <c r="G44">
        <v>20</v>
      </c>
      <c r="H44" s="6">
        <f t="shared" si="0"/>
        <v>-1988.6805492732656</v>
      </c>
      <c r="I44">
        <v>38</v>
      </c>
      <c r="J44" s="3">
        <f t="shared" si="1"/>
        <v>308620.09696011798</v>
      </c>
    </row>
    <row r="45" spans="2:10" x14ac:dyDescent="0.3">
      <c r="B45">
        <v>29</v>
      </c>
      <c r="C45">
        <v>97679083</v>
      </c>
      <c r="D45" t="s">
        <v>3</v>
      </c>
      <c r="E45" s="2">
        <v>370000</v>
      </c>
      <c r="F45" s="1">
        <v>7.8578878041267147E-2</v>
      </c>
      <c r="G45">
        <v>10</v>
      </c>
      <c r="H45" s="6">
        <f t="shared" si="0"/>
        <v>-4461.3851306356137</v>
      </c>
      <c r="I45">
        <v>48</v>
      </c>
      <c r="J45" s="3">
        <f t="shared" si="1"/>
        <v>255462.80531041126</v>
      </c>
    </row>
    <row r="46" spans="2:10" x14ac:dyDescent="0.3">
      <c r="B46">
        <v>30</v>
      </c>
      <c r="C46">
        <v>51105403</v>
      </c>
      <c r="D46" t="s">
        <v>3</v>
      </c>
      <c r="E46" s="2">
        <v>210000</v>
      </c>
      <c r="F46" s="1">
        <v>6.4614921853092214E-2</v>
      </c>
      <c r="G46">
        <v>20</v>
      </c>
      <c r="H46" s="6">
        <f t="shared" si="0"/>
        <v>-1560.9463857623168</v>
      </c>
      <c r="I46">
        <v>163</v>
      </c>
      <c r="J46" s="3">
        <f t="shared" si="1"/>
        <v>98177.347959744293</v>
      </c>
    </row>
    <row r="47" spans="2:10" x14ac:dyDescent="0.3">
      <c r="B47">
        <v>31</v>
      </c>
      <c r="C47">
        <v>33064297</v>
      </c>
      <c r="D47" t="s">
        <v>3</v>
      </c>
      <c r="E47" s="2">
        <v>100000</v>
      </c>
      <c r="F47" s="1">
        <v>6.2879825673857012E-2</v>
      </c>
      <c r="G47">
        <v>10</v>
      </c>
      <c r="H47" s="6">
        <f t="shared" si="0"/>
        <v>-1124.7219318772229</v>
      </c>
      <c r="I47">
        <v>32</v>
      </c>
      <c r="J47" s="3">
        <f t="shared" si="1"/>
        <v>79130.538614991354</v>
      </c>
    </row>
    <row r="48" spans="2:10" x14ac:dyDescent="0.3">
      <c r="B48">
        <v>32</v>
      </c>
      <c r="C48">
        <v>91324062</v>
      </c>
      <c r="D48" t="s">
        <v>3</v>
      </c>
      <c r="E48" s="2">
        <v>250000</v>
      </c>
      <c r="F48" s="1">
        <v>5.8930108641721893E-2</v>
      </c>
      <c r="G48">
        <v>30</v>
      </c>
      <c r="H48" s="6">
        <f t="shared" si="0"/>
        <v>-1481.7234013926939</v>
      </c>
      <c r="I48">
        <v>269</v>
      </c>
      <c r="J48" s="3">
        <f t="shared" si="1"/>
        <v>108525.51400132656</v>
      </c>
    </row>
    <row r="49" spans="2:10" x14ac:dyDescent="0.3">
      <c r="B49">
        <v>33</v>
      </c>
      <c r="C49">
        <v>65209293</v>
      </c>
      <c r="D49" t="s">
        <v>3</v>
      </c>
      <c r="E49" s="2">
        <v>450000</v>
      </c>
      <c r="F49" s="1">
        <v>2.7558682360886048E-2</v>
      </c>
      <c r="G49">
        <v>30</v>
      </c>
      <c r="H49" s="6">
        <f t="shared" ref="H49:H80" si="2">INDEX(MASTER_DATA,MATCH($C49,MASTER_ROWS,0),MATCH(H$16,MASTER_HEADERS,0))</f>
        <v>-1838.4843521166476</v>
      </c>
      <c r="I49">
        <v>212</v>
      </c>
      <c r="J49" s="3">
        <f t="shared" si="1"/>
        <v>230454.6663488154</v>
      </c>
    </row>
    <row r="50" spans="2:10" x14ac:dyDescent="0.3">
      <c r="B50">
        <v>34</v>
      </c>
      <c r="C50">
        <v>14033138</v>
      </c>
      <c r="D50" t="s">
        <v>3</v>
      </c>
      <c r="E50" s="2">
        <v>380000</v>
      </c>
      <c r="F50" s="1">
        <v>7.7750119768659212E-2</v>
      </c>
      <c r="G50">
        <v>10</v>
      </c>
      <c r="H50" s="6">
        <f t="shared" si="2"/>
        <v>-4565.3970033060141</v>
      </c>
      <c r="I50">
        <v>3</v>
      </c>
      <c r="J50" s="3">
        <f t="shared" si="1"/>
        <v>373649.09892300068</v>
      </c>
    </row>
    <row r="51" spans="2:10" x14ac:dyDescent="0.3">
      <c r="B51">
        <v>35</v>
      </c>
      <c r="C51">
        <v>88766432</v>
      </c>
      <c r="D51" t="s">
        <v>3</v>
      </c>
      <c r="E51" s="2">
        <v>360000</v>
      </c>
      <c r="F51" s="1">
        <v>3.8020196364644765E-2</v>
      </c>
      <c r="G51">
        <v>20</v>
      </c>
      <c r="H51" s="6">
        <f t="shared" si="2"/>
        <v>-2144.156616038792</v>
      </c>
      <c r="I51">
        <v>65</v>
      </c>
      <c r="J51" s="3">
        <f t="shared" si="1"/>
        <v>287693.12725008646</v>
      </c>
    </row>
    <row r="52" spans="2:10" x14ac:dyDescent="0.3">
      <c r="B52">
        <v>36</v>
      </c>
      <c r="C52">
        <v>95868629</v>
      </c>
      <c r="D52" t="s">
        <v>3</v>
      </c>
      <c r="E52" s="2">
        <v>320000</v>
      </c>
      <c r="F52" s="1">
        <v>6.5925739900995997E-2</v>
      </c>
      <c r="G52">
        <v>10</v>
      </c>
      <c r="H52" s="6">
        <f t="shared" si="2"/>
        <v>-3648.6260665192822</v>
      </c>
      <c r="I52">
        <v>4</v>
      </c>
      <c r="J52" s="3">
        <f t="shared" si="1"/>
        <v>312375.02628356131</v>
      </c>
    </row>
    <row r="53" spans="2:10" x14ac:dyDescent="0.3">
      <c r="B53">
        <v>37</v>
      </c>
      <c r="C53">
        <v>58492506</v>
      </c>
      <c r="D53" t="s">
        <v>3</v>
      </c>
      <c r="E53" s="2">
        <v>160000</v>
      </c>
      <c r="F53" s="1">
        <v>4.1853063215998632E-2</v>
      </c>
      <c r="G53">
        <v>30</v>
      </c>
      <c r="H53" s="6">
        <f t="shared" si="2"/>
        <v>-781.05591764247345</v>
      </c>
      <c r="I53">
        <v>85</v>
      </c>
      <c r="J53" s="3">
        <f t="shared" si="1"/>
        <v>137978.65273628972</v>
      </c>
    </row>
    <row r="54" spans="2:10" x14ac:dyDescent="0.3">
      <c r="B54">
        <v>38</v>
      </c>
      <c r="C54">
        <v>13713998</v>
      </c>
      <c r="D54" t="s">
        <v>3</v>
      </c>
      <c r="E54" s="2">
        <v>140000</v>
      </c>
      <c r="F54" s="1">
        <v>2.966497552361293E-2</v>
      </c>
      <c r="G54">
        <v>30</v>
      </c>
      <c r="H54" s="6">
        <f t="shared" si="2"/>
        <v>-587.71904292656291</v>
      </c>
      <c r="I54">
        <v>36</v>
      </c>
      <c r="J54" s="3">
        <f t="shared" si="1"/>
        <v>130914.32892488279</v>
      </c>
    </row>
    <row r="55" spans="2:10" x14ac:dyDescent="0.3">
      <c r="B55">
        <v>39</v>
      </c>
      <c r="C55">
        <v>84177304</v>
      </c>
      <c r="D55" t="s">
        <v>3</v>
      </c>
      <c r="E55" s="2">
        <v>320000</v>
      </c>
      <c r="F55" s="1">
        <v>8.1731961592310012E-2</v>
      </c>
      <c r="G55">
        <v>20</v>
      </c>
      <c r="H55" s="6">
        <f t="shared" si="2"/>
        <v>-2711.2034857582971</v>
      </c>
      <c r="I55">
        <v>135</v>
      </c>
      <c r="J55" s="3">
        <f t="shared" si="1"/>
        <v>202891.04889595046</v>
      </c>
    </row>
    <row r="56" spans="2:10" x14ac:dyDescent="0.3">
      <c r="B56">
        <v>40</v>
      </c>
      <c r="C56">
        <v>12588878</v>
      </c>
      <c r="D56" t="s">
        <v>3</v>
      </c>
      <c r="E56" s="2">
        <v>400000</v>
      </c>
      <c r="F56" s="1">
        <v>2.3124063876185742E-2</v>
      </c>
      <c r="G56">
        <v>30</v>
      </c>
      <c r="H56" s="6">
        <f t="shared" si="2"/>
        <v>-1541.7473542373507</v>
      </c>
      <c r="I56">
        <v>152</v>
      </c>
      <c r="J56" s="3">
        <f t="shared" si="1"/>
        <v>263999.76465804153</v>
      </c>
    </row>
    <row r="57" spans="2:10" x14ac:dyDescent="0.3">
      <c r="B57">
        <v>41</v>
      </c>
      <c r="C57">
        <v>59421574</v>
      </c>
      <c r="D57" t="s">
        <v>3</v>
      </c>
      <c r="E57" s="2">
        <v>100000</v>
      </c>
      <c r="F57" s="1">
        <v>6.2115111893552351E-2</v>
      </c>
      <c r="G57">
        <v>20</v>
      </c>
      <c r="H57" s="6">
        <f t="shared" si="2"/>
        <v>-728.68662035775344</v>
      </c>
      <c r="I57">
        <v>52</v>
      </c>
      <c r="J57" s="3">
        <f t="shared" si="1"/>
        <v>87442.870297965303</v>
      </c>
    </row>
    <row r="58" spans="2:10" x14ac:dyDescent="0.3">
      <c r="B58">
        <v>42</v>
      </c>
      <c r="C58">
        <v>79015075</v>
      </c>
      <c r="D58" t="s">
        <v>3</v>
      </c>
      <c r="E58" s="2">
        <v>260000</v>
      </c>
      <c r="F58" s="1">
        <v>2.4795470508067418E-2</v>
      </c>
      <c r="G58">
        <v>10</v>
      </c>
      <c r="H58" s="6">
        <f t="shared" si="2"/>
        <v>-2448.6000303478299</v>
      </c>
      <c r="I58">
        <v>43</v>
      </c>
      <c r="J58" s="3">
        <f t="shared" si="1"/>
        <v>174142.14868624872</v>
      </c>
    </row>
    <row r="59" spans="2:10" x14ac:dyDescent="0.3">
      <c r="B59">
        <v>43</v>
      </c>
      <c r="C59">
        <v>19354278</v>
      </c>
      <c r="D59" t="s">
        <v>3</v>
      </c>
      <c r="E59" s="2">
        <v>180000</v>
      </c>
      <c r="F59" s="1">
        <v>6.2624385664536333E-2</v>
      </c>
      <c r="G59">
        <v>10</v>
      </c>
      <c r="H59" s="6">
        <f t="shared" si="2"/>
        <v>-2022.1737064684473</v>
      </c>
      <c r="I59">
        <v>89</v>
      </c>
      <c r="J59" s="3">
        <f t="shared" si="1"/>
        <v>57740.663854286882</v>
      </c>
    </row>
    <row r="60" spans="2:10" x14ac:dyDescent="0.3">
      <c r="B60">
        <v>44</v>
      </c>
      <c r="C60">
        <v>19728173</v>
      </c>
      <c r="D60" t="s">
        <v>3</v>
      </c>
      <c r="E60" s="2">
        <v>240000</v>
      </c>
      <c r="F60" s="1">
        <v>8.8685443767959421E-2</v>
      </c>
      <c r="G60">
        <v>20</v>
      </c>
      <c r="H60" s="6">
        <f t="shared" si="2"/>
        <v>-2139.0935536794937</v>
      </c>
      <c r="I60">
        <v>85</v>
      </c>
      <c r="J60" s="3">
        <f t="shared" si="1"/>
        <v>196992.65164534209</v>
      </c>
    </row>
    <row r="61" spans="2:10" x14ac:dyDescent="0.3">
      <c r="B61">
        <v>45</v>
      </c>
      <c r="C61">
        <v>71380476</v>
      </c>
      <c r="D61" t="s">
        <v>3</v>
      </c>
      <c r="E61" s="2">
        <v>400000</v>
      </c>
      <c r="F61" s="1">
        <v>2.8536155301216861E-2</v>
      </c>
      <c r="G61">
        <v>30</v>
      </c>
      <c r="H61" s="6">
        <f t="shared" si="2"/>
        <v>-1655.0012718596352</v>
      </c>
      <c r="I61">
        <v>20</v>
      </c>
      <c r="J61" s="3">
        <f t="shared" si="1"/>
        <v>385601.50389038748</v>
      </c>
    </row>
    <row r="62" spans="2:10" x14ac:dyDescent="0.3">
      <c r="B62">
        <v>46</v>
      </c>
      <c r="C62">
        <v>53758029</v>
      </c>
      <c r="D62" t="s">
        <v>3</v>
      </c>
      <c r="E62" s="2">
        <v>230000</v>
      </c>
      <c r="F62" s="1">
        <v>6.4588054143448148E-2</v>
      </c>
      <c r="G62">
        <v>20</v>
      </c>
      <c r="H62" s="6">
        <f t="shared" si="2"/>
        <v>-1709.2447127954504</v>
      </c>
      <c r="I62">
        <v>153</v>
      </c>
      <c r="J62" s="3">
        <f t="shared" si="1"/>
        <v>118491.54088897574</v>
      </c>
    </row>
    <row r="63" spans="2:10" x14ac:dyDescent="0.3">
      <c r="B63">
        <v>47</v>
      </c>
      <c r="C63">
        <v>74930308</v>
      </c>
      <c r="D63" t="s">
        <v>3</v>
      </c>
      <c r="E63" s="2">
        <v>140000</v>
      </c>
      <c r="F63" s="1">
        <v>4.0821913483801812E-2</v>
      </c>
      <c r="G63">
        <v>30</v>
      </c>
      <c r="H63" s="6">
        <f t="shared" si="2"/>
        <v>-675.03220560611874</v>
      </c>
      <c r="I63">
        <v>30</v>
      </c>
      <c r="J63" s="3">
        <f t="shared" si="1"/>
        <v>133732.99751163588</v>
      </c>
    </row>
    <row r="64" spans="2:10" x14ac:dyDescent="0.3">
      <c r="B64">
        <v>48</v>
      </c>
      <c r="C64">
        <v>82635844</v>
      </c>
      <c r="D64" t="s">
        <v>3</v>
      </c>
      <c r="E64" s="2">
        <v>90000</v>
      </c>
      <c r="F64" s="1">
        <v>8.0194103559907345E-2</v>
      </c>
      <c r="G64">
        <v>20</v>
      </c>
      <c r="H64" s="6">
        <f t="shared" si="2"/>
        <v>-753.8836385245346</v>
      </c>
      <c r="I64">
        <v>8</v>
      </c>
      <c r="J64" s="3">
        <f t="shared" si="1"/>
        <v>88751.670447861601</v>
      </c>
    </row>
    <row r="65" spans="2:10" x14ac:dyDescent="0.3">
      <c r="B65">
        <v>49</v>
      </c>
      <c r="C65">
        <v>38909064</v>
      </c>
      <c r="D65" t="s">
        <v>3</v>
      </c>
      <c r="E65" s="2">
        <v>420000</v>
      </c>
      <c r="F65" s="1">
        <v>2.2996447985654003E-2</v>
      </c>
      <c r="G65">
        <v>10</v>
      </c>
      <c r="H65" s="6">
        <f t="shared" si="2"/>
        <v>-3921.1865201602018</v>
      </c>
      <c r="I65">
        <v>36</v>
      </c>
      <c r="J65" s="3">
        <f t="shared" si="1"/>
        <v>303967.42332739127</v>
      </c>
    </row>
    <row r="66" spans="2:10" x14ac:dyDescent="0.3">
      <c r="B66">
        <v>50</v>
      </c>
      <c r="C66">
        <v>98808855</v>
      </c>
      <c r="D66" t="s">
        <v>3</v>
      </c>
      <c r="E66" s="2">
        <v>200000</v>
      </c>
      <c r="F66" s="1">
        <v>2.5277016412276896E-2</v>
      </c>
      <c r="G66">
        <v>10</v>
      </c>
      <c r="H66" s="6">
        <f t="shared" si="2"/>
        <v>-1887.9184579969824</v>
      </c>
      <c r="I66">
        <v>4</v>
      </c>
      <c r="J66" s="3">
        <f t="shared" si="1"/>
        <v>194114.89847536708</v>
      </c>
    </row>
    <row r="67" spans="2:10" x14ac:dyDescent="0.3">
      <c r="B67">
        <v>51</v>
      </c>
      <c r="C67">
        <v>26667365</v>
      </c>
      <c r="D67" t="s">
        <v>3</v>
      </c>
      <c r="E67" s="2">
        <v>130000</v>
      </c>
      <c r="F67" s="1">
        <v>5.6232150677562931E-2</v>
      </c>
      <c r="G67">
        <v>10</v>
      </c>
      <c r="H67" s="6">
        <f t="shared" si="2"/>
        <v>-1418.7918010041205</v>
      </c>
      <c r="I67">
        <v>4</v>
      </c>
      <c r="J67" s="3">
        <f t="shared" si="1"/>
        <v>126738.72506954949</v>
      </c>
    </row>
    <row r="68" spans="2:10" x14ac:dyDescent="0.3">
      <c r="B68">
        <v>52</v>
      </c>
      <c r="C68">
        <v>80880818</v>
      </c>
      <c r="D68" t="s">
        <v>3</v>
      </c>
      <c r="E68" s="2">
        <v>120000</v>
      </c>
      <c r="F68" s="1">
        <v>5.6587380060444684E-2</v>
      </c>
      <c r="G68">
        <v>10</v>
      </c>
      <c r="H68" s="6">
        <f t="shared" si="2"/>
        <v>-1311.7742239228342</v>
      </c>
      <c r="I68">
        <v>77</v>
      </c>
      <c r="J68" s="3">
        <f t="shared" si="1"/>
        <v>50946.937357005198</v>
      </c>
    </row>
    <row r="69" spans="2:10" x14ac:dyDescent="0.3">
      <c r="B69">
        <v>53</v>
      </c>
      <c r="C69">
        <v>81807183</v>
      </c>
      <c r="D69" t="s">
        <v>3</v>
      </c>
      <c r="E69" s="2">
        <v>120000</v>
      </c>
      <c r="F69" s="1">
        <v>7.250452793744129E-2</v>
      </c>
      <c r="G69">
        <v>30</v>
      </c>
      <c r="H69" s="6">
        <f t="shared" si="2"/>
        <v>-818.64839053490459</v>
      </c>
      <c r="I69">
        <v>100</v>
      </c>
      <c r="J69" s="3">
        <f t="shared" si="1"/>
        <v>107196.32312312393</v>
      </c>
    </row>
    <row r="70" spans="2:10" x14ac:dyDescent="0.3">
      <c r="B70">
        <v>54</v>
      </c>
      <c r="C70">
        <v>14611483</v>
      </c>
      <c r="D70" t="s">
        <v>3</v>
      </c>
      <c r="E70" s="2">
        <v>150000</v>
      </c>
      <c r="F70" s="1">
        <v>7.2752652226458867E-2</v>
      </c>
      <c r="G70">
        <v>20</v>
      </c>
      <c r="H70" s="6">
        <f t="shared" si="2"/>
        <v>-1187.8612740753533</v>
      </c>
      <c r="I70">
        <v>76</v>
      </c>
      <c r="J70" s="3">
        <f t="shared" si="1"/>
        <v>123219.62822422951</v>
      </c>
    </row>
    <row r="71" spans="2:10" x14ac:dyDescent="0.3">
      <c r="B71">
        <v>55</v>
      </c>
      <c r="C71">
        <v>97257211</v>
      </c>
      <c r="D71" t="s">
        <v>3</v>
      </c>
      <c r="E71" s="2">
        <v>90000</v>
      </c>
      <c r="F71" s="1">
        <v>4.7155846847419934E-2</v>
      </c>
      <c r="G71">
        <v>30</v>
      </c>
      <c r="H71" s="6">
        <f t="shared" si="2"/>
        <v>-467.61745240145035</v>
      </c>
      <c r="I71">
        <v>156</v>
      </c>
      <c r="J71" s="3">
        <f t="shared" si="1"/>
        <v>65532.453303987968</v>
      </c>
    </row>
    <row r="72" spans="2:10" x14ac:dyDescent="0.3">
      <c r="B72">
        <v>56</v>
      </c>
      <c r="C72">
        <v>94915980</v>
      </c>
      <c r="D72" t="s">
        <v>3</v>
      </c>
      <c r="E72" s="2">
        <v>310000</v>
      </c>
      <c r="F72" s="1">
        <v>3.5647185007364517E-2</v>
      </c>
      <c r="G72">
        <v>10</v>
      </c>
      <c r="H72" s="6">
        <f t="shared" si="2"/>
        <v>-3074.8690260412382</v>
      </c>
      <c r="I72">
        <v>36</v>
      </c>
      <c r="J72" s="3">
        <f t="shared" si="1"/>
        <v>228286.36077492562</v>
      </c>
    </row>
    <row r="73" spans="2:10" x14ac:dyDescent="0.3">
      <c r="B73">
        <v>57</v>
      </c>
      <c r="C73">
        <v>16798870</v>
      </c>
      <c r="D73" t="s">
        <v>3</v>
      </c>
      <c r="E73" s="2">
        <v>270000</v>
      </c>
      <c r="F73" s="1">
        <v>3.8124204390776455E-2</v>
      </c>
      <c r="G73">
        <v>30</v>
      </c>
      <c r="H73" s="6">
        <f t="shared" si="2"/>
        <v>-1259.9946484214199</v>
      </c>
      <c r="I73">
        <v>327</v>
      </c>
      <c r="J73" s="3">
        <f t="shared" si="1"/>
        <v>39415.038705480743</v>
      </c>
    </row>
    <row r="74" spans="2:10" x14ac:dyDescent="0.3">
      <c r="B74">
        <v>58</v>
      </c>
      <c r="C74">
        <v>78996690</v>
      </c>
      <c r="D74" t="s">
        <v>3</v>
      </c>
      <c r="E74" s="2">
        <v>280000</v>
      </c>
      <c r="F74" s="1">
        <v>8.3762295006845983E-2</v>
      </c>
      <c r="G74">
        <v>30</v>
      </c>
      <c r="H74" s="6">
        <f t="shared" si="2"/>
        <v>-2128.4452821872769</v>
      </c>
      <c r="I74">
        <v>187</v>
      </c>
      <c r="J74" s="3">
        <f t="shared" si="1"/>
        <v>213394.12647606496</v>
      </c>
    </row>
    <row r="75" spans="2:10" x14ac:dyDescent="0.3">
      <c r="B75">
        <v>59</v>
      </c>
      <c r="C75">
        <v>12860906</v>
      </c>
      <c r="D75" t="s">
        <v>3</v>
      </c>
      <c r="E75" s="2">
        <v>80000</v>
      </c>
      <c r="F75" s="1">
        <v>8.3028447544266887E-2</v>
      </c>
      <c r="G75">
        <v>10</v>
      </c>
      <c r="H75" s="6">
        <f t="shared" si="2"/>
        <v>-983.46990744473135</v>
      </c>
      <c r="I75">
        <v>57</v>
      </c>
      <c r="J75" s="3">
        <f t="shared" si="1"/>
        <v>50082.318285723595</v>
      </c>
    </row>
    <row r="76" spans="2:10" x14ac:dyDescent="0.3">
      <c r="B76">
        <v>60</v>
      </c>
      <c r="C76">
        <v>24261168</v>
      </c>
      <c r="D76" t="s">
        <v>3</v>
      </c>
      <c r="E76" s="2">
        <v>100000</v>
      </c>
      <c r="F76" s="1">
        <v>3.2246080585092513E-2</v>
      </c>
      <c r="G76">
        <v>10</v>
      </c>
      <c r="H76" s="6">
        <f t="shared" si="2"/>
        <v>-976.00994049914834</v>
      </c>
      <c r="I76">
        <v>33</v>
      </c>
      <c r="J76" s="3">
        <f t="shared" si="1"/>
        <v>75627.382067917511</v>
      </c>
    </row>
    <row r="77" spans="2:10" x14ac:dyDescent="0.3">
      <c r="B77">
        <v>61</v>
      </c>
      <c r="C77">
        <v>61297822</v>
      </c>
      <c r="D77" t="s">
        <v>3</v>
      </c>
      <c r="E77" s="2">
        <v>100000</v>
      </c>
      <c r="F77" s="1">
        <v>5.3983098508402307E-2</v>
      </c>
      <c r="G77">
        <v>30</v>
      </c>
      <c r="H77" s="6">
        <f t="shared" si="2"/>
        <v>-561.42529354833619</v>
      </c>
      <c r="I77">
        <v>238</v>
      </c>
      <c r="J77" s="3">
        <f t="shared" si="1"/>
        <v>52623.559305270435</v>
      </c>
    </row>
    <row r="78" spans="2:10" x14ac:dyDescent="0.3">
      <c r="B78">
        <v>62</v>
      </c>
      <c r="C78">
        <v>25037514</v>
      </c>
      <c r="D78" t="s">
        <v>3</v>
      </c>
      <c r="E78" s="2">
        <v>380000</v>
      </c>
      <c r="F78" s="1">
        <v>6.6890959133402261E-2</v>
      </c>
      <c r="G78">
        <v>20</v>
      </c>
      <c r="H78" s="6">
        <f t="shared" si="2"/>
        <v>-2875.6399914511162</v>
      </c>
      <c r="I78">
        <v>62</v>
      </c>
      <c r="J78" s="3">
        <f t="shared" si="1"/>
        <v>324087.34693467576</v>
      </c>
    </row>
    <row r="79" spans="2:10" x14ac:dyDescent="0.3">
      <c r="B79">
        <v>63</v>
      </c>
      <c r="C79">
        <v>64266143</v>
      </c>
      <c r="D79" t="s">
        <v>3</v>
      </c>
      <c r="E79" s="2">
        <v>150000</v>
      </c>
      <c r="F79" s="1">
        <v>2.4040124038044522E-2</v>
      </c>
      <c r="G79">
        <v>20</v>
      </c>
      <c r="H79" s="6">
        <f t="shared" si="2"/>
        <v>-787.85872743274172</v>
      </c>
      <c r="I79">
        <v>205</v>
      </c>
      <c r="J79" s="3">
        <f t="shared" si="1"/>
        <v>26604.80204904468</v>
      </c>
    </row>
    <row r="80" spans="2:10" x14ac:dyDescent="0.3">
      <c r="B80">
        <v>64</v>
      </c>
      <c r="C80">
        <v>75089533</v>
      </c>
      <c r="D80" t="s">
        <v>2</v>
      </c>
      <c r="E80" s="2">
        <v>100000</v>
      </c>
      <c r="F80" s="1">
        <v>2.3500078758323658E-2</v>
      </c>
      <c r="G80">
        <v>30</v>
      </c>
      <c r="H80" s="6">
        <f t="shared" si="2"/>
        <v>-387.36679047648778</v>
      </c>
      <c r="I80">
        <v>315</v>
      </c>
      <c r="J80" s="3">
        <f t="shared" si="1"/>
        <v>16669.892294490219</v>
      </c>
    </row>
    <row r="81" spans="2:10" x14ac:dyDescent="0.3">
      <c r="B81">
        <v>65</v>
      </c>
      <c r="C81">
        <v>91788629</v>
      </c>
      <c r="D81" t="s">
        <v>2</v>
      </c>
      <c r="E81" s="2">
        <v>390000</v>
      </c>
      <c r="F81" s="1">
        <v>6.6238204969847433E-2</v>
      </c>
      <c r="G81">
        <v>30</v>
      </c>
      <c r="H81" s="6">
        <f t="shared" ref="H81:H112" si="3">INDEX(MASTER_DATA,MATCH($C81,MASTER_ROWS,0),MATCH(H$16,MASTER_HEADERS,0))</f>
        <v>-2496.9085946625487</v>
      </c>
      <c r="I81">
        <v>317</v>
      </c>
      <c r="J81" s="3">
        <f t="shared" si="1"/>
        <v>95343.185278616031</v>
      </c>
    </row>
    <row r="82" spans="2:10" x14ac:dyDescent="0.3">
      <c r="B82">
        <v>66</v>
      </c>
      <c r="C82">
        <v>93924899</v>
      </c>
      <c r="D82" t="s">
        <v>2</v>
      </c>
      <c r="E82" s="2">
        <v>260000</v>
      </c>
      <c r="F82" s="1">
        <v>8.8488321849944707E-2</v>
      </c>
      <c r="G82">
        <v>30</v>
      </c>
      <c r="H82" s="6">
        <f t="shared" si="3"/>
        <v>-2063.8011239785942</v>
      </c>
      <c r="I82">
        <v>204</v>
      </c>
      <c r="J82" s="3">
        <f t="shared" ref="J82:J145" si="4">PV(F82/12,G82*12-I82,H82)</f>
        <v>190912.02062684187</v>
      </c>
    </row>
    <row r="83" spans="2:10" x14ac:dyDescent="0.3">
      <c r="B83">
        <v>67</v>
      </c>
      <c r="C83">
        <v>14685343</v>
      </c>
      <c r="D83" t="s">
        <v>2</v>
      </c>
      <c r="E83" s="2">
        <v>230000</v>
      </c>
      <c r="F83" s="1">
        <v>7.0071082298951745E-2</v>
      </c>
      <c r="G83">
        <v>30</v>
      </c>
      <c r="H83" s="6">
        <f t="shared" si="3"/>
        <v>-1531.293884883142</v>
      </c>
      <c r="I83">
        <v>237</v>
      </c>
      <c r="J83" s="3">
        <f t="shared" si="4"/>
        <v>134101.01991193905</v>
      </c>
    </row>
    <row r="84" spans="2:10" x14ac:dyDescent="0.3">
      <c r="B84">
        <v>68</v>
      </c>
      <c r="C84">
        <v>46047163</v>
      </c>
      <c r="D84" t="s">
        <v>2</v>
      </c>
      <c r="E84" s="2">
        <v>180000</v>
      </c>
      <c r="F84" s="1">
        <v>6.9073868790080276E-2</v>
      </c>
      <c r="G84">
        <v>10</v>
      </c>
      <c r="H84" s="6">
        <f t="shared" si="3"/>
        <v>-2081.3710610219168</v>
      </c>
      <c r="I84">
        <v>74</v>
      </c>
      <c r="J84" s="3">
        <f t="shared" si="4"/>
        <v>83905.224032455211</v>
      </c>
    </row>
    <row r="85" spans="2:10" x14ac:dyDescent="0.3">
      <c r="B85">
        <v>69</v>
      </c>
      <c r="C85">
        <v>21390949</v>
      </c>
      <c r="D85" t="s">
        <v>2</v>
      </c>
      <c r="E85" s="2">
        <v>420000</v>
      </c>
      <c r="F85" s="1">
        <v>8.6516783487079515E-2</v>
      </c>
      <c r="G85">
        <v>30</v>
      </c>
      <c r="H85" s="6">
        <f t="shared" si="3"/>
        <v>-3274.6923069116292</v>
      </c>
      <c r="I85">
        <v>237</v>
      </c>
      <c r="J85" s="3">
        <f t="shared" si="4"/>
        <v>266488.12538013776</v>
      </c>
    </row>
    <row r="86" spans="2:10" x14ac:dyDescent="0.3">
      <c r="B86">
        <v>70</v>
      </c>
      <c r="C86">
        <v>86868306</v>
      </c>
      <c r="D86" t="s">
        <v>2</v>
      </c>
      <c r="E86" s="2">
        <v>220000</v>
      </c>
      <c r="F86" s="1">
        <v>5.9538523786275999E-2</v>
      </c>
      <c r="G86">
        <v>10</v>
      </c>
      <c r="H86" s="6">
        <f t="shared" si="3"/>
        <v>-2437.3558171598584</v>
      </c>
      <c r="I86">
        <v>118</v>
      </c>
      <c r="J86" s="3">
        <f t="shared" si="4"/>
        <v>4838.6710135669418</v>
      </c>
    </row>
    <row r="87" spans="2:10" x14ac:dyDescent="0.3">
      <c r="B87">
        <v>71</v>
      </c>
      <c r="C87">
        <v>16735695</v>
      </c>
      <c r="D87" t="s">
        <v>2</v>
      </c>
      <c r="E87" s="2">
        <v>290000</v>
      </c>
      <c r="F87" s="1">
        <v>3.7419614625481337E-2</v>
      </c>
      <c r="G87">
        <v>10</v>
      </c>
      <c r="H87" s="6">
        <f t="shared" si="3"/>
        <v>-2900.6762025728844</v>
      </c>
      <c r="I87">
        <v>28</v>
      </c>
      <c r="J87" s="3">
        <f t="shared" si="4"/>
        <v>231683.66372603667</v>
      </c>
    </row>
    <row r="88" spans="2:10" x14ac:dyDescent="0.3">
      <c r="B88">
        <v>72</v>
      </c>
      <c r="C88">
        <v>46796012</v>
      </c>
      <c r="D88" t="s">
        <v>2</v>
      </c>
      <c r="E88" s="2">
        <v>90000</v>
      </c>
      <c r="F88" s="1">
        <v>3.9502545578306847E-2</v>
      </c>
      <c r="G88">
        <v>20</v>
      </c>
      <c r="H88" s="6">
        <f t="shared" si="3"/>
        <v>-543.02606512443833</v>
      </c>
      <c r="I88">
        <v>161</v>
      </c>
      <c r="J88" s="3">
        <f t="shared" si="4"/>
        <v>37720.271498697657</v>
      </c>
    </row>
    <row r="89" spans="2:10" x14ac:dyDescent="0.3">
      <c r="B89">
        <v>73</v>
      </c>
      <c r="C89">
        <v>18909077</v>
      </c>
      <c r="D89" t="s">
        <v>2</v>
      </c>
      <c r="E89" s="2">
        <v>280000</v>
      </c>
      <c r="F89" s="1">
        <v>8.0913712050867476E-2</v>
      </c>
      <c r="G89">
        <v>10</v>
      </c>
      <c r="H89" s="6">
        <f t="shared" si="3"/>
        <v>-3410.7063010811376</v>
      </c>
      <c r="I89">
        <v>64</v>
      </c>
      <c r="J89" s="3">
        <f t="shared" si="4"/>
        <v>158640.11139969429</v>
      </c>
    </row>
    <row r="90" spans="2:10" x14ac:dyDescent="0.3">
      <c r="B90">
        <v>74</v>
      </c>
      <c r="C90">
        <v>87247227</v>
      </c>
      <c r="D90" t="s">
        <v>2</v>
      </c>
      <c r="E90" s="2">
        <v>350000</v>
      </c>
      <c r="F90" s="1">
        <v>3.5787945697589502E-2</v>
      </c>
      <c r="G90">
        <v>30</v>
      </c>
      <c r="H90" s="6">
        <f t="shared" si="3"/>
        <v>-1587.0911310039264</v>
      </c>
      <c r="I90">
        <v>293</v>
      </c>
      <c r="J90" s="3">
        <f t="shared" si="4"/>
        <v>96255.38703589837</v>
      </c>
    </row>
    <row r="91" spans="2:10" x14ac:dyDescent="0.3">
      <c r="B91">
        <v>75</v>
      </c>
      <c r="C91">
        <v>75779854</v>
      </c>
      <c r="D91" t="s">
        <v>2</v>
      </c>
      <c r="E91" s="2">
        <v>440000</v>
      </c>
      <c r="F91" s="1">
        <v>7.5454290205374391E-2</v>
      </c>
      <c r="G91">
        <v>30</v>
      </c>
      <c r="H91" s="6">
        <f t="shared" si="3"/>
        <v>-3090.2427562976304</v>
      </c>
      <c r="I91">
        <v>151</v>
      </c>
      <c r="J91" s="3">
        <f t="shared" si="4"/>
        <v>358862.00552587159</v>
      </c>
    </row>
    <row r="92" spans="2:10" x14ac:dyDescent="0.3">
      <c r="B92">
        <v>76</v>
      </c>
      <c r="C92">
        <v>28343036</v>
      </c>
      <c r="D92" t="s">
        <v>2</v>
      </c>
      <c r="E92" s="2">
        <v>390000</v>
      </c>
      <c r="F92" s="1">
        <v>3.3529466107279624E-2</v>
      </c>
      <c r="G92">
        <v>20</v>
      </c>
      <c r="H92" s="6">
        <f t="shared" si="3"/>
        <v>-2232.4839059240298</v>
      </c>
      <c r="I92">
        <v>75</v>
      </c>
      <c r="J92" s="3">
        <f t="shared" si="4"/>
        <v>294797.06318568881</v>
      </c>
    </row>
    <row r="93" spans="2:10" x14ac:dyDescent="0.3">
      <c r="B93">
        <v>77</v>
      </c>
      <c r="C93">
        <v>39275659</v>
      </c>
      <c r="D93" t="s">
        <v>2</v>
      </c>
      <c r="E93" s="2">
        <v>280000</v>
      </c>
      <c r="F93" s="1">
        <v>3.8174534059814809E-2</v>
      </c>
      <c r="G93">
        <v>20</v>
      </c>
      <c r="H93" s="6">
        <f t="shared" si="3"/>
        <v>-1669.9330862531151</v>
      </c>
      <c r="I93">
        <v>229</v>
      </c>
      <c r="J93" s="3">
        <f t="shared" si="4"/>
        <v>18023.424966670162</v>
      </c>
    </row>
    <row r="94" spans="2:10" x14ac:dyDescent="0.3">
      <c r="B94">
        <v>78</v>
      </c>
      <c r="C94">
        <v>86619026</v>
      </c>
      <c r="D94" t="s">
        <v>2</v>
      </c>
      <c r="E94" s="2">
        <v>380000</v>
      </c>
      <c r="F94" s="1">
        <v>8.8639262942166508E-2</v>
      </c>
      <c r="G94">
        <v>30</v>
      </c>
      <c r="H94" s="6">
        <f t="shared" si="3"/>
        <v>-3020.4343909700733</v>
      </c>
      <c r="I94">
        <v>57</v>
      </c>
      <c r="J94" s="3">
        <f t="shared" si="4"/>
        <v>364934.14294332487</v>
      </c>
    </row>
    <row r="95" spans="2:10" x14ac:dyDescent="0.3">
      <c r="B95">
        <v>79</v>
      </c>
      <c r="C95">
        <v>31354657</v>
      </c>
      <c r="D95" t="s">
        <v>2</v>
      </c>
      <c r="E95" s="2">
        <v>110000</v>
      </c>
      <c r="F95" s="1">
        <v>5.489254667303671E-2</v>
      </c>
      <c r="G95">
        <v>10</v>
      </c>
      <c r="H95" s="6">
        <f t="shared" si="3"/>
        <v>-1193.2034618023984</v>
      </c>
      <c r="I95">
        <v>84</v>
      </c>
      <c r="J95" s="3">
        <f t="shared" si="4"/>
        <v>39521.753831882197</v>
      </c>
    </row>
    <row r="96" spans="2:10" x14ac:dyDescent="0.3">
      <c r="B96">
        <v>80</v>
      </c>
      <c r="C96">
        <v>87048847</v>
      </c>
      <c r="D96" t="s">
        <v>2</v>
      </c>
      <c r="E96" s="2">
        <v>380000</v>
      </c>
      <c r="F96" s="1">
        <v>7.5436353811503654E-2</v>
      </c>
      <c r="G96">
        <v>20</v>
      </c>
      <c r="H96" s="6">
        <f t="shared" si="3"/>
        <v>-3071.4010993646089</v>
      </c>
      <c r="I96">
        <v>124</v>
      </c>
      <c r="J96" s="3">
        <f t="shared" si="4"/>
        <v>252407.09661965974</v>
      </c>
    </row>
    <row r="97" spans="2:10" x14ac:dyDescent="0.3">
      <c r="B97">
        <v>81</v>
      </c>
      <c r="C97">
        <v>35342493</v>
      </c>
      <c r="D97" t="s">
        <v>2</v>
      </c>
      <c r="E97" s="2">
        <v>370000</v>
      </c>
      <c r="F97" s="1">
        <v>4.4525794658394374E-2</v>
      </c>
      <c r="G97">
        <v>10</v>
      </c>
      <c r="H97" s="6">
        <f t="shared" si="3"/>
        <v>-3826.169015377312</v>
      </c>
      <c r="I97">
        <v>45</v>
      </c>
      <c r="J97" s="3">
        <f t="shared" si="4"/>
        <v>250091.53285965056</v>
      </c>
    </row>
    <row r="98" spans="2:10" x14ac:dyDescent="0.3">
      <c r="B98">
        <v>82</v>
      </c>
      <c r="C98">
        <v>75556629</v>
      </c>
      <c r="D98" t="s">
        <v>2</v>
      </c>
      <c r="E98" s="2">
        <v>310000</v>
      </c>
      <c r="F98" s="1">
        <v>3.9359824408563691E-2</v>
      </c>
      <c r="G98">
        <v>30</v>
      </c>
      <c r="H98" s="6">
        <f t="shared" si="3"/>
        <v>-1468.5691609622631</v>
      </c>
      <c r="I98">
        <v>246</v>
      </c>
      <c r="J98" s="3">
        <f t="shared" si="4"/>
        <v>139490.4135723091</v>
      </c>
    </row>
    <row r="99" spans="2:10" x14ac:dyDescent="0.3">
      <c r="B99">
        <v>83</v>
      </c>
      <c r="C99">
        <v>87177391</v>
      </c>
      <c r="D99" t="s">
        <v>2</v>
      </c>
      <c r="E99" s="2">
        <v>360000</v>
      </c>
      <c r="F99" s="1">
        <v>6.9952886514902876E-2</v>
      </c>
      <c r="G99">
        <v>20</v>
      </c>
      <c r="H99" s="6">
        <f t="shared" si="3"/>
        <v>-2790.058179585259</v>
      </c>
      <c r="I99">
        <v>216</v>
      </c>
      <c r="J99" s="3">
        <f t="shared" si="4"/>
        <v>62319.199340444364</v>
      </c>
    </row>
    <row r="100" spans="2:10" x14ac:dyDescent="0.3">
      <c r="B100">
        <v>84</v>
      </c>
      <c r="C100">
        <v>70455980</v>
      </c>
      <c r="D100" t="s">
        <v>2</v>
      </c>
      <c r="E100" s="2">
        <v>360000</v>
      </c>
      <c r="F100" s="1">
        <v>2.6369708310845265E-2</v>
      </c>
      <c r="G100">
        <v>30</v>
      </c>
      <c r="H100" s="6">
        <f t="shared" si="3"/>
        <v>-1448.2046136394538</v>
      </c>
      <c r="I100">
        <v>329</v>
      </c>
      <c r="J100" s="3">
        <f t="shared" si="4"/>
        <v>43353.328607756092</v>
      </c>
    </row>
    <row r="101" spans="2:10" x14ac:dyDescent="0.3">
      <c r="B101">
        <v>85</v>
      </c>
      <c r="C101">
        <v>75392997</v>
      </c>
      <c r="D101" t="s">
        <v>2</v>
      </c>
      <c r="E101" s="2">
        <v>440000</v>
      </c>
      <c r="F101" s="1">
        <v>4.3556765273894182E-2</v>
      </c>
      <c r="G101">
        <v>30</v>
      </c>
      <c r="H101" s="6">
        <f t="shared" si="3"/>
        <v>-2191.8431353548999</v>
      </c>
      <c r="I101">
        <v>164</v>
      </c>
      <c r="J101" s="3">
        <f t="shared" si="4"/>
        <v>307016.215082879</v>
      </c>
    </row>
    <row r="102" spans="2:10" x14ac:dyDescent="0.3">
      <c r="B102">
        <v>86</v>
      </c>
      <c r="C102">
        <v>19338298</v>
      </c>
      <c r="D102" t="s">
        <v>2</v>
      </c>
      <c r="E102" s="2">
        <v>210000</v>
      </c>
      <c r="F102" s="1">
        <v>2.092235791221576E-2</v>
      </c>
      <c r="G102">
        <v>20</v>
      </c>
      <c r="H102" s="6">
        <f t="shared" si="3"/>
        <v>-1071.5526430845575</v>
      </c>
      <c r="I102">
        <v>232</v>
      </c>
      <c r="J102" s="3">
        <f t="shared" si="4"/>
        <v>8505.5519435938586</v>
      </c>
    </row>
    <row r="103" spans="2:10" x14ac:dyDescent="0.3">
      <c r="B103">
        <v>87</v>
      </c>
      <c r="C103">
        <v>46089585</v>
      </c>
      <c r="D103" t="s">
        <v>2</v>
      </c>
      <c r="E103" s="2">
        <v>360000</v>
      </c>
      <c r="F103" s="1">
        <v>5.6408371052604878E-2</v>
      </c>
      <c r="G103">
        <v>15</v>
      </c>
      <c r="H103" s="6">
        <f t="shared" si="3"/>
        <v>-2968.4742211011367</v>
      </c>
      <c r="I103">
        <v>78</v>
      </c>
      <c r="J103" s="3">
        <f t="shared" si="4"/>
        <v>240090.79904152575</v>
      </c>
    </row>
    <row r="104" spans="2:10" x14ac:dyDescent="0.3">
      <c r="B104">
        <v>88</v>
      </c>
      <c r="C104">
        <v>82517417</v>
      </c>
      <c r="D104" t="s">
        <v>2</v>
      </c>
      <c r="E104" s="2">
        <v>190000</v>
      </c>
      <c r="F104" s="1">
        <v>8.4050464805110664E-2</v>
      </c>
      <c r="G104">
        <v>30</v>
      </c>
      <c r="H104" s="6">
        <f t="shared" si="3"/>
        <v>-1448.1689745522599</v>
      </c>
      <c r="I104">
        <v>307</v>
      </c>
      <c r="J104" s="3">
        <f t="shared" si="4"/>
        <v>63932.703600784225</v>
      </c>
    </row>
    <row r="105" spans="2:10" x14ac:dyDescent="0.3">
      <c r="B105">
        <v>89</v>
      </c>
      <c r="C105">
        <v>42621092</v>
      </c>
      <c r="D105" t="s">
        <v>2</v>
      </c>
      <c r="E105" s="2">
        <v>270000</v>
      </c>
      <c r="F105" s="1">
        <v>4.3622348956864891E-2</v>
      </c>
      <c r="G105">
        <v>20</v>
      </c>
      <c r="H105" s="6">
        <f t="shared" si="3"/>
        <v>-1688.1403027146584</v>
      </c>
      <c r="I105">
        <v>171</v>
      </c>
      <c r="J105" s="3">
        <f t="shared" si="4"/>
        <v>102857.332590162</v>
      </c>
    </row>
    <row r="106" spans="2:10" x14ac:dyDescent="0.3">
      <c r="B106">
        <v>90</v>
      </c>
      <c r="C106">
        <v>88723122</v>
      </c>
      <c r="D106" t="s">
        <v>2</v>
      </c>
      <c r="E106" s="2">
        <v>160000</v>
      </c>
      <c r="F106" s="1">
        <v>2.3133587418061395E-2</v>
      </c>
      <c r="G106">
        <v>30</v>
      </c>
      <c r="H106" s="6">
        <f t="shared" si="3"/>
        <v>-616.77704074120834</v>
      </c>
      <c r="I106">
        <v>33</v>
      </c>
      <c r="J106" s="3">
        <f t="shared" si="4"/>
        <v>149504.95132874412</v>
      </c>
    </row>
    <row r="107" spans="2:10" x14ac:dyDescent="0.3">
      <c r="B107">
        <v>91</v>
      </c>
      <c r="C107">
        <v>87714312</v>
      </c>
      <c r="D107" t="s">
        <v>2</v>
      </c>
      <c r="E107" s="2">
        <v>410000</v>
      </c>
      <c r="F107" s="1">
        <v>7.6002502678293865E-2</v>
      </c>
      <c r="G107">
        <v>15</v>
      </c>
      <c r="H107" s="6">
        <f t="shared" si="3"/>
        <v>-3824.1453134030444</v>
      </c>
      <c r="I107">
        <v>49</v>
      </c>
      <c r="J107" s="3">
        <f t="shared" si="4"/>
        <v>339738.68083478435</v>
      </c>
    </row>
    <row r="108" spans="2:10" x14ac:dyDescent="0.3">
      <c r="B108">
        <v>92</v>
      </c>
      <c r="C108">
        <v>37402885</v>
      </c>
      <c r="D108" t="s">
        <v>2</v>
      </c>
      <c r="E108" s="2">
        <v>100000</v>
      </c>
      <c r="F108" s="1">
        <v>8.0625304723364447E-2</v>
      </c>
      <c r="G108">
        <v>30</v>
      </c>
      <c r="H108" s="6">
        <f t="shared" si="3"/>
        <v>-738.12836595525948</v>
      </c>
      <c r="I108">
        <v>17</v>
      </c>
      <c r="J108" s="3">
        <f t="shared" si="4"/>
        <v>98811.116686448775</v>
      </c>
    </row>
    <row r="109" spans="2:10" x14ac:dyDescent="0.3">
      <c r="B109">
        <v>93</v>
      </c>
      <c r="C109">
        <v>50004880</v>
      </c>
      <c r="D109" t="s">
        <v>2</v>
      </c>
      <c r="E109" s="2">
        <v>200000</v>
      </c>
      <c r="F109" s="1">
        <v>3.1586661242958225E-2</v>
      </c>
      <c r="G109">
        <v>15</v>
      </c>
      <c r="H109" s="6">
        <f t="shared" si="3"/>
        <v>-1396.4764067875863</v>
      </c>
      <c r="I109">
        <v>46</v>
      </c>
      <c r="J109" s="3">
        <f t="shared" si="4"/>
        <v>157514.10005123282</v>
      </c>
    </row>
    <row r="110" spans="2:10" x14ac:dyDescent="0.3">
      <c r="B110">
        <v>94</v>
      </c>
      <c r="C110">
        <v>54104168</v>
      </c>
      <c r="D110" t="s">
        <v>2</v>
      </c>
      <c r="E110" s="2">
        <v>320000</v>
      </c>
      <c r="F110" s="1">
        <v>6.9094609118500627E-2</v>
      </c>
      <c r="G110">
        <v>30</v>
      </c>
      <c r="H110" s="6">
        <f t="shared" si="3"/>
        <v>-2109.5458171216096</v>
      </c>
      <c r="I110">
        <v>140</v>
      </c>
      <c r="J110" s="3">
        <f t="shared" si="4"/>
        <v>262773.21351286402</v>
      </c>
    </row>
    <row r="111" spans="2:10" x14ac:dyDescent="0.3">
      <c r="B111">
        <v>95</v>
      </c>
      <c r="C111">
        <v>82658753</v>
      </c>
      <c r="D111" t="s">
        <v>2</v>
      </c>
      <c r="E111" s="2">
        <v>390000</v>
      </c>
      <c r="F111" s="1">
        <v>3.0758992929878257E-2</v>
      </c>
      <c r="G111">
        <v>30</v>
      </c>
      <c r="H111" s="6">
        <f t="shared" si="3"/>
        <v>-1660.2631024193468</v>
      </c>
      <c r="I111">
        <v>13</v>
      </c>
      <c r="J111" s="3">
        <f t="shared" si="4"/>
        <v>381278.92966405768</v>
      </c>
    </row>
    <row r="112" spans="2:10" x14ac:dyDescent="0.3">
      <c r="B112">
        <v>96</v>
      </c>
      <c r="C112">
        <v>10503800</v>
      </c>
      <c r="D112" t="s">
        <v>2</v>
      </c>
      <c r="E112" s="2">
        <v>260000</v>
      </c>
      <c r="F112" s="1">
        <v>8.3913752944148587E-2</v>
      </c>
      <c r="G112">
        <v>20</v>
      </c>
      <c r="H112" s="6">
        <f t="shared" si="3"/>
        <v>-2238.4973019559488</v>
      </c>
      <c r="I112">
        <v>90</v>
      </c>
      <c r="J112" s="3">
        <f t="shared" si="4"/>
        <v>207563.08641201249</v>
      </c>
    </row>
    <row r="113" spans="2:10" x14ac:dyDescent="0.3">
      <c r="B113">
        <v>97</v>
      </c>
      <c r="C113">
        <v>33072572</v>
      </c>
      <c r="D113" t="s">
        <v>2</v>
      </c>
      <c r="E113" s="2">
        <v>390000</v>
      </c>
      <c r="F113" s="1">
        <v>5.914795686569916E-2</v>
      </c>
      <c r="G113">
        <v>15</v>
      </c>
      <c r="H113" s="6">
        <f t="shared" ref="H113:H144" si="5">INDEX(MASTER_DATA,MATCH($C113,MASTER_ROWS,0),MATCH(H$16,MASTER_HEADERS,0))</f>
        <v>-3273.1159683163173</v>
      </c>
      <c r="I113">
        <v>30</v>
      </c>
      <c r="J113" s="3">
        <f t="shared" si="4"/>
        <v>346441.70509429998</v>
      </c>
    </row>
    <row r="114" spans="2:10" x14ac:dyDescent="0.3">
      <c r="B114">
        <v>98</v>
      </c>
      <c r="C114">
        <v>13860670</v>
      </c>
      <c r="D114" t="s">
        <v>2</v>
      </c>
      <c r="E114" s="2">
        <v>160000</v>
      </c>
      <c r="F114" s="1">
        <v>3.401337062358261E-2</v>
      </c>
      <c r="G114">
        <v>20</v>
      </c>
      <c r="H114" s="6">
        <f t="shared" si="5"/>
        <v>-919.84426907277771</v>
      </c>
      <c r="I114">
        <v>66</v>
      </c>
      <c r="J114" s="3">
        <f t="shared" si="4"/>
        <v>126207.41994572611</v>
      </c>
    </row>
    <row r="115" spans="2:10" x14ac:dyDescent="0.3">
      <c r="B115">
        <v>99</v>
      </c>
      <c r="C115">
        <v>78628786</v>
      </c>
      <c r="D115" t="s">
        <v>2</v>
      </c>
      <c r="E115" s="2">
        <v>400000</v>
      </c>
      <c r="F115" s="1">
        <v>2.3051931389460947E-2</v>
      </c>
      <c r="G115">
        <v>30</v>
      </c>
      <c r="H115" s="6">
        <f t="shared" si="5"/>
        <v>-1540.2689912021608</v>
      </c>
      <c r="I115">
        <v>17</v>
      </c>
      <c r="J115" s="3">
        <f t="shared" si="4"/>
        <v>386674.58288546558</v>
      </c>
    </row>
    <row r="116" spans="2:10" x14ac:dyDescent="0.3">
      <c r="B116">
        <v>100</v>
      </c>
      <c r="C116">
        <v>19293538</v>
      </c>
      <c r="D116" t="s">
        <v>2</v>
      </c>
      <c r="E116" s="2">
        <v>110000</v>
      </c>
      <c r="F116" s="1">
        <v>7.9989228013860547E-2</v>
      </c>
      <c r="G116">
        <v>20</v>
      </c>
      <c r="H116" s="6">
        <f t="shared" si="5"/>
        <v>-920.01033320253225</v>
      </c>
      <c r="I116">
        <v>200</v>
      </c>
      <c r="J116" s="3">
        <f t="shared" si="4"/>
        <v>32209.23467080425</v>
      </c>
    </row>
    <row r="117" spans="2:10" x14ac:dyDescent="0.3">
      <c r="B117">
        <v>101</v>
      </c>
      <c r="C117">
        <v>74043188</v>
      </c>
      <c r="D117" t="s">
        <v>2</v>
      </c>
      <c r="E117" s="2">
        <v>270000</v>
      </c>
      <c r="F117" s="1">
        <v>4.318656729242594E-2</v>
      </c>
      <c r="G117">
        <v>20</v>
      </c>
      <c r="H117" s="6">
        <f t="shared" si="5"/>
        <v>-1681.8370465093874</v>
      </c>
      <c r="I117">
        <v>145</v>
      </c>
      <c r="J117" s="3">
        <f t="shared" si="4"/>
        <v>135121.60639166343</v>
      </c>
    </row>
    <row r="118" spans="2:10" x14ac:dyDescent="0.3">
      <c r="B118">
        <v>102</v>
      </c>
      <c r="C118">
        <v>85981412</v>
      </c>
      <c r="D118" t="s">
        <v>2</v>
      </c>
      <c r="E118" s="2">
        <v>100000</v>
      </c>
      <c r="F118" s="1">
        <v>4.9320800002458996E-2</v>
      </c>
      <c r="G118">
        <v>20</v>
      </c>
      <c r="H118" s="6">
        <f t="shared" si="5"/>
        <v>-656.20946828759884</v>
      </c>
      <c r="I118">
        <v>185</v>
      </c>
      <c r="J118" s="3">
        <f t="shared" si="4"/>
        <v>32243.961964010221</v>
      </c>
    </row>
    <row r="119" spans="2:10" x14ac:dyDescent="0.3">
      <c r="B119">
        <v>103</v>
      </c>
      <c r="C119">
        <v>28790211</v>
      </c>
      <c r="D119" t="s">
        <v>2</v>
      </c>
      <c r="E119" s="2">
        <v>280000</v>
      </c>
      <c r="F119" s="1">
        <v>8.5050217334716488E-2</v>
      </c>
      <c r="G119">
        <v>15</v>
      </c>
      <c r="H119" s="6">
        <f t="shared" si="5"/>
        <v>-2758.0950332798766</v>
      </c>
      <c r="I119">
        <v>118</v>
      </c>
      <c r="J119" s="3">
        <f t="shared" si="4"/>
        <v>137989.75301180655</v>
      </c>
    </row>
    <row r="120" spans="2:10" x14ac:dyDescent="0.3">
      <c r="B120">
        <v>104</v>
      </c>
      <c r="C120">
        <v>74439129</v>
      </c>
      <c r="D120" t="s">
        <v>2</v>
      </c>
      <c r="E120" s="2">
        <v>360000</v>
      </c>
      <c r="F120" s="1">
        <v>6.172569651273551E-2</v>
      </c>
      <c r="G120">
        <v>15</v>
      </c>
      <c r="H120" s="6">
        <f t="shared" si="5"/>
        <v>-3071.5504974779028</v>
      </c>
      <c r="I120">
        <v>157</v>
      </c>
      <c r="J120" s="3">
        <f t="shared" si="4"/>
        <v>66465.848352409899</v>
      </c>
    </row>
    <row r="121" spans="2:10" x14ac:dyDescent="0.3">
      <c r="B121">
        <v>105</v>
      </c>
      <c r="C121">
        <v>79146016</v>
      </c>
      <c r="D121" t="s">
        <v>2</v>
      </c>
      <c r="E121" s="2">
        <v>260000</v>
      </c>
      <c r="F121" s="1">
        <v>6.6777345462205137E-2</v>
      </c>
      <c r="G121">
        <v>15</v>
      </c>
      <c r="H121" s="6">
        <f t="shared" si="5"/>
        <v>-2290.360204717053</v>
      </c>
      <c r="I121">
        <v>15</v>
      </c>
      <c r="J121" s="3">
        <f t="shared" si="4"/>
        <v>246842.2793794398</v>
      </c>
    </row>
    <row r="122" spans="2:10" x14ac:dyDescent="0.3">
      <c r="B122">
        <v>106</v>
      </c>
      <c r="C122">
        <v>72685786</v>
      </c>
      <c r="D122" t="s">
        <v>2</v>
      </c>
      <c r="E122" s="2">
        <v>280000</v>
      </c>
      <c r="F122" s="1">
        <v>4.0406672002481922E-2</v>
      </c>
      <c r="G122">
        <v>15</v>
      </c>
      <c r="H122" s="6">
        <f t="shared" si="5"/>
        <v>-2076.8370206374502</v>
      </c>
      <c r="I122">
        <v>95</v>
      </c>
      <c r="J122" s="3">
        <f t="shared" si="4"/>
        <v>153292.67570242152</v>
      </c>
    </row>
    <row r="123" spans="2:10" x14ac:dyDescent="0.3">
      <c r="B123">
        <v>107</v>
      </c>
      <c r="C123">
        <v>66696062</v>
      </c>
      <c r="D123" t="s">
        <v>2</v>
      </c>
      <c r="E123" s="2">
        <v>130000</v>
      </c>
      <c r="F123" s="1">
        <v>6.9978729603616049E-2</v>
      </c>
      <c r="G123">
        <v>20</v>
      </c>
      <c r="H123" s="6">
        <f t="shared" si="5"/>
        <v>-1007.7226440856219</v>
      </c>
      <c r="I123">
        <v>62</v>
      </c>
      <c r="J123" s="3">
        <f t="shared" si="4"/>
        <v>111420.25929454762</v>
      </c>
    </row>
    <row r="124" spans="2:10" x14ac:dyDescent="0.3">
      <c r="B124">
        <v>108</v>
      </c>
      <c r="C124">
        <v>84759219</v>
      </c>
      <c r="D124" t="s">
        <v>2</v>
      </c>
      <c r="E124" s="2">
        <v>300000</v>
      </c>
      <c r="F124" s="1">
        <v>7.3541099206711563E-2</v>
      </c>
      <c r="G124">
        <v>15</v>
      </c>
      <c r="H124" s="6">
        <f t="shared" si="5"/>
        <v>-2756.2241468293892</v>
      </c>
      <c r="I124">
        <v>72</v>
      </c>
      <c r="J124" s="3">
        <f t="shared" si="4"/>
        <v>217258.49255830029</v>
      </c>
    </row>
    <row r="125" spans="2:10" x14ac:dyDescent="0.3">
      <c r="B125">
        <v>109</v>
      </c>
      <c r="C125">
        <v>70637400</v>
      </c>
      <c r="D125" t="s">
        <v>2</v>
      </c>
      <c r="E125" s="2">
        <v>310000</v>
      </c>
      <c r="F125" s="1">
        <v>8.429193812760874E-2</v>
      </c>
      <c r="G125">
        <v>30</v>
      </c>
      <c r="H125" s="6">
        <f t="shared" si="5"/>
        <v>-2368.0931864350027</v>
      </c>
      <c r="I125">
        <v>242</v>
      </c>
      <c r="J125" s="3">
        <f t="shared" si="4"/>
        <v>189530.05682059354</v>
      </c>
    </row>
    <row r="126" spans="2:10" x14ac:dyDescent="0.3">
      <c r="B126">
        <v>110</v>
      </c>
      <c r="C126">
        <v>38798861</v>
      </c>
      <c r="D126" t="s">
        <v>2</v>
      </c>
      <c r="E126" s="2">
        <v>430000</v>
      </c>
      <c r="F126" s="1">
        <v>2.1001186674988234E-2</v>
      </c>
      <c r="G126">
        <v>15</v>
      </c>
      <c r="H126" s="6">
        <f t="shared" si="5"/>
        <v>-2786.9555157276159</v>
      </c>
      <c r="I126">
        <v>23</v>
      </c>
      <c r="J126" s="3">
        <f t="shared" si="4"/>
        <v>382296.58142740378</v>
      </c>
    </row>
    <row r="127" spans="2:10" x14ac:dyDescent="0.3">
      <c r="B127">
        <v>111</v>
      </c>
      <c r="C127">
        <v>76703611</v>
      </c>
      <c r="D127" t="s">
        <v>2</v>
      </c>
      <c r="E127" s="2">
        <v>140000</v>
      </c>
      <c r="F127" s="1">
        <v>7.4869625494172767E-2</v>
      </c>
      <c r="G127">
        <v>15</v>
      </c>
      <c r="H127" s="6">
        <f t="shared" si="5"/>
        <v>-1296.7803011909505</v>
      </c>
      <c r="I127">
        <v>108</v>
      </c>
      <c r="J127" s="3">
        <f t="shared" si="4"/>
        <v>75028.657941106503</v>
      </c>
    </row>
    <row r="128" spans="2:10" x14ac:dyDescent="0.3">
      <c r="B128">
        <v>112</v>
      </c>
      <c r="C128">
        <v>70445419</v>
      </c>
      <c r="D128" t="s">
        <v>2</v>
      </c>
      <c r="E128" s="2">
        <v>110000</v>
      </c>
      <c r="F128" s="1">
        <v>4.0022588821897263E-2</v>
      </c>
      <c r="G128">
        <v>30</v>
      </c>
      <c r="H128" s="6">
        <f t="shared" si="5"/>
        <v>-525.30008525464871</v>
      </c>
      <c r="I128">
        <v>61</v>
      </c>
      <c r="J128" s="3">
        <f t="shared" si="4"/>
        <v>99302.433763665118</v>
      </c>
    </row>
    <row r="129" spans="2:10" x14ac:dyDescent="0.3">
      <c r="B129">
        <v>113</v>
      </c>
      <c r="C129">
        <v>44239553</v>
      </c>
      <c r="D129" t="s">
        <v>2</v>
      </c>
      <c r="E129" s="2">
        <v>240000</v>
      </c>
      <c r="F129" s="1">
        <v>5.5915919135758191E-2</v>
      </c>
      <c r="G129">
        <v>30</v>
      </c>
      <c r="H129" s="6">
        <f t="shared" si="5"/>
        <v>-1376.5173548341957</v>
      </c>
      <c r="I129">
        <v>309</v>
      </c>
      <c r="J129" s="3">
        <f t="shared" si="4"/>
        <v>62355.550259492658</v>
      </c>
    </row>
    <row r="130" spans="2:10" x14ac:dyDescent="0.3">
      <c r="B130">
        <v>114</v>
      </c>
      <c r="C130">
        <v>41349397</v>
      </c>
      <c r="D130" t="s">
        <v>2</v>
      </c>
      <c r="E130" s="2">
        <v>270000</v>
      </c>
      <c r="F130" s="1">
        <v>6.2954123371356599E-2</v>
      </c>
      <c r="G130">
        <v>20</v>
      </c>
      <c r="H130" s="6">
        <f t="shared" si="5"/>
        <v>-1980.6592873396762</v>
      </c>
      <c r="I130">
        <v>211</v>
      </c>
      <c r="J130" s="3">
        <f t="shared" si="4"/>
        <v>53154.177861113814</v>
      </c>
    </row>
    <row r="131" spans="2:10" x14ac:dyDescent="0.3">
      <c r="B131">
        <v>115</v>
      </c>
      <c r="C131">
        <v>58908267</v>
      </c>
      <c r="D131" t="s">
        <v>2</v>
      </c>
      <c r="E131" s="2">
        <v>120000</v>
      </c>
      <c r="F131" s="1">
        <v>6.1454302986937014E-2</v>
      </c>
      <c r="G131">
        <v>15</v>
      </c>
      <c r="H131" s="6">
        <f t="shared" si="5"/>
        <v>-1022.0808233240052</v>
      </c>
      <c r="I131">
        <v>24</v>
      </c>
      <c r="J131" s="3">
        <f t="shared" si="4"/>
        <v>109620.83215053298</v>
      </c>
    </row>
    <row r="132" spans="2:10" x14ac:dyDescent="0.3">
      <c r="B132">
        <v>116</v>
      </c>
      <c r="C132">
        <v>61089089</v>
      </c>
      <c r="D132" t="s">
        <v>2</v>
      </c>
      <c r="E132" s="2">
        <v>340000</v>
      </c>
      <c r="F132" s="1">
        <v>4.668521806741701E-2</v>
      </c>
      <c r="G132">
        <v>30</v>
      </c>
      <c r="H132" s="6">
        <f t="shared" si="5"/>
        <v>-1756.9414700267623</v>
      </c>
      <c r="I132">
        <v>67</v>
      </c>
      <c r="J132" s="3">
        <f t="shared" si="4"/>
        <v>306838.78568016167</v>
      </c>
    </row>
    <row r="133" spans="2:10" x14ac:dyDescent="0.3">
      <c r="B133">
        <v>117</v>
      </c>
      <c r="C133">
        <v>26400832</v>
      </c>
      <c r="D133" t="s">
        <v>2</v>
      </c>
      <c r="E133" s="2">
        <v>380000</v>
      </c>
      <c r="F133" s="1">
        <v>4.9991672426802622E-2</v>
      </c>
      <c r="G133">
        <v>30</v>
      </c>
      <c r="H133" s="6">
        <f t="shared" si="5"/>
        <v>-2039.7287724035755</v>
      </c>
      <c r="I133">
        <v>284</v>
      </c>
      <c r="J133" s="3">
        <f t="shared" si="4"/>
        <v>132641.33289572553</v>
      </c>
    </row>
    <row r="134" spans="2:10" x14ac:dyDescent="0.3">
      <c r="B134">
        <v>118</v>
      </c>
      <c r="C134">
        <v>56764510</v>
      </c>
      <c r="D134" t="s">
        <v>2</v>
      </c>
      <c r="E134" s="2">
        <v>340000</v>
      </c>
      <c r="F134" s="1">
        <v>8.5340966360992601E-2</v>
      </c>
      <c r="G134">
        <v>15</v>
      </c>
      <c r="H134" s="6">
        <f t="shared" si="5"/>
        <v>-3354.913387689614</v>
      </c>
      <c r="I134">
        <v>17</v>
      </c>
      <c r="J134" s="3">
        <f t="shared" si="4"/>
        <v>323133.14511068602</v>
      </c>
    </row>
    <row r="135" spans="2:10" x14ac:dyDescent="0.3">
      <c r="B135">
        <v>119</v>
      </c>
      <c r="C135">
        <v>36145045</v>
      </c>
      <c r="D135" t="s">
        <v>2</v>
      </c>
      <c r="E135" s="2">
        <v>410000</v>
      </c>
      <c r="F135" s="1">
        <v>7.5583847572718132E-2</v>
      </c>
      <c r="G135">
        <v>15</v>
      </c>
      <c r="H135" s="6">
        <f t="shared" si="5"/>
        <v>-3814.3663631752834</v>
      </c>
      <c r="I135">
        <v>42</v>
      </c>
      <c r="J135" s="3">
        <f t="shared" si="4"/>
        <v>350981.32259311236</v>
      </c>
    </row>
    <row r="136" spans="2:10" x14ac:dyDescent="0.3">
      <c r="B136">
        <v>120</v>
      </c>
      <c r="C136">
        <v>29047113</v>
      </c>
      <c r="D136" t="s">
        <v>2</v>
      </c>
      <c r="E136" s="2">
        <v>270000</v>
      </c>
      <c r="F136" s="1">
        <v>7.7926012795862518E-2</v>
      </c>
      <c r="G136">
        <v>30</v>
      </c>
      <c r="H136" s="6">
        <f t="shared" si="5"/>
        <v>-1942.2676240636117</v>
      </c>
      <c r="I136">
        <v>330</v>
      </c>
      <c r="J136" s="3">
        <f t="shared" si="4"/>
        <v>52788.504493355722</v>
      </c>
    </row>
    <row r="137" spans="2:10" x14ac:dyDescent="0.3">
      <c r="B137">
        <v>121</v>
      </c>
      <c r="C137">
        <v>87579604</v>
      </c>
      <c r="D137" t="s">
        <v>2</v>
      </c>
      <c r="E137" s="2">
        <v>250000</v>
      </c>
      <c r="F137" s="1">
        <v>2.2360686555375126E-2</v>
      </c>
      <c r="G137">
        <v>15</v>
      </c>
      <c r="H137" s="6">
        <f t="shared" si="5"/>
        <v>-1636.0907706143087</v>
      </c>
      <c r="I137">
        <v>90</v>
      </c>
      <c r="J137" s="3">
        <f t="shared" si="4"/>
        <v>135447.38920004253</v>
      </c>
    </row>
    <row r="138" spans="2:10" x14ac:dyDescent="0.3">
      <c r="B138">
        <v>122</v>
      </c>
      <c r="C138">
        <v>19460471</v>
      </c>
      <c r="D138" t="s">
        <v>2</v>
      </c>
      <c r="E138" s="2">
        <v>190000</v>
      </c>
      <c r="F138" s="1">
        <v>3.7814520931784459E-2</v>
      </c>
      <c r="G138">
        <v>30</v>
      </c>
      <c r="H138" s="6">
        <f t="shared" si="5"/>
        <v>-883.31401145040593</v>
      </c>
      <c r="I138">
        <v>287</v>
      </c>
      <c r="J138" s="3">
        <f t="shared" si="4"/>
        <v>57522.14840909552</v>
      </c>
    </row>
    <row r="139" spans="2:10" x14ac:dyDescent="0.3">
      <c r="B139">
        <v>123</v>
      </c>
      <c r="C139">
        <v>49318803</v>
      </c>
      <c r="D139" t="s">
        <v>2</v>
      </c>
      <c r="E139" s="2">
        <v>300000</v>
      </c>
      <c r="F139" s="1">
        <v>6.2918411461241788E-2</v>
      </c>
      <c r="G139">
        <v>15</v>
      </c>
      <c r="H139" s="6">
        <f t="shared" si="5"/>
        <v>-2579.1148082440081</v>
      </c>
      <c r="I139">
        <v>53</v>
      </c>
      <c r="J139" s="3">
        <f t="shared" si="4"/>
        <v>238711.4957636068</v>
      </c>
    </row>
    <row r="140" spans="2:10" x14ac:dyDescent="0.3">
      <c r="B140">
        <v>124</v>
      </c>
      <c r="C140">
        <v>30774746</v>
      </c>
      <c r="D140" t="s">
        <v>2</v>
      </c>
      <c r="E140" s="2">
        <v>130000</v>
      </c>
      <c r="F140" s="1">
        <v>3.4605535037912347E-2</v>
      </c>
      <c r="G140">
        <v>15</v>
      </c>
      <c r="H140" s="6">
        <f t="shared" si="5"/>
        <v>-926.83108054887657</v>
      </c>
      <c r="I140">
        <v>86</v>
      </c>
      <c r="J140" s="3">
        <f t="shared" si="4"/>
        <v>76216.538546413198</v>
      </c>
    </row>
    <row r="141" spans="2:10" x14ac:dyDescent="0.3">
      <c r="B141">
        <v>125</v>
      </c>
      <c r="C141">
        <v>53409938</v>
      </c>
      <c r="D141" t="s">
        <v>2</v>
      </c>
      <c r="E141" s="2">
        <v>110000</v>
      </c>
      <c r="F141" s="1">
        <v>3.4229733471017439E-2</v>
      </c>
      <c r="G141">
        <v>30</v>
      </c>
      <c r="H141" s="6">
        <f t="shared" si="5"/>
        <v>-489.23164472366238</v>
      </c>
      <c r="I141">
        <v>295</v>
      </c>
      <c r="J141" s="3">
        <f t="shared" si="4"/>
        <v>28988.461649952435</v>
      </c>
    </row>
    <row r="142" spans="2:10" x14ac:dyDescent="0.3">
      <c r="B142">
        <v>126</v>
      </c>
      <c r="C142">
        <v>77171778</v>
      </c>
      <c r="D142" t="s">
        <v>2</v>
      </c>
      <c r="E142" s="2">
        <v>210000</v>
      </c>
      <c r="F142" s="1">
        <v>4.7007634568982694E-2</v>
      </c>
      <c r="G142">
        <v>20</v>
      </c>
      <c r="H142" s="6">
        <f t="shared" si="5"/>
        <v>-1351.4291694817948</v>
      </c>
      <c r="I142">
        <v>72</v>
      </c>
      <c r="J142" s="3">
        <f t="shared" si="4"/>
        <v>166113.61442796746</v>
      </c>
    </row>
    <row r="143" spans="2:10" x14ac:dyDescent="0.3">
      <c r="B143">
        <v>127</v>
      </c>
      <c r="C143">
        <v>81971835</v>
      </c>
      <c r="D143" t="s">
        <v>2</v>
      </c>
      <c r="E143" s="2">
        <v>320000</v>
      </c>
      <c r="F143" s="1">
        <v>8.1868207234357213E-2</v>
      </c>
      <c r="G143">
        <v>15</v>
      </c>
      <c r="H143" s="6">
        <f t="shared" si="5"/>
        <v>-3092.6989074109324</v>
      </c>
      <c r="I143">
        <v>4</v>
      </c>
      <c r="J143" s="3">
        <f t="shared" si="4"/>
        <v>316324.41203627427</v>
      </c>
    </row>
    <row r="144" spans="2:10" x14ac:dyDescent="0.3">
      <c r="B144">
        <v>128</v>
      </c>
      <c r="C144">
        <v>48132930</v>
      </c>
      <c r="D144" t="s">
        <v>2</v>
      </c>
      <c r="E144" s="2">
        <v>140000</v>
      </c>
      <c r="F144" s="1">
        <v>2.3522228194114383E-2</v>
      </c>
      <c r="G144">
        <v>20</v>
      </c>
      <c r="H144" s="6">
        <f t="shared" si="5"/>
        <v>-731.82649204647726</v>
      </c>
      <c r="I144">
        <v>100</v>
      </c>
      <c r="J144" s="3">
        <f t="shared" si="4"/>
        <v>89523.612178655414</v>
      </c>
    </row>
    <row r="145" spans="2:10" x14ac:dyDescent="0.3">
      <c r="B145">
        <v>129</v>
      </c>
      <c r="C145">
        <v>95454260</v>
      </c>
      <c r="D145" t="s">
        <v>2</v>
      </c>
      <c r="E145" s="2">
        <v>200000</v>
      </c>
      <c r="F145" s="1">
        <v>5.9759655653747787E-2</v>
      </c>
      <c r="G145">
        <v>30</v>
      </c>
      <c r="H145" s="6">
        <f t="shared" ref="H145:H176" si="6">INDEX(MASTER_DATA,MATCH($C145,MASTER_ROWS,0),MATCH(H$16,MASTER_HEADERS,0))</f>
        <v>-1196.0123591701058</v>
      </c>
      <c r="I145">
        <v>22</v>
      </c>
      <c r="J145" s="3">
        <f t="shared" si="4"/>
        <v>195361.68322919542</v>
      </c>
    </row>
    <row r="146" spans="2:10" x14ac:dyDescent="0.3">
      <c r="B146">
        <v>130</v>
      </c>
      <c r="C146">
        <v>59273999</v>
      </c>
      <c r="D146" t="s">
        <v>2</v>
      </c>
      <c r="E146" s="2">
        <v>360000</v>
      </c>
      <c r="F146" s="1">
        <v>5.3519955426174042E-2</v>
      </c>
      <c r="G146">
        <v>15</v>
      </c>
      <c r="H146" s="6">
        <f t="shared" si="6"/>
        <v>-2913.3027813134468</v>
      </c>
      <c r="I146">
        <v>179</v>
      </c>
      <c r="J146" s="3">
        <f t="shared" ref="J146:J190" si="7">PV(F146/12,G146*12-I146,H146)</f>
        <v>2900.3671545774155</v>
      </c>
    </row>
    <row r="147" spans="2:10" x14ac:dyDescent="0.3">
      <c r="B147">
        <v>131</v>
      </c>
      <c r="C147">
        <v>74183133</v>
      </c>
      <c r="D147" t="s">
        <v>2</v>
      </c>
      <c r="E147" s="2">
        <v>260000</v>
      </c>
      <c r="F147" s="1">
        <v>5.5635707435100275E-2</v>
      </c>
      <c r="G147">
        <v>30</v>
      </c>
      <c r="H147" s="6">
        <f t="shared" si="6"/>
        <v>-1486.6382135935514</v>
      </c>
      <c r="I147">
        <v>75</v>
      </c>
      <c r="J147" s="3">
        <f t="shared" si="7"/>
        <v>234847.75208026863</v>
      </c>
    </row>
    <row r="148" spans="2:10" x14ac:dyDescent="0.3">
      <c r="B148">
        <v>132</v>
      </c>
      <c r="C148">
        <v>46404591</v>
      </c>
      <c r="D148" t="s">
        <v>1</v>
      </c>
      <c r="E148" s="2">
        <v>440000</v>
      </c>
      <c r="F148" s="1">
        <v>3.4147634194001963E-2</v>
      </c>
      <c r="G148">
        <v>20</v>
      </c>
      <c r="H148" s="6">
        <f t="shared" si="6"/>
        <v>-2532.5930831414826</v>
      </c>
      <c r="I148">
        <v>212</v>
      </c>
      <c r="J148" s="3">
        <f t="shared" si="7"/>
        <v>68068.089213422427</v>
      </c>
    </row>
    <row r="149" spans="2:10" x14ac:dyDescent="0.3">
      <c r="B149">
        <v>133</v>
      </c>
      <c r="C149">
        <v>58799609</v>
      </c>
      <c r="D149" t="s">
        <v>1</v>
      </c>
      <c r="E149" s="2">
        <v>360000</v>
      </c>
      <c r="F149" s="1">
        <v>5.1870351612887451E-2</v>
      </c>
      <c r="G149">
        <v>30</v>
      </c>
      <c r="H149" s="6">
        <f t="shared" si="6"/>
        <v>-1973.9169150348255</v>
      </c>
      <c r="I149">
        <v>249</v>
      </c>
      <c r="J149" s="3">
        <f t="shared" si="7"/>
        <v>173736.85878153448</v>
      </c>
    </row>
    <row r="150" spans="2:10" x14ac:dyDescent="0.3">
      <c r="B150">
        <v>134</v>
      </c>
      <c r="C150">
        <v>45991355</v>
      </c>
      <c r="D150" t="s">
        <v>1</v>
      </c>
      <c r="E150" s="2">
        <v>400000</v>
      </c>
      <c r="F150" s="1">
        <v>5.9758883555077774E-2</v>
      </c>
      <c r="G150">
        <v>20</v>
      </c>
      <c r="H150" s="6">
        <f t="shared" si="6"/>
        <v>-2860.1629593829925</v>
      </c>
      <c r="I150">
        <v>28</v>
      </c>
      <c r="J150" s="3">
        <f t="shared" si="7"/>
        <v>373983.30680385057</v>
      </c>
    </row>
    <row r="151" spans="2:10" x14ac:dyDescent="0.3">
      <c r="B151">
        <v>135</v>
      </c>
      <c r="C151">
        <v>40766918</v>
      </c>
      <c r="D151" t="s">
        <v>1</v>
      </c>
      <c r="E151" s="2">
        <v>390000</v>
      </c>
      <c r="F151" s="1">
        <v>4.3504269841479912E-2</v>
      </c>
      <c r="G151">
        <v>15</v>
      </c>
      <c r="H151" s="6">
        <f t="shared" si="6"/>
        <v>-2953.747545750673</v>
      </c>
      <c r="I151">
        <v>49</v>
      </c>
      <c r="J151" s="3">
        <f t="shared" si="7"/>
        <v>307592.91336829832</v>
      </c>
    </row>
    <row r="152" spans="2:10" x14ac:dyDescent="0.3">
      <c r="B152">
        <v>136</v>
      </c>
      <c r="C152">
        <v>50543518</v>
      </c>
      <c r="D152" t="s">
        <v>1</v>
      </c>
      <c r="E152" s="2">
        <v>210000</v>
      </c>
      <c r="F152" s="1">
        <v>6.6997557171815436E-2</v>
      </c>
      <c r="G152">
        <v>30</v>
      </c>
      <c r="H152" s="6">
        <f t="shared" si="6"/>
        <v>-1355.0497259540837</v>
      </c>
      <c r="I152">
        <v>306</v>
      </c>
      <c r="J152" s="3">
        <f t="shared" si="7"/>
        <v>63021.459962368383</v>
      </c>
    </row>
    <row r="153" spans="2:10" x14ac:dyDescent="0.3">
      <c r="B153">
        <v>137</v>
      </c>
      <c r="C153">
        <v>28254071</v>
      </c>
      <c r="D153" t="s">
        <v>1</v>
      </c>
      <c r="E153" s="2">
        <v>290000</v>
      </c>
      <c r="F153" s="1">
        <v>2.4733212439948523E-2</v>
      </c>
      <c r="G153">
        <v>15</v>
      </c>
      <c r="H153" s="6">
        <f t="shared" si="6"/>
        <v>-1930.0487801292927</v>
      </c>
      <c r="I153">
        <v>53</v>
      </c>
      <c r="J153" s="3">
        <f t="shared" si="7"/>
        <v>215466.38368277025</v>
      </c>
    </row>
    <row r="154" spans="2:10" x14ac:dyDescent="0.3">
      <c r="B154">
        <v>138</v>
      </c>
      <c r="C154">
        <v>66109061</v>
      </c>
      <c r="D154" t="s">
        <v>1</v>
      </c>
      <c r="E154" s="2">
        <v>380000</v>
      </c>
      <c r="F154" s="1">
        <v>6.5073173837024004E-2</v>
      </c>
      <c r="G154">
        <v>15</v>
      </c>
      <c r="H154" s="6">
        <f t="shared" si="6"/>
        <v>-3311.7367835051036</v>
      </c>
      <c r="I154">
        <v>177</v>
      </c>
      <c r="J154" s="3">
        <f t="shared" si="7"/>
        <v>9828.4237387075154</v>
      </c>
    </row>
    <row r="155" spans="2:10" x14ac:dyDescent="0.3">
      <c r="B155">
        <v>139</v>
      </c>
      <c r="C155">
        <v>21617507</v>
      </c>
      <c r="D155" t="s">
        <v>1</v>
      </c>
      <c r="E155" s="2">
        <v>370000</v>
      </c>
      <c r="F155" s="1">
        <v>7.5409423490472402E-2</v>
      </c>
      <c r="G155">
        <v>20</v>
      </c>
      <c r="H155" s="6">
        <f t="shared" si="6"/>
        <v>-2989.9645471773642</v>
      </c>
      <c r="I155">
        <v>136</v>
      </c>
      <c r="J155" s="3">
        <f t="shared" si="7"/>
        <v>227782.3157421826</v>
      </c>
    </row>
    <row r="156" spans="2:10" x14ac:dyDescent="0.3">
      <c r="B156">
        <v>140</v>
      </c>
      <c r="C156">
        <v>97989606</v>
      </c>
      <c r="D156" t="s">
        <v>1</v>
      </c>
      <c r="E156" s="2">
        <v>190000</v>
      </c>
      <c r="F156" s="1">
        <v>3.9082079146889916E-2</v>
      </c>
      <c r="G156">
        <v>15</v>
      </c>
      <c r="H156" s="6">
        <f t="shared" si="6"/>
        <v>-1396.6832379755779</v>
      </c>
      <c r="I156">
        <v>74</v>
      </c>
      <c r="J156" s="3">
        <f t="shared" si="7"/>
        <v>125026.53335086055</v>
      </c>
    </row>
    <row r="157" spans="2:10" x14ac:dyDescent="0.3">
      <c r="B157">
        <v>141</v>
      </c>
      <c r="C157">
        <v>39361910</v>
      </c>
      <c r="D157" t="s">
        <v>1</v>
      </c>
      <c r="E157" s="2">
        <v>80000</v>
      </c>
      <c r="F157" s="1">
        <v>2.918801643188013E-2</v>
      </c>
      <c r="G157">
        <v>15</v>
      </c>
      <c r="H157" s="6">
        <f t="shared" si="6"/>
        <v>-549.34651843590734</v>
      </c>
      <c r="I157">
        <v>7</v>
      </c>
      <c r="J157" s="3">
        <f t="shared" si="7"/>
        <v>77498.487382740379</v>
      </c>
    </row>
    <row r="158" spans="2:10" x14ac:dyDescent="0.3">
      <c r="B158">
        <v>142</v>
      </c>
      <c r="C158">
        <v>92208306</v>
      </c>
      <c r="D158" t="s">
        <v>1</v>
      </c>
      <c r="E158" s="2">
        <v>200000</v>
      </c>
      <c r="F158" s="1">
        <v>2.7108181721399505E-2</v>
      </c>
      <c r="G158">
        <v>20</v>
      </c>
      <c r="H158" s="6">
        <f t="shared" si="6"/>
        <v>-1080.4663531994659</v>
      </c>
      <c r="I158">
        <v>90</v>
      </c>
      <c r="J158" s="3">
        <f t="shared" si="7"/>
        <v>137336.40374766377</v>
      </c>
    </row>
    <row r="159" spans="2:10" x14ac:dyDescent="0.3">
      <c r="B159">
        <v>143</v>
      </c>
      <c r="C159">
        <v>70859925</v>
      </c>
      <c r="D159" t="s">
        <v>1</v>
      </c>
      <c r="E159" s="2">
        <v>440000</v>
      </c>
      <c r="F159" s="1">
        <v>7.8279039349961069E-2</v>
      </c>
      <c r="G159">
        <v>30</v>
      </c>
      <c r="H159" s="6">
        <f t="shared" si="6"/>
        <v>-3175.9338745549298</v>
      </c>
      <c r="I159">
        <v>206</v>
      </c>
      <c r="J159" s="3">
        <f t="shared" si="7"/>
        <v>307992.44094564364</v>
      </c>
    </row>
    <row r="160" spans="2:10" x14ac:dyDescent="0.3">
      <c r="B160">
        <v>144</v>
      </c>
      <c r="C160">
        <v>38351345</v>
      </c>
      <c r="D160" t="s">
        <v>1</v>
      </c>
      <c r="E160" s="2">
        <v>230000</v>
      </c>
      <c r="F160" s="1">
        <v>8.5661220417817804E-2</v>
      </c>
      <c r="G160">
        <v>30</v>
      </c>
      <c r="H160" s="6">
        <f t="shared" si="6"/>
        <v>-1779.2903232090136</v>
      </c>
      <c r="I160">
        <v>316</v>
      </c>
      <c r="J160" s="3">
        <f t="shared" si="7"/>
        <v>66982.805778146241</v>
      </c>
    </row>
    <row r="161" spans="2:10" x14ac:dyDescent="0.3">
      <c r="B161">
        <v>145</v>
      </c>
      <c r="C161">
        <v>38803902</v>
      </c>
      <c r="D161" t="s">
        <v>1</v>
      </c>
      <c r="E161" s="2">
        <v>110000</v>
      </c>
      <c r="F161" s="1">
        <v>3.9948712579245552E-2</v>
      </c>
      <c r="G161">
        <v>15</v>
      </c>
      <c r="H161" s="6">
        <f t="shared" si="6"/>
        <v>-813.37403255032621</v>
      </c>
      <c r="I161">
        <v>13</v>
      </c>
      <c r="J161" s="3">
        <f t="shared" si="7"/>
        <v>104069.14616071964</v>
      </c>
    </row>
    <row r="162" spans="2:10" x14ac:dyDescent="0.3">
      <c r="B162">
        <v>146</v>
      </c>
      <c r="C162">
        <v>70936359</v>
      </c>
      <c r="D162" t="s">
        <v>1</v>
      </c>
      <c r="E162" s="2">
        <v>150000</v>
      </c>
      <c r="F162" s="1">
        <v>4.8616549792090978E-2</v>
      </c>
      <c r="G162">
        <v>15</v>
      </c>
      <c r="H162" s="6">
        <f t="shared" si="6"/>
        <v>-1175.4085597861902</v>
      </c>
      <c r="I162">
        <v>90</v>
      </c>
      <c r="J162" s="3">
        <f t="shared" si="7"/>
        <v>88497.174099021882</v>
      </c>
    </row>
    <row r="163" spans="2:10" x14ac:dyDescent="0.3">
      <c r="B163">
        <v>147</v>
      </c>
      <c r="C163">
        <v>22527091</v>
      </c>
      <c r="D163" t="s">
        <v>1</v>
      </c>
      <c r="E163" s="2">
        <v>400000</v>
      </c>
      <c r="F163" s="1">
        <v>2.553940346467095E-2</v>
      </c>
      <c r="G163">
        <v>30</v>
      </c>
      <c r="H163" s="6">
        <f t="shared" si="6"/>
        <v>-1591.7243056429579</v>
      </c>
      <c r="I163">
        <v>276</v>
      </c>
      <c r="J163" s="3">
        <f t="shared" si="7"/>
        <v>122315.90578323975</v>
      </c>
    </row>
    <row r="164" spans="2:10" x14ac:dyDescent="0.3">
      <c r="B164">
        <v>148</v>
      </c>
      <c r="C164">
        <v>85565195</v>
      </c>
      <c r="D164" t="s">
        <v>1</v>
      </c>
      <c r="E164" s="2">
        <v>350000</v>
      </c>
      <c r="F164" s="1">
        <v>3.759737492262525E-2</v>
      </c>
      <c r="G164">
        <v>15</v>
      </c>
      <c r="H164" s="6">
        <f t="shared" si="6"/>
        <v>-2546.9696911629712</v>
      </c>
      <c r="I164">
        <v>80</v>
      </c>
      <c r="J164" s="3">
        <f t="shared" si="7"/>
        <v>218366.14266245431</v>
      </c>
    </row>
    <row r="165" spans="2:10" x14ac:dyDescent="0.3">
      <c r="B165">
        <v>149</v>
      </c>
      <c r="C165">
        <v>49758502</v>
      </c>
      <c r="D165" t="s">
        <v>1</v>
      </c>
      <c r="E165" s="2">
        <v>130000</v>
      </c>
      <c r="F165" s="1">
        <v>5.1929476788526233E-2</v>
      </c>
      <c r="G165">
        <v>15</v>
      </c>
      <c r="H165" s="6">
        <f t="shared" si="6"/>
        <v>-1041.1453845544738</v>
      </c>
      <c r="I165">
        <v>93</v>
      </c>
      <c r="J165" s="3">
        <f t="shared" si="7"/>
        <v>75347.07737762075</v>
      </c>
    </row>
    <row r="166" spans="2:10" x14ac:dyDescent="0.3">
      <c r="B166">
        <v>150</v>
      </c>
      <c r="C166">
        <v>44521885</v>
      </c>
      <c r="D166" t="s">
        <v>1</v>
      </c>
      <c r="E166" s="2">
        <v>190000</v>
      </c>
      <c r="F166" s="1">
        <v>4.9833531113900251E-2</v>
      </c>
      <c r="G166">
        <v>30</v>
      </c>
      <c r="H166" s="6">
        <f t="shared" si="6"/>
        <v>-1018.0289241065121</v>
      </c>
      <c r="I166">
        <v>174</v>
      </c>
      <c r="J166" s="3">
        <f t="shared" si="7"/>
        <v>131731.72010516841</v>
      </c>
    </row>
    <row r="167" spans="2:10" x14ac:dyDescent="0.3">
      <c r="B167">
        <v>151</v>
      </c>
      <c r="C167">
        <v>81877816</v>
      </c>
      <c r="D167" t="s">
        <v>1</v>
      </c>
      <c r="E167" s="2">
        <v>120000</v>
      </c>
      <c r="F167" s="1">
        <v>4.8171984913974467E-2</v>
      </c>
      <c r="G167">
        <v>15</v>
      </c>
      <c r="H167" s="6">
        <f t="shared" si="6"/>
        <v>-937.56465618487778</v>
      </c>
      <c r="I167">
        <v>27</v>
      </c>
      <c r="J167" s="3">
        <f t="shared" si="7"/>
        <v>107027.87703160969</v>
      </c>
    </row>
    <row r="168" spans="2:10" x14ac:dyDescent="0.3">
      <c r="B168">
        <v>152</v>
      </c>
      <c r="C168">
        <v>30045340</v>
      </c>
      <c r="D168" t="s">
        <v>1</v>
      </c>
      <c r="E168" s="2">
        <v>360000</v>
      </c>
      <c r="F168" s="1">
        <v>8.4051872918695605E-2</v>
      </c>
      <c r="G168">
        <v>20</v>
      </c>
      <c r="H168" s="6">
        <f t="shared" si="6"/>
        <v>-3102.5943125677773</v>
      </c>
      <c r="I168">
        <v>67</v>
      </c>
      <c r="J168" s="3">
        <f t="shared" si="7"/>
        <v>310538.99669582827</v>
      </c>
    </row>
    <row r="169" spans="2:10" x14ac:dyDescent="0.3">
      <c r="B169">
        <v>153</v>
      </c>
      <c r="C169">
        <v>50054768</v>
      </c>
      <c r="D169" t="s">
        <v>1</v>
      </c>
      <c r="E169" s="2">
        <v>140000</v>
      </c>
      <c r="F169" s="1">
        <v>4.7353760052952686E-2</v>
      </c>
      <c r="G169">
        <v>15</v>
      </c>
      <c r="H169" s="6">
        <f t="shared" si="6"/>
        <v>-1087.9085190630351</v>
      </c>
      <c r="I169">
        <v>20</v>
      </c>
      <c r="J169" s="3">
        <f t="shared" si="7"/>
        <v>128879.91179480437</v>
      </c>
    </row>
    <row r="170" spans="2:10" x14ac:dyDescent="0.3">
      <c r="B170">
        <v>154</v>
      </c>
      <c r="C170">
        <v>63115595</v>
      </c>
      <c r="D170" t="s">
        <v>1</v>
      </c>
      <c r="E170" s="2">
        <v>420000</v>
      </c>
      <c r="F170" s="1">
        <v>3.1754491121864389E-2</v>
      </c>
      <c r="G170">
        <v>30</v>
      </c>
      <c r="H170" s="6">
        <f t="shared" si="6"/>
        <v>-1810.7258825168124</v>
      </c>
      <c r="I170">
        <v>40</v>
      </c>
      <c r="J170" s="3">
        <f t="shared" si="7"/>
        <v>390534.24043349538</v>
      </c>
    </row>
    <row r="171" spans="2:10" x14ac:dyDescent="0.3">
      <c r="B171">
        <v>155</v>
      </c>
      <c r="C171">
        <v>12815365</v>
      </c>
      <c r="D171" t="s">
        <v>1</v>
      </c>
      <c r="E171" s="2">
        <v>300000</v>
      </c>
      <c r="F171" s="1">
        <v>7.1192531516652197E-2</v>
      </c>
      <c r="G171">
        <v>15</v>
      </c>
      <c r="H171" s="6">
        <f t="shared" si="6"/>
        <v>-2716.5257069980771</v>
      </c>
      <c r="I171">
        <v>20</v>
      </c>
      <c r="J171" s="3">
        <f t="shared" si="7"/>
        <v>280171.32405919704</v>
      </c>
    </row>
    <row r="172" spans="2:10" x14ac:dyDescent="0.3">
      <c r="B172">
        <v>156</v>
      </c>
      <c r="C172">
        <v>57963170</v>
      </c>
      <c r="D172" t="s">
        <v>1</v>
      </c>
      <c r="E172" s="2">
        <v>190000</v>
      </c>
      <c r="F172" s="1">
        <v>5.577789572375437E-2</v>
      </c>
      <c r="G172">
        <v>15</v>
      </c>
      <c r="H172" s="6">
        <f t="shared" si="6"/>
        <v>-1560.3127311548092</v>
      </c>
      <c r="I172">
        <v>134</v>
      </c>
      <c r="J172" s="3">
        <f t="shared" si="7"/>
        <v>64485.698829029498</v>
      </c>
    </row>
    <row r="173" spans="2:10" x14ac:dyDescent="0.3">
      <c r="B173">
        <v>157</v>
      </c>
      <c r="C173">
        <v>27425669</v>
      </c>
      <c r="D173" t="s">
        <v>1</v>
      </c>
      <c r="E173" s="2">
        <v>120000</v>
      </c>
      <c r="F173" s="1">
        <v>4.5537190045218612E-2</v>
      </c>
      <c r="G173">
        <v>15</v>
      </c>
      <c r="H173" s="6">
        <f t="shared" si="6"/>
        <v>-921.28990326889095</v>
      </c>
      <c r="I173">
        <v>10</v>
      </c>
      <c r="J173" s="3">
        <f t="shared" si="7"/>
        <v>115260.44724317468</v>
      </c>
    </row>
    <row r="174" spans="2:10" x14ac:dyDescent="0.3">
      <c r="B174">
        <v>158</v>
      </c>
      <c r="C174">
        <v>42454326</v>
      </c>
      <c r="D174" t="s">
        <v>1</v>
      </c>
      <c r="E174" s="2">
        <v>230000</v>
      </c>
      <c r="F174" s="1">
        <v>5.0982489981923208E-2</v>
      </c>
      <c r="G174">
        <v>15</v>
      </c>
      <c r="H174" s="6">
        <f t="shared" si="6"/>
        <v>-1830.6184473844403</v>
      </c>
      <c r="I174">
        <v>81</v>
      </c>
      <c r="J174" s="3">
        <f t="shared" si="7"/>
        <v>147691.43016632533</v>
      </c>
    </row>
    <row r="175" spans="2:10" x14ac:dyDescent="0.3">
      <c r="B175">
        <v>159</v>
      </c>
      <c r="C175">
        <v>43854478</v>
      </c>
      <c r="D175" t="s">
        <v>1</v>
      </c>
      <c r="E175" s="2">
        <v>180000</v>
      </c>
      <c r="F175" s="1">
        <v>3.2977812852717114E-2</v>
      </c>
      <c r="G175">
        <v>20</v>
      </c>
      <c r="H175" s="6">
        <f t="shared" si="6"/>
        <v>-1025.3204880582011</v>
      </c>
      <c r="I175">
        <v>55</v>
      </c>
      <c r="J175" s="3">
        <f t="shared" si="7"/>
        <v>148539.46508435311</v>
      </c>
    </row>
    <row r="176" spans="2:10" x14ac:dyDescent="0.3">
      <c r="B176">
        <v>160</v>
      </c>
      <c r="C176">
        <v>28025475</v>
      </c>
      <c r="D176" t="s">
        <v>1</v>
      </c>
      <c r="E176" s="2">
        <v>430000</v>
      </c>
      <c r="F176" s="1">
        <v>5.2234852657205018E-2</v>
      </c>
      <c r="G176">
        <v>15</v>
      </c>
      <c r="H176" s="6">
        <f t="shared" si="6"/>
        <v>-3450.6822795469407</v>
      </c>
      <c r="I176">
        <v>128</v>
      </c>
      <c r="J176" s="3">
        <f t="shared" si="7"/>
        <v>160266.47460750217</v>
      </c>
    </row>
    <row r="177" spans="2:10" x14ac:dyDescent="0.3">
      <c r="B177">
        <v>161</v>
      </c>
      <c r="C177">
        <v>64176281</v>
      </c>
      <c r="D177" t="s">
        <v>1</v>
      </c>
      <c r="E177" s="2">
        <v>340000</v>
      </c>
      <c r="F177" s="1">
        <v>7.8054402152243199E-2</v>
      </c>
      <c r="G177">
        <v>20</v>
      </c>
      <c r="H177" s="6">
        <f t="shared" ref="H177:H190" si="8">INDEX(MASTER_DATA,MATCH($C177,MASTER_ROWS,0),MATCH(H$16,MASTER_HEADERS,0))</f>
        <v>-2802.8658140065268</v>
      </c>
      <c r="I177">
        <v>25</v>
      </c>
      <c r="J177" s="3">
        <f t="shared" si="7"/>
        <v>324003.34447729628</v>
      </c>
    </row>
    <row r="178" spans="2:10" x14ac:dyDescent="0.3">
      <c r="B178">
        <v>162</v>
      </c>
      <c r="C178">
        <v>19068436</v>
      </c>
      <c r="D178" t="s">
        <v>1</v>
      </c>
      <c r="E178" s="2">
        <v>90000</v>
      </c>
      <c r="F178" s="1">
        <v>8.5197825606209504E-2</v>
      </c>
      <c r="G178">
        <v>20</v>
      </c>
      <c r="H178" s="6">
        <f t="shared" si="8"/>
        <v>-782.16813742200156</v>
      </c>
      <c r="I178">
        <v>214</v>
      </c>
      <c r="J178" s="3">
        <f t="shared" si="7"/>
        <v>18509.967884466841</v>
      </c>
    </row>
    <row r="179" spans="2:10" x14ac:dyDescent="0.3">
      <c r="B179">
        <v>163</v>
      </c>
      <c r="C179">
        <v>55935051</v>
      </c>
      <c r="D179" t="s">
        <v>1</v>
      </c>
      <c r="E179" s="2">
        <v>310000</v>
      </c>
      <c r="F179" s="1">
        <v>6.5776912974517682E-2</v>
      </c>
      <c r="G179">
        <v>15</v>
      </c>
      <c r="H179" s="6">
        <f t="shared" si="8"/>
        <v>-2713.6904725412978</v>
      </c>
      <c r="I179">
        <v>171</v>
      </c>
      <c r="J179" s="3">
        <f t="shared" si="7"/>
        <v>23767.081251326628</v>
      </c>
    </row>
    <row r="180" spans="2:10" x14ac:dyDescent="0.3">
      <c r="B180">
        <v>164</v>
      </c>
      <c r="C180">
        <v>58190701</v>
      </c>
      <c r="D180" t="s">
        <v>1</v>
      </c>
      <c r="E180" s="2">
        <v>390000</v>
      </c>
      <c r="F180" s="1">
        <v>2.8968661386930758E-2</v>
      </c>
      <c r="G180">
        <v>30</v>
      </c>
      <c r="H180" s="6">
        <f t="shared" si="8"/>
        <v>-1622.6425259479668</v>
      </c>
      <c r="I180">
        <v>42</v>
      </c>
      <c r="J180" s="3">
        <f t="shared" si="7"/>
        <v>359928.7791981693</v>
      </c>
    </row>
    <row r="181" spans="2:10" x14ac:dyDescent="0.3">
      <c r="B181">
        <v>165</v>
      </c>
      <c r="C181">
        <v>22410771</v>
      </c>
      <c r="D181" t="s">
        <v>1</v>
      </c>
      <c r="E181" s="2">
        <v>280000</v>
      </c>
      <c r="F181" s="1">
        <v>2.7107655095394385E-2</v>
      </c>
      <c r="G181">
        <v>15</v>
      </c>
      <c r="H181" s="6">
        <f t="shared" si="8"/>
        <v>-1894.9174430384887</v>
      </c>
      <c r="I181">
        <v>122</v>
      </c>
      <c r="J181" s="3">
        <f t="shared" si="7"/>
        <v>102900.97550968033</v>
      </c>
    </row>
    <row r="182" spans="2:10" x14ac:dyDescent="0.3">
      <c r="B182">
        <v>166</v>
      </c>
      <c r="C182">
        <v>60128733</v>
      </c>
      <c r="D182" t="s">
        <v>1</v>
      </c>
      <c r="E182" s="2">
        <v>450000</v>
      </c>
      <c r="F182" s="1">
        <v>7.5354629162056694E-2</v>
      </c>
      <c r="G182">
        <v>15</v>
      </c>
      <c r="H182" s="6">
        <f t="shared" si="8"/>
        <v>-4180.6293078023364</v>
      </c>
      <c r="I182">
        <v>156</v>
      </c>
      <c r="J182" s="3">
        <f t="shared" si="7"/>
        <v>92870.431164271708</v>
      </c>
    </row>
    <row r="183" spans="2:10" x14ac:dyDescent="0.3">
      <c r="B183">
        <v>167</v>
      </c>
      <c r="C183">
        <v>66609862</v>
      </c>
      <c r="D183" t="s">
        <v>1</v>
      </c>
      <c r="E183" s="2">
        <v>400000</v>
      </c>
      <c r="F183" s="1">
        <v>6.4130198135724042E-2</v>
      </c>
      <c r="G183">
        <v>15</v>
      </c>
      <c r="H183" s="6">
        <f t="shared" si="8"/>
        <v>-3465.3314397950089</v>
      </c>
      <c r="I183">
        <v>139</v>
      </c>
      <c r="J183" s="3">
        <f t="shared" si="7"/>
        <v>127286.33027175204</v>
      </c>
    </row>
    <row r="184" spans="2:10" x14ac:dyDescent="0.3">
      <c r="B184">
        <v>168</v>
      </c>
      <c r="C184">
        <v>64197854</v>
      </c>
      <c r="D184" t="s">
        <v>1</v>
      </c>
      <c r="E184" s="2">
        <v>90000</v>
      </c>
      <c r="F184" s="1">
        <v>8.500410975067306E-2</v>
      </c>
      <c r="G184">
        <v>20</v>
      </c>
      <c r="H184" s="6">
        <f t="shared" si="8"/>
        <v>-781.06432030082647</v>
      </c>
      <c r="I184">
        <v>144</v>
      </c>
      <c r="J184" s="3">
        <f t="shared" si="7"/>
        <v>54269.447517068336</v>
      </c>
    </row>
    <row r="185" spans="2:10" x14ac:dyDescent="0.3">
      <c r="B185">
        <v>169</v>
      </c>
      <c r="C185">
        <v>59656529</v>
      </c>
      <c r="D185" t="s">
        <v>1</v>
      </c>
      <c r="E185" s="2">
        <v>100000</v>
      </c>
      <c r="F185" s="1">
        <v>6.538733883278261E-2</v>
      </c>
      <c r="G185">
        <v>20</v>
      </c>
      <c r="H185" s="6">
        <f t="shared" si="8"/>
        <v>-747.85526058280811</v>
      </c>
      <c r="I185">
        <v>195</v>
      </c>
      <c r="J185" s="3">
        <f t="shared" si="7"/>
        <v>29773.545703494408</v>
      </c>
    </row>
    <row r="186" spans="2:10" x14ac:dyDescent="0.3">
      <c r="B186">
        <v>170</v>
      </c>
      <c r="C186">
        <v>27416011</v>
      </c>
      <c r="D186" t="s">
        <v>1</v>
      </c>
      <c r="E186" s="2">
        <v>320000</v>
      </c>
      <c r="F186" s="1">
        <v>4.5206795026638533E-2</v>
      </c>
      <c r="G186">
        <v>20</v>
      </c>
      <c r="H186" s="6">
        <f t="shared" si="8"/>
        <v>-2028.0517953301764</v>
      </c>
      <c r="I186">
        <v>120</v>
      </c>
      <c r="J186" s="3">
        <f t="shared" si="7"/>
        <v>195497.25390834792</v>
      </c>
    </row>
    <row r="187" spans="2:10" x14ac:dyDescent="0.3">
      <c r="B187">
        <v>171</v>
      </c>
      <c r="C187">
        <v>48475995</v>
      </c>
      <c r="D187" t="s">
        <v>1</v>
      </c>
      <c r="E187" s="2">
        <v>270000</v>
      </c>
      <c r="F187" s="1">
        <v>8.0420328455112197E-2</v>
      </c>
      <c r="G187">
        <v>15</v>
      </c>
      <c r="H187" s="6">
        <f t="shared" si="8"/>
        <v>-2586.8165856002333</v>
      </c>
      <c r="I187">
        <v>47</v>
      </c>
      <c r="J187" s="3">
        <f t="shared" si="7"/>
        <v>227222.13938087691</v>
      </c>
    </row>
    <row r="188" spans="2:10" x14ac:dyDescent="0.3">
      <c r="B188">
        <v>172</v>
      </c>
      <c r="C188">
        <v>71360853</v>
      </c>
      <c r="D188" t="s">
        <v>1</v>
      </c>
      <c r="E188" s="2">
        <v>430000</v>
      </c>
      <c r="F188" s="1">
        <v>8.948433022180316E-2</v>
      </c>
      <c r="G188">
        <v>15</v>
      </c>
      <c r="H188" s="6">
        <f t="shared" si="8"/>
        <v>-4348.1654276527343</v>
      </c>
      <c r="I188">
        <v>164</v>
      </c>
      <c r="J188" s="3">
        <f t="shared" si="7"/>
        <v>65351.444777577453</v>
      </c>
    </row>
    <row r="189" spans="2:10" x14ac:dyDescent="0.3">
      <c r="B189">
        <v>173</v>
      </c>
      <c r="C189">
        <v>35512275</v>
      </c>
      <c r="D189" t="s">
        <v>1</v>
      </c>
      <c r="E189" s="2">
        <v>380000</v>
      </c>
      <c r="F189" s="1">
        <v>6.1968837801717767E-2</v>
      </c>
      <c r="G189">
        <v>30</v>
      </c>
      <c r="H189" s="6">
        <f t="shared" si="8"/>
        <v>-2326.6137587718663</v>
      </c>
      <c r="I189">
        <v>62</v>
      </c>
      <c r="J189" s="3">
        <f t="shared" si="7"/>
        <v>353461.13425502449</v>
      </c>
    </row>
    <row r="190" spans="2:10" x14ac:dyDescent="0.3">
      <c r="B190">
        <v>174</v>
      </c>
      <c r="C190">
        <v>38613129</v>
      </c>
      <c r="D190" t="s">
        <v>1</v>
      </c>
      <c r="E190" s="2">
        <v>370000</v>
      </c>
      <c r="F190" s="1">
        <v>5.8198216683628096E-2</v>
      </c>
      <c r="G190">
        <v>15</v>
      </c>
      <c r="H190" s="6">
        <f t="shared" si="8"/>
        <v>-3086.3680567423221</v>
      </c>
      <c r="I190">
        <v>28</v>
      </c>
      <c r="J190" s="3">
        <f t="shared" si="7"/>
        <v>331355.10669905931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L190"/>
  <sheetViews>
    <sheetView zoomScale="159" workbookViewId="0">
      <selection activeCell="I17" sqref="I17"/>
    </sheetView>
  </sheetViews>
  <sheetFormatPr defaultRowHeight="10.75" x14ac:dyDescent="0.3"/>
  <cols>
    <col min="1" max="1" width="2.5" customWidth="1"/>
    <col min="2" max="2" width="4.796875" bestFit="1" customWidth="1"/>
    <col min="3" max="3" width="11.5" bestFit="1" customWidth="1"/>
    <col min="4" max="4" width="24.19921875" bestFit="1" customWidth="1"/>
    <col min="5" max="5" width="11.5" bestFit="1" customWidth="1"/>
    <col min="6" max="6" width="10.5" bestFit="1" customWidth="1"/>
    <col min="7" max="7" width="10.69921875" bestFit="1" customWidth="1"/>
    <col min="8" max="8" width="13.09765625" bestFit="1" customWidth="1"/>
    <col min="9" max="9" width="13.69921875" style="7" bestFit="1" customWidth="1"/>
    <col min="10" max="10" width="13.69921875" bestFit="1" customWidth="1"/>
  </cols>
  <sheetData>
    <row r="1" spans="2:12" x14ac:dyDescent="0.3">
      <c r="I1"/>
    </row>
    <row r="2" spans="2:12" x14ac:dyDescent="0.3">
      <c r="B2" t="s">
        <v>23</v>
      </c>
      <c r="I2"/>
    </row>
    <row r="3" spans="2:12" x14ac:dyDescent="0.3">
      <c r="I3"/>
    </row>
    <row r="4" spans="2:12" x14ac:dyDescent="0.3">
      <c r="I4"/>
    </row>
    <row r="5" spans="2:12" x14ac:dyDescent="0.3">
      <c r="E5" s="12" t="s">
        <v>8</v>
      </c>
      <c r="F5" s="12" t="s">
        <v>14</v>
      </c>
      <c r="I5"/>
    </row>
    <row r="6" spans="2:12" x14ac:dyDescent="0.3">
      <c r="E6" s="15" t="s">
        <v>10</v>
      </c>
      <c r="F6" s="15" t="s">
        <v>16</v>
      </c>
      <c r="I6"/>
    </row>
    <row r="7" spans="2:12" x14ac:dyDescent="0.3">
      <c r="E7" s="15" t="s">
        <v>11</v>
      </c>
      <c r="F7" s="15" t="s">
        <v>17</v>
      </c>
      <c r="I7"/>
    </row>
    <row r="8" spans="2:12" x14ac:dyDescent="0.3">
      <c r="E8" s="15" t="s">
        <v>9</v>
      </c>
      <c r="F8" s="15" t="s">
        <v>18</v>
      </c>
      <c r="I8"/>
    </row>
    <row r="9" spans="2:12" x14ac:dyDescent="0.3">
      <c r="E9" s="15" t="s">
        <v>12</v>
      </c>
      <c r="F9" s="15" t="s">
        <v>18</v>
      </c>
      <c r="I9"/>
    </row>
    <row r="10" spans="2:12" x14ac:dyDescent="0.3">
      <c r="E10" s="15" t="s">
        <v>13</v>
      </c>
      <c r="F10" s="15" t="s">
        <v>18</v>
      </c>
      <c r="I10"/>
    </row>
    <row r="11" spans="2:12" x14ac:dyDescent="0.3">
      <c r="I11"/>
    </row>
    <row r="12" spans="2:12" x14ac:dyDescent="0.3">
      <c r="I12"/>
    </row>
    <row r="13" spans="2:12" x14ac:dyDescent="0.3">
      <c r="I13"/>
    </row>
    <row r="14" spans="2:12" x14ac:dyDescent="0.3">
      <c r="I14"/>
    </row>
    <row r="15" spans="2:12" x14ac:dyDescent="0.3">
      <c r="I15"/>
    </row>
    <row r="16" spans="2:12" x14ac:dyDescent="0.3">
      <c r="B16" s="8" t="s">
        <v>19</v>
      </c>
      <c r="C16" s="8" t="s">
        <v>0</v>
      </c>
      <c r="D16" s="9" t="s">
        <v>15</v>
      </c>
      <c r="E16" s="9" t="s">
        <v>5</v>
      </c>
      <c r="F16" s="9" t="s">
        <v>21</v>
      </c>
      <c r="G16" s="9" t="s">
        <v>20</v>
      </c>
      <c r="H16" s="9" t="s">
        <v>4</v>
      </c>
      <c r="I16" s="9" t="s">
        <v>7</v>
      </c>
      <c r="J16" s="9" t="s">
        <v>6</v>
      </c>
      <c r="K16" s="9" t="s">
        <v>8</v>
      </c>
      <c r="L16" s="4" t="s">
        <v>14</v>
      </c>
    </row>
    <row r="17" spans="2:12" x14ac:dyDescent="0.3">
      <c r="B17">
        <v>1</v>
      </c>
      <c r="C17">
        <v>83449837</v>
      </c>
      <c r="D17" t="s">
        <v>3</v>
      </c>
      <c r="E17" s="2">
        <v>280000</v>
      </c>
      <c r="F17" s="1">
        <v>6.3422300277239399E-2</v>
      </c>
      <c r="G17">
        <v>30</v>
      </c>
      <c r="H17" s="6">
        <f t="shared" ref="H17:H48" si="0">INDEX(MASTER_DATA,MATCH($C17,MASTER_ROWS,0),MATCH(H$16,MASTER_HEADERS,0))</f>
        <v>-1740.8388784193021</v>
      </c>
      <c r="I17">
        <v>191</v>
      </c>
      <c r="J17" s="6">
        <f t="shared" ref="J17:J48" si="1">INDEX(MASTER_DATA,MATCH($C17,MASTER_ROWS,0),MATCH(J$16,MASTER_HEADERS,0))</f>
        <v>194232.77149761905</v>
      </c>
      <c r="K17" t="s">
        <v>12</v>
      </c>
      <c r="L17" t="str">
        <f>VLOOKUP(K17,$E$6:$F$10,2,FALSE)</f>
        <v>GNMA</v>
      </c>
    </row>
    <row r="18" spans="2:12" x14ac:dyDescent="0.3">
      <c r="B18">
        <v>2</v>
      </c>
      <c r="C18">
        <v>41209504</v>
      </c>
      <c r="D18" t="s">
        <v>3</v>
      </c>
      <c r="E18" s="2">
        <v>370000</v>
      </c>
      <c r="F18" s="1">
        <v>4.7923567837379721E-2</v>
      </c>
      <c r="G18">
        <v>30</v>
      </c>
      <c r="H18" s="6">
        <f t="shared" si="0"/>
        <v>-1939.5527972832565</v>
      </c>
      <c r="I18">
        <v>322</v>
      </c>
      <c r="J18" s="6">
        <f t="shared" si="1"/>
        <v>68256.85188202397</v>
      </c>
      <c r="K18" t="s">
        <v>11</v>
      </c>
      <c r="L18" t="str">
        <f t="shared" ref="L18:L81" si="2">VLOOKUP(K18,$E$6:$F$10,2,FALSE)</f>
        <v>FNMA</v>
      </c>
    </row>
    <row r="19" spans="2:12" x14ac:dyDescent="0.3">
      <c r="B19">
        <v>3</v>
      </c>
      <c r="C19">
        <v>25055860</v>
      </c>
      <c r="D19" t="s">
        <v>3</v>
      </c>
      <c r="E19" s="2">
        <v>210000</v>
      </c>
      <c r="F19" s="1">
        <v>6.1424733534152585E-2</v>
      </c>
      <c r="G19">
        <v>20</v>
      </c>
      <c r="H19" s="6">
        <f t="shared" si="0"/>
        <v>-1521.8167990007571</v>
      </c>
      <c r="I19">
        <v>32</v>
      </c>
      <c r="J19" s="6">
        <f t="shared" si="1"/>
        <v>194504.82943547497</v>
      </c>
      <c r="K19" t="s">
        <v>13</v>
      </c>
      <c r="L19" t="str">
        <f t="shared" si="2"/>
        <v>GNMA</v>
      </c>
    </row>
    <row r="20" spans="2:12" x14ac:dyDescent="0.3">
      <c r="B20">
        <v>4</v>
      </c>
      <c r="C20">
        <v>61173887</v>
      </c>
      <c r="D20" t="s">
        <v>3</v>
      </c>
      <c r="E20" s="2">
        <v>120000</v>
      </c>
      <c r="F20" s="1">
        <v>6.9916583821802616E-2</v>
      </c>
      <c r="G20">
        <v>30</v>
      </c>
      <c r="H20" s="6">
        <f t="shared" si="0"/>
        <v>-797.69084311639654</v>
      </c>
      <c r="I20">
        <v>23</v>
      </c>
      <c r="J20" s="6">
        <f t="shared" si="1"/>
        <v>117582.59194191683</v>
      </c>
      <c r="K20" t="s">
        <v>12</v>
      </c>
      <c r="L20" t="str">
        <f t="shared" si="2"/>
        <v>GNMA</v>
      </c>
    </row>
    <row r="21" spans="2:12" x14ac:dyDescent="0.3">
      <c r="B21">
        <v>5</v>
      </c>
      <c r="C21">
        <v>51398733</v>
      </c>
      <c r="D21" t="s">
        <v>3</v>
      </c>
      <c r="E21" s="2">
        <v>350000</v>
      </c>
      <c r="F21" s="1">
        <v>5.0134005155326899E-2</v>
      </c>
      <c r="G21">
        <v>20</v>
      </c>
      <c r="H21" s="6">
        <f t="shared" si="0"/>
        <v>-2312.4368284914549</v>
      </c>
      <c r="I21">
        <v>154</v>
      </c>
      <c r="J21" s="6">
        <f t="shared" si="1"/>
        <v>166774.39516807985</v>
      </c>
      <c r="K21" t="s">
        <v>11</v>
      </c>
      <c r="L21" t="str">
        <f t="shared" si="2"/>
        <v>FNMA</v>
      </c>
    </row>
    <row r="22" spans="2:12" x14ac:dyDescent="0.3">
      <c r="B22">
        <v>6</v>
      </c>
      <c r="C22">
        <v>76906141</v>
      </c>
      <c r="D22" t="s">
        <v>3</v>
      </c>
      <c r="E22" s="2">
        <v>220000</v>
      </c>
      <c r="F22" s="1">
        <v>4.2786225749490842E-2</v>
      </c>
      <c r="G22">
        <v>10</v>
      </c>
      <c r="H22" s="6">
        <f t="shared" si="0"/>
        <v>-2256.6410339925496</v>
      </c>
      <c r="I22">
        <v>47</v>
      </c>
      <c r="J22" s="6">
        <f t="shared" si="1"/>
        <v>144815.13162833391</v>
      </c>
      <c r="K22" t="s">
        <v>10</v>
      </c>
      <c r="L22" t="str">
        <f t="shared" si="2"/>
        <v>FHLMC</v>
      </c>
    </row>
    <row r="23" spans="2:12" x14ac:dyDescent="0.3">
      <c r="B23">
        <v>7</v>
      </c>
      <c r="C23">
        <v>49304139</v>
      </c>
      <c r="D23" t="s">
        <v>3</v>
      </c>
      <c r="E23" s="2">
        <v>330000</v>
      </c>
      <c r="F23" s="1">
        <v>7.9882925276980848E-2</v>
      </c>
      <c r="G23">
        <v>10</v>
      </c>
      <c r="H23" s="6">
        <f t="shared" si="0"/>
        <v>-4001.7694462201434</v>
      </c>
      <c r="I23">
        <v>81</v>
      </c>
      <c r="J23" s="6">
        <f t="shared" si="1"/>
        <v>137055.7403967772</v>
      </c>
      <c r="K23" t="s">
        <v>13</v>
      </c>
      <c r="L23" t="str">
        <f t="shared" si="2"/>
        <v>GNMA</v>
      </c>
    </row>
    <row r="24" spans="2:12" x14ac:dyDescent="0.3">
      <c r="B24">
        <v>8</v>
      </c>
      <c r="C24">
        <v>23473039</v>
      </c>
      <c r="D24" t="s">
        <v>3</v>
      </c>
      <c r="E24" s="2">
        <v>160000</v>
      </c>
      <c r="F24" s="1">
        <v>3.7834646761219816E-2</v>
      </c>
      <c r="G24">
        <v>30</v>
      </c>
      <c r="H24" s="6">
        <f t="shared" si="0"/>
        <v>-744.02648275288288</v>
      </c>
      <c r="I24">
        <v>317</v>
      </c>
      <c r="J24" s="6">
        <f t="shared" si="1"/>
        <v>29875.237982358442</v>
      </c>
      <c r="K24" t="s">
        <v>13</v>
      </c>
      <c r="L24" t="str">
        <f t="shared" si="2"/>
        <v>GNMA</v>
      </c>
    </row>
    <row r="25" spans="2:12" x14ac:dyDescent="0.3">
      <c r="B25">
        <v>9</v>
      </c>
      <c r="C25">
        <v>53651842</v>
      </c>
      <c r="D25" t="s">
        <v>3</v>
      </c>
      <c r="E25" s="2">
        <v>370000</v>
      </c>
      <c r="F25" s="1">
        <v>5.6469996936378344E-2</v>
      </c>
      <c r="G25">
        <v>30</v>
      </c>
      <c r="H25" s="6">
        <f t="shared" si="0"/>
        <v>-2135.0707200458078</v>
      </c>
      <c r="I25">
        <v>73</v>
      </c>
      <c r="J25" s="6">
        <f t="shared" si="1"/>
        <v>335782.61355425371</v>
      </c>
      <c r="K25" t="s">
        <v>10</v>
      </c>
      <c r="L25" t="str">
        <f t="shared" si="2"/>
        <v>FHLMC</v>
      </c>
    </row>
    <row r="26" spans="2:12" x14ac:dyDescent="0.3">
      <c r="B26">
        <v>10</v>
      </c>
      <c r="C26">
        <v>77159777</v>
      </c>
      <c r="D26" t="s">
        <v>3</v>
      </c>
      <c r="E26" s="2">
        <v>240000</v>
      </c>
      <c r="F26" s="1">
        <v>5.6715626593494835E-2</v>
      </c>
      <c r="G26">
        <v>30</v>
      </c>
      <c r="H26" s="6">
        <f t="shared" si="0"/>
        <v>-1388.6390205991597</v>
      </c>
      <c r="I26">
        <v>174</v>
      </c>
      <c r="J26" s="6">
        <f t="shared" si="1"/>
        <v>171579.60088119478</v>
      </c>
      <c r="K26" t="s">
        <v>12</v>
      </c>
      <c r="L26" t="str">
        <f t="shared" si="2"/>
        <v>GNMA</v>
      </c>
    </row>
    <row r="27" spans="2:12" x14ac:dyDescent="0.3">
      <c r="B27">
        <v>11</v>
      </c>
      <c r="C27">
        <v>66573753</v>
      </c>
      <c r="D27" t="s">
        <v>3</v>
      </c>
      <c r="E27" s="2">
        <v>240000</v>
      </c>
      <c r="F27" s="1">
        <v>4.0215407626109097E-2</v>
      </c>
      <c r="G27">
        <v>30</v>
      </c>
      <c r="H27" s="6">
        <f t="shared" si="0"/>
        <v>-1148.7791567926149</v>
      </c>
      <c r="I27">
        <v>80</v>
      </c>
      <c r="J27" s="6">
        <f t="shared" si="1"/>
        <v>208454.89645217644</v>
      </c>
      <c r="K27" t="s">
        <v>11</v>
      </c>
      <c r="L27" t="str">
        <f t="shared" si="2"/>
        <v>FNMA</v>
      </c>
    </row>
    <row r="28" spans="2:12" x14ac:dyDescent="0.3">
      <c r="B28">
        <v>12</v>
      </c>
      <c r="C28">
        <v>35312476</v>
      </c>
      <c r="D28" t="s">
        <v>3</v>
      </c>
      <c r="E28" s="2">
        <v>120000</v>
      </c>
      <c r="F28" s="1">
        <v>8.3860466435509498E-2</v>
      </c>
      <c r="G28">
        <v>10</v>
      </c>
      <c r="H28" s="6">
        <f t="shared" si="0"/>
        <v>-1480.5247973648513</v>
      </c>
      <c r="I28">
        <v>103</v>
      </c>
      <c r="J28" s="6">
        <f t="shared" si="1"/>
        <v>23653.598787943563</v>
      </c>
      <c r="K28" t="s">
        <v>9</v>
      </c>
      <c r="L28" t="str">
        <f t="shared" si="2"/>
        <v>GNMA</v>
      </c>
    </row>
    <row r="29" spans="2:12" x14ac:dyDescent="0.3">
      <c r="B29">
        <v>13</v>
      </c>
      <c r="C29">
        <v>95991315</v>
      </c>
      <c r="D29" t="s">
        <v>3</v>
      </c>
      <c r="E29" s="2">
        <v>150000</v>
      </c>
      <c r="F29" s="1">
        <v>3.5523380678162242E-2</v>
      </c>
      <c r="G29">
        <v>20</v>
      </c>
      <c r="H29" s="6">
        <f t="shared" si="0"/>
        <v>-873.97914438024759</v>
      </c>
      <c r="I29">
        <v>37</v>
      </c>
      <c r="J29" s="6">
        <f t="shared" si="1"/>
        <v>133214.66827461461</v>
      </c>
      <c r="K29" t="s">
        <v>9</v>
      </c>
      <c r="L29" t="str">
        <f t="shared" si="2"/>
        <v>GNMA</v>
      </c>
    </row>
    <row r="30" spans="2:12" x14ac:dyDescent="0.3">
      <c r="B30">
        <v>14</v>
      </c>
      <c r="C30">
        <v>30278425</v>
      </c>
      <c r="D30" t="s">
        <v>3</v>
      </c>
      <c r="E30" s="2">
        <v>100000</v>
      </c>
      <c r="F30" s="1">
        <v>3.6067921361398102E-2</v>
      </c>
      <c r="G30">
        <v>20</v>
      </c>
      <c r="H30" s="6">
        <f t="shared" si="0"/>
        <v>-585.46233413051527</v>
      </c>
      <c r="I30">
        <v>238</v>
      </c>
      <c r="J30" s="6">
        <f t="shared" si="1"/>
        <v>1165.6666429540903</v>
      </c>
      <c r="K30" t="s">
        <v>9</v>
      </c>
      <c r="L30" t="str">
        <f t="shared" si="2"/>
        <v>GNMA</v>
      </c>
    </row>
    <row r="31" spans="2:12" x14ac:dyDescent="0.3">
      <c r="B31">
        <v>15</v>
      </c>
      <c r="C31">
        <v>89078715</v>
      </c>
      <c r="D31" t="s">
        <v>3</v>
      </c>
      <c r="E31" s="2">
        <v>210000</v>
      </c>
      <c r="F31" s="1">
        <v>2.0976206387454444E-2</v>
      </c>
      <c r="G31">
        <v>10</v>
      </c>
      <c r="H31" s="6">
        <f t="shared" si="0"/>
        <v>-1941.4772703169913</v>
      </c>
      <c r="I31">
        <v>29</v>
      </c>
      <c r="J31" s="6">
        <f t="shared" si="1"/>
        <v>163207.46498471222</v>
      </c>
      <c r="K31" t="s">
        <v>9</v>
      </c>
      <c r="L31" t="str">
        <f t="shared" si="2"/>
        <v>GNMA</v>
      </c>
    </row>
    <row r="32" spans="2:12" x14ac:dyDescent="0.3">
      <c r="B32">
        <v>16</v>
      </c>
      <c r="C32">
        <v>66655583</v>
      </c>
      <c r="D32" t="s">
        <v>3</v>
      </c>
      <c r="E32" s="2">
        <v>390000</v>
      </c>
      <c r="F32" s="1">
        <v>7.3061166730698637E-2</v>
      </c>
      <c r="G32">
        <v>10</v>
      </c>
      <c r="H32" s="6">
        <f t="shared" si="0"/>
        <v>-4589.999762786163</v>
      </c>
      <c r="I32">
        <v>23</v>
      </c>
      <c r="J32" s="6">
        <f t="shared" si="1"/>
        <v>335480.53454250272</v>
      </c>
      <c r="K32" t="s">
        <v>11</v>
      </c>
      <c r="L32" t="str">
        <f t="shared" si="2"/>
        <v>FNMA</v>
      </c>
    </row>
    <row r="33" spans="2:12" x14ac:dyDescent="0.3">
      <c r="B33">
        <v>17</v>
      </c>
      <c r="C33">
        <v>23457613</v>
      </c>
      <c r="D33" t="s">
        <v>3</v>
      </c>
      <c r="E33" s="2">
        <v>240000</v>
      </c>
      <c r="F33" s="1">
        <v>2.7097694596205285E-2</v>
      </c>
      <c r="G33">
        <v>20</v>
      </c>
      <c r="H33" s="6">
        <f t="shared" si="0"/>
        <v>-1296.4355820821277</v>
      </c>
      <c r="I33">
        <v>228</v>
      </c>
      <c r="J33" s="6">
        <f t="shared" si="1"/>
        <v>15331.265380235949</v>
      </c>
      <c r="K33" t="s">
        <v>11</v>
      </c>
      <c r="L33" t="str">
        <f t="shared" si="2"/>
        <v>FNMA</v>
      </c>
    </row>
    <row r="34" spans="2:12" x14ac:dyDescent="0.3">
      <c r="B34">
        <v>18</v>
      </c>
      <c r="C34">
        <v>68418670</v>
      </c>
      <c r="D34" t="s">
        <v>3</v>
      </c>
      <c r="E34" s="2">
        <v>280000</v>
      </c>
      <c r="F34" s="1">
        <v>2.5842605502086724E-2</v>
      </c>
      <c r="G34">
        <v>20</v>
      </c>
      <c r="H34" s="6">
        <f t="shared" si="0"/>
        <v>-1495.248625286298</v>
      </c>
      <c r="I34">
        <v>69</v>
      </c>
      <c r="J34" s="6">
        <f t="shared" si="1"/>
        <v>213701.82999526226</v>
      </c>
      <c r="K34" t="s">
        <v>13</v>
      </c>
      <c r="L34" t="str">
        <f t="shared" si="2"/>
        <v>GNMA</v>
      </c>
    </row>
    <row r="35" spans="2:12" x14ac:dyDescent="0.3">
      <c r="B35">
        <v>19</v>
      </c>
      <c r="C35">
        <v>77337678</v>
      </c>
      <c r="D35" t="s">
        <v>3</v>
      </c>
      <c r="E35" s="2">
        <v>310000</v>
      </c>
      <c r="F35" s="1">
        <v>2.7655486798436463E-2</v>
      </c>
      <c r="G35">
        <v>20</v>
      </c>
      <c r="H35" s="6">
        <f t="shared" si="0"/>
        <v>-1683.0972026395843</v>
      </c>
      <c r="I35">
        <v>116</v>
      </c>
      <c r="J35" s="6">
        <f t="shared" si="1"/>
        <v>181351.36327327162</v>
      </c>
      <c r="K35" t="s">
        <v>12</v>
      </c>
      <c r="L35" t="str">
        <f t="shared" si="2"/>
        <v>GNMA</v>
      </c>
    </row>
    <row r="36" spans="2:12" x14ac:dyDescent="0.3">
      <c r="B36">
        <v>20</v>
      </c>
      <c r="C36">
        <v>66901329</v>
      </c>
      <c r="D36" t="s">
        <v>3</v>
      </c>
      <c r="E36" s="2">
        <v>300000</v>
      </c>
      <c r="F36" s="1">
        <v>8.0418748029822365E-2</v>
      </c>
      <c r="G36">
        <v>20</v>
      </c>
      <c r="H36" s="6">
        <f t="shared" si="0"/>
        <v>-2517.1441496255266</v>
      </c>
      <c r="I36">
        <v>64</v>
      </c>
      <c r="J36" s="6">
        <f t="shared" si="1"/>
        <v>259674.1056688689</v>
      </c>
      <c r="K36" t="s">
        <v>13</v>
      </c>
      <c r="L36" t="str">
        <f t="shared" si="2"/>
        <v>GNMA</v>
      </c>
    </row>
    <row r="37" spans="2:12" x14ac:dyDescent="0.3">
      <c r="B37">
        <v>21</v>
      </c>
      <c r="C37">
        <v>14201616</v>
      </c>
      <c r="D37" t="s">
        <v>3</v>
      </c>
      <c r="E37" s="2">
        <v>200000</v>
      </c>
      <c r="F37" s="1">
        <v>3.8827805000615556E-2</v>
      </c>
      <c r="G37">
        <v>10</v>
      </c>
      <c r="H37" s="6">
        <f t="shared" si="0"/>
        <v>-2013.7795253375859</v>
      </c>
      <c r="I37">
        <v>44</v>
      </c>
      <c r="J37" s="6">
        <f t="shared" si="1"/>
        <v>135488.26608174641</v>
      </c>
      <c r="K37" t="s">
        <v>9</v>
      </c>
      <c r="L37" t="str">
        <f t="shared" si="2"/>
        <v>GNMA</v>
      </c>
    </row>
    <row r="38" spans="2:12" x14ac:dyDescent="0.3">
      <c r="B38">
        <v>22</v>
      </c>
      <c r="C38">
        <v>33480177</v>
      </c>
      <c r="D38" t="s">
        <v>3</v>
      </c>
      <c r="E38" s="2">
        <v>340000</v>
      </c>
      <c r="F38" s="1">
        <v>4.0557152115227098E-2</v>
      </c>
      <c r="G38">
        <v>20</v>
      </c>
      <c r="H38" s="6">
        <f t="shared" si="0"/>
        <v>-2070.3285625997696</v>
      </c>
      <c r="I38">
        <v>195</v>
      </c>
      <c r="J38" s="6">
        <f t="shared" si="1"/>
        <v>86291.079617235722</v>
      </c>
      <c r="K38" t="s">
        <v>12</v>
      </c>
      <c r="L38" t="str">
        <f t="shared" si="2"/>
        <v>GNMA</v>
      </c>
    </row>
    <row r="39" spans="2:12" x14ac:dyDescent="0.3">
      <c r="B39">
        <v>23</v>
      </c>
      <c r="C39">
        <v>29381592</v>
      </c>
      <c r="D39" t="s">
        <v>3</v>
      </c>
      <c r="E39" s="2">
        <v>360000</v>
      </c>
      <c r="F39" s="1">
        <v>7.5597074524101956E-2</v>
      </c>
      <c r="G39">
        <v>10</v>
      </c>
      <c r="H39" s="6">
        <f t="shared" si="0"/>
        <v>-4284.4905459633765</v>
      </c>
      <c r="I39">
        <v>61</v>
      </c>
      <c r="J39" s="6">
        <f t="shared" si="1"/>
        <v>210576.97345214253</v>
      </c>
      <c r="K39" t="s">
        <v>10</v>
      </c>
      <c r="L39" t="str">
        <f t="shared" si="2"/>
        <v>FHLMC</v>
      </c>
    </row>
    <row r="40" spans="2:12" x14ac:dyDescent="0.3">
      <c r="B40">
        <v>24</v>
      </c>
      <c r="C40">
        <v>50137533</v>
      </c>
      <c r="D40" t="s">
        <v>3</v>
      </c>
      <c r="E40" s="2">
        <v>320000</v>
      </c>
      <c r="F40" s="1">
        <v>3.5673924310420199E-2</v>
      </c>
      <c r="G40">
        <v>30</v>
      </c>
      <c r="H40" s="6">
        <f t="shared" si="0"/>
        <v>-1449.008116844846</v>
      </c>
      <c r="I40">
        <v>133</v>
      </c>
      <c r="J40" s="6">
        <f t="shared" si="1"/>
        <v>238955.41133350937</v>
      </c>
      <c r="K40" t="s">
        <v>11</v>
      </c>
      <c r="L40" t="str">
        <f t="shared" si="2"/>
        <v>FNMA</v>
      </c>
    </row>
    <row r="41" spans="2:12" x14ac:dyDescent="0.3">
      <c r="B41">
        <v>25</v>
      </c>
      <c r="C41">
        <v>52137527</v>
      </c>
      <c r="D41" t="s">
        <v>3</v>
      </c>
      <c r="E41" s="2">
        <v>350000</v>
      </c>
      <c r="F41" s="1">
        <v>6.0639301234321812E-2</v>
      </c>
      <c r="G41">
        <v>20</v>
      </c>
      <c r="H41" s="6">
        <f t="shared" si="0"/>
        <v>-2520.4343866910913</v>
      </c>
      <c r="I41">
        <v>29</v>
      </c>
      <c r="J41" s="6">
        <f t="shared" si="1"/>
        <v>326583.24368116446</v>
      </c>
      <c r="K41" t="s">
        <v>12</v>
      </c>
      <c r="L41" t="str">
        <f t="shared" si="2"/>
        <v>GNMA</v>
      </c>
    </row>
    <row r="42" spans="2:12" x14ac:dyDescent="0.3">
      <c r="B42">
        <v>26</v>
      </c>
      <c r="C42">
        <v>49565781</v>
      </c>
      <c r="D42" t="s">
        <v>3</v>
      </c>
      <c r="E42" s="2">
        <v>170000</v>
      </c>
      <c r="F42" s="1">
        <v>3.5562170293429965E-2</v>
      </c>
      <c r="G42">
        <v>10</v>
      </c>
      <c r="H42" s="6">
        <f t="shared" si="0"/>
        <v>-1685.5402859385708</v>
      </c>
      <c r="I42">
        <v>3</v>
      </c>
      <c r="J42" s="6">
        <f t="shared" si="1"/>
        <v>166444.25466576836</v>
      </c>
      <c r="K42" t="s">
        <v>10</v>
      </c>
      <c r="L42" t="str">
        <f t="shared" si="2"/>
        <v>FHLMC</v>
      </c>
    </row>
    <row r="43" spans="2:12" x14ac:dyDescent="0.3">
      <c r="B43">
        <v>27</v>
      </c>
      <c r="C43">
        <v>49446589</v>
      </c>
      <c r="D43" t="s">
        <v>3</v>
      </c>
      <c r="E43" s="2">
        <v>380000</v>
      </c>
      <c r="F43" s="1">
        <v>4.3455090449965803E-2</v>
      </c>
      <c r="G43">
        <v>30</v>
      </c>
      <c r="H43" s="6">
        <f t="shared" si="0"/>
        <v>-1890.6798699800634</v>
      </c>
      <c r="I43">
        <v>196</v>
      </c>
      <c r="J43" s="6">
        <f t="shared" si="1"/>
        <v>233501.48415468709</v>
      </c>
      <c r="K43" t="s">
        <v>13</v>
      </c>
      <c r="L43" t="str">
        <f t="shared" si="2"/>
        <v>GNMA</v>
      </c>
    </row>
    <row r="44" spans="2:12" x14ac:dyDescent="0.3">
      <c r="B44">
        <v>28</v>
      </c>
      <c r="C44">
        <v>67342178</v>
      </c>
      <c r="D44" t="s">
        <v>3</v>
      </c>
      <c r="E44" s="2">
        <v>350000</v>
      </c>
      <c r="F44" s="1">
        <v>3.2696780273888046E-2</v>
      </c>
      <c r="G44">
        <v>20</v>
      </c>
      <c r="H44" s="6">
        <f t="shared" si="0"/>
        <v>-1988.6805492732656</v>
      </c>
      <c r="I44">
        <v>38</v>
      </c>
      <c r="J44" s="6">
        <f t="shared" si="1"/>
        <v>308620.09696011798</v>
      </c>
      <c r="K44" t="s">
        <v>12</v>
      </c>
      <c r="L44" t="str">
        <f t="shared" si="2"/>
        <v>GNMA</v>
      </c>
    </row>
    <row r="45" spans="2:12" x14ac:dyDescent="0.3">
      <c r="B45">
        <v>29</v>
      </c>
      <c r="C45">
        <v>97679083</v>
      </c>
      <c r="D45" t="s">
        <v>3</v>
      </c>
      <c r="E45" s="2">
        <v>370000</v>
      </c>
      <c r="F45" s="1">
        <v>7.8578878041267147E-2</v>
      </c>
      <c r="G45">
        <v>10</v>
      </c>
      <c r="H45" s="6">
        <f t="shared" si="0"/>
        <v>-4461.3851306356137</v>
      </c>
      <c r="I45">
        <v>48</v>
      </c>
      <c r="J45" s="6">
        <f t="shared" si="1"/>
        <v>255462.80531041126</v>
      </c>
      <c r="K45" t="s">
        <v>11</v>
      </c>
      <c r="L45" t="str">
        <f t="shared" si="2"/>
        <v>FNMA</v>
      </c>
    </row>
    <row r="46" spans="2:12" x14ac:dyDescent="0.3">
      <c r="B46">
        <v>30</v>
      </c>
      <c r="C46">
        <v>51105403</v>
      </c>
      <c r="D46" t="s">
        <v>3</v>
      </c>
      <c r="E46" s="2">
        <v>210000</v>
      </c>
      <c r="F46" s="1">
        <v>6.4614921853092214E-2</v>
      </c>
      <c r="G46">
        <v>20</v>
      </c>
      <c r="H46" s="6">
        <f t="shared" si="0"/>
        <v>-1560.9463857623168</v>
      </c>
      <c r="I46">
        <v>163</v>
      </c>
      <c r="J46" s="6">
        <f t="shared" si="1"/>
        <v>98177.347959744293</v>
      </c>
      <c r="K46" t="s">
        <v>11</v>
      </c>
      <c r="L46" t="str">
        <f t="shared" si="2"/>
        <v>FNMA</v>
      </c>
    </row>
    <row r="47" spans="2:12" x14ac:dyDescent="0.3">
      <c r="B47">
        <v>31</v>
      </c>
      <c r="C47">
        <v>33064297</v>
      </c>
      <c r="D47" t="s">
        <v>3</v>
      </c>
      <c r="E47" s="2">
        <v>100000</v>
      </c>
      <c r="F47" s="1">
        <v>6.2879825673857012E-2</v>
      </c>
      <c r="G47">
        <v>10</v>
      </c>
      <c r="H47" s="6">
        <f t="shared" si="0"/>
        <v>-1124.7219318772229</v>
      </c>
      <c r="I47">
        <v>32</v>
      </c>
      <c r="J47" s="6">
        <f t="shared" si="1"/>
        <v>79130.538614991354</v>
      </c>
      <c r="K47" t="s">
        <v>12</v>
      </c>
      <c r="L47" t="str">
        <f t="shared" si="2"/>
        <v>GNMA</v>
      </c>
    </row>
    <row r="48" spans="2:12" x14ac:dyDescent="0.3">
      <c r="B48">
        <v>32</v>
      </c>
      <c r="C48">
        <v>91324062</v>
      </c>
      <c r="D48" t="s">
        <v>3</v>
      </c>
      <c r="E48" s="2">
        <v>250000</v>
      </c>
      <c r="F48" s="1">
        <v>5.8930108641721893E-2</v>
      </c>
      <c r="G48">
        <v>30</v>
      </c>
      <c r="H48" s="6">
        <f t="shared" si="0"/>
        <v>-1481.7234013926939</v>
      </c>
      <c r="I48">
        <v>269</v>
      </c>
      <c r="J48" s="6">
        <f t="shared" si="1"/>
        <v>108525.51400132656</v>
      </c>
      <c r="K48" t="s">
        <v>10</v>
      </c>
      <c r="L48" t="str">
        <f t="shared" si="2"/>
        <v>FHLMC</v>
      </c>
    </row>
    <row r="49" spans="2:12" x14ac:dyDescent="0.3">
      <c r="B49">
        <v>33</v>
      </c>
      <c r="C49">
        <v>65209293</v>
      </c>
      <c r="D49" t="s">
        <v>3</v>
      </c>
      <c r="E49" s="2">
        <v>450000</v>
      </c>
      <c r="F49" s="1">
        <v>2.7558682360886048E-2</v>
      </c>
      <c r="G49">
        <v>30</v>
      </c>
      <c r="H49" s="6">
        <f t="shared" ref="H49:H80" si="3">INDEX(MASTER_DATA,MATCH($C49,MASTER_ROWS,0),MATCH(H$16,MASTER_HEADERS,0))</f>
        <v>-1838.4843521166476</v>
      </c>
      <c r="I49">
        <v>212</v>
      </c>
      <c r="J49" s="6">
        <f t="shared" ref="J49:J80" si="4">INDEX(MASTER_DATA,MATCH($C49,MASTER_ROWS,0),MATCH(J$16,MASTER_HEADERS,0))</f>
        <v>230454.6663488154</v>
      </c>
      <c r="K49" t="s">
        <v>11</v>
      </c>
      <c r="L49" t="str">
        <f t="shared" si="2"/>
        <v>FNMA</v>
      </c>
    </row>
    <row r="50" spans="2:12" x14ac:dyDescent="0.3">
      <c r="B50">
        <v>34</v>
      </c>
      <c r="C50">
        <v>14033138</v>
      </c>
      <c r="D50" t="s">
        <v>3</v>
      </c>
      <c r="E50" s="2">
        <v>380000</v>
      </c>
      <c r="F50" s="1">
        <v>7.7750119768659212E-2</v>
      </c>
      <c r="G50">
        <v>10</v>
      </c>
      <c r="H50" s="6">
        <f t="shared" si="3"/>
        <v>-4565.3970033060141</v>
      </c>
      <c r="I50">
        <v>3</v>
      </c>
      <c r="J50" s="6">
        <f t="shared" si="4"/>
        <v>373649.09892300068</v>
      </c>
      <c r="K50" t="s">
        <v>12</v>
      </c>
      <c r="L50" t="str">
        <f t="shared" si="2"/>
        <v>GNMA</v>
      </c>
    </row>
    <row r="51" spans="2:12" x14ac:dyDescent="0.3">
      <c r="B51">
        <v>35</v>
      </c>
      <c r="C51">
        <v>88766432</v>
      </c>
      <c r="D51" t="s">
        <v>3</v>
      </c>
      <c r="E51" s="2">
        <v>360000</v>
      </c>
      <c r="F51" s="1">
        <v>3.8020196364644765E-2</v>
      </c>
      <c r="G51">
        <v>20</v>
      </c>
      <c r="H51" s="6">
        <f t="shared" si="3"/>
        <v>-2144.156616038792</v>
      </c>
      <c r="I51">
        <v>65</v>
      </c>
      <c r="J51" s="6">
        <f t="shared" si="4"/>
        <v>287693.12725008646</v>
      </c>
      <c r="K51" t="s">
        <v>10</v>
      </c>
      <c r="L51" t="str">
        <f t="shared" si="2"/>
        <v>FHLMC</v>
      </c>
    </row>
    <row r="52" spans="2:12" x14ac:dyDescent="0.3">
      <c r="B52">
        <v>36</v>
      </c>
      <c r="C52">
        <v>95868629</v>
      </c>
      <c r="D52" t="s">
        <v>3</v>
      </c>
      <c r="E52" s="2">
        <v>320000</v>
      </c>
      <c r="F52" s="1">
        <v>6.5925739900995997E-2</v>
      </c>
      <c r="G52">
        <v>10</v>
      </c>
      <c r="H52" s="6">
        <f t="shared" si="3"/>
        <v>-3648.6260665192822</v>
      </c>
      <c r="I52">
        <v>4</v>
      </c>
      <c r="J52" s="6">
        <f t="shared" si="4"/>
        <v>312375.02628356131</v>
      </c>
      <c r="K52" t="s">
        <v>13</v>
      </c>
      <c r="L52" t="str">
        <f t="shared" si="2"/>
        <v>GNMA</v>
      </c>
    </row>
    <row r="53" spans="2:12" x14ac:dyDescent="0.3">
      <c r="B53">
        <v>37</v>
      </c>
      <c r="C53">
        <v>58492506</v>
      </c>
      <c r="D53" t="s">
        <v>3</v>
      </c>
      <c r="E53" s="2">
        <v>160000</v>
      </c>
      <c r="F53" s="1">
        <v>4.1853063215998632E-2</v>
      </c>
      <c r="G53">
        <v>30</v>
      </c>
      <c r="H53" s="6">
        <f t="shared" si="3"/>
        <v>-781.05591764247345</v>
      </c>
      <c r="I53">
        <v>85</v>
      </c>
      <c r="J53" s="6">
        <f t="shared" si="4"/>
        <v>137978.65273628972</v>
      </c>
      <c r="K53" t="s">
        <v>9</v>
      </c>
      <c r="L53" t="str">
        <f t="shared" si="2"/>
        <v>GNMA</v>
      </c>
    </row>
    <row r="54" spans="2:12" x14ac:dyDescent="0.3">
      <c r="B54">
        <v>38</v>
      </c>
      <c r="C54">
        <v>13713998</v>
      </c>
      <c r="D54" t="s">
        <v>3</v>
      </c>
      <c r="E54" s="2">
        <v>140000</v>
      </c>
      <c r="F54" s="1">
        <v>2.966497552361293E-2</v>
      </c>
      <c r="G54">
        <v>30</v>
      </c>
      <c r="H54" s="6">
        <f t="shared" si="3"/>
        <v>-587.71904292656291</v>
      </c>
      <c r="I54">
        <v>36</v>
      </c>
      <c r="J54" s="6">
        <f t="shared" si="4"/>
        <v>130914.32892488279</v>
      </c>
      <c r="K54" t="s">
        <v>12</v>
      </c>
      <c r="L54" t="str">
        <f t="shared" si="2"/>
        <v>GNMA</v>
      </c>
    </row>
    <row r="55" spans="2:12" x14ac:dyDescent="0.3">
      <c r="B55">
        <v>39</v>
      </c>
      <c r="C55">
        <v>84177304</v>
      </c>
      <c r="D55" t="s">
        <v>3</v>
      </c>
      <c r="E55" s="2">
        <v>320000</v>
      </c>
      <c r="F55" s="1">
        <v>8.1731961592310012E-2</v>
      </c>
      <c r="G55">
        <v>20</v>
      </c>
      <c r="H55" s="6">
        <f t="shared" si="3"/>
        <v>-2711.2034857582971</v>
      </c>
      <c r="I55">
        <v>135</v>
      </c>
      <c r="J55" s="6">
        <f t="shared" si="4"/>
        <v>202891.04889595046</v>
      </c>
      <c r="K55" t="s">
        <v>11</v>
      </c>
      <c r="L55" t="str">
        <f t="shared" si="2"/>
        <v>FNMA</v>
      </c>
    </row>
    <row r="56" spans="2:12" x14ac:dyDescent="0.3">
      <c r="B56">
        <v>40</v>
      </c>
      <c r="C56">
        <v>12588878</v>
      </c>
      <c r="D56" t="s">
        <v>3</v>
      </c>
      <c r="E56" s="2">
        <v>400000</v>
      </c>
      <c r="F56" s="1">
        <v>2.3124063876185742E-2</v>
      </c>
      <c r="G56">
        <v>30</v>
      </c>
      <c r="H56" s="6">
        <f t="shared" si="3"/>
        <v>-1541.7473542373507</v>
      </c>
      <c r="I56">
        <v>152</v>
      </c>
      <c r="J56" s="6">
        <f t="shared" si="4"/>
        <v>263999.76465804153</v>
      </c>
      <c r="K56" t="s">
        <v>12</v>
      </c>
      <c r="L56" t="str">
        <f t="shared" si="2"/>
        <v>GNMA</v>
      </c>
    </row>
    <row r="57" spans="2:12" x14ac:dyDescent="0.3">
      <c r="B57">
        <v>41</v>
      </c>
      <c r="C57">
        <v>59421574</v>
      </c>
      <c r="D57" t="s">
        <v>3</v>
      </c>
      <c r="E57" s="2">
        <v>100000</v>
      </c>
      <c r="F57" s="1">
        <v>6.2115111893552351E-2</v>
      </c>
      <c r="G57">
        <v>20</v>
      </c>
      <c r="H57" s="6">
        <f t="shared" si="3"/>
        <v>-728.68662035775344</v>
      </c>
      <c r="I57">
        <v>52</v>
      </c>
      <c r="J57" s="6">
        <f t="shared" si="4"/>
        <v>87442.870297965303</v>
      </c>
      <c r="K57" t="s">
        <v>11</v>
      </c>
      <c r="L57" t="str">
        <f t="shared" si="2"/>
        <v>FNMA</v>
      </c>
    </row>
    <row r="58" spans="2:12" x14ac:dyDescent="0.3">
      <c r="B58">
        <v>42</v>
      </c>
      <c r="C58">
        <v>79015075</v>
      </c>
      <c r="D58" t="s">
        <v>3</v>
      </c>
      <c r="E58" s="2">
        <v>260000</v>
      </c>
      <c r="F58" s="1">
        <v>2.4795470508067418E-2</v>
      </c>
      <c r="G58">
        <v>10</v>
      </c>
      <c r="H58" s="6">
        <f t="shared" si="3"/>
        <v>-2448.6000303478299</v>
      </c>
      <c r="I58">
        <v>43</v>
      </c>
      <c r="J58" s="6">
        <f t="shared" si="4"/>
        <v>174142.14868624872</v>
      </c>
      <c r="K58" t="s">
        <v>9</v>
      </c>
      <c r="L58" t="str">
        <f t="shared" si="2"/>
        <v>GNMA</v>
      </c>
    </row>
    <row r="59" spans="2:12" x14ac:dyDescent="0.3">
      <c r="B59">
        <v>43</v>
      </c>
      <c r="C59">
        <v>19354278</v>
      </c>
      <c r="D59" t="s">
        <v>3</v>
      </c>
      <c r="E59" s="2">
        <v>180000</v>
      </c>
      <c r="F59" s="1">
        <v>6.2624385664536333E-2</v>
      </c>
      <c r="G59">
        <v>10</v>
      </c>
      <c r="H59" s="6">
        <f t="shared" si="3"/>
        <v>-2022.1737064684473</v>
      </c>
      <c r="I59">
        <v>89</v>
      </c>
      <c r="J59" s="6">
        <f t="shared" si="4"/>
        <v>57740.663854286882</v>
      </c>
      <c r="K59" t="s">
        <v>12</v>
      </c>
      <c r="L59" t="str">
        <f t="shared" si="2"/>
        <v>GNMA</v>
      </c>
    </row>
    <row r="60" spans="2:12" x14ac:dyDescent="0.3">
      <c r="B60">
        <v>44</v>
      </c>
      <c r="C60">
        <v>19728173</v>
      </c>
      <c r="D60" t="s">
        <v>3</v>
      </c>
      <c r="E60" s="2">
        <v>240000</v>
      </c>
      <c r="F60" s="1">
        <v>8.8685443767959421E-2</v>
      </c>
      <c r="G60">
        <v>20</v>
      </c>
      <c r="H60" s="6">
        <f t="shared" si="3"/>
        <v>-2139.0935536794937</v>
      </c>
      <c r="I60">
        <v>85</v>
      </c>
      <c r="J60" s="6">
        <f t="shared" si="4"/>
        <v>196992.65164534209</v>
      </c>
      <c r="K60" t="s">
        <v>11</v>
      </c>
      <c r="L60" t="str">
        <f t="shared" si="2"/>
        <v>FNMA</v>
      </c>
    </row>
    <row r="61" spans="2:12" x14ac:dyDescent="0.3">
      <c r="B61">
        <v>45</v>
      </c>
      <c r="C61">
        <v>71380476</v>
      </c>
      <c r="D61" t="s">
        <v>3</v>
      </c>
      <c r="E61" s="2">
        <v>400000</v>
      </c>
      <c r="F61" s="1">
        <v>2.8536155301216861E-2</v>
      </c>
      <c r="G61">
        <v>30</v>
      </c>
      <c r="H61" s="6">
        <f t="shared" si="3"/>
        <v>-1655.0012718596352</v>
      </c>
      <c r="I61">
        <v>20</v>
      </c>
      <c r="J61" s="6">
        <f t="shared" si="4"/>
        <v>385601.50389038748</v>
      </c>
      <c r="K61" t="s">
        <v>9</v>
      </c>
      <c r="L61" t="str">
        <f t="shared" si="2"/>
        <v>GNMA</v>
      </c>
    </row>
    <row r="62" spans="2:12" x14ac:dyDescent="0.3">
      <c r="B62">
        <v>46</v>
      </c>
      <c r="C62">
        <v>53758029</v>
      </c>
      <c r="D62" t="s">
        <v>3</v>
      </c>
      <c r="E62" s="2">
        <v>230000</v>
      </c>
      <c r="F62" s="1">
        <v>6.4588054143448148E-2</v>
      </c>
      <c r="G62">
        <v>20</v>
      </c>
      <c r="H62" s="6">
        <f t="shared" si="3"/>
        <v>-1709.2447127954504</v>
      </c>
      <c r="I62">
        <v>153</v>
      </c>
      <c r="J62" s="6">
        <f t="shared" si="4"/>
        <v>118491.54088897574</v>
      </c>
      <c r="K62" t="s">
        <v>13</v>
      </c>
      <c r="L62" t="str">
        <f t="shared" si="2"/>
        <v>GNMA</v>
      </c>
    </row>
    <row r="63" spans="2:12" x14ac:dyDescent="0.3">
      <c r="B63">
        <v>47</v>
      </c>
      <c r="C63">
        <v>74930308</v>
      </c>
      <c r="D63" t="s">
        <v>3</v>
      </c>
      <c r="E63" s="2">
        <v>140000</v>
      </c>
      <c r="F63" s="1">
        <v>4.0821913483801812E-2</v>
      </c>
      <c r="G63">
        <v>30</v>
      </c>
      <c r="H63" s="6">
        <f t="shared" si="3"/>
        <v>-675.03220560611874</v>
      </c>
      <c r="I63">
        <v>30</v>
      </c>
      <c r="J63" s="6">
        <f t="shared" si="4"/>
        <v>133732.99751163588</v>
      </c>
      <c r="K63" t="s">
        <v>12</v>
      </c>
      <c r="L63" t="str">
        <f t="shared" si="2"/>
        <v>GNMA</v>
      </c>
    </row>
    <row r="64" spans="2:12" x14ac:dyDescent="0.3">
      <c r="B64">
        <v>48</v>
      </c>
      <c r="C64">
        <v>82635844</v>
      </c>
      <c r="D64" t="s">
        <v>3</v>
      </c>
      <c r="E64" s="2">
        <v>90000</v>
      </c>
      <c r="F64" s="1">
        <v>8.0194103559907345E-2</v>
      </c>
      <c r="G64">
        <v>20</v>
      </c>
      <c r="H64" s="6">
        <f t="shared" si="3"/>
        <v>-753.8836385245346</v>
      </c>
      <c r="I64">
        <v>8</v>
      </c>
      <c r="J64" s="6">
        <f t="shared" si="4"/>
        <v>88751.670447861601</v>
      </c>
      <c r="K64" t="s">
        <v>11</v>
      </c>
      <c r="L64" t="str">
        <f t="shared" si="2"/>
        <v>FNMA</v>
      </c>
    </row>
    <row r="65" spans="2:12" x14ac:dyDescent="0.3">
      <c r="B65">
        <v>49</v>
      </c>
      <c r="C65">
        <v>38909064</v>
      </c>
      <c r="D65" t="s">
        <v>3</v>
      </c>
      <c r="E65" s="2">
        <v>420000</v>
      </c>
      <c r="F65" s="1">
        <v>2.2996447985654003E-2</v>
      </c>
      <c r="G65">
        <v>10</v>
      </c>
      <c r="H65" s="6">
        <f t="shared" si="3"/>
        <v>-3921.1865201602018</v>
      </c>
      <c r="I65">
        <v>36</v>
      </c>
      <c r="J65" s="6">
        <f t="shared" si="4"/>
        <v>303967.42332739127</v>
      </c>
      <c r="K65" t="s">
        <v>11</v>
      </c>
      <c r="L65" t="str">
        <f t="shared" si="2"/>
        <v>FNMA</v>
      </c>
    </row>
    <row r="66" spans="2:12" x14ac:dyDescent="0.3">
      <c r="B66">
        <v>50</v>
      </c>
      <c r="C66">
        <v>98808855</v>
      </c>
      <c r="D66" t="s">
        <v>3</v>
      </c>
      <c r="E66" s="2">
        <v>200000</v>
      </c>
      <c r="F66" s="1">
        <v>2.5277016412276896E-2</v>
      </c>
      <c r="G66">
        <v>10</v>
      </c>
      <c r="H66" s="6">
        <f t="shared" si="3"/>
        <v>-1887.9184579969824</v>
      </c>
      <c r="I66">
        <v>4</v>
      </c>
      <c r="J66" s="6">
        <f t="shared" si="4"/>
        <v>194114.89847536708</v>
      </c>
      <c r="K66" t="s">
        <v>9</v>
      </c>
      <c r="L66" t="str">
        <f t="shared" si="2"/>
        <v>GNMA</v>
      </c>
    </row>
    <row r="67" spans="2:12" x14ac:dyDescent="0.3">
      <c r="B67">
        <v>51</v>
      </c>
      <c r="C67">
        <v>26667365</v>
      </c>
      <c r="D67" t="s">
        <v>3</v>
      </c>
      <c r="E67" s="2">
        <v>130000</v>
      </c>
      <c r="F67" s="1">
        <v>5.6232150677562931E-2</v>
      </c>
      <c r="G67">
        <v>10</v>
      </c>
      <c r="H67" s="6">
        <f t="shared" si="3"/>
        <v>-1418.7918010041205</v>
      </c>
      <c r="I67">
        <v>4</v>
      </c>
      <c r="J67" s="6">
        <f t="shared" si="4"/>
        <v>126738.72506954949</v>
      </c>
      <c r="K67" t="s">
        <v>9</v>
      </c>
      <c r="L67" t="str">
        <f t="shared" si="2"/>
        <v>GNMA</v>
      </c>
    </row>
    <row r="68" spans="2:12" x14ac:dyDescent="0.3">
      <c r="B68">
        <v>52</v>
      </c>
      <c r="C68">
        <v>80880818</v>
      </c>
      <c r="D68" t="s">
        <v>3</v>
      </c>
      <c r="E68" s="2">
        <v>120000</v>
      </c>
      <c r="F68" s="1">
        <v>5.6587380060444684E-2</v>
      </c>
      <c r="G68">
        <v>10</v>
      </c>
      <c r="H68" s="6">
        <f t="shared" si="3"/>
        <v>-1311.7742239228342</v>
      </c>
      <c r="I68">
        <v>77</v>
      </c>
      <c r="J68" s="6">
        <f t="shared" si="4"/>
        <v>50946.937357005198</v>
      </c>
      <c r="K68" t="s">
        <v>12</v>
      </c>
      <c r="L68" t="str">
        <f t="shared" si="2"/>
        <v>GNMA</v>
      </c>
    </row>
    <row r="69" spans="2:12" x14ac:dyDescent="0.3">
      <c r="B69">
        <v>53</v>
      </c>
      <c r="C69">
        <v>81807183</v>
      </c>
      <c r="D69" t="s">
        <v>3</v>
      </c>
      <c r="E69" s="2">
        <v>120000</v>
      </c>
      <c r="F69" s="1">
        <v>7.250452793744129E-2</v>
      </c>
      <c r="G69">
        <v>30</v>
      </c>
      <c r="H69" s="6">
        <f t="shared" si="3"/>
        <v>-818.64839053490459</v>
      </c>
      <c r="I69">
        <v>100</v>
      </c>
      <c r="J69" s="6">
        <f t="shared" si="4"/>
        <v>107196.32312312393</v>
      </c>
      <c r="K69" t="s">
        <v>11</v>
      </c>
      <c r="L69" t="str">
        <f t="shared" si="2"/>
        <v>FNMA</v>
      </c>
    </row>
    <row r="70" spans="2:12" x14ac:dyDescent="0.3">
      <c r="B70">
        <v>54</v>
      </c>
      <c r="C70">
        <v>14611483</v>
      </c>
      <c r="D70" t="s">
        <v>3</v>
      </c>
      <c r="E70" s="2">
        <v>150000</v>
      </c>
      <c r="F70" s="1">
        <v>7.2752652226458867E-2</v>
      </c>
      <c r="G70">
        <v>20</v>
      </c>
      <c r="H70" s="6">
        <f t="shared" si="3"/>
        <v>-1187.8612740753533</v>
      </c>
      <c r="I70">
        <v>76</v>
      </c>
      <c r="J70" s="6">
        <f t="shared" si="4"/>
        <v>123219.62822422951</v>
      </c>
      <c r="K70" t="s">
        <v>11</v>
      </c>
      <c r="L70" t="str">
        <f t="shared" si="2"/>
        <v>FNMA</v>
      </c>
    </row>
    <row r="71" spans="2:12" x14ac:dyDescent="0.3">
      <c r="B71">
        <v>55</v>
      </c>
      <c r="C71">
        <v>97257211</v>
      </c>
      <c r="D71" t="s">
        <v>3</v>
      </c>
      <c r="E71" s="2">
        <v>90000</v>
      </c>
      <c r="F71" s="1">
        <v>4.7155846847419934E-2</v>
      </c>
      <c r="G71">
        <v>30</v>
      </c>
      <c r="H71" s="6">
        <f t="shared" si="3"/>
        <v>-467.61745240145035</v>
      </c>
      <c r="I71">
        <v>156</v>
      </c>
      <c r="J71" s="6">
        <f t="shared" si="4"/>
        <v>65532.453303987968</v>
      </c>
      <c r="K71" t="s">
        <v>10</v>
      </c>
      <c r="L71" t="str">
        <f t="shared" si="2"/>
        <v>FHLMC</v>
      </c>
    </row>
    <row r="72" spans="2:12" x14ac:dyDescent="0.3">
      <c r="B72">
        <v>56</v>
      </c>
      <c r="C72">
        <v>94915980</v>
      </c>
      <c r="D72" t="s">
        <v>3</v>
      </c>
      <c r="E72" s="2">
        <v>310000</v>
      </c>
      <c r="F72" s="1">
        <v>3.5647185007364517E-2</v>
      </c>
      <c r="G72">
        <v>10</v>
      </c>
      <c r="H72" s="6">
        <f t="shared" si="3"/>
        <v>-3074.8690260412382</v>
      </c>
      <c r="I72">
        <v>36</v>
      </c>
      <c r="J72" s="6">
        <f t="shared" si="4"/>
        <v>228286.36077492562</v>
      </c>
      <c r="K72" t="s">
        <v>13</v>
      </c>
      <c r="L72" t="str">
        <f t="shared" si="2"/>
        <v>GNMA</v>
      </c>
    </row>
    <row r="73" spans="2:12" x14ac:dyDescent="0.3">
      <c r="B73">
        <v>57</v>
      </c>
      <c r="C73">
        <v>16798870</v>
      </c>
      <c r="D73" t="s">
        <v>3</v>
      </c>
      <c r="E73" s="2">
        <v>270000</v>
      </c>
      <c r="F73" s="1">
        <v>3.8124204390776455E-2</v>
      </c>
      <c r="G73">
        <v>30</v>
      </c>
      <c r="H73" s="6">
        <f t="shared" si="3"/>
        <v>-1259.9946484214199</v>
      </c>
      <c r="I73">
        <v>327</v>
      </c>
      <c r="J73" s="6">
        <f t="shared" si="4"/>
        <v>39415.038705480743</v>
      </c>
      <c r="K73" t="s">
        <v>13</v>
      </c>
      <c r="L73" t="str">
        <f t="shared" si="2"/>
        <v>GNMA</v>
      </c>
    </row>
    <row r="74" spans="2:12" x14ac:dyDescent="0.3">
      <c r="B74">
        <v>58</v>
      </c>
      <c r="C74">
        <v>78996690</v>
      </c>
      <c r="D74" t="s">
        <v>3</v>
      </c>
      <c r="E74" s="2">
        <v>280000</v>
      </c>
      <c r="F74" s="1">
        <v>8.3762295006845983E-2</v>
      </c>
      <c r="G74">
        <v>30</v>
      </c>
      <c r="H74" s="6">
        <f t="shared" si="3"/>
        <v>-2128.4452821872769</v>
      </c>
      <c r="I74">
        <v>187</v>
      </c>
      <c r="J74" s="6">
        <f t="shared" si="4"/>
        <v>213394.12647606496</v>
      </c>
      <c r="K74" t="s">
        <v>13</v>
      </c>
      <c r="L74" t="str">
        <f t="shared" si="2"/>
        <v>GNMA</v>
      </c>
    </row>
    <row r="75" spans="2:12" x14ac:dyDescent="0.3">
      <c r="B75">
        <v>59</v>
      </c>
      <c r="C75">
        <v>12860906</v>
      </c>
      <c r="D75" t="s">
        <v>3</v>
      </c>
      <c r="E75" s="2">
        <v>80000</v>
      </c>
      <c r="F75" s="1">
        <v>8.3028447544266887E-2</v>
      </c>
      <c r="G75">
        <v>10</v>
      </c>
      <c r="H75" s="6">
        <f t="shared" si="3"/>
        <v>-983.46990744473135</v>
      </c>
      <c r="I75">
        <v>57</v>
      </c>
      <c r="J75" s="6">
        <f t="shared" si="4"/>
        <v>50082.318285723595</v>
      </c>
      <c r="K75" t="s">
        <v>9</v>
      </c>
      <c r="L75" t="str">
        <f t="shared" si="2"/>
        <v>GNMA</v>
      </c>
    </row>
    <row r="76" spans="2:12" x14ac:dyDescent="0.3">
      <c r="B76">
        <v>60</v>
      </c>
      <c r="C76">
        <v>24261168</v>
      </c>
      <c r="D76" t="s">
        <v>3</v>
      </c>
      <c r="E76" s="2">
        <v>100000</v>
      </c>
      <c r="F76" s="1">
        <v>3.2246080585092513E-2</v>
      </c>
      <c r="G76">
        <v>10</v>
      </c>
      <c r="H76" s="6">
        <f t="shared" si="3"/>
        <v>-976.00994049914834</v>
      </c>
      <c r="I76">
        <v>33</v>
      </c>
      <c r="J76" s="6">
        <f t="shared" si="4"/>
        <v>75627.382067917511</v>
      </c>
      <c r="K76" t="s">
        <v>12</v>
      </c>
      <c r="L76" t="str">
        <f t="shared" si="2"/>
        <v>GNMA</v>
      </c>
    </row>
    <row r="77" spans="2:12" x14ac:dyDescent="0.3">
      <c r="B77">
        <v>61</v>
      </c>
      <c r="C77">
        <v>61297822</v>
      </c>
      <c r="D77" t="s">
        <v>3</v>
      </c>
      <c r="E77" s="2">
        <v>100000</v>
      </c>
      <c r="F77" s="1">
        <v>5.3983098508402307E-2</v>
      </c>
      <c r="G77">
        <v>30</v>
      </c>
      <c r="H77" s="6">
        <f t="shared" si="3"/>
        <v>-561.42529354833619</v>
      </c>
      <c r="I77">
        <v>238</v>
      </c>
      <c r="J77" s="6">
        <f t="shared" si="4"/>
        <v>52623.559305270435</v>
      </c>
      <c r="K77" t="s">
        <v>10</v>
      </c>
      <c r="L77" t="str">
        <f t="shared" si="2"/>
        <v>FHLMC</v>
      </c>
    </row>
    <row r="78" spans="2:12" x14ac:dyDescent="0.3">
      <c r="B78">
        <v>62</v>
      </c>
      <c r="C78">
        <v>25037514</v>
      </c>
      <c r="D78" t="s">
        <v>3</v>
      </c>
      <c r="E78" s="2">
        <v>380000</v>
      </c>
      <c r="F78" s="1">
        <v>6.6890959133402261E-2</v>
      </c>
      <c r="G78">
        <v>20</v>
      </c>
      <c r="H78" s="6">
        <f t="shared" si="3"/>
        <v>-2875.6399914511162</v>
      </c>
      <c r="I78">
        <v>62</v>
      </c>
      <c r="J78" s="6">
        <f t="shared" si="4"/>
        <v>324087.34693467576</v>
      </c>
      <c r="K78" t="s">
        <v>11</v>
      </c>
      <c r="L78" t="str">
        <f t="shared" si="2"/>
        <v>FNMA</v>
      </c>
    </row>
    <row r="79" spans="2:12" x14ac:dyDescent="0.3">
      <c r="B79">
        <v>63</v>
      </c>
      <c r="C79">
        <v>64266143</v>
      </c>
      <c r="D79" t="s">
        <v>3</v>
      </c>
      <c r="E79" s="2">
        <v>150000</v>
      </c>
      <c r="F79" s="1">
        <v>2.4040124038044522E-2</v>
      </c>
      <c r="G79">
        <v>20</v>
      </c>
      <c r="H79" s="6">
        <f t="shared" si="3"/>
        <v>-787.85872743274172</v>
      </c>
      <c r="I79">
        <v>205</v>
      </c>
      <c r="J79" s="6">
        <f t="shared" si="4"/>
        <v>26604.80204904468</v>
      </c>
      <c r="K79" t="s">
        <v>11</v>
      </c>
      <c r="L79" t="str">
        <f t="shared" si="2"/>
        <v>FNMA</v>
      </c>
    </row>
    <row r="80" spans="2:12" x14ac:dyDescent="0.3">
      <c r="B80">
        <v>64</v>
      </c>
      <c r="C80">
        <v>75089533</v>
      </c>
      <c r="D80" t="s">
        <v>2</v>
      </c>
      <c r="E80" s="2">
        <v>100000</v>
      </c>
      <c r="F80" s="1">
        <v>2.3500078758323658E-2</v>
      </c>
      <c r="G80">
        <v>30</v>
      </c>
      <c r="H80" s="6">
        <f t="shared" si="3"/>
        <v>-387.36679047648778</v>
      </c>
      <c r="I80">
        <v>315</v>
      </c>
      <c r="J80" s="6">
        <f t="shared" si="4"/>
        <v>16669.892294490219</v>
      </c>
      <c r="K80" t="s">
        <v>11</v>
      </c>
      <c r="L80" t="str">
        <f t="shared" si="2"/>
        <v>FNMA</v>
      </c>
    </row>
    <row r="81" spans="2:12" x14ac:dyDescent="0.3">
      <c r="B81">
        <v>65</v>
      </c>
      <c r="C81">
        <v>91788629</v>
      </c>
      <c r="D81" t="s">
        <v>2</v>
      </c>
      <c r="E81" s="2">
        <v>390000</v>
      </c>
      <c r="F81" s="1">
        <v>6.6238204969847433E-2</v>
      </c>
      <c r="G81">
        <v>30</v>
      </c>
      <c r="H81" s="6">
        <f t="shared" ref="H81:H112" si="5">INDEX(MASTER_DATA,MATCH($C81,MASTER_ROWS,0),MATCH(H$16,MASTER_HEADERS,0))</f>
        <v>-2496.9085946625487</v>
      </c>
      <c r="I81">
        <v>317</v>
      </c>
      <c r="J81" s="6">
        <f t="shared" ref="J81:J112" si="6">INDEX(MASTER_DATA,MATCH($C81,MASTER_ROWS,0),MATCH(J$16,MASTER_HEADERS,0))</f>
        <v>95343.185278616031</v>
      </c>
      <c r="K81" t="s">
        <v>13</v>
      </c>
      <c r="L81" t="str">
        <f t="shared" si="2"/>
        <v>GNMA</v>
      </c>
    </row>
    <row r="82" spans="2:12" x14ac:dyDescent="0.3">
      <c r="B82">
        <v>66</v>
      </c>
      <c r="C82">
        <v>93924899</v>
      </c>
      <c r="D82" t="s">
        <v>2</v>
      </c>
      <c r="E82" s="2">
        <v>260000</v>
      </c>
      <c r="F82" s="1">
        <v>8.8488321849944707E-2</v>
      </c>
      <c r="G82">
        <v>30</v>
      </c>
      <c r="H82" s="6">
        <f t="shared" si="5"/>
        <v>-2063.8011239785942</v>
      </c>
      <c r="I82">
        <v>204</v>
      </c>
      <c r="J82" s="6">
        <f t="shared" si="6"/>
        <v>190912.02062684187</v>
      </c>
      <c r="K82" t="s">
        <v>13</v>
      </c>
      <c r="L82" t="str">
        <f t="shared" ref="L82:L145" si="7">VLOOKUP(K82,$E$6:$F$10,2,FALSE)</f>
        <v>GNMA</v>
      </c>
    </row>
    <row r="83" spans="2:12" x14ac:dyDescent="0.3">
      <c r="B83">
        <v>67</v>
      </c>
      <c r="C83">
        <v>14685343</v>
      </c>
      <c r="D83" t="s">
        <v>2</v>
      </c>
      <c r="E83" s="2">
        <v>230000</v>
      </c>
      <c r="F83" s="1">
        <v>7.0071082298951745E-2</v>
      </c>
      <c r="G83">
        <v>30</v>
      </c>
      <c r="H83" s="6">
        <f t="shared" si="5"/>
        <v>-1531.293884883142</v>
      </c>
      <c r="I83">
        <v>237</v>
      </c>
      <c r="J83" s="6">
        <f t="shared" si="6"/>
        <v>134101.01991193905</v>
      </c>
      <c r="K83" t="s">
        <v>11</v>
      </c>
      <c r="L83" t="str">
        <f t="shared" si="7"/>
        <v>FNMA</v>
      </c>
    </row>
    <row r="84" spans="2:12" x14ac:dyDescent="0.3">
      <c r="B84">
        <v>68</v>
      </c>
      <c r="C84">
        <v>46047163</v>
      </c>
      <c r="D84" t="s">
        <v>2</v>
      </c>
      <c r="E84" s="2">
        <v>180000</v>
      </c>
      <c r="F84" s="1">
        <v>6.9073868790080276E-2</v>
      </c>
      <c r="G84">
        <v>10</v>
      </c>
      <c r="H84" s="6">
        <f t="shared" si="5"/>
        <v>-2081.3710610219168</v>
      </c>
      <c r="I84">
        <v>74</v>
      </c>
      <c r="J84" s="6">
        <f t="shared" si="6"/>
        <v>83905.224032455211</v>
      </c>
      <c r="K84" t="s">
        <v>11</v>
      </c>
      <c r="L84" t="str">
        <f t="shared" si="7"/>
        <v>FNMA</v>
      </c>
    </row>
    <row r="85" spans="2:12" x14ac:dyDescent="0.3">
      <c r="B85">
        <v>69</v>
      </c>
      <c r="C85">
        <v>21390949</v>
      </c>
      <c r="D85" t="s">
        <v>2</v>
      </c>
      <c r="E85" s="2">
        <v>420000</v>
      </c>
      <c r="F85" s="1">
        <v>8.6516783487079515E-2</v>
      </c>
      <c r="G85">
        <v>30</v>
      </c>
      <c r="H85" s="6">
        <f t="shared" si="5"/>
        <v>-3274.6923069116292</v>
      </c>
      <c r="I85">
        <v>237</v>
      </c>
      <c r="J85" s="6">
        <f t="shared" si="6"/>
        <v>266488.12538013776</v>
      </c>
      <c r="K85" t="s">
        <v>13</v>
      </c>
      <c r="L85" t="str">
        <f t="shared" si="7"/>
        <v>GNMA</v>
      </c>
    </row>
    <row r="86" spans="2:12" x14ac:dyDescent="0.3">
      <c r="B86">
        <v>70</v>
      </c>
      <c r="C86">
        <v>86868306</v>
      </c>
      <c r="D86" t="s">
        <v>2</v>
      </c>
      <c r="E86" s="2">
        <v>220000</v>
      </c>
      <c r="F86" s="1">
        <v>5.9538523786275999E-2</v>
      </c>
      <c r="G86">
        <v>10</v>
      </c>
      <c r="H86" s="6">
        <f t="shared" si="5"/>
        <v>-2437.3558171598584</v>
      </c>
      <c r="I86">
        <v>118</v>
      </c>
      <c r="J86" s="6">
        <f t="shared" si="6"/>
        <v>4838.6710135669418</v>
      </c>
      <c r="K86" t="s">
        <v>9</v>
      </c>
      <c r="L86" t="str">
        <f t="shared" si="7"/>
        <v>GNMA</v>
      </c>
    </row>
    <row r="87" spans="2:12" x14ac:dyDescent="0.3">
      <c r="B87">
        <v>71</v>
      </c>
      <c r="C87">
        <v>16735695</v>
      </c>
      <c r="D87" t="s">
        <v>2</v>
      </c>
      <c r="E87" s="2">
        <v>290000</v>
      </c>
      <c r="F87" s="1">
        <v>3.7419614625481337E-2</v>
      </c>
      <c r="G87">
        <v>10</v>
      </c>
      <c r="H87" s="6">
        <f t="shared" si="5"/>
        <v>-2900.6762025728844</v>
      </c>
      <c r="I87">
        <v>28</v>
      </c>
      <c r="J87" s="6">
        <f t="shared" si="6"/>
        <v>231683.66372603667</v>
      </c>
      <c r="K87" t="s">
        <v>9</v>
      </c>
      <c r="L87" t="str">
        <f t="shared" si="7"/>
        <v>GNMA</v>
      </c>
    </row>
    <row r="88" spans="2:12" x14ac:dyDescent="0.3">
      <c r="B88">
        <v>72</v>
      </c>
      <c r="C88">
        <v>46796012</v>
      </c>
      <c r="D88" t="s">
        <v>2</v>
      </c>
      <c r="E88" s="2">
        <v>90000</v>
      </c>
      <c r="F88" s="1">
        <v>3.9502545578306847E-2</v>
      </c>
      <c r="G88">
        <v>20</v>
      </c>
      <c r="H88" s="6">
        <f t="shared" si="5"/>
        <v>-543.02606512443833</v>
      </c>
      <c r="I88">
        <v>161</v>
      </c>
      <c r="J88" s="6">
        <f t="shared" si="6"/>
        <v>37720.271498697657</v>
      </c>
      <c r="K88" t="s">
        <v>10</v>
      </c>
      <c r="L88" t="str">
        <f t="shared" si="7"/>
        <v>FHLMC</v>
      </c>
    </row>
    <row r="89" spans="2:12" x14ac:dyDescent="0.3">
      <c r="B89">
        <v>73</v>
      </c>
      <c r="C89">
        <v>18909077</v>
      </c>
      <c r="D89" t="s">
        <v>2</v>
      </c>
      <c r="E89" s="2">
        <v>280000</v>
      </c>
      <c r="F89" s="1">
        <v>8.0913712050867476E-2</v>
      </c>
      <c r="G89">
        <v>10</v>
      </c>
      <c r="H89" s="6">
        <f t="shared" si="5"/>
        <v>-3410.7063010811376</v>
      </c>
      <c r="I89">
        <v>64</v>
      </c>
      <c r="J89" s="6">
        <f t="shared" si="6"/>
        <v>158640.11139969429</v>
      </c>
      <c r="K89" t="s">
        <v>12</v>
      </c>
      <c r="L89" t="str">
        <f t="shared" si="7"/>
        <v>GNMA</v>
      </c>
    </row>
    <row r="90" spans="2:12" x14ac:dyDescent="0.3">
      <c r="B90">
        <v>74</v>
      </c>
      <c r="C90">
        <v>87247227</v>
      </c>
      <c r="D90" t="s">
        <v>2</v>
      </c>
      <c r="E90" s="2">
        <v>350000</v>
      </c>
      <c r="F90" s="1">
        <v>3.5787945697589502E-2</v>
      </c>
      <c r="G90">
        <v>30</v>
      </c>
      <c r="H90" s="6">
        <f t="shared" si="5"/>
        <v>-1587.0911310039264</v>
      </c>
      <c r="I90">
        <v>293</v>
      </c>
      <c r="J90" s="6">
        <f t="shared" si="6"/>
        <v>96255.38703589837</v>
      </c>
      <c r="K90" t="s">
        <v>12</v>
      </c>
      <c r="L90" t="str">
        <f t="shared" si="7"/>
        <v>GNMA</v>
      </c>
    </row>
    <row r="91" spans="2:12" x14ac:dyDescent="0.3">
      <c r="B91">
        <v>75</v>
      </c>
      <c r="C91">
        <v>75779854</v>
      </c>
      <c r="D91" t="s">
        <v>2</v>
      </c>
      <c r="E91" s="2">
        <v>440000</v>
      </c>
      <c r="F91" s="1">
        <v>7.5454290205374391E-2</v>
      </c>
      <c r="G91">
        <v>30</v>
      </c>
      <c r="H91" s="6">
        <f t="shared" si="5"/>
        <v>-3090.2427562976304</v>
      </c>
      <c r="I91">
        <v>151</v>
      </c>
      <c r="J91" s="6">
        <f t="shared" si="6"/>
        <v>358862.00552587159</v>
      </c>
      <c r="K91" t="s">
        <v>11</v>
      </c>
      <c r="L91" t="str">
        <f t="shared" si="7"/>
        <v>FNMA</v>
      </c>
    </row>
    <row r="92" spans="2:12" x14ac:dyDescent="0.3">
      <c r="B92">
        <v>76</v>
      </c>
      <c r="C92">
        <v>28343036</v>
      </c>
      <c r="D92" t="s">
        <v>2</v>
      </c>
      <c r="E92" s="2">
        <v>390000</v>
      </c>
      <c r="F92" s="1">
        <v>3.3529466107279624E-2</v>
      </c>
      <c r="G92">
        <v>20</v>
      </c>
      <c r="H92" s="6">
        <f t="shared" si="5"/>
        <v>-2232.4839059240298</v>
      </c>
      <c r="I92">
        <v>75</v>
      </c>
      <c r="J92" s="6">
        <f t="shared" si="6"/>
        <v>294797.06318568881</v>
      </c>
      <c r="K92" t="s">
        <v>9</v>
      </c>
      <c r="L92" t="str">
        <f t="shared" si="7"/>
        <v>GNMA</v>
      </c>
    </row>
    <row r="93" spans="2:12" x14ac:dyDescent="0.3">
      <c r="B93">
        <v>77</v>
      </c>
      <c r="C93">
        <v>39275659</v>
      </c>
      <c r="D93" t="s">
        <v>2</v>
      </c>
      <c r="E93" s="2">
        <v>280000</v>
      </c>
      <c r="F93" s="1">
        <v>3.8174534059814809E-2</v>
      </c>
      <c r="G93">
        <v>20</v>
      </c>
      <c r="H93" s="6">
        <f t="shared" si="5"/>
        <v>-1669.9330862531151</v>
      </c>
      <c r="I93">
        <v>229</v>
      </c>
      <c r="J93" s="6">
        <f t="shared" si="6"/>
        <v>18023.424966670162</v>
      </c>
      <c r="K93" t="s">
        <v>13</v>
      </c>
      <c r="L93" t="str">
        <f t="shared" si="7"/>
        <v>GNMA</v>
      </c>
    </row>
    <row r="94" spans="2:12" x14ac:dyDescent="0.3">
      <c r="B94">
        <v>78</v>
      </c>
      <c r="C94">
        <v>86619026</v>
      </c>
      <c r="D94" t="s">
        <v>2</v>
      </c>
      <c r="E94" s="2">
        <v>380000</v>
      </c>
      <c r="F94" s="1">
        <v>8.8639262942166508E-2</v>
      </c>
      <c r="G94">
        <v>30</v>
      </c>
      <c r="H94" s="6">
        <f t="shared" si="5"/>
        <v>-3020.4343909700733</v>
      </c>
      <c r="I94">
        <v>57</v>
      </c>
      <c r="J94" s="6">
        <f t="shared" si="6"/>
        <v>364934.14294332487</v>
      </c>
      <c r="K94" t="s">
        <v>9</v>
      </c>
      <c r="L94" t="str">
        <f t="shared" si="7"/>
        <v>GNMA</v>
      </c>
    </row>
    <row r="95" spans="2:12" x14ac:dyDescent="0.3">
      <c r="B95">
        <v>79</v>
      </c>
      <c r="C95">
        <v>31354657</v>
      </c>
      <c r="D95" t="s">
        <v>2</v>
      </c>
      <c r="E95" s="2">
        <v>110000</v>
      </c>
      <c r="F95" s="1">
        <v>5.489254667303671E-2</v>
      </c>
      <c r="G95">
        <v>10</v>
      </c>
      <c r="H95" s="6">
        <f t="shared" si="5"/>
        <v>-1193.2034618023984</v>
      </c>
      <c r="I95">
        <v>84</v>
      </c>
      <c r="J95" s="6">
        <f t="shared" si="6"/>
        <v>39521.753831882197</v>
      </c>
      <c r="K95" t="s">
        <v>12</v>
      </c>
      <c r="L95" t="str">
        <f t="shared" si="7"/>
        <v>GNMA</v>
      </c>
    </row>
    <row r="96" spans="2:12" x14ac:dyDescent="0.3">
      <c r="B96">
        <v>80</v>
      </c>
      <c r="C96">
        <v>87048847</v>
      </c>
      <c r="D96" t="s">
        <v>2</v>
      </c>
      <c r="E96" s="2">
        <v>380000</v>
      </c>
      <c r="F96" s="1">
        <v>7.5436353811503654E-2</v>
      </c>
      <c r="G96">
        <v>20</v>
      </c>
      <c r="H96" s="6">
        <f t="shared" si="5"/>
        <v>-3071.4010993646089</v>
      </c>
      <c r="I96">
        <v>124</v>
      </c>
      <c r="J96" s="6">
        <f t="shared" si="6"/>
        <v>252407.09661965974</v>
      </c>
      <c r="K96" t="s">
        <v>12</v>
      </c>
      <c r="L96" t="str">
        <f t="shared" si="7"/>
        <v>GNMA</v>
      </c>
    </row>
    <row r="97" spans="2:12" x14ac:dyDescent="0.3">
      <c r="B97">
        <v>81</v>
      </c>
      <c r="C97">
        <v>35342493</v>
      </c>
      <c r="D97" t="s">
        <v>2</v>
      </c>
      <c r="E97" s="2">
        <v>370000</v>
      </c>
      <c r="F97" s="1">
        <v>4.4525794658394374E-2</v>
      </c>
      <c r="G97">
        <v>10</v>
      </c>
      <c r="H97" s="6">
        <f t="shared" si="5"/>
        <v>-3826.169015377312</v>
      </c>
      <c r="I97">
        <v>45</v>
      </c>
      <c r="J97" s="6">
        <f t="shared" si="6"/>
        <v>250091.53285965056</v>
      </c>
      <c r="K97" t="s">
        <v>11</v>
      </c>
      <c r="L97" t="str">
        <f t="shared" si="7"/>
        <v>FNMA</v>
      </c>
    </row>
    <row r="98" spans="2:12" x14ac:dyDescent="0.3">
      <c r="B98">
        <v>82</v>
      </c>
      <c r="C98">
        <v>75556629</v>
      </c>
      <c r="D98" t="s">
        <v>2</v>
      </c>
      <c r="E98" s="2">
        <v>310000</v>
      </c>
      <c r="F98" s="1">
        <v>3.9359824408563691E-2</v>
      </c>
      <c r="G98">
        <v>30</v>
      </c>
      <c r="H98" s="6">
        <f t="shared" si="5"/>
        <v>-1468.5691609622631</v>
      </c>
      <c r="I98">
        <v>246</v>
      </c>
      <c r="J98" s="6">
        <f t="shared" si="6"/>
        <v>139490.4135723091</v>
      </c>
      <c r="K98" t="s">
        <v>13</v>
      </c>
      <c r="L98" t="str">
        <f t="shared" si="7"/>
        <v>GNMA</v>
      </c>
    </row>
    <row r="99" spans="2:12" x14ac:dyDescent="0.3">
      <c r="B99">
        <v>83</v>
      </c>
      <c r="C99">
        <v>87177391</v>
      </c>
      <c r="D99" t="s">
        <v>2</v>
      </c>
      <c r="E99" s="2">
        <v>360000</v>
      </c>
      <c r="F99" s="1">
        <v>6.9952886514902876E-2</v>
      </c>
      <c r="G99">
        <v>20</v>
      </c>
      <c r="H99" s="6">
        <f t="shared" si="5"/>
        <v>-2790.058179585259</v>
      </c>
      <c r="I99">
        <v>216</v>
      </c>
      <c r="J99" s="6">
        <f t="shared" si="6"/>
        <v>62319.199340444364</v>
      </c>
      <c r="K99" t="s">
        <v>10</v>
      </c>
      <c r="L99" t="str">
        <f t="shared" si="7"/>
        <v>FHLMC</v>
      </c>
    </row>
    <row r="100" spans="2:12" x14ac:dyDescent="0.3">
      <c r="B100">
        <v>84</v>
      </c>
      <c r="C100">
        <v>70455980</v>
      </c>
      <c r="D100" t="s">
        <v>2</v>
      </c>
      <c r="E100" s="2">
        <v>360000</v>
      </c>
      <c r="F100" s="1">
        <v>2.6369708310845265E-2</v>
      </c>
      <c r="G100">
        <v>30</v>
      </c>
      <c r="H100" s="6">
        <f t="shared" si="5"/>
        <v>-1448.2046136394538</v>
      </c>
      <c r="I100">
        <v>329</v>
      </c>
      <c r="J100" s="6">
        <f t="shared" si="6"/>
        <v>43353.328607756092</v>
      </c>
      <c r="K100" t="s">
        <v>13</v>
      </c>
      <c r="L100" t="str">
        <f t="shared" si="7"/>
        <v>GNMA</v>
      </c>
    </row>
    <row r="101" spans="2:12" x14ac:dyDescent="0.3">
      <c r="B101">
        <v>85</v>
      </c>
      <c r="C101">
        <v>75392997</v>
      </c>
      <c r="D101" t="s">
        <v>2</v>
      </c>
      <c r="E101" s="2">
        <v>440000</v>
      </c>
      <c r="F101" s="1">
        <v>4.3556765273894182E-2</v>
      </c>
      <c r="G101">
        <v>30</v>
      </c>
      <c r="H101" s="6">
        <f t="shared" si="5"/>
        <v>-2191.8431353548999</v>
      </c>
      <c r="I101">
        <v>164</v>
      </c>
      <c r="J101" s="6">
        <f t="shared" si="6"/>
        <v>307016.215082879</v>
      </c>
      <c r="K101" t="s">
        <v>12</v>
      </c>
      <c r="L101" t="str">
        <f t="shared" si="7"/>
        <v>GNMA</v>
      </c>
    </row>
    <row r="102" spans="2:12" x14ac:dyDescent="0.3">
      <c r="B102">
        <v>86</v>
      </c>
      <c r="C102">
        <v>19338298</v>
      </c>
      <c r="D102" t="s">
        <v>2</v>
      </c>
      <c r="E102" s="2">
        <v>210000</v>
      </c>
      <c r="F102" s="1">
        <v>2.092235791221576E-2</v>
      </c>
      <c r="G102">
        <v>20</v>
      </c>
      <c r="H102" s="6">
        <f t="shared" si="5"/>
        <v>-1071.5526430845575</v>
      </c>
      <c r="I102">
        <v>232</v>
      </c>
      <c r="J102" s="6">
        <f t="shared" si="6"/>
        <v>8505.5519435938586</v>
      </c>
      <c r="K102" t="s">
        <v>12</v>
      </c>
      <c r="L102" t="str">
        <f t="shared" si="7"/>
        <v>GNMA</v>
      </c>
    </row>
    <row r="103" spans="2:12" x14ac:dyDescent="0.3">
      <c r="B103">
        <v>87</v>
      </c>
      <c r="C103">
        <v>46089585</v>
      </c>
      <c r="D103" t="s">
        <v>2</v>
      </c>
      <c r="E103" s="2">
        <v>360000</v>
      </c>
      <c r="F103" s="1">
        <v>5.6408371052604878E-2</v>
      </c>
      <c r="G103">
        <v>15</v>
      </c>
      <c r="H103" s="6">
        <f t="shared" si="5"/>
        <v>-2968.4742211011367</v>
      </c>
      <c r="I103">
        <v>78</v>
      </c>
      <c r="J103" s="6">
        <f t="shared" si="6"/>
        <v>240090.79904152575</v>
      </c>
      <c r="K103" t="s">
        <v>9</v>
      </c>
      <c r="L103" t="str">
        <f t="shared" si="7"/>
        <v>GNMA</v>
      </c>
    </row>
    <row r="104" spans="2:12" x14ac:dyDescent="0.3">
      <c r="B104">
        <v>88</v>
      </c>
      <c r="C104">
        <v>82517417</v>
      </c>
      <c r="D104" t="s">
        <v>2</v>
      </c>
      <c r="E104" s="2">
        <v>190000</v>
      </c>
      <c r="F104" s="1">
        <v>8.4050464805110664E-2</v>
      </c>
      <c r="G104">
        <v>30</v>
      </c>
      <c r="H104" s="6">
        <f t="shared" si="5"/>
        <v>-1448.1689745522599</v>
      </c>
      <c r="I104">
        <v>307</v>
      </c>
      <c r="J104" s="6">
        <f t="shared" si="6"/>
        <v>63932.703600784225</v>
      </c>
      <c r="K104" t="s">
        <v>12</v>
      </c>
      <c r="L104" t="str">
        <f t="shared" si="7"/>
        <v>GNMA</v>
      </c>
    </row>
    <row r="105" spans="2:12" x14ac:dyDescent="0.3">
      <c r="B105">
        <v>89</v>
      </c>
      <c r="C105">
        <v>42621092</v>
      </c>
      <c r="D105" t="s">
        <v>2</v>
      </c>
      <c r="E105" s="2">
        <v>270000</v>
      </c>
      <c r="F105" s="1">
        <v>4.3622348956864891E-2</v>
      </c>
      <c r="G105">
        <v>20</v>
      </c>
      <c r="H105" s="6">
        <f t="shared" si="5"/>
        <v>-1688.1403027146584</v>
      </c>
      <c r="I105">
        <v>171</v>
      </c>
      <c r="J105" s="6">
        <f t="shared" si="6"/>
        <v>102857.332590162</v>
      </c>
      <c r="K105" t="s">
        <v>10</v>
      </c>
      <c r="L105" t="str">
        <f t="shared" si="7"/>
        <v>FHLMC</v>
      </c>
    </row>
    <row r="106" spans="2:12" x14ac:dyDescent="0.3">
      <c r="B106">
        <v>90</v>
      </c>
      <c r="C106">
        <v>88723122</v>
      </c>
      <c r="D106" t="s">
        <v>2</v>
      </c>
      <c r="E106" s="2">
        <v>160000</v>
      </c>
      <c r="F106" s="1">
        <v>2.3133587418061395E-2</v>
      </c>
      <c r="G106">
        <v>30</v>
      </c>
      <c r="H106" s="6">
        <f t="shared" si="5"/>
        <v>-616.77704074120834</v>
      </c>
      <c r="I106">
        <v>33</v>
      </c>
      <c r="J106" s="6">
        <f t="shared" si="6"/>
        <v>149504.95132874412</v>
      </c>
      <c r="K106" t="s">
        <v>10</v>
      </c>
      <c r="L106" t="str">
        <f t="shared" si="7"/>
        <v>FHLMC</v>
      </c>
    </row>
    <row r="107" spans="2:12" x14ac:dyDescent="0.3">
      <c r="B107">
        <v>91</v>
      </c>
      <c r="C107">
        <v>87714312</v>
      </c>
      <c r="D107" t="s">
        <v>2</v>
      </c>
      <c r="E107" s="2">
        <v>410000</v>
      </c>
      <c r="F107" s="1">
        <v>7.6002502678293865E-2</v>
      </c>
      <c r="G107">
        <v>15</v>
      </c>
      <c r="H107" s="6">
        <f t="shared" si="5"/>
        <v>-3824.1453134030444</v>
      </c>
      <c r="I107">
        <v>49</v>
      </c>
      <c r="J107" s="6">
        <f t="shared" si="6"/>
        <v>339738.68083478435</v>
      </c>
      <c r="K107" t="s">
        <v>10</v>
      </c>
      <c r="L107" t="str">
        <f t="shared" si="7"/>
        <v>FHLMC</v>
      </c>
    </row>
    <row r="108" spans="2:12" x14ac:dyDescent="0.3">
      <c r="B108">
        <v>92</v>
      </c>
      <c r="C108">
        <v>37402885</v>
      </c>
      <c r="D108" t="s">
        <v>2</v>
      </c>
      <c r="E108" s="2">
        <v>100000</v>
      </c>
      <c r="F108" s="1">
        <v>8.0625304723364447E-2</v>
      </c>
      <c r="G108">
        <v>30</v>
      </c>
      <c r="H108" s="6">
        <f t="shared" si="5"/>
        <v>-738.12836595525948</v>
      </c>
      <c r="I108">
        <v>17</v>
      </c>
      <c r="J108" s="6">
        <f t="shared" si="6"/>
        <v>98811.116686448775</v>
      </c>
      <c r="K108" t="s">
        <v>9</v>
      </c>
      <c r="L108" t="str">
        <f t="shared" si="7"/>
        <v>GNMA</v>
      </c>
    </row>
    <row r="109" spans="2:12" x14ac:dyDescent="0.3">
      <c r="B109">
        <v>93</v>
      </c>
      <c r="C109">
        <v>50004880</v>
      </c>
      <c r="D109" t="s">
        <v>2</v>
      </c>
      <c r="E109" s="2">
        <v>200000</v>
      </c>
      <c r="F109" s="1">
        <v>3.1586661242958225E-2</v>
      </c>
      <c r="G109">
        <v>15</v>
      </c>
      <c r="H109" s="6">
        <f t="shared" si="5"/>
        <v>-1396.4764067875863</v>
      </c>
      <c r="I109">
        <v>46</v>
      </c>
      <c r="J109" s="6">
        <f t="shared" si="6"/>
        <v>157514.10005123282</v>
      </c>
      <c r="K109" t="s">
        <v>13</v>
      </c>
      <c r="L109" t="str">
        <f t="shared" si="7"/>
        <v>GNMA</v>
      </c>
    </row>
    <row r="110" spans="2:12" x14ac:dyDescent="0.3">
      <c r="B110">
        <v>94</v>
      </c>
      <c r="C110">
        <v>54104168</v>
      </c>
      <c r="D110" t="s">
        <v>2</v>
      </c>
      <c r="E110" s="2">
        <v>320000</v>
      </c>
      <c r="F110" s="1">
        <v>6.9094609118500627E-2</v>
      </c>
      <c r="G110">
        <v>30</v>
      </c>
      <c r="H110" s="6">
        <f t="shared" si="5"/>
        <v>-2109.5458171216096</v>
      </c>
      <c r="I110">
        <v>140</v>
      </c>
      <c r="J110" s="6">
        <f t="shared" si="6"/>
        <v>262773.21351286402</v>
      </c>
      <c r="K110" t="s">
        <v>12</v>
      </c>
      <c r="L110" t="str">
        <f t="shared" si="7"/>
        <v>GNMA</v>
      </c>
    </row>
    <row r="111" spans="2:12" x14ac:dyDescent="0.3">
      <c r="B111">
        <v>95</v>
      </c>
      <c r="C111">
        <v>82658753</v>
      </c>
      <c r="D111" t="s">
        <v>2</v>
      </c>
      <c r="E111" s="2">
        <v>390000</v>
      </c>
      <c r="F111" s="1">
        <v>3.0758992929878257E-2</v>
      </c>
      <c r="G111">
        <v>30</v>
      </c>
      <c r="H111" s="6">
        <f t="shared" si="5"/>
        <v>-1660.2631024193468</v>
      </c>
      <c r="I111">
        <v>13</v>
      </c>
      <c r="J111" s="6">
        <f t="shared" si="6"/>
        <v>381278.92966405768</v>
      </c>
      <c r="K111" t="s">
        <v>11</v>
      </c>
      <c r="L111" t="str">
        <f t="shared" si="7"/>
        <v>FNMA</v>
      </c>
    </row>
    <row r="112" spans="2:12" x14ac:dyDescent="0.3">
      <c r="B112">
        <v>96</v>
      </c>
      <c r="C112">
        <v>10503800</v>
      </c>
      <c r="D112" t="s">
        <v>2</v>
      </c>
      <c r="E112" s="2">
        <v>260000</v>
      </c>
      <c r="F112" s="1">
        <v>8.3913752944148587E-2</v>
      </c>
      <c r="G112">
        <v>20</v>
      </c>
      <c r="H112" s="6">
        <f t="shared" si="5"/>
        <v>-2238.4973019559488</v>
      </c>
      <c r="I112">
        <v>90</v>
      </c>
      <c r="J112" s="6">
        <f t="shared" si="6"/>
        <v>207563.08641201249</v>
      </c>
      <c r="K112" t="s">
        <v>13</v>
      </c>
      <c r="L112" t="str">
        <f t="shared" si="7"/>
        <v>GNMA</v>
      </c>
    </row>
    <row r="113" spans="2:12" x14ac:dyDescent="0.3">
      <c r="B113">
        <v>97</v>
      </c>
      <c r="C113">
        <v>33072572</v>
      </c>
      <c r="D113" t="s">
        <v>2</v>
      </c>
      <c r="E113" s="2">
        <v>390000</v>
      </c>
      <c r="F113" s="1">
        <v>5.914795686569916E-2</v>
      </c>
      <c r="G113">
        <v>15</v>
      </c>
      <c r="H113" s="6">
        <f t="shared" ref="H113:H144" si="8">INDEX(MASTER_DATA,MATCH($C113,MASTER_ROWS,0),MATCH(H$16,MASTER_HEADERS,0))</f>
        <v>-3273.1159683163173</v>
      </c>
      <c r="I113">
        <v>30</v>
      </c>
      <c r="J113" s="6">
        <f t="shared" ref="J113:J144" si="9">INDEX(MASTER_DATA,MATCH($C113,MASTER_ROWS,0),MATCH(J$16,MASTER_HEADERS,0))</f>
        <v>346441.70509429998</v>
      </c>
      <c r="K113" t="s">
        <v>10</v>
      </c>
      <c r="L113" t="str">
        <f t="shared" si="7"/>
        <v>FHLMC</v>
      </c>
    </row>
    <row r="114" spans="2:12" x14ac:dyDescent="0.3">
      <c r="B114">
        <v>98</v>
      </c>
      <c r="C114">
        <v>13860670</v>
      </c>
      <c r="D114" t="s">
        <v>2</v>
      </c>
      <c r="E114" s="2">
        <v>160000</v>
      </c>
      <c r="F114" s="1">
        <v>3.401337062358261E-2</v>
      </c>
      <c r="G114">
        <v>20</v>
      </c>
      <c r="H114" s="6">
        <f t="shared" si="8"/>
        <v>-919.84426907277771</v>
      </c>
      <c r="I114">
        <v>66</v>
      </c>
      <c r="J114" s="6">
        <f t="shared" si="9"/>
        <v>126207.41994572611</v>
      </c>
      <c r="K114" t="s">
        <v>13</v>
      </c>
      <c r="L114" t="str">
        <f t="shared" si="7"/>
        <v>GNMA</v>
      </c>
    </row>
    <row r="115" spans="2:12" x14ac:dyDescent="0.3">
      <c r="B115">
        <v>99</v>
      </c>
      <c r="C115">
        <v>78628786</v>
      </c>
      <c r="D115" t="s">
        <v>2</v>
      </c>
      <c r="E115" s="2">
        <v>400000</v>
      </c>
      <c r="F115" s="1">
        <v>2.3051931389460947E-2</v>
      </c>
      <c r="G115">
        <v>30</v>
      </c>
      <c r="H115" s="6">
        <f t="shared" si="8"/>
        <v>-1540.2689912021608</v>
      </c>
      <c r="I115">
        <v>17</v>
      </c>
      <c r="J115" s="6">
        <f t="shared" si="9"/>
        <v>386674.58288546558</v>
      </c>
      <c r="K115" t="s">
        <v>9</v>
      </c>
      <c r="L115" t="str">
        <f t="shared" si="7"/>
        <v>GNMA</v>
      </c>
    </row>
    <row r="116" spans="2:12" x14ac:dyDescent="0.3">
      <c r="B116">
        <v>100</v>
      </c>
      <c r="C116">
        <v>19293538</v>
      </c>
      <c r="D116" t="s">
        <v>2</v>
      </c>
      <c r="E116" s="2">
        <v>110000</v>
      </c>
      <c r="F116" s="1">
        <v>7.9989228013860547E-2</v>
      </c>
      <c r="G116">
        <v>20</v>
      </c>
      <c r="H116" s="6">
        <f t="shared" si="8"/>
        <v>-920.01033320253225</v>
      </c>
      <c r="I116">
        <v>200</v>
      </c>
      <c r="J116" s="6">
        <f t="shared" si="9"/>
        <v>32209.23467080425</v>
      </c>
      <c r="K116" t="s">
        <v>12</v>
      </c>
      <c r="L116" t="str">
        <f t="shared" si="7"/>
        <v>GNMA</v>
      </c>
    </row>
    <row r="117" spans="2:12" x14ac:dyDescent="0.3">
      <c r="B117">
        <v>101</v>
      </c>
      <c r="C117">
        <v>74043188</v>
      </c>
      <c r="D117" t="s">
        <v>2</v>
      </c>
      <c r="E117" s="2">
        <v>270000</v>
      </c>
      <c r="F117" s="1">
        <v>4.318656729242594E-2</v>
      </c>
      <c r="G117">
        <v>20</v>
      </c>
      <c r="H117" s="6">
        <f t="shared" si="8"/>
        <v>-1681.8370465093874</v>
      </c>
      <c r="I117">
        <v>145</v>
      </c>
      <c r="J117" s="6">
        <f t="shared" si="9"/>
        <v>135121.60639166343</v>
      </c>
      <c r="K117" t="s">
        <v>12</v>
      </c>
      <c r="L117" t="str">
        <f t="shared" si="7"/>
        <v>GNMA</v>
      </c>
    </row>
    <row r="118" spans="2:12" x14ac:dyDescent="0.3">
      <c r="B118">
        <v>102</v>
      </c>
      <c r="C118">
        <v>85981412</v>
      </c>
      <c r="D118" t="s">
        <v>2</v>
      </c>
      <c r="E118" s="2">
        <v>100000</v>
      </c>
      <c r="F118" s="1">
        <v>4.9320800002458996E-2</v>
      </c>
      <c r="G118">
        <v>20</v>
      </c>
      <c r="H118" s="6">
        <f t="shared" si="8"/>
        <v>-656.20946828759884</v>
      </c>
      <c r="I118">
        <v>185</v>
      </c>
      <c r="J118" s="6">
        <f t="shared" si="9"/>
        <v>32243.961964010221</v>
      </c>
      <c r="K118" t="s">
        <v>10</v>
      </c>
      <c r="L118" t="str">
        <f t="shared" si="7"/>
        <v>FHLMC</v>
      </c>
    </row>
    <row r="119" spans="2:12" x14ac:dyDescent="0.3">
      <c r="B119">
        <v>103</v>
      </c>
      <c r="C119">
        <v>28790211</v>
      </c>
      <c r="D119" t="s">
        <v>2</v>
      </c>
      <c r="E119" s="2">
        <v>280000</v>
      </c>
      <c r="F119" s="1">
        <v>8.5050217334716488E-2</v>
      </c>
      <c r="G119">
        <v>15</v>
      </c>
      <c r="H119" s="6">
        <f t="shared" si="8"/>
        <v>-2758.0950332798766</v>
      </c>
      <c r="I119">
        <v>118</v>
      </c>
      <c r="J119" s="6">
        <f t="shared" si="9"/>
        <v>137989.75301180655</v>
      </c>
      <c r="K119" t="s">
        <v>10</v>
      </c>
      <c r="L119" t="str">
        <f t="shared" si="7"/>
        <v>FHLMC</v>
      </c>
    </row>
    <row r="120" spans="2:12" x14ac:dyDescent="0.3">
      <c r="B120">
        <v>104</v>
      </c>
      <c r="C120">
        <v>74439129</v>
      </c>
      <c r="D120" t="s">
        <v>2</v>
      </c>
      <c r="E120" s="2">
        <v>360000</v>
      </c>
      <c r="F120" s="1">
        <v>6.172569651273551E-2</v>
      </c>
      <c r="G120">
        <v>15</v>
      </c>
      <c r="H120" s="6">
        <f t="shared" si="8"/>
        <v>-3071.5504974779028</v>
      </c>
      <c r="I120">
        <v>157</v>
      </c>
      <c r="J120" s="6">
        <f t="shared" si="9"/>
        <v>66465.848352409899</v>
      </c>
      <c r="K120" t="s">
        <v>13</v>
      </c>
      <c r="L120" t="str">
        <f t="shared" si="7"/>
        <v>GNMA</v>
      </c>
    </row>
    <row r="121" spans="2:12" x14ac:dyDescent="0.3">
      <c r="B121">
        <v>105</v>
      </c>
      <c r="C121">
        <v>79146016</v>
      </c>
      <c r="D121" t="s">
        <v>2</v>
      </c>
      <c r="E121" s="2">
        <v>260000</v>
      </c>
      <c r="F121" s="1">
        <v>6.6777345462205137E-2</v>
      </c>
      <c r="G121">
        <v>15</v>
      </c>
      <c r="H121" s="6">
        <f t="shared" si="8"/>
        <v>-2290.360204717053</v>
      </c>
      <c r="I121">
        <v>15</v>
      </c>
      <c r="J121" s="6">
        <f t="shared" si="9"/>
        <v>246842.2793794398</v>
      </c>
      <c r="K121" t="s">
        <v>9</v>
      </c>
      <c r="L121" t="str">
        <f t="shared" si="7"/>
        <v>GNMA</v>
      </c>
    </row>
    <row r="122" spans="2:12" x14ac:dyDescent="0.3">
      <c r="B122">
        <v>106</v>
      </c>
      <c r="C122">
        <v>72685786</v>
      </c>
      <c r="D122" t="s">
        <v>2</v>
      </c>
      <c r="E122" s="2">
        <v>280000</v>
      </c>
      <c r="F122" s="1">
        <v>4.0406672002481922E-2</v>
      </c>
      <c r="G122">
        <v>15</v>
      </c>
      <c r="H122" s="6">
        <f t="shared" si="8"/>
        <v>-2076.8370206374502</v>
      </c>
      <c r="I122">
        <v>95</v>
      </c>
      <c r="J122" s="6">
        <f t="shared" si="9"/>
        <v>153292.67570242152</v>
      </c>
      <c r="K122" t="s">
        <v>9</v>
      </c>
      <c r="L122" t="str">
        <f t="shared" si="7"/>
        <v>GNMA</v>
      </c>
    </row>
    <row r="123" spans="2:12" x14ac:dyDescent="0.3">
      <c r="B123">
        <v>107</v>
      </c>
      <c r="C123">
        <v>66696062</v>
      </c>
      <c r="D123" t="s">
        <v>2</v>
      </c>
      <c r="E123" s="2">
        <v>130000</v>
      </c>
      <c r="F123" s="1">
        <v>6.9978729603616049E-2</v>
      </c>
      <c r="G123">
        <v>20</v>
      </c>
      <c r="H123" s="6">
        <f t="shared" si="8"/>
        <v>-1007.7226440856219</v>
      </c>
      <c r="I123">
        <v>62</v>
      </c>
      <c r="J123" s="6">
        <f t="shared" si="9"/>
        <v>111420.25929454762</v>
      </c>
      <c r="K123" t="s">
        <v>10</v>
      </c>
      <c r="L123" t="str">
        <f t="shared" si="7"/>
        <v>FHLMC</v>
      </c>
    </row>
    <row r="124" spans="2:12" x14ac:dyDescent="0.3">
      <c r="B124">
        <v>108</v>
      </c>
      <c r="C124">
        <v>84759219</v>
      </c>
      <c r="D124" t="s">
        <v>2</v>
      </c>
      <c r="E124" s="2">
        <v>300000</v>
      </c>
      <c r="F124" s="1">
        <v>7.3541099206711563E-2</v>
      </c>
      <c r="G124">
        <v>15</v>
      </c>
      <c r="H124" s="6">
        <f t="shared" si="8"/>
        <v>-2756.2241468293892</v>
      </c>
      <c r="I124">
        <v>72</v>
      </c>
      <c r="J124" s="6">
        <f t="shared" si="9"/>
        <v>217258.49255830029</v>
      </c>
      <c r="K124" t="s">
        <v>13</v>
      </c>
      <c r="L124" t="str">
        <f t="shared" si="7"/>
        <v>GNMA</v>
      </c>
    </row>
    <row r="125" spans="2:12" x14ac:dyDescent="0.3">
      <c r="B125">
        <v>109</v>
      </c>
      <c r="C125">
        <v>70637400</v>
      </c>
      <c r="D125" t="s">
        <v>2</v>
      </c>
      <c r="E125" s="2">
        <v>310000</v>
      </c>
      <c r="F125" s="1">
        <v>8.429193812760874E-2</v>
      </c>
      <c r="G125">
        <v>30</v>
      </c>
      <c r="H125" s="6">
        <f t="shared" si="8"/>
        <v>-2368.0931864350027</v>
      </c>
      <c r="I125">
        <v>242</v>
      </c>
      <c r="J125" s="6">
        <f t="shared" si="9"/>
        <v>189530.05682059354</v>
      </c>
      <c r="K125" t="s">
        <v>13</v>
      </c>
      <c r="L125" t="str">
        <f t="shared" si="7"/>
        <v>GNMA</v>
      </c>
    </row>
    <row r="126" spans="2:12" x14ac:dyDescent="0.3">
      <c r="B126">
        <v>110</v>
      </c>
      <c r="C126">
        <v>38798861</v>
      </c>
      <c r="D126" t="s">
        <v>2</v>
      </c>
      <c r="E126" s="2">
        <v>430000</v>
      </c>
      <c r="F126" s="1">
        <v>2.1001186674988234E-2</v>
      </c>
      <c r="G126">
        <v>15</v>
      </c>
      <c r="H126" s="6">
        <f t="shared" si="8"/>
        <v>-2786.9555157276159</v>
      </c>
      <c r="I126">
        <v>23</v>
      </c>
      <c r="J126" s="6">
        <f t="shared" si="9"/>
        <v>382296.58142740378</v>
      </c>
      <c r="K126" t="s">
        <v>10</v>
      </c>
      <c r="L126" t="str">
        <f t="shared" si="7"/>
        <v>FHLMC</v>
      </c>
    </row>
    <row r="127" spans="2:12" x14ac:dyDescent="0.3">
      <c r="B127">
        <v>111</v>
      </c>
      <c r="C127">
        <v>76703611</v>
      </c>
      <c r="D127" t="s">
        <v>2</v>
      </c>
      <c r="E127" s="2">
        <v>140000</v>
      </c>
      <c r="F127" s="1">
        <v>7.4869625494172767E-2</v>
      </c>
      <c r="G127">
        <v>15</v>
      </c>
      <c r="H127" s="6">
        <f t="shared" si="8"/>
        <v>-1296.7803011909505</v>
      </c>
      <c r="I127">
        <v>108</v>
      </c>
      <c r="J127" s="6">
        <f t="shared" si="9"/>
        <v>75028.657941106503</v>
      </c>
      <c r="K127" t="s">
        <v>10</v>
      </c>
      <c r="L127" t="str">
        <f t="shared" si="7"/>
        <v>FHLMC</v>
      </c>
    </row>
    <row r="128" spans="2:12" x14ac:dyDescent="0.3">
      <c r="B128">
        <v>112</v>
      </c>
      <c r="C128">
        <v>70445419</v>
      </c>
      <c r="D128" t="s">
        <v>2</v>
      </c>
      <c r="E128" s="2">
        <v>110000</v>
      </c>
      <c r="F128" s="1">
        <v>4.0022588821897263E-2</v>
      </c>
      <c r="G128">
        <v>30</v>
      </c>
      <c r="H128" s="6">
        <f t="shared" si="8"/>
        <v>-525.30008525464871</v>
      </c>
      <c r="I128">
        <v>61</v>
      </c>
      <c r="J128" s="6">
        <f t="shared" si="9"/>
        <v>99302.433763665118</v>
      </c>
      <c r="K128" t="s">
        <v>13</v>
      </c>
      <c r="L128" t="str">
        <f t="shared" si="7"/>
        <v>GNMA</v>
      </c>
    </row>
    <row r="129" spans="2:12" x14ac:dyDescent="0.3">
      <c r="B129">
        <v>113</v>
      </c>
      <c r="C129">
        <v>44239553</v>
      </c>
      <c r="D129" t="s">
        <v>2</v>
      </c>
      <c r="E129" s="2">
        <v>240000</v>
      </c>
      <c r="F129" s="1">
        <v>5.5915919135758191E-2</v>
      </c>
      <c r="G129">
        <v>30</v>
      </c>
      <c r="H129" s="6">
        <f t="shared" si="8"/>
        <v>-1376.5173548341957</v>
      </c>
      <c r="I129">
        <v>309</v>
      </c>
      <c r="J129" s="6">
        <f t="shared" si="9"/>
        <v>62355.550259492658</v>
      </c>
      <c r="K129" t="s">
        <v>11</v>
      </c>
      <c r="L129" t="str">
        <f t="shared" si="7"/>
        <v>FNMA</v>
      </c>
    </row>
    <row r="130" spans="2:12" x14ac:dyDescent="0.3">
      <c r="B130">
        <v>114</v>
      </c>
      <c r="C130">
        <v>41349397</v>
      </c>
      <c r="D130" t="s">
        <v>2</v>
      </c>
      <c r="E130" s="2">
        <v>270000</v>
      </c>
      <c r="F130" s="1">
        <v>6.2954123371356599E-2</v>
      </c>
      <c r="G130">
        <v>20</v>
      </c>
      <c r="H130" s="6">
        <f t="shared" si="8"/>
        <v>-1980.6592873396762</v>
      </c>
      <c r="I130">
        <v>211</v>
      </c>
      <c r="J130" s="6">
        <f t="shared" si="9"/>
        <v>53154.177861113814</v>
      </c>
      <c r="K130" t="s">
        <v>12</v>
      </c>
      <c r="L130" t="str">
        <f t="shared" si="7"/>
        <v>GNMA</v>
      </c>
    </row>
    <row r="131" spans="2:12" x14ac:dyDescent="0.3">
      <c r="B131">
        <v>115</v>
      </c>
      <c r="C131">
        <v>58908267</v>
      </c>
      <c r="D131" t="s">
        <v>2</v>
      </c>
      <c r="E131" s="2">
        <v>120000</v>
      </c>
      <c r="F131" s="1">
        <v>6.1454302986937014E-2</v>
      </c>
      <c r="G131">
        <v>15</v>
      </c>
      <c r="H131" s="6">
        <f t="shared" si="8"/>
        <v>-1022.0808233240052</v>
      </c>
      <c r="I131">
        <v>24</v>
      </c>
      <c r="J131" s="6">
        <f t="shared" si="9"/>
        <v>109620.83215053298</v>
      </c>
      <c r="K131" t="s">
        <v>12</v>
      </c>
      <c r="L131" t="str">
        <f t="shared" si="7"/>
        <v>GNMA</v>
      </c>
    </row>
    <row r="132" spans="2:12" x14ac:dyDescent="0.3">
      <c r="B132">
        <v>116</v>
      </c>
      <c r="C132">
        <v>61089089</v>
      </c>
      <c r="D132" t="s">
        <v>2</v>
      </c>
      <c r="E132" s="2">
        <v>340000</v>
      </c>
      <c r="F132" s="1">
        <v>4.668521806741701E-2</v>
      </c>
      <c r="G132">
        <v>30</v>
      </c>
      <c r="H132" s="6">
        <f t="shared" si="8"/>
        <v>-1756.9414700267623</v>
      </c>
      <c r="I132">
        <v>67</v>
      </c>
      <c r="J132" s="6">
        <f t="shared" si="9"/>
        <v>306838.78568016167</v>
      </c>
      <c r="K132" t="s">
        <v>13</v>
      </c>
      <c r="L132" t="str">
        <f t="shared" si="7"/>
        <v>GNMA</v>
      </c>
    </row>
    <row r="133" spans="2:12" x14ac:dyDescent="0.3">
      <c r="B133">
        <v>117</v>
      </c>
      <c r="C133">
        <v>26400832</v>
      </c>
      <c r="D133" t="s">
        <v>2</v>
      </c>
      <c r="E133" s="2">
        <v>380000</v>
      </c>
      <c r="F133" s="1">
        <v>4.9991672426802622E-2</v>
      </c>
      <c r="G133">
        <v>30</v>
      </c>
      <c r="H133" s="6">
        <f t="shared" si="8"/>
        <v>-2039.7287724035755</v>
      </c>
      <c r="I133">
        <v>284</v>
      </c>
      <c r="J133" s="6">
        <f t="shared" si="9"/>
        <v>132641.33289572553</v>
      </c>
      <c r="K133" t="s">
        <v>10</v>
      </c>
      <c r="L133" t="str">
        <f t="shared" si="7"/>
        <v>FHLMC</v>
      </c>
    </row>
    <row r="134" spans="2:12" x14ac:dyDescent="0.3">
      <c r="B134">
        <v>118</v>
      </c>
      <c r="C134">
        <v>56764510</v>
      </c>
      <c r="D134" t="s">
        <v>2</v>
      </c>
      <c r="E134" s="2">
        <v>340000</v>
      </c>
      <c r="F134" s="1">
        <v>8.5340966360992601E-2</v>
      </c>
      <c r="G134">
        <v>15</v>
      </c>
      <c r="H134" s="6">
        <f t="shared" si="8"/>
        <v>-3354.913387689614</v>
      </c>
      <c r="I134">
        <v>17</v>
      </c>
      <c r="J134" s="6">
        <f t="shared" si="9"/>
        <v>323133.14511068602</v>
      </c>
      <c r="K134" t="s">
        <v>13</v>
      </c>
      <c r="L134" t="str">
        <f t="shared" si="7"/>
        <v>GNMA</v>
      </c>
    </row>
    <row r="135" spans="2:12" x14ac:dyDescent="0.3">
      <c r="B135">
        <v>119</v>
      </c>
      <c r="C135">
        <v>36145045</v>
      </c>
      <c r="D135" t="s">
        <v>2</v>
      </c>
      <c r="E135" s="2">
        <v>410000</v>
      </c>
      <c r="F135" s="1">
        <v>7.5583847572718132E-2</v>
      </c>
      <c r="G135">
        <v>15</v>
      </c>
      <c r="H135" s="6">
        <f t="shared" si="8"/>
        <v>-3814.3663631752834</v>
      </c>
      <c r="I135">
        <v>42</v>
      </c>
      <c r="J135" s="6">
        <f t="shared" si="9"/>
        <v>350981.32259311236</v>
      </c>
      <c r="K135" t="s">
        <v>9</v>
      </c>
      <c r="L135" t="str">
        <f t="shared" si="7"/>
        <v>GNMA</v>
      </c>
    </row>
    <row r="136" spans="2:12" x14ac:dyDescent="0.3">
      <c r="B136">
        <v>120</v>
      </c>
      <c r="C136">
        <v>29047113</v>
      </c>
      <c r="D136" t="s">
        <v>2</v>
      </c>
      <c r="E136" s="2">
        <v>270000</v>
      </c>
      <c r="F136" s="1">
        <v>7.7926012795862518E-2</v>
      </c>
      <c r="G136">
        <v>30</v>
      </c>
      <c r="H136" s="6">
        <f t="shared" si="8"/>
        <v>-1942.2676240636117</v>
      </c>
      <c r="I136">
        <v>330</v>
      </c>
      <c r="J136" s="6">
        <f t="shared" si="9"/>
        <v>52788.504493355722</v>
      </c>
      <c r="K136" t="s">
        <v>11</v>
      </c>
      <c r="L136" t="str">
        <f t="shared" si="7"/>
        <v>FNMA</v>
      </c>
    </row>
    <row r="137" spans="2:12" x14ac:dyDescent="0.3">
      <c r="B137">
        <v>121</v>
      </c>
      <c r="C137">
        <v>87579604</v>
      </c>
      <c r="D137" t="s">
        <v>2</v>
      </c>
      <c r="E137" s="2">
        <v>250000</v>
      </c>
      <c r="F137" s="1">
        <v>2.2360686555375126E-2</v>
      </c>
      <c r="G137">
        <v>15</v>
      </c>
      <c r="H137" s="6">
        <f t="shared" si="8"/>
        <v>-1636.0907706143087</v>
      </c>
      <c r="I137">
        <v>90</v>
      </c>
      <c r="J137" s="6">
        <f t="shared" si="9"/>
        <v>135447.38920004253</v>
      </c>
      <c r="K137" t="s">
        <v>11</v>
      </c>
      <c r="L137" t="str">
        <f t="shared" si="7"/>
        <v>FNMA</v>
      </c>
    </row>
    <row r="138" spans="2:12" x14ac:dyDescent="0.3">
      <c r="B138">
        <v>122</v>
      </c>
      <c r="C138">
        <v>19460471</v>
      </c>
      <c r="D138" t="s">
        <v>2</v>
      </c>
      <c r="E138" s="2">
        <v>190000</v>
      </c>
      <c r="F138" s="1">
        <v>3.7814520931784459E-2</v>
      </c>
      <c r="G138">
        <v>30</v>
      </c>
      <c r="H138" s="6">
        <f t="shared" si="8"/>
        <v>-883.31401145040593</v>
      </c>
      <c r="I138">
        <v>287</v>
      </c>
      <c r="J138" s="6">
        <f t="shared" si="9"/>
        <v>57522.14840909552</v>
      </c>
      <c r="K138" t="s">
        <v>10</v>
      </c>
      <c r="L138" t="str">
        <f t="shared" si="7"/>
        <v>FHLMC</v>
      </c>
    </row>
    <row r="139" spans="2:12" x14ac:dyDescent="0.3">
      <c r="B139">
        <v>123</v>
      </c>
      <c r="C139">
        <v>49318803</v>
      </c>
      <c r="D139" t="s">
        <v>2</v>
      </c>
      <c r="E139" s="2">
        <v>300000</v>
      </c>
      <c r="F139" s="1">
        <v>6.2918411461241788E-2</v>
      </c>
      <c r="G139">
        <v>15</v>
      </c>
      <c r="H139" s="6">
        <f t="shared" si="8"/>
        <v>-2579.1148082440081</v>
      </c>
      <c r="I139">
        <v>53</v>
      </c>
      <c r="J139" s="6">
        <f t="shared" si="9"/>
        <v>238711.4957636068</v>
      </c>
      <c r="K139" t="s">
        <v>11</v>
      </c>
      <c r="L139" t="str">
        <f t="shared" si="7"/>
        <v>FNMA</v>
      </c>
    </row>
    <row r="140" spans="2:12" x14ac:dyDescent="0.3">
      <c r="B140">
        <v>124</v>
      </c>
      <c r="C140">
        <v>30774746</v>
      </c>
      <c r="D140" t="s">
        <v>2</v>
      </c>
      <c r="E140" s="2">
        <v>130000</v>
      </c>
      <c r="F140" s="1">
        <v>3.4605535037912347E-2</v>
      </c>
      <c r="G140">
        <v>15</v>
      </c>
      <c r="H140" s="6">
        <f t="shared" si="8"/>
        <v>-926.83108054887657</v>
      </c>
      <c r="I140">
        <v>86</v>
      </c>
      <c r="J140" s="6">
        <f t="shared" si="9"/>
        <v>76216.538546413198</v>
      </c>
      <c r="K140" t="s">
        <v>9</v>
      </c>
      <c r="L140" t="str">
        <f t="shared" si="7"/>
        <v>GNMA</v>
      </c>
    </row>
    <row r="141" spans="2:12" x14ac:dyDescent="0.3">
      <c r="B141">
        <v>125</v>
      </c>
      <c r="C141">
        <v>53409938</v>
      </c>
      <c r="D141" t="s">
        <v>2</v>
      </c>
      <c r="E141" s="2">
        <v>110000</v>
      </c>
      <c r="F141" s="1">
        <v>3.4229733471017439E-2</v>
      </c>
      <c r="G141">
        <v>30</v>
      </c>
      <c r="H141" s="6">
        <f t="shared" si="8"/>
        <v>-489.23164472366238</v>
      </c>
      <c r="I141">
        <v>295</v>
      </c>
      <c r="J141" s="6">
        <f t="shared" si="9"/>
        <v>28988.461649952435</v>
      </c>
      <c r="K141" t="s">
        <v>12</v>
      </c>
      <c r="L141" t="str">
        <f t="shared" si="7"/>
        <v>GNMA</v>
      </c>
    </row>
    <row r="142" spans="2:12" x14ac:dyDescent="0.3">
      <c r="B142">
        <v>126</v>
      </c>
      <c r="C142">
        <v>77171778</v>
      </c>
      <c r="D142" t="s">
        <v>2</v>
      </c>
      <c r="E142" s="2">
        <v>210000</v>
      </c>
      <c r="F142" s="1">
        <v>4.7007634568982694E-2</v>
      </c>
      <c r="G142">
        <v>20</v>
      </c>
      <c r="H142" s="6">
        <f t="shared" si="8"/>
        <v>-1351.4291694817948</v>
      </c>
      <c r="I142">
        <v>72</v>
      </c>
      <c r="J142" s="6">
        <f t="shared" si="9"/>
        <v>166113.61442796746</v>
      </c>
      <c r="K142" t="s">
        <v>12</v>
      </c>
      <c r="L142" t="str">
        <f t="shared" si="7"/>
        <v>GNMA</v>
      </c>
    </row>
    <row r="143" spans="2:12" x14ac:dyDescent="0.3">
      <c r="B143">
        <v>127</v>
      </c>
      <c r="C143">
        <v>81971835</v>
      </c>
      <c r="D143" t="s">
        <v>2</v>
      </c>
      <c r="E143" s="2">
        <v>320000</v>
      </c>
      <c r="F143" s="1">
        <v>8.1868207234357213E-2</v>
      </c>
      <c r="G143">
        <v>15</v>
      </c>
      <c r="H143" s="6">
        <f t="shared" si="8"/>
        <v>-3092.6989074109324</v>
      </c>
      <c r="I143">
        <v>4</v>
      </c>
      <c r="J143" s="6">
        <f t="shared" si="9"/>
        <v>316324.41203627427</v>
      </c>
      <c r="K143" t="s">
        <v>9</v>
      </c>
      <c r="L143" t="str">
        <f t="shared" si="7"/>
        <v>GNMA</v>
      </c>
    </row>
    <row r="144" spans="2:12" x14ac:dyDescent="0.3">
      <c r="B144">
        <v>128</v>
      </c>
      <c r="C144">
        <v>48132930</v>
      </c>
      <c r="D144" t="s">
        <v>2</v>
      </c>
      <c r="E144" s="2">
        <v>140000</v>
      </c>
      <c r="F144" s="1">
        <v>2.3522228194114383E-2</v>
      </c>
      <c r="G144">
        <v>20</v>
      </c>
      <c r="H144" s="6">
        <f t="shared" si="8"/>
        <v>-731.82649204647726</v>
      </c>
      <c r="I144">
        <v>100</v>
      </c>
      <c r="J144" s="6">
        <f t="shared" si="9"/>
        <v>89523.612178655414</v>
      </c>
      <c r="K144" t="s">
        <v>13</v>
      </c>
      <c r="L144" t="str">
        <f t="shared" si="7"/>
        <v>GNMA</v>
      </c>
    </row>
    <row r="145" spans="2:12" x14ac:dyDescent="0.3">
      <c r="B145">
        <v>129</v>
      </c>
      <c r="C145">
        <v>95454260</v>
      </c>
      <c r="D145" t="s">
        <v>2</v>
      </c>
      <c r="E145" s="2">
        <v>200000</v>
      </c>
      <c r="F145" s="1">
        <v>5.9759655653747787E-2</v>
      </c>
      <c r="G145">
        <v>30</v>
      </c>
      <c r="H145" s="6">
        <f t="shared" ref="H145:H176" si="10">INDEX(MASTER_DATA,MATCH($C145,MASTER_ROWS,0),MATCH(H$16,MASTER_HEADERS,0))</f>
        <v>-1196.0123591701058</v>
      </c>
      <c r="I145">
        <v>22</v>
      </c>
      <c r="J145" s="6">
        <f t="shared" ref="J145:J176" si="11">INDEX(MASTER_DATA,MATCH($C145,MASTER_ROWS,0),MATCH(J$16,MASTER_HEADERS,0))</f>
        <v>195361.68322919542</v>
      </c>
      <c r="K145" t="s">
        <v>13</v>
      </c>
      <c r="L145" t="str">
        <f t="shared" si="7"/>
        <v>GNMA</v>
      </c>
    </row>
    <row r="146" spans="2:12" x14ac:dyDescent="0.3">
      <c r="B146">
        <v>130</v>
      </c>
      <c r="C146">
        <v>59273999</v>
      </c>
      <c r="D146" t="s">
        <v>2</v>
      </c>
      <c r="E146" s="2">
        <v>360000</v>
      </c>
      <c r="F146" s="1">
        <v>5.3519955426174042E-2</v>
      </c>
      <c r="G146">
        <v>15</v>
      </c>
      <c r="H146" s="6">
        <f t="shared" si="10"/>
        <v>-2913.3027813134468</v>
      </c>
      <c r="I146">
        <v>179</v>
      </c>
      <c r="J146" s="6">
        <f t="shared" si="11"/>
        <v>2900.3671545774155</v>
      </c>
      <c r="K146" t="s">
        <v>13</v>
      </c>
      <c r="L146" t="str">
        <f t="shared" ref="L146:L190" si="12">VLOOKUP(K146,$E$6:$F$10,2,FALSE)</f>
        <v>GNMA</v>
      </c>
    </row>
    <row r="147" spans="2:12" x14ac:dyDescent="0.3">
      <c r="B147">
        <v>131</v>
      </c>
      <c r="C147">
        <v>74183133</v>
      </c>
      <c r="D147" t="s">
        <v>2</v>
      </c>
      <c r="E147" s="2">
        <v>260000</v>
      </c>
      <c r="F147" s="1">
        <v>5.5635707435100275E-2</v>
      </c>
      <c r="G147">
        <v>30</v>
      </c>
      <c r="H147" s="6">
        <f t="shared" si="10"/>
        <v>-1486.6382135935514</v>
      </c>
      <c r="I147">
        <v>75</v>
      </c>
      <c r="J147" s="6">
        <f t="shared" si="11"/>
        <v>234847.75208026863</v>
      </c>
      <c r="K147" t="s">
        <v>11</v>
      </c>
      <c r="L147" t="str">
        <f t="shared" si="12"/>
        <v>FNMA</v>
      </c>
    </row>
    <row r="148" spans="2:12" x14ac:dyDescent="0.3">
      <c r="B148">
        <v>132</v>
      </c>
      <c r="C148">
        <v>46404591</v>
      </c>
      <c r="D148" t="s">
        <v>1</v>
      </c>
      <c r="E148" s="2">
        <v>440000</v>
      </c>
      <c r="F148" s="1">
        <v>3.4147634194001963E-2</v>
      </c>
      <c r="G148">
        <v>20</v>
      </c>
      <c r="H148" s="6">
        <f t="shared" si="10"/>
        <v>-2532.5930831414826</v>
      </c>
      <c r="I148">
        <v>212</v>
      </c>
      <c r="J148" s="6">
        <f t="shared" si="11"/>
        <v>68068.089213422427</v>
      </c>
      <c r="K148" t="s">
        <v>10</v>
      </c>
      <c r="L148" t="str">
        <f t="shared" si="12"/>
        <v>FHLMC</v>
      </c>
    </row>
    <row r="149" spans="2:12" x14ac:dyDescent="0.3">
      <c r="B149">
        <v>133</v>
      </c>
      <c r="C149">
        <v>58799609</v>
      </c>
      <c r="D149" t="s">
        <v>1</v>
      </c>
      <c r="E149" s="2">
        <v>360000</v>
      </c>
      <c r="F149" s="1">
        <v>5.1870351612887451E-2</v>
      </c>
      <c r="G149">
        <v>30</v>
      </c>
      <c r="H149" s="6">
        <f t="shared" si="10"/>
        <v>-1973.9169150348255</v>
      </c>
      <c r="I149">
        <v>249</v>
      </c>
      <c r="J149" s="6">
        <f t="shared" si="11"/>
        <v>173736.85878153448</v>
      </c>
      <c r="K149" t="s">
        <v>13</v>
      </c>
      <c r="L149" t="str">
        <f t="shared" si="12"/>
        <v>GNMA</v>
      </c>
    </row>
    <row r="150" spans="2:12" x14ac:dyDescent="0.3">
      <c r="B150">
        <v>134</v>
      </c>
      <c r="C150">
        <v>45991355</v>
      </c>
      <c r="D150" t="s">
        <v>1</v>
      </c>
      <c r="E150" s="2">
        <v>400000</v>
      </c>
      <c r="F150" s="1">
        <v>5.9758883555077774E-2</v>
      </c>
      <c r="G150">
        <v>20</v>
      </c>
      <c r="H150" s="6">
        <f t="shared" si="10"/>
        <v>-2860.1629593829925</v>
      </c>
      <c r="I150">
        <v>28</v>
      </c>
      <c r="J150" s="6">
        <f t="shared" si="11"/>
        <v>373983.30680385057</v>
      </c>
      <c r="K150" t="s">
        <v>9</v>
      </c>
      <c r="L150" t="str">
        <f t="shared" si="12"/>
        <v>GNMA</v>
      </c>
    </row>
    <row r="151" spans="2:12" x14ac:dyDescent="0.3">
      <c r="B151">
        <v>135</v>
      </c>
      <c r="C151">
        <v>40766918</v>
      </c>
      <c r="D151" t="s">
        <v>1</v>
      </c>
      <c r="E151" s="2">
        <v>390000</v>
      </c>
      <c r="F151" s="1">
        <v>4.3504269841479912E-2</v>
      </c>
      <c r="G151">
        <v>15</v>
      </c>
      <c r="H151" s="6">
        <f t="shared" si="10"/>
        <v>-2953.747545750673</v>
      </c>
      <c r="I151">
        <v>49</v>
      </c>
      <c r="J151" s="6">
        <f t="shared" si="11"/>
        <v>307592.91336829832</v>
      </c>
      <c r="K151" t="s">
        <v>12</v>
      </c>
      <c r="L151" t="str">
        <f t="shared" si="12"/>
        <v>GNMA</v>
      </c>
    </row>
    <row r="152" spans="2:12" x14ac:dyDescent="0.3">
      <c r="B152">
        <v>136</v>
      </c>
      <c r="C152">
        <v>50543518</v>
      </c>
      <c r="D152" t="s">
        <v>1</v>
      </c>
      <c r="E152" s="2">
        <v>210000</v>
      </c>
      <c r="F152" s="1">
        <v>6.6997557171815436E-2</v>
      </c>
      <c r="G152">
        <v>30</v>
      </c>
      <c r="H152" s="6">
        <f t="shared" si="10"/>
        <v>-1355.0497259540837</v>
      </c>
      <c r="I152">
        <v>306</v>
      </c>
      <c r="J152" s="6">
        <f t="shared" si="11"/>
        <v>63021.459962368383</v>
      </c>
      <c r="K152" t="s">
        <v>12</v>
      </c>
      <c r="L152" t="str">
        <f t="shared" si="12"/>
        <v>GNMA</v>
      </c>
    </row>
    <row r="153" spans="2:12" x14ac:dyDescent="0.3">
      <c r="B153">
        <v>137</v>
      </c>
      <c r="C153">
        <v>28254071</v>
      </c>
      <c r="D153" t="s">
        <v>1</v>
      </c>
      <c r="E153" s="2">
        <v>290000</v>
      </c>
      <c r="F153" s="1">
        <v>2.4733212439948523E-2</v>
      </c>
      <c r="G153">
        <v>15</v>
      </c>
      <c r="H153" s="6">
        <f t="shared" si="10"/>
        <v>-1930.0487801292927</v>
      </c>
      <c r="I153">
        <v>53</v>
      </c>
      <c r="J153" s="6">
        <f t="shared" si="11"/>
        <v>215466.38368277025</v>
      </c>
      <c r="K153" t="s">
        <v>10</v>
      </c>
      <c r="L153" t="str">
        <f t="shared" si="12"/>
        <v>FHLMC</v>
      </c>
    </row>
    <row r="154" spans="2:12" x14ac:dyDescent="0.3">
      <c r="B154">
        <v>138</v>
      </c>
      <c r="C154">
        <v>66109061</v>
      </c>
      <c r="D154" t="s">
        <v>1</v>
      </c>
      <c r="E154" s="2">
        <v>380000</v>
      </c>
      <c r="F154" s="1">
        <v>6.5073173837024004E-2</v>
      </c>
      <c r="G154">
        <v>15</v>
      </c>
      <c r="H154" s="6">
        <f t="shared" si="10"/>
        <v>-3311.7367835051036</v>
      </c>
      <c r="I154">
        <v>177</v>
      </c>
      <c r="J154" s="6">
        <f t="shared" si="11"/>
        <v>9828.4237387075154</v>
      </c>
      <c r="K154" t="s">
        <v>10</v>
      </c>
      <c r="L154" t="str">
        <f t="shared" si="12"/>
        <v>FHLMC</v>
      </c>
    </row>
    <row r="155" spans="2:12" x14ac:dyDescent="0.3">
      <c r="B155">
        <v>139</v>
      </c>
      <c r="C155">
        <v>21617507</v>
      </c>
      <c r="D155" t="s">
        <v>1</v>
      </c>
      <c r="E155" s="2">
        <v>370000</v>
      </c>
      <c r="F155" s="1">
        <v>7.5409423490472402E-2</v>
      </c>
      <c r="G155">
        <v>20</v>
      </c>
      <c r="H155" s="6">
        <f t="shared" si="10"/>
        <v>-2989.9645471773642</v>
      </c>
      <c r="I155">
        <v>136</v>
      </c>
      <c r="J155" s="6">
        <f t="shared" si="11"/>
        <v>227782.3157421826</v>
      </c>
      <c r="K155" t="s">
        <v>12</v>
      </c>
      <c r="L155" t="str">
        <f t="shared" si="12"/>
        <v>GNMA</v>
      </c>
    </row>
    <row r="156" spans="2:12" x14ac:dyDescent="0.3">
      <c r="B156">
        <v>140</v>
      </c>
      <c r="C156">
        <v>97989606</v>
      </c>
      <c r="D156" t="s">
        <v>1</v>
      </c>
      <c r="E156" s="2">
        <v>190000</v>
      </c>
      <c r="F156" s="1">
        <v>3.9082079146889916E-2</v>
      </c>
      <c r="G156">
        <v>15</v>
      </c>
      <c r="H156" s="6">
        <f t="shared" si="10"/>
        <v>-1396.6832379755779</v>
      </c>
      <c r="I156">
        <v>74</v>
      </c>
      <c r="J156" s="6">
        <f t="shared" si="11"/>
        <v>125026.53335086055</v>
      </c>
      <c r="K156" t="s">
        <v>9</v>
      </c>
      <c r="L156" t="str">
        <f t="shared" si="12"/>
        <v>GNMA</v>
      </c>
    </row>
    <row r="157" spans="2:12" x14ac:dyDescent="0.3">
      <c r="B157">
        <v>141</v>
      </c>
      <c r="C157">
        <v>39361910</v>
      </c>
      <c r="D157" t="s">
        <v>1</v>
      </c>
      <c r="E157" s="2">
        <v>80000</v>
      </c>
      <c r="F157" s="1">
        <v>2.918801643188013E-2</v>
      </c>
      <c r="G157">
        <v>15</v>
      </c>
      <c r="H157" s="6">
        <f t="shared" si="10"/>
        <v>-549.34651843590734</v>
      </c>
      <c r="I157">
        <v>7</v>
      </c>
      <c r="J157" s="6">
        <f t="shared" si="11"/>
        <v>77498.487382740379</v>
      </c>
      <c r="K157" t="s">
        <v>13</v>
      </c>
      <c r="L157" t="str">
        <f t="shared" si="12"/>
        <v>GNMA</v>
      </c>
    </row>
    <row r="158" spans="2:12" x14ac:dyDescent="0.3">
      <c r="B158">
        <v>142</v>
      </c>
      <c r="C158">
        <v>92208306</v>
      </c>
      <c r="D158" t="s">
        <v>1</v>
      </c>
      <c r="E158" s="2">
        <v>200000</v>
      </c>
      <c r="F158" s="1">
        <v>2.7108181721399505E-2</v>
      </c>
      <c r="G158">
        <v>20</v>
      </c>
      <c r="H158" s="6">
        <f t="shared" si="10"/>
        <v>-1080.4663531994659</v>
      </c>
      <c r="I158">
        <v>90</v>
      </c>
      <c r="J158" s="6">
        <f t="shared" si="11"/>
        <v>137336.40374766377</v>
      </c>
      <c r="K158" t="s">
        <v>9</v>
      </c>
      <c r="L158" t="str">
        <f t="shared" si="12"/>
        <v>GNMA</v>
      </c>
    </row>
    <row r="159" spans="2:12" x14ac:dyDescent="0.3">
      <c r="B159">
        <v>143</v>
      </c>
      <c r="C159">
        <v>70859925</v>
      </c>
      <c r="D159" t="s">
        <v>1</v>
      </c>
      <c r="E159" s="2">
        <v>440000</v>
      </c>
      <c r="F159" s="1">
        <v>7.8279039349961069E-2</v>
      </c>
      <c r="G159">
        <v>30</v>
      </c>
      <c r="H159" s="6">
        <f t="shared" si="10"/>
        <v>-3175.9338745549298</v>
      </c>
      <c r="I159">
        <v>206</v>
      </c>
      <c r="J159" s="6">
        <f t="shared" si="11"/>
        <v>307992.44094564364</v>
      </c>
      <c r="K159" t="s">
        <v>9</v>
      </c>
      <c r="L159" t="str">
        <f t="shared" si="12"/>
        <v>GNMA</v>
      </c>
    </row>
    <row r="160" spans="2:12" x14ac:dyDescent="0.3">
      <c r="B160">
        <v>144</v>
      </c>
      <c r="C160">
        <v>38351345</v>
      </c>
      <c r="D160" t="s">
        <v>1</v>
      </c>
      <c r="E160" s="2">
        <v>230000</v>
      </c>
      <c r="F160" s="1">
        <v>8.5661220417817804E-2</v>
      </c>
      <c r="G160">
        <v>30</v>
      </c>
      <c r="H160" s="6">
        <f t="shared" si="10"/>
        <v>-1779.2903232090136</v>
      </c>
      <c r="I160">
        <v>316</v>
      </c>
      <c r="J160" s="6">
        <f t="shared" si="11"/>
        <v>66982.805778146241</v>
      </c>
      <c r="K160" t="s">
        <v>9</v>
      </c>
      <c r="L160" t="str">
        <f t="shared" si="12"/>
        <v>GNMA</v>
      </c>
    </row>
    <row r="161" spans="2:12" x14ac:dyDescent="0.3">
      <c r="B161">
        <v>145</v>
      </c>
      <c r="C161">
        <v>38803902</v>
      </c>
      <c r="D161" t="s">
        <v>1</v>
      </c>
      <c r="E161" s="2">
        <v>110000</v>
      </c>
      <c r="F161" s="1">
        <v>3.9948712579245552E-2</v>
      </c>
      <c r="G161">
        <v>15</v>
      </c>
      <c r="H161" s="6">
        <f t="shared" si="10"/>
        <v>-813.37403255032621</v>
      </c>
      <c r="I161">
        <v>13</v>
      </c>
      <c r="J161" s="6">
        <f t="shared" si="11"/>
        <v>104069.14616071964</v>
      </c>
      <c r="K161" t="s">
        <v>10</v>
      </c>
      <c r="L161" t="str">
        <f t="shared" si="12"/>
        <v>FHLMC</v>
      </c>
    </row>
    <row r="162" spans="2:12" x14ac:dyDescent="0.3">
      <c r="B162">
        <v>146</v>
      </c>
      <c r="C162">
        <v>70936359</v>
      </c>
      <c r="D162" t="s">
        <v>1</v>
      </c>
      <c r="E162" s="2">
        <v>150000</v>
      </c>
      <c r="F162" s="1">
        <v>4.8616549792090978E-2</v>
      </c>
      <c r="G162">
        <v>15</v>
      </c>
      <c r="H162" s="6">
        <f t="shared" si="10"/>
        <v>-1175.4085597861902</v>
      </c>
      <c r="I162">
        <v>90</v>
      </c>
      <c r="J162" s="6">
        <f t="shared" si="11"/>
        <v>88497.174099021882</v>
      </c>
      <c r="K162" t="s">
        <v>13</v>
      </c>
      <c r="L162" t="str">
        <f t="shared" si="12"/>
        <v>GNMA</v>
      </c>
    </row>
    <row r="163" spans="2:12" x14ac:dyDescent="0.3">
      <c r="B163">
        <v>147</v>
      </c>
      <c r="C163">
        <v>22527091</v>
      </c>
      <c r="D163" t="s">
        <v>1</v>
      </c>
      <c r="E163" s="2">
        <v>400000</v>
      </c>
      <c r="F163" s="1">
        <v>2.553940346467095E-2</v>
      </c>
      <c r="G163">
        <v>30</v>
      </c>
      <c r="H163" s="6">
        <f t="shared" si="10"/>
        <v>-1591.7243056429579</v>
      </c>
      <c r="I163">
        <v>276</v>
      </c>
      <c r="J163" s="6">
        <f t="shared" si="11"/>
        <v>122315.90578323975</v>
      </c>
      <c r="K163" t="s">
        <v>10</v>
      </c>
      <c r="L163" t="str">
        <f t="shared" si="12"/>
        <v>FHLMC</v>
      </c>
    </row>
    <row r="164" spans="2:12" x14ac:dyDescent="0.3">
      <c r="B164">
        <v>148</v>
      </c>
      <c r="C164">
        <v>85565195</v>
      </c>
      <c r="D164" t="s">
        <v>1</v>
      </c>
      <c r="E164" s="2">
        <v>350000</v>
      </c>
      <c r="F164" s="1">
        <v>3.759737492262525E-2</v>
      </c>
      <c r="G164">
        <v>15</v>
      </c>
      <c r="H164" s="6">
        <f t="shared" si="10"/>
        <v>-2546.9696911629712</v>
      </c>
      <c r="I164">
        <v>80</v>
      </c>
      <c r="J164" s="6">
        <f t="shared" si="11"/>
        <v>218366.14266245431</v>
      </c>
      <c r="K164" t="s">
        <v>9</v>
      </c>
      <c r="L164" t="str">
        <f t="shared" si="12"/>
        <v>GNMA</v>
      </c>
    </row>
    <row r="165" spans="2:12" x14ac:dyDescent="0.3">
      <c r="B165">
        <v>149</v>
      </c>
      <c r="C165">
        <v>49758502</v>
      </c>
      <c r="D165" t="s">
        <v>1</v>
      </c>
      <c r="E165" s="2">
        <v>130000</v>
      </c>
      <c r="F165" s="1">
        <v>5.1929476788526233E-2</v>
      </c>
      <c r="G165">
        <v>15</v>
      </c>
      <c r="H165" s="6">
        <f t="shared" si="10"/>
        <v>-1041.1453845544738</v>
      </c>
      <c r="I165">
        <v>93</v>
      </c>
      <c r="J165" s="6">
        <f t="shared" si="11"/>
        <v>75347.07737762075</v>
      </c>
      <c r="K165" t="s">
        <v>10</v>
      </c>
      <c r="L165" t="str">
        <f t="shared" si="12"/>
        <v>FHLMC</v>
      </c>
    </row>
    <row r="166" spans="2:12" x14ac:dyDescent="0.3">
      <c r="B166">
        <v>150</v>
      </c>
      <c r="C166">
        <v>44521885</v>
      </c>
      <c r="D166" t="s">
        <v>1</v>
      </c>
      <c r="E166" s="2">
        <v>190000</v>
      </c>
      <c r="F166" s="1">
        <v>4.9833531113900251E-2</v>
      </c>
      <c r="G166">
        <v>30</v>
      </c>
      <c r="H166" s="6">
        <f t="shared" si="10"/>
        <v>-1018.0289241065121</v>
      </c>
      <c r="I166">
        <v>174</v>
      </c>
      <c r="J166" s="6">
        <f t="shared" si="11"/>
        <v>131731.72010516841</v>
      </c>
      <c r="K166" t="s">
        <v>9</v>
      </c>
      <c r="L166" t="str">
        <f t="shared" si="12"/>
        <v>GNMA</v>
      </c>
    </row>
    <row r="167" spans="2:12" x14ac:dyDescent="0.3">
      <c r="B167">
        <v>151</v>
      </c>
      <c r="C167">
        <v>81877816</v>
      </c>
      <c r="D167" t="s">
        <v>1</v>
      </c>
      <c r="E167" s="2">
        <v>120000</v>
      </c>
      <c r="F167" s="1">
        <v>4.8171984913974467E-2</v>
      </c>
      <c r="G167">
        <v>15</v>
      </c>
      <c r="H167" s="6">
        <f t="shared" si="10"/>
        <v>-937.56465618487778</v>
      </c>
      <c r="I167">
        <v>27</v>
      </c>
      <c r="J167" s="6">
        <f t="shared" si="11"/>
        <v>107027.87703160969</v>
      </c>
      <c r="K167" t="s">
        <v>9</v>
      </c>
      <c r="L167" t="str">
        <f t="shared" si="12"/>
        <v>GNMA</v>
      </c>
    </row>
    <row r="168" spans="2:12" x14ac:dyDescent="0.3">
      <c r="B168">
        <v>152</v>
      </c>
      <c r="C168">
        <v>30045340</v>
      </c>
      <c r="D168" t="s">
        <v>1</v>
      </c>
      <c r="E168" s="2">
        <v>360000</v>
      </c>
      <c r="F168" s="1">
        <v>8.4051872918695605E-2</v>
      </c>
      <c r="G168">
        <v>20</v>
      </c>
      <c r="H168" s="6">
        <f t="shared" si="10"/>
        <v>-3102.5943125677773</v>
      </c>
      <c r="I168">
        <v>67</v>
      </c>
      <c r="J168" s="6">
        <f t="shared" si="11"/>
        <v>310538.99669582827</v>
      </c>
      <c r="K168" t="s">
        <v>13</v>
      </c>
      <c r="L168" t="str">
        <f t="shared" si="12"/>
        <v>GNMA</v>
      </c>
    </row>
    <row r="169" spans="2:12" x14ac:dyDescent="0.3">
      <c r="B169">
        <v>153</v>
      </c>
      <c r="C169">
        <v>50054768</v>
      </c>
      <c r="D169" t="s">
        <v>1</v>
      </c>
      <c r="E169" s="2">
        <v>140000</v>
      </c>
      <c r="F169" s="1">
        <v>4.7353760052952686E-2</v>
      </c>
      <c r="G169">
        <v>15</v>
      </c>
      <c r="H169" s="6">
        <f t="shared" si="10"/>
        <v>-1087.9085190630351</v>
      </c>
      <c r="I169">
        <v>20</v>
      </c>
      <c r="J169" s="6">
        <f t="shared" si="11"/>
        <v>128879.91179480437</v>
      </c>
      <c r="K169" t="s">
        <v>12</v>
      </c>
      <c r="L169" t="str">
        <f t="shared" si="12"/>
        <v>GNMA</v>
      </c>
    </row>
    <row r="170" spans="2:12" x14ac:dyDescent="0.3">
      <c r="B170">
        <v>154</v>
      </c>
      <c r="C170">
        <v>63115595</v>
      </c>
      <c r="D170" t="s">
        <v>1</v>
      </c>
      <c r="E170" s="2">
        <v>420000</v>
      </c>
      <c r="F170" s="1">
        <v>3.1754491121864389E-2</v>
      </c>
      <c r="G170">
        <v>30</v>
      </c>
      <c r="H170" s="6">
        <f t="shared" si="10"/>
        <v>-1810.7258825168124</v>
      </c>
      <c r="I170">
        <v>40</v>
      </c>
      <c r="J170" s="6">
        <f t="shared" si="11"/>
        <v>390534.24043349538</v>
      </c>
      <c r="K170" t="s">
        <v>9</v>
      </c>
      <c r="L170" t="str">
        <f t="shared" si="12"/>
        <v>GNMA</v>
      </c>
    </row>
    <row r="171" spans="2:12" x14ac:dyDescent="0.3">
      <c r="B171">
        <v>155</v>
      </c>
      <c r="C171">
        <v>12815365</v>
      </c>
      <c r="D171" t="s">
        <v>1</v>
      </c>
      <c r="E171" s="2">
        <v>300000</v>
      </c>
      <c r="F171" s="1">
        <v>7.1192531516652197E-2</v>
      </c>
      <c r="G171">
        <v>15</v>
      </c>
      <c r="H171" s="6">
        <f t="shared" si="10"/>
        <v>-2716.5257069980771</v>
      </c>
      <c r="I171">
        <v>20</v>
      </c>
      <c r="J171" s="6">
        <f t="shared" si="11"/>
        <v>280171.32405919704</v>
      </c>
      <c r="K171" t="s">
        <v>9</v>
      </c>
      <c r="L171" t="str">
        <f t="shared" si="12"/>
        <v>GNMA</v>
      </c>
    </row>
    <row r="172" spans="2:12" x14ac:dyDescent="0.3">
      <c r="B172">
        <v>156</v>
      </c>
      <c r="C172">
        <v>57963170</v>
      </c>
      <c r="D172" t="s">
        <v>1</v>
      </c>
      <c r="E172" s="2">
        <v>190000</v>
      </c>
      <c r="F172" s="1">
        <v>5.577789572375437E-2</v>
      </c>
      <c r="G172">
        <v>15</v>
      </c>
      <c r="H172" s="6">
        <f t="shared" si="10"/>
        <v>-1560.3127311548092</v>
      </c>
      <c r="I172">
        <v>134</v>
      </c>
      <c r="J172" s="6">
        <f t="shared" si="11"/>
        <v>64485.698829029498</v>
      </c>
      <c r="K172" t="s">
        <v>13</v>
      </c>
      <c r="L172" t="str">
        <f t="shared" si="12"/>
        <v>GNMA</v>
      </c>
    </row>
    <row r="173" spans="2:12" x14ac:dyDescent="0.3">
      <c r="B173">
        <v>157</v>
      </c>
      <c r="C173">
        <v>27425669</v>
      </c>
      <c r="D173" t="s">
        <v>1</v>
      </c>
      <c r="E173" s="2">
        <v>120000</v>
      </c>
      <c r="F173" s="1">
        <v>4.5537190045218612E-2</v>
      </c>
      <c r="G173">
        <v>15</v>
      </c>
      <c r="H173" s="6">
        <f t="shared" si="10"/>
        <v>-921.28990326889095</v>
      </c>
      <c r="I173">
        <v>10</v>
      </c>
      <c r="J173" s="6">
        <f t="shared" si="11"/>
        <v>115260.44724317468</v>
      </c>
      <c r="K173" t="s">
        <v>13</v>
      </c>
      <c r="L173" t="str">
        <f t="shared" si="12"/>
        <v>GNMA</v>
      </c>
    </row>
    <row r="174" spans="2:12" x14ac:dyDescent="0.3">
      <c r="B174">
        <v>158</v>
      </c>
      <c r="C174">
        <v>42454326</v>
      </c>
      <c r="D174" t="s">
        <v>1</v>
      </c>
      <c r="E174" s="2">
        <v>230000</v>
      </c>
      <c r="F174" s="1">
        <v>5.0982489981923208E-2</v>
      </c>
      <c r="G174">
        <v>15</v>
      </c>
      <c r="H174" s="6">
        <f t="shared" si="10"/>
        <v>-1830.6184473844403</v>
      </c>
      <c r="I174">
        <v>81</v>
      </c>
      <c r="J174" s="6">
        <f t="shared" si="11"/>
        <v>147691.43016632533</v>
      </c>
      <c r="K174" t="s">
        <v>9</v>
      </c>
      <c r="L174" t="str">
        <f t="shared" si="12"/>
        <v>GNMA</v>
      </c>
    </row>
    <row r="175" spans="2:12" x14ac:dyDescent="0.3">
      <c r="B175">
        <v>159</v>
      </c>
      <c r="C175">
        <v>43854478</v>
      </c>
      <c r="D175" t="s">
        <v>1</v>
      </c>
      <c r="E175" s="2">
        <v>180000</v>
      </c>
      <c r="F175" s="1">
        <v>3.2977812852717114E-2</v>
      </c>
      <c r="G175">
        <v>20</v>
      </c>
      <c r="H175" s="6">
        <f t="shared" si="10"/>
        <v>-1025.3204880582011</v>
      </c>
      <c r="I175">
        <v>55</v>
      </c>
      <c r="J175" s="6">
        <f t="shared" si="11"/>
        <v>148539.46508435311</v>
      </c>
      <c r="K175" t="s">
        <v>12</v>
      </c>
      <c r="L175" t="str">
        <f t="shared" si="12"/>
        <v>GNMA</v>
      </c>
    </row>
    <row r="176" spans="2:12" x14ac:dyDescent="0.3">
      <c r="B176">
        <v>160</v>
      </c>
      <c r="C176">
        <v>28025475</v>
      </c>
      <c r="D176" t="s">
        <v>1</v>
      </c>
      <c r="E176" s="2">
        <v>430000</v>
      </c>
      <c r="F176" s="1">
        <v>5.2234852657205018E-2</v>
      </c>
      <c r="G176">
        <v>15</v>
      </c>
      <c r="H176" s="6">
        <f t="shared" si="10"/>
        <v>-3450.6822795469407</v>
      </c>
      <c r="I176">
        <v>128</v>
      </c>
      <c r="J176" s="6">
        <f t="shared" si="11"/>
        <v>160266.47460750217</v>
      </c>
      <c r="K176" t="s">
        <v>9</v>
      </c>
      <c r="L176" t="str">
        <f t="shared" si="12"/>
        <v>GNMA</v>
      </c>
    </row>
    <row r="177" spans="2:12" x14ac:dyDescent="0.3">
      <c r="B177">
        <v>161</v>
      </c>
      <c r="C177">
        <v>64176281</v>
      </c>
      <c r="D177" t="s">
        <v>1</v>
      </c>
      <c r="E177" s="2">
        <v>340000</v>
      </c>
      <c r="F177" s="1">
        <v>7.8054402152243199E-2</v>
      </c>
      <c r="G177">
        <v>20</v>
      </c>
      <c r="H177" s="6">
        <f t="shared" ref="H177:H190" si="13">INDEX(MASTER_DATA,MATCH($C177,MASTER_ROWS,0),MATCH(H$16,MASTER_HEADERS,0))</f>
        <v>-2802.8658140065268</v>
      </c>
      <c r="I177">
        <v>25</v>
      </c>
      <c r="J177" s="6">
        <f t="shared" ref="J177:J190" si="14">INDEX(MASTER_DATA,MATCH($C177,MASTER_ROWS,0),MATCH(J$16,MASTER_HEADERS,0))</f>
        <v>324003.34447729628</v>
      </c>
      <c r="K177" t="s">
        <v>10</v>
      </c>
      <c r="L177" t="str">
        <f t="shared" si="12"/>
        <v>FHLMC</v>
      </c>
    </row>
    <row r="178" spans="2:12" x14ac:dyDescent="0.3">
      <c r="B178">
        <v>162</v>
      </c>
      <c r="C178">
        <v>19068436</v>
      </c>
      <c r="D178" t="s">
        <v>1</v>
      </c>
      <c r="E178" s="2">
        <v>90000</v>
      </c>
      <c r="F178" s="1">
        <v>8.5197825606209504E-2</v>
      </c>
      <c r="G178">
        <v>20</v>
      </c>
      <c r="H178" s="6">
        <f t="shared" si="13"/>
        <v>-782.16813742200156</v>
      </c>
      <c r="I178">
        <v>214</v>
      </c>
      <c r="J178" s="6">
        <f t="shared" si="14"/>
        <v>18509.967884466841</v>
      </c>
      <c r="K178" t="s">
        <v>9</v>
      </c>
      <c r="L178" t="str">
        <f t="shared" si="12"/>
        <v>GNMA</v>
      </c>
    </row>
    <row r="179" spans="2:12" x14ac:dyDescent="0.3">
      <c r="B179">
        <v>163</v>
      </c>
      <c r="C179">
        <v>55935051</v>
      </c>
      <c r="D179" t="s">
        <v>1</v>
      </c>
      <c r="E179" s="2">
        <v>310000</v>
      </c>
      <c r="F179" s="1">
        <v>6.5776912974517682E-2</v>
      </c>
      <c r="G179">
        <v>15</v>
      </c>
      <c r="H179" s="6">
        <f t="shared" si="13"/>
        <v>-2713.6904725412978</v>
      </c>
      <c r="I179">
        <v>171</v>
      </c>
      <c r="J179" s="6">
        <f t="shared" si="14"/>
        <v>23767.081251326628</v>
      </c>
      <c r="K179" t="s">
        <v>10</v>
      </c>
      <c r="L179" t="str">
        <f t="shared" si="12"/>
        <v>FHLMC</v>
      </c>
    </row>
    <row r="180" spans="2:12" x14ac:dyDescent="0.3">
      <c r="B180">
        <v>164</v>
      </c>
      <c r="C180">
        <v>58190701</v>
      </c>
      <c r="D180" t="s">
        <v>1</v>
      </c>
      <c r="E180" s="2">
        <v>390000</v>
      </c>
      <c r="F180" s="1">
        <v>2.8968661386930758E-2</v>
      </c>
      <c r="G180">
        <v>30</v>
      </c>
      <c r="H180" s="6">
        <f t="shared" si="13"/>
        <v>-1622.6425259479668</v>
      </c>
      <c r="I180">
        <v>42</v>
      </c>
      <c r="J180" s="6">
        <f t="shared" si="14"/>
        <v>359928.7791981693</v>
      </c>
      <c r="K180" t="s">
        <v>10</v>
      </c>
      <c r="L180" t="str">
        <f t="shared" si="12"/>
        <v>FHLMC</v>
      </c>
    </row>
    <row r="181" spans="2:12" x14ac:dyDescent="0.3">
      <c r="B181">
        <v>165</v>
      </c>
      <c r="C181">
        <v>22410771</v>
      </c>
      <c r="D181" t="s">
        <v>1</v>
      </c>
      <c r="E181" s="2">
        <v>280000</v>
      </c>
      <c r="F181" s="1">
        <v>2.7107655095394385E-2</v>
      </c>
      <c r="G181">
        <v>15</v>
      </c>
      <c r="H181" s="6">
        <f t="shared" si="13"/>
        <v>-1894.9174430384887</v>
      </c>
      <c r="I181">
        <v>122</v>
      </c>
      <c r="J181" s="6">
        <f t="shared" si="14"/>
        <v>102900.97550968033</v>
      </c>
      <c r="K181" t="s">
        <v>10</v>
      </c>
      <c r="L181" t="str">
        <f t="shared" si="12"/>
        <v>FHLMC</v>
      </c>
    </row>
    <row r="182" spans="2:12" x14ac:dyDescent="0.3">
      <c r="B182">
        <v>166</v>
      </c>
      <c r="C182">
        <v>60128733</v>
      </c>
      <c r="D182" t="s">
        <v>1</v>
      </c>
      <c r="E182" s="2">
        <v>450000</v>
      </c>
      <c r="F182" s="1">
        <v>7.5354629162056694E-2</v>
      </c>
      <c r="G182">
        <v>15</v>
      </c>
      <c r="H182" s="6">
        <f t="shared" si="13"/>
        <v>-4180.6293078023364</v>
      </c>
      <c r="I182">
        <v>156</v>
      </c>
      <c r="J182" s="6">
        <f t="shared" si="14"/>
        <v>92870.431164271708</v>
      </c>
      <c r="K182" t="s">
        <v>11</v>
      </c>
      <c r="L182" t="str">
        <f t="shared" si="12"/>
        <v>FNMA</v>
      </c>
    </row>
    <row r="183" spans="2:12" x14ac:dyDescent="0.3">
      <c r="B183">
        <v>167</v>
      </c>
      <c r="C183">
        <v>66609862</v>
      </c>
      <c r="D183" t="s">
        <v>1</v>
      </c>
      <c r="E183" s="2">
        <v>400000</v>
      </c>
      <c r="F183" s="1">
        <v>6.4130198135724042E-2</v>
      </c>
      <c r="G183">
        <v>15</v>
      </c>
      <c r="H183" s="6">
        <f t="shared" si="13"/>
        <v>-3465.3314397950089</v>
      </c>
      <c r="I183">
        <v>139</v>
      </c>
      <c r="J183" s="6">
        <f t="shared" si="14"/>
        <v>127286.33027175204</v>
      </c>
      <c r="K183" t="s">
        <v>10</v>
      </c>
      <c r="L183" t="str">
        <f t="shared" si="12"/>
        <v>FHLMC</v>
      </c>
    </row>
    <row r="184" spans="2:12" x14ac:dyDescent="0.3">
      <c r="B184">
        <v>168</v>
      </c>
      <c r="C184">
        <v>64197854</v>
      </c>
      <c r="D184" t="s">
        <v>1</v>
      </c>
      <c r="E184" s="2">
        <v>90000</v>
      </c>
      <c r="F184" s="1">
        <v>8.500410975067306E-2</v>
      </c>
      <c r="G184">
        <v>20</v>
      </c>
      <c r="H184" s="6">
        <f t="shared" si="13"/>
        <v>-781.06432030082647</v>
      </c>
      <c r="I184">
        <v>144</v>
      </c>
      <c r="J184" s="6">
        <f t="shared" si="14"/>
        <v>54269.447517068336</v>
      </c>
      <c r="K184" t="s">
        <v>11</v>
      </c>
      <c r="L184" t="str">
        <f t="shared" si="12"/>
        <v>FNMA</v>
      </c>
    </row>
    <row r="185" spans="2:12" x14ac:dyDescent="0.3">
      <c r="B185">
        <v>169</v>
      </c>
      <c r="C185">
        <v>59656529</v>
      </c>
      <c r="D185" t="s">
        <v>1</v>
      </c>
      <c r="E185" s="2">
        <v>100000</v>
      </c>
      <c r="F185" s="1">
        <v>6.538733883278261E-2</v>
      </c>
      <c r="G185">
        <v>20</v>
      </c>
      <c r="H185" s="6">
        <f t="shared" si="13"/>
        <v>-747.85526058280811</v>
      </c>
      <c r="I185">
        <v>195</v>
      </c>
      <c r="J185" s="6">
        <f t="shared" si="14"/>
        <v>29773.545703494408</v>
      </c>
      <c r="K185" t="s">
        <v>13</v>
      </c>
      <c r="L185" t="str">
        <f t="shared" si="12"/>
        <v>GNMA</v>
      </c>
    </row>
    <row r="186" spans="2:12" x14ac:dyDescent="0.3">
      <c r="B186">
        <v>170</v>
      </c>
      <c r="C186">
        <v>27416011</v>
      </c>
      <c r="D186" t="s">
        <v>1</v>
      </c>
      <c r="E186" s="2">
        <v>320000</v>
      </c>
      <c r="F186" s="1">
        <v>4.5206795026638533E-2</v>
      </c>
      <c r="G186">
        <v>20</v>
      </c>
      <c r="H186" s="6">
        <f t="shared" si="13"/>
        <v>-2028.0517953301764</v>
      </c>
      <c r="I186">
        <v>120</v>
      </c>
      <c r="J186" s="6">
        <f t="shared" si="14"/>
        <v>195497.25390834792</v>
      </c>
      <c r="K186" t="s">
        <v>10</v>
      </c>
      <c r="L186" t="str">
        <f t="shared" si="12"/>
        <v>FHLMC</v>
      </c>
    </row>
    <row r="187" spans="2:12" x14ac:dyDescent="0.3">
      <c r="B187">
        <v>171</v>
      </c>
      <c r="C187">
        <v>48475995</v>
      </c>
      <c r="D187" t="s">
        <v>1</v>
      </c>
      <c r="E187" s="2">
        <v>270000</v>
      </c>
      <c r="F187" s="1">
        <v>8.0420328455112197E-2</v>
      </c>
      <c r="G187">
        <v>15</v>
      </c>
      <c r="H187" s="6">
        <f t="shared" si="13"/>
        <v>-2586.8165856002333</v>
      </c>
      <c r="I187">
        <v>47</v>
      </c>
      <c r="J187" s="6">
        <f t="shared" si="14"/>
        <v>227222.13938087691</v>
      </c>
      <c r="K187" t="s">
        <v>9</v>
      </c>
      <c r="L187" t="str">
        <f t="shared" si="12"/>
        <v>GNMA</v>
      </c>
    </row>
    <row r="188" spans="2:12" x14ac:dyDescent="0.3">
      <c r="B188">
        <v>172</v>
      </c>
      <c r="C188">
        <v>71360853</v>
      </c>
      <c r="D188" t="s">
        <v>1</v>
      </c>
      <c r="E188" s="2">
        <v>430000</v>
      </c>
      <c r="F188" s="1">
        <v>8.948433022180316E-2</v>
      </c>
      <c r="G188">
        <v>15</v>
      </c>
      <c r="H188" s="6">
        <f t="shared" si="13"/>
        <v>-4348.1654276527343</v>
      </c>
      <c r="I188">
        <v>164</v>
      </c>
      <c r="J188" s="6">
        <f t="shared" si="14"/>
        <v>65351.444777577453</v>
      </c>
      <c r="K188" t="s">
        <v>11</v>
      </c>
      <c r="L188" t="str">
        <f t="shared" si="12"/>
        <v>FNMA</v>
      </c>
    </row>
    <row r="189" spans="2:12" x14ac:dyDescent="0.3">
      <c r="B189">
        <v>173</v>
      </c>
      <c r="C189">
        <v>35512275</v>
      </c>
      <c r="D189" t="s">
        <v>1</v>
      </c>
      <c r="E189" s="2">
        <v>380000</v>
      </c>
      <c r="F189" s="1">
        <v>6.1968837801717767E-2</v>
      </c>
      <c r="G189">
        <v>30</v>
      </c>
      <c r="H189" s="6">
        <f t="shared" si="13"/>
        <v>-2326.6137587718663</v>
      </c>
      <c r="I189">
        <v>62</v>
      </c>
      <c r="J189" s="6">
        <f t="shared" si="14"/>
        <v>353461.13425502449</v>
      </c>
      <c r="K189" t="s">
        <v>9</v>
      </c>
      <c r="L189" t="str">
        <f t="shared" si="12"/>
        <v>GNMA</v>
      </c>
    </row>
    <row r="190" spans="2:12" x14ac:dyDescent="0.3">
      <c r="B190">
        <v>174</v>
      </c>
      <c r="C190">
        <v>38613129</v>
      </c>
      <c r="D190" t="s">
        <v>1</v>
      </c>
      <c r="E190" s="2">
        <v>370000</v>
      </c>
      <c r="F190" s="1">
        <v>5.8198216683628096E-2</v>
      </c>
      <c r="G190">
        <v>15</v>
      </c>
      <c r="H190" s="6">
        <f t="shared" si="13"/>
        <v>-3086.3680567423221</v>
      </c>
      <c r="I190">
        <v>28</v>
      </c>
      <c r="J190" s="6">
        <f t="shared" si="14"/>
        <v>331355.10669905931</v>
      </c>
      <c r="K190" t="s">
        <v>13</v>
      </c>
      <c r="L190" t="str">
        <f t="shared" si="12"/>
        <v>GNMA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O190"/>
  <sheetViews>
    <sheetView zoomScale="120" workbookViewId="0">
      <selection activeCell="O17" sqref="O17"/>
    </sheetView>
  </sheetViews>
  <sheetFormatPr defaultRowHeight="10.75" x14ac:dyDescent="0.3"/>
  <cols>
    <col min="1" max="1" width="2.5" customWidth="1"/>
    <col min="2" max="2" width="4.8984375" bestFit="1" customWidth="1"/>
    <col min="3" max="3" width="11.59765625" bestFit="1" customWidth="1"/>
    <col min="4" max="4" width="24.19921875" customWidth="1"/>
    <col min="5" max="5" width="11.59765625" bestFit="1" customWidth="1"/>
    <col min="6" max="6" width="10.59765625" bestFit="1" customWidth="1"/>
    <col min="7" max="7" width="10.796875" bestFit="1" customWidth="1"/>
    <col min="8" max="8" width="13.09765625" bestFit="1" customWidth="1"/>
    <col min="9" max="9" width="13.796875" style="7" bestFit="1" customWidth="1"/>
    <col min="10" max="10" width="13.796875" bestFit="1" customWidth="1"/>
    <col min="13" max="13" width="18.796875" bestFit="1" customWidth="1"/>
    <col min="14" max="14" width="10.796875" customWidth="1"/>
    <col min="15" max="15" width="10.296875" bestFit="1" customWidth="1"/>
  </cols>
  <sheetData>
    <row r="1" spans="2:15" x14ac:dyDescent="0.3">
      <c r="I1"/>
    </row>
    <row r="2" spans="2:15" x14ac:dyDescent="0.3">
      <c r="B2" t="s">
        <v>33</v>
      </c>
      <c r="I2"/>
    </row>
    <row r="3" spans="2:15" x14ac:dyDescent="0.3">
      <c r="I3"/>
    </row>
    <row r="4" spans="2:15" x14ac:dyDescent="0.3">
      <c r="C4" s="12" t="s">
        <v>25</v>
      </c>
      <c r="D4" s="12" t="s">
        <v>22</v>
      </c>
      <c r="I4"/>
    </row>
    <row r="5" spans="2:15" x14ac:dyDescent="0.3">
      <c r="C5" s="22" t="s">
        <v>30</v>
      </c>
      <c r="D5" s="15" t="s">
        <v>27</v>
      </c>
      <c r="I5"/>
    </row>
    <row r="6" spans="2:15" x14ac:dyDescent="0.3">
      <c r="C6" s="22" t="s">
        <v>26</v>
      </c>
      <c r="D6" s="15" t="s">
        <v>28</v>
      </c>
      <c r="I6"/>
    </row>
    <row r="7" spans="2:15" x14ac:dyDescent="0.3">
      <c r="C7" s="22" t="s">
        <v>31</v>
      </c>
      <c r="D7" s="15" t="s">
        <v>29</v>
      </c>
      <c r="I7"/>
    </row>
    <row r="8" spans="2:15" x14ac:dyDescent="0.3">
      <c r="I8"/>
    </row>
    <row r="9" spans="2:15" x14ac:dyDescent="0.3">
      <c r="B9" t="s">
        <v>34</v>
      </c>
      <c r="I9"/>
    </row>
    <row r="10" spans="2:15" x14ac:dyDescent="0.3">
      <c r="I10"/>
    </row>
    <row r="11" spans="2:15" x14ac:dyDescent="0.3">
      <c r="I11"/>
    </row>
    <row r="12" spans="2:15" x14ac:dyDescent="0.3">
      <c r="I12"/>
    </row>
    <row r="13" spans="2:15" x14ac:dyDescent="0.3">
      <c r="I13"/>
    </row>
    <row r="14" spans="2:15" x14ac:dyDescent="0.3">
      <c r="I14"/>
    </row>
    <row r="15" spans="2:15" x14ac:dyDescent="0.3">
      <c r="I15"/>
    </row>
    <row r="16" spans="2:15" x14ac:dyDescent="0.3">
      <c r="B16" s="8" t="s">
        <v>19</v>
      </c>
      <c r="C16" s="8" t="s">
        <v>0</v>
      </c>
      <c r="D16" s="9" t="s">
        <v>15</v>
      </c>
      <c r="E16" s="9" t="s">
        <v>5</v>
      </c>
      <c r="F16" s="9" t="s">
        <v>21</v>
      </c>
      <c r="G16" s="9" t="s">
        <v>20</v>
      </c>
      <c r="H16" s="9" t="s">
        <v>4</v>
      </c>
      <c r="I16" s="9" t="s">
        <v>7</v>
      </c>
      <c r="J16" s="9" t="s">
        <v>6</v>
      </c>
      <c r="K16" s="9" t="s">
        <v>8</v>
      </c>
      <c r="L16" s="9" t="s">
        <v>14</v>
      </c>
      <c r="M16" s="9" t="s">
        <v>24</v>
      </c>
      <c r="N16" s="5" t="s">
        <v>25</v>
      </c>
      <c r="O16" s="5" t="s">
        <v>32</v>
      </c>
    </row>
    <row r="17" spans="2:15" x14ac:dyDescent="0.3">
      <c r="B17">
        <v>1</v>
      </c>
      <c r="C17">
        <v>83449837</v>
      </c>
      <c r="D17" t="s">
        <v>3</v>
      </c>
      <c r="E17" s="2">
        <v>280000</v>
      </c>
      <c r="F17" s="1">
        <v>6.3422300277239399E-2</v>
      </c>
      <c r="G17">
        <v>30</v>
      </c>
      <c r="H17" s="6">
        <f t="shared" ref="H17:H48" si="0">INDEX(MASTER_DATA,MATCH($C17,MASTER_ROWS,0),MATCH(H$16,MASTER_HEADERS,0))</f>
        <v>-1740.8388784193021</v>
      </c>
      <c r="I17">
        <v>191</v>
      </c>
      <c r="J17" s="6">
        <f t="shared" ref="J17:J48" si="1">INDEX(MASTER_DATA,MATCH($C17,MASTER_ROWS,0),MATCH(J$16,MASTER_HEADERS,0))</f>
        <v>194232.77149761905</v>
      </c>
      <c r="K17" t="s">
        <v>12</v>
      </c>
      <c r="L17" s="11" t="str">
        <f t="shared" ref="L17:L48" si="2">INDEX(MASTER_DATA,MATCH($C17,MASTER_ROWS,0),MATCH(L$16,MASTER_HEADERS,0))</f>
        <v>GNMA</v>
      </c>
      <c r="M17">
        <v>6</v>
      </c>
      <c r="N17" t="str">
        <f>IF(M17=0,$C$5,IF((AND(M17&lt;=2,M17&gt;=1)),$C$6,IF(M17&gt;=3,$C$7)))</f>
        <v>90+</v>
      </c>
      <c r="O17" t="str">
        <f>IF(M17&gt;=6,"Y","N")</f>
        <v>Y</v>
      </c>
    </row>
    <row r="18" spans="2:15" x14ac:dyDescent="0.3">
      <c r="B18">
        <v>2</v>
      </c>
      <c r="C18">
        <v>41209504</v>
      </c>
      <c r="D18" t="s">
        <v>3</v>
      </c>
      <c r="E18" s="2">
        <v>370000</v>
      </c>
      <c r="F18" s="1">
        <v>4.7923567837379721E-2</v>
      </c>
      <c r="G18">
        <v>30</v>
      </c>
      <c r="H18" s="6">
        <f t="shared" si="0"/>
        <v>-1939.5527972832565</v>
      </c>
      <c r="I18">
        <v>322</v>
      </c>
      <c r="J18" s="6">
        <f t="shared" si="1"/>
        <v>68256.85188202397</v>
      </c>
      <c r="K18" t="s">
        <v>11</v>
      </c>
      <c r="L18" s="11" t="str">
        <f t="shared" si="2"/>
        <v>FNMA</v>
      </c>
      <c r="M18">
        <v>5</v>
      </c>
      <c r="N18" t="str">
        <f t="shared" ref="N18:N81" si="3">IF(M18=0,$C$5,IF((AND(M18&lt;=2,M18&gt;=1)),$C$6,IF(M18&gt;=3,$C$7)))</f>
        <v>90+</v>
      </c>
      <c r="O18" t="str">
        <f t="shared" ref="O18:O81" si="4">IF(M18&gt;=6,"Y","N")</f>
        <v>N</v>
      </c>
    </row>
    <row r="19" spans="2:15" x14ac:dyDescent="0.3">
      <c r="B19">
        <v>3</v>
      </c>
      <c r="C19">
        <v>25055860</v>
      </c>
      <c r="D19" t="s">
        <v>3</v>
      </c>
      <c r="E19" s="2">
        <v>210000</v>
      </c>
      <c r="F19" s="1">
        <v>6.1424733534152585E-2</v>
      </c>
      <c r="G19">
        <v>20</v>
      </c>
      <c r="H19" s="6">
        <f t="shared" si="0"/>
        <v>-1521.8167990007571</v>
      </c>
      <c r="I19">
        <v>32</v>
      </c>
      <c r="J19" s="6">
        <f t="shared" si="1"/>
        <v>194504.82943547497</v>
      </c>
      <c r="K19" t="s">
        <v>13</v>
      </c>
      <c r="L19" s="11" t="str">
        <f t="shared" si="2"/>
        <v>GNMA</v>
      </c>
      <c r="M19">
        <v>0</v>
      </c>
      <c r="N19" t="str">
        <f t="shared" si="3"/>
        <v>Current</v>
      </c>
      <c r="O19" t="str">
        <f t="shared" si="4"/>
        <v>N</v>
      </c>
    </row>
    <row r="20" spans="2:15" x14ac:dyDescent="0.3">
      <c r="B20">
        <v>4</v>
      </c>
      <c r="C20">
        <v>61173887</v>
      </c>
      <c r="D20" t="s">
        <v>3</v>
      </c>
      <c r="E20" s="2">
        <v>120000</v>
      </c>
      <c r="F20" s="1">
        <v>6.9916583821802616E-2</v>
      </c>
      <c r="G20">
        <v>30</v>
      </c>
      <c r="H20" s="6">
        <f t="shared" si="0"/>
        <v>-797.69084311639654</v>
      </c>
      <c r="I20">
        <v>23</v>
      </c>
      <c r="J20" s="6">
        <f t="shared" si="1"/>
        <v>117582.59194191683</v>
      </c>
      <c r="K20" t="s">
        <v>12</v>
      </c>
      <c r="L20" s="11" t="str">
        <f t="shared" si="2"/>
        <v>GNMA</v>
      </c>
      <c r="M20">
        <v>0</v>
      </c>
      <c r="N20" t="str">
        <f t="shared" si="3"/>
        <v>Current</v>
      </c>
      <c r="O20" t="str">
        <f t="shared" si="4"/>
        <v>N</v>
      </c>
    </row>
    <row r="21" spans="2:15" x14ac:dyDescent="0.3">
      <c r="B21">
        <v>5</v>
      </c>
      <c r="C21">
        <v>51398733</v>
      </c>
      <c r="D21" t="s">
        <v>3</v>
      </c>
      <c r="E21" s="2">
        <v>350000</v>
      </c>
      <c r="F21" s="1">
        <v>5.0134005155326899E-2</v>
      </c>
      <c r="G21">
        <v>20</v>
      </c>
      <c r="H21" s="6">
        <f t="shared" si="0"/>
        <v>-2312.4368284914549</v>
      </c>
      <c r="I21">
        <v>154</v>
      </c>
      <c r="J21" s="6">
        <f t="shared" si="1"/>
        <v>166774.39516807985</v>
      </c>
      <c r="K21" t="s">
        <v>11</v>
      </c>
      <c r="L21" s="11" t="str">
        <f t="shared" si="2"/>
        <v>FNMA</v>
      </c>
      <c r="M21">
        <v>0</v>
      </c>
      <c r="N21" t="str">
        <f t="shared" si="3"/>
        <v>Current</v>
      </c>
      <c r="O21" t="str">
        <f t="shared" si="4"/>
        <v>N</v>
      </c>
    </row>
    <row r="22" spans="2:15" x14ac:dyDescent="0.3">
      <c r="B22">
        <v>6</v>
      </c>
      <c r="C22">
        <v>76906141</v>
      </c>
      <c r="D22" t="s">
        <v>3</v>
      </c>
      <c r="E22" s="2">
        <v>220000</v>
      </c>
      <c r="F22" s="1">
        <v>4.2786225749490842E-2</v>
      </c>
      <c r="G22">
        <v>10</v>
      </c>
      <c r="H22" s="6">
        <f t="shared" si="0"/>
        <v>-2256.6410339925496</v>
      </c>
      <c r="I22">
        <v>47</v>
      </c>
      <c r="J22" s="6">
        <f t="shared" si="1"/>
        <v>144815.13162833391</v>
      </c>
      <c r="K22" t="s">
        <v>10</v>
      </c>
      <c r="L22" s="11" t="str">
        <f t="shared" si="2"/>
        <v>FHLMC</v>
      </c>
      <c r="M22">
        <v>5</v>
      </c>
      <c r="N22" t="str">
        <f t="shared" si="3"/>
        <v>90+</v>
      </c>
      <c r="O22" t="str">
        <f t="shared" si="4"/>
        <v>N</v>
      </c>
    </row>
    <row r="23" spans="2:15" x14ac:dyDescent="0.3">
      <c r="B23">
        <v>7</v>
      </c>
      <c r="C23">
        <v>49304139</v>
      </c>
      <c r="D23" t="s">
        <v>3</v>
      </c>
      <c r="E23" s="2">
        <v>330000</v>
      </c>
      <c r="F23" s="1">
        <v>7.9882925276980848E-2</v>
      </c>
      <c r="G23">
        <v>10</v>
      </c>
      <c r="H23" s="6">
        <f t="shared" si="0"/>
        <v>-4001.7694462201434</v>
      </c>
      <c r="I23">
        <v>81</v>
      </c>
      <c r="J23" s="6">
        <f t="shared" si="1"/>
        <v>137055.7403967772</v>
      </c>
      <c r="K23" t="s">
        <v>13</v>
      </c>
      <c r="L23" s="11" t="str">
        <f t="shared" si="2"/>
        <v>GNMA</v>
      </c>
      <c r="M23">
        <v>5</v>
      </c>
      <c r="N23" t="str">
        <f t="shared" si="3"/>
        <v>90+</v>
      </c>
      <c r="O23" t="str">
        <f t="shared" si="4"/>
        <v>N</v>
      </c>
    </row>
    <row r="24" spans="2:15" x14ac:dyDescent="0.3">
      <c r="B24">
        <v>8</v>
      </c>
      <c r="C24">
        <v>23473039</v>
      </c>
      <c r="D24" t="s">
        <v>3</v>
      </c>
      <c r="E24" s="2">
        <v>160000</v>
      </c>
      <c r="F24" s="1">
        <v>3.7834646761219816E-2</v>
      </c>
      <c r="G24">
        <v>30</v>
      </c>
      <c r="H24" s="6">
        <f t="shared" si="0"/>
        <v>-744.02648275288288</v>
      </c>
      <c r="I24">
        <v>317</v>
      </c>
      <c r="J24" s="6">
        <f t="shared" si="1"/>
        <v>29875.237982358442</v>
      </c>
      <c r="K24" t="s">
        <v>13</v>
      </c>
      <c r="L24" s="11" t="str">
        <f t="shared" si="2"/>
        <v>GNMA</v>
      </c>
      <c r="M24">
        <v>3</v>
      </c>
      <c r="N24" t="str">
        <f t="shared" si="3"/>
        <v>90+</v>
      </c>
      <c r="O24" t="str">
        <f t="shared" si="4"/>
        <v>N</v>
      </c>
    </row>
    <row r="25" spans="2:15" x14ac:dyDescent="0.3">
      <c r="B25">
        <v>9</v>
      </c>
      <c r="C25">
        <v>53651842</v>
      </c>
      <c r="D25" t="s">
        <v>3</v>
      </c>
      <c r="E25" s="2">
        <v>370000</v>
      </c>
      <c r="F25" s="1">
        <v>5.6469996936378344E-2</v>
      </c>
      <c r="G25">
        <v>30</v>
      </c>
      <c r="H25" s="6">
        <f t="shared" si="0"/>
        <v>-2135.0707200458078</v>
      </c>
      <c r="I25">
        <v>73</v>
      </c>
      <c r="J25" s="6">
        <f t="shared" si="1"/>
        <v>335782.61355425371</v>
      </c>
      <c r="K25" t="s">
        <v>10</v>
      </c>
      <c r="L25" s="11" t="str">
        <f t="shared" si="2"/>
        <v>FHLMC</v>
      </c>
      <c r="M25">
        <v>4</v>
      </c>
      <c r="N25" t="str">
        <f t="shared" si="3"/>
        <v>90+</v>
      </c>
      <c r="O25" t="str">
        <f t="shared" si="4"/>
        <v>N</v>
      </c>
    </row>
    <row r="26" spans="2:15" x14ac:dyDescent="0.3">
      <c r="B26">
        <v>10</v>
      </c>
      <c r="C26">
        <v>77159777</v>
      </c>
      <c r="D26" t="s">
        <v>3</v>
      </c>
      <c r="E26" s="2">
        <v>240000</v>
      </c>
      <c r="F26" s="1">
        <v>5.6715626593494835E-2</v>
      </c>
      <c r="G26">
        <v>30</v>
      </c>
      <c r="H26" s="6">
        <f t="shared" si="0"/>
        <v>-1388.6390205991597</v>
      </c>
      <c r="I26">
        <v>174</v>
      </c>
      <c r="J26" s="6">
        <f t="shared" si="1"/>
        <v>171579.60088119478</v>
      </c>
      <c r="K26" t="s">
        <v>12</v>
      </c>
      <c r="L26" s="11" t="str">
        <f t="shared" si="2"/>
        <v>GNMA</v>
      </c>
      <c r="M26">
        <v>9</v>
      </c>
      <c r="N26" t="str">
        <f t="shared" si="3"/>
        <v>90+</v>
      </c>
      <c r="O26" t="str">
        <f t="shared" si="4"/>
        <v>Y</v>
      </c>
    </row>
    <row r="27" spans="2:15" x14ac:dyDescent="0.3">
      <c r="B27">
        <v>11</v>
      </c>
      <c r="C27">
        <v>66573753</v>
      </c>
      <c r="D27" t="s">
        <v>3</v>
      </c>
      <c r="E27" s="2">
        <v>240000</v>
      </c>
      <c r="F27" s="1">
        <v>4.0215407626109097E-2</v>
      </c>
      <c r="G27">
        <v>30</v>
      </c>
      <c r="H27" s="6">
        <f t="shared" si="0"/>
        <v>-1148.7791567926149</v>
      </c>
      <c r="I27">
        <v>80</v>
      </c>
      <c r="J27" s="6">
        <f t="shared" si="1"/>
        <v>208454.89645217644</v>
      </c>
      <c r="K27" t="s">
        <v>11</v>
      </c>
      <c r="L27" s="11" t="str">
        <f t="shared" si="2"/>
        <v>FNMA</v>
      </c>
      <c r="M27">
        <v>2</v>
      </c>
      <c r="N27" t="str">
        <f t="shared" si="3"/>
        <v>30-60</v>
      </c>
      <c r="O27" t="str">
        <f t="shared" si="4"/>
        <v>N</v>
      </c>
    </row>
    <row r="28" spans="2:15" x14ac:dyDescent="0.3">
      <c r="B28">
        <v>12</v>
      </c>
      <c r="C28">
        <v>35312476</v>
      </c>
      <c r="D28" t="s">
        <v>3</v>
      </c>
      <c r="E28" s="2">
        <v>120000</v>
      </c>
      <c r="F28" s="1">
        <v>8.3860466435509498E-2</v>
      </c>
      <c r="G28">
        <v>10</v>
      </c>
      <c r="H28" s="6">
        <f t="shared" si="0"/>
        <v>-1480.5247973648513</v>
      </c>
      <c r="I28">
        <v>103</v>
      </c>
      <c r="J28" s="6">
        <f t="shared" si="1"/>
        <v>23653.598787943563</v>
      </c>
      <c r="K28" t="s">
        <v>9</v>
      </c>
      <c r="L28" s="11" t="str">
        <f t="shared" si="2"/>
        <v>GNMA</v>
      </c>
      <c r="M28">
        <v>4</v>
      </c>
      <c r="N28" t="str">
        <f t="shared" si="3"/>
        <v>90+</v>
      </c>
      <c r="O28" t="str">
        <f t="shared" si="4"/>
        <v>N</v>
      </c>
    </row>
    <row r="29" spans="2:15" x14ac:dyDescent="0.3">
      <c r="B29">
        <v>13</v>
      </c>
      <c r="C29">
        <v>95991315</v>
      </c>
      <c r="D29" t="s">
        <v>3</v>
      </c>
      <c r="E29" s="2">
        <v>150000</v>
      </c>
      <c r="F29" s="1">
        <v>3.5523380678162242E-2</v>
      </c>
      <c r="G29">
        <v>20</v>
      </c>
      <c r="H29" s="6">
        <f t="shared" si="0"/>
        <v>-873.97914438024759</v>
      </c>
      <c r="I29">
        <v>37</v>
      </c>
      <c r="J29" s="6">
        <f t="shared" si="1"/>
        <v>133214.66827461461</v>
      </c>
      <c r="K29" t="s">
        <v>9</v>
      </c>
      <c r="L29" s="11" t="str">
        <f t="shared" si="2"/>
        <v>GNMA</v>
      </c>
      <c r="M29">
        <v>9</v>
      </c>
      <c r="N29" t="str">
        <f t="shared" si="3"/>
        <v>90+</v>
      </c>
      <c r="O29" t="str">
        <f t="shared" si="4"/>
        <v>Y</v>
      </c>
    </row>
    <row r="30" spans="2:15" x14ac:dyDescent="0.3">
      <c r="B30">
        <v>14</v>
      </c>
      <c r="C30">
        <v>30278425</v>
      </c>
      <c r="D30" t="s">
        <v>3</v>
      </c>
      <c r="E30" s="2">
        <v>100000</v>
      </c>
      <c r="F30" s="1">
        <v>3.6067921361398102E-2</v>
      </c>
      <c r="G30">
        <v>20</v>
      </c>
      <c r="H30" s="6">
        <f t="shared" si="0"/>
        <v>-585.46233413051527</v>
      </c>
      <c r="I30">
        <v>238</v>
      </c>
      <c r="J30" s="6">
        <f t="shared" si="1"/>
        <v>1165.6666429540903</v>
      </c>
      <c r="K30" t="s">
        <v>9</v>
      </c>
      <c r="L30" s="11" t="str">
        <f t="shared" si="2"/>
        <v>GNMA</v>
      </c>
      <c r="M30">
        <v>8</v>
      </c>
      <c r="N30" t="str">
        <f t="shared" si="3"/>
        <v>90+</v>
      </c>
      <c r="O30" t="str">
        <f t="shared" si="4"/>
        <v>Y</v>
      </c>
    </row>
    <row r="31" spans="2:15" x14ac:dyDescent="0.3">
      <c r="B31">
        <v>15</v>
      </c>
      <c r="C31">
        <v>89078715</v>
      </c>
      <c r="D31" t="s">
        <v>3</v>
      </c>
      <c r="E31" s="2">
        <v>210000</v>
      </c>
      <c r="F31" s="1">
        <v>2.0976206387454444E-2</v>
      </c>
      <c r="G31">
        <v>10</v>
      </c>
      <c r="H31" s="6">
        <f t="shared" si="0"/>
        <v>-1941.4772703169913</v>
      </c>
      <c r="I31">
        <v>29</v>
      </c>
      <c r="J31" s="6">
        <f t="shared" si="1"/>
        <v>163207.46498471222</v>
      </c>
      <c r="K31" t="s">
        <v>9</v>
      </c>
      <c r="L31" s="11" t="str">
        <f t="shared" si="2"/>
        <v>GNMA</v>
      </c>
      <c r="M31">
        <v>0</v>
      </c>
      <c r="N31" t="str">
        <f t="shared" si="3"/>
        <v>Current</v>
      </c>
      <c r="O31" t="str">
        <f t="shared" si="4"/>
        <v>N</v>
      </c>
    </row>
    <row r="32" spans="2:15" x14ac:dyDescent="0.3">
      <c r="B32">
        <v>16</v>
      </c>
      <c r="C32">
        <v>66655583</v>
      </c>
      <c r="D32" t="s">
        <v>3</v>
      </c>
      <c r="E32" s="2">
        <v>390000</v>
      </c>
      <c r="F32" s="1">
        <v>7.3061166730698637E-2</v>
      </c>
      <c r="G32">
        <v>10</v>
      </c>
      <c r="H32" s="6">
        <f t="shared" si="0"/>
        <v>-4589.999762786163</v>
      </c>
      <c r="I32">
        <v>23</v>
      </c>
      <c r="J32" s="6">
        <f t="shared" si="1"/>
        <v>335480.53454250272</v>
      </c>
      <c r="K32" t="s">
        <v>11</v>
      </c>
      <c r="L32" s="11" t="str">
        <f t="shared" si="2"/>
        <v>FNMA</v>
      </c>
      <c r="M32">
        <v>1</v>
      </c>
      <c r="N32" t="str">
        <f t="shared" si="3"/>
        <v>30-60</v>
      </c>
      <c r="O32" t="str">
        <f t="shared" si="4"/>
        <v>N</v>
      </c>
    </row>
    <row r="33" spans="2:15" x14ac:dyDescent="0.3">
      <c r="B33">
        <v>17</v>
      </c>
      <c r="C33">
        <v>23457613</v>
      </c>
      <c r="D33" t="s">
        <v>3</v>
      </c>
      <c r="E33" s="2">
        <v>240000</v>
      </c>
      <c r="F33" s="1">
        <v>2.7097694596205285E-2</v>
      </c>
      <c r="G33">
        <v>20</v>
      </c>
      <c r="H33" s="6">
        <f t="shared" si="0"/>
        <v>-1296.4355820821277</v>
      </c>
      <c r="I33">
        <v>228</v>
      </c>
      <c r="J33" s="6">
        <f t="shared" si="1"/>
        <v>15331.265380235949</v>
      </c>
      <c r="K33" t="s">
        <v>11</v>
      </c>
      <c r="L33" s="11" t="str">
        <f t="shared" si="2"/>
        <v>FNMA</v>
      </c>
      <c r="M33">
        <v>4</v>
      </c>
      <c r="N33" t="str">
        <f t="shared" si="3"/>
        <v>90+</v>
      </c>
      <c r="O33" t="str">
        <f t="shared" si="4"/>
        <v>N</v>
      </c>
    </row>
    <row r="34" spans="2:15" x14ac:dyDescent="0.3">
      <c r="B34">
        <v>18</v>
      </c>
      <c r="C34">
        <v>68418670</v>
      </c>
      <c r="D34" t="s">
        <v>3</v>
      </c>
      <c r="E34" s="2">
        <v>280000</v>
      </c>
      <c r="F34" s="1">
        <v>2.5842605502086724E-2</v>
      </c>
      <c r="G34">
        <v>20</v>
      </c>
      <c r="H34" s="6">
        <f t="shared" si="0"/>
        <v>-1495.248625286298</v>
      </c>
      <c r="I34">
        <v>69</v>
      </c>
      <c r="J34" s="6">
        <f t="shared" si="1"/>
        <v>213701.82999526226</v>
      </c>
      <c r="K34" t="s">
        <v>13</v>
      </c>
      <c r="L34" s="11" t="str">
        <f t="shared" si="2"/>
        <v>GNMA</v>
      </c>
      <c r="M34">
        <v>0</v>
      </c>
      <c r="N34" t="str">
        <f t="shared" si="3"/>
        <v>Current</v>
      </c>
      <c r="O34" t="str">
        <f t="shared" si="4"/>
        <v>N</v>
      </c>
    </row>
    <row r="35" spans="2:15" x14ac:dyDescent="0.3">
      <c r="B35">
        <v>19</v>
      </c>
      <c r="C35">
        <v>77337678</v>
      </c>
      <c r="D35" t="s">
        <v>3</v>
      </c>
      <c r="E35" s="2">
        <v>310000</v>
      </c>
      <c r="F35" s="1">
        <v>2.7655486798436463E-2</v>
      </c>
      <c r="G35">
        <v>20</v>
      </c>
      <c r="H35" s="6">
        <f t="shared" si="0"/>
        <v>-1683.0972026395843</v>
      </c>
      <c r="I35">
        <v>116</v>
      </c>
      <c r="J35" s="6">
        <f t="shared" si="1"/>
        <v>181351.36327327162</v>
      </c>
      <c r="K35" t="s">
        <v>12</v>
      </c>
      <c r="L35" s="11" t="str">
        <f t="shared" si="2"/>
        <v>GNMA</v>
      </c>
      <c r="M35">
        <v>10</v>
      </c>
      <c r="N35" t="str">
        <f t="shared" si="3"/>
        <v>90+</v>
      </c>
      <c r="O35" t="str">
        <f t="shared" si="4"/>
        <v>Y</v>
      </c>
    </row>
    <row r="36" spans="2:15" x14ac:dyDescent="0.3">
      <c r="B36">
        <v>20</v>
      </c>
      <c r="C36">
        <v>66901329</v>
      </c>
      <c r="D36" t="s">
        <v>3</v>
      </c>
      <c r="E36" s="2">
        <v>300000</v>
      </c>
      <c r="F36" s="1">
        <v>8.0418748029822365E-2</v>
      </c>
      <c r="G36">
        <v>20</v>
      </c>
      <c r="H36" s="6">
        <f t="shared" si="0"/>
        <v>-2517.1441496255266</v>
      </c>
      <c r="I36">
        <v>64</v>
      </c>
      <c r="J36" s="6">
        <f t="shared" si="1"/>
        <v>259674.1056688689</v>
      </c>
      <c r="K36" t="s">
        <v>13</v>
      </c>
      <c r="L36" s="11" t="str">
        <f t="shared" si="2"/>
        <v>GNMA</v>
      </c>
      <c r="M36">
        <v>1</v>
      </c>
      <c r="N36" t="str">
        <f t="shared" si="3"/>
        <v>30-60</v>
      </c>
      <c r="O36" t="str">
        <f t="shared" si="4"/>
        <v>N</v>
      </c>
    </row>
    <row r="37" spans="2:15" x14ac:dyDescent="0.3">
      <c r="B37">
        <v>21</v>
      </c>
      <c r="C37">
        <v>14201616</v>
      </c>
      <c r="D37" t="s">
        <v>3</v>
      </c>
      <c r="E37" s="2">
        <v>200000</v>
      </c>
      <c r="F37" s="1">
        <v>3.8827805000615556E-2</v>
      </c>
      <c r="G37">
        <v>10</v>
      </c>
      <c r="H37" s="6">
        <f t="shared" si="0"/>
        <v>-2013.7795253375859</v>
      </c>
      <c r="I37">
        <v>44</v>
      </c>
      <c r="J37" s="6">
        <f t="shared" si="1"/>
        <v>135488.26608174641</v>
      </c>
      <c r="K37" t="s">
        <v>9</v>
      </c>
      <c r="L37" s="11" t="str">
        <f t="shared" si="2"/>
        <v>GNMA</v>
      </c>
      <c r="M37">
        <v>5</v>
      </c>
      <c r="N37" t="str">
        <f t="shared" si="3"/>
        <v>90+</v>
      </c>
      <c r="O37" t="str">
        <f t="shared" si="4"/>
        <v>N</v>
      </c>
    </row>
    <row r="38" spans="2:15" x14ac:dyDescent="0.3">
      <c r="B38">
        <v>22</v>
      </c>
      <c r="C38">
        <v>33480177</v>
      </c>
      <c r="D38" t="s">
        <v>3</v>
      </c>
      <c r="E38" s="2">
        <v>340000</v>
      </c>
      <c r="F38" s="1">
        <v>4.0557152115227098E-2</v>
      </c>
      <c r="G38">
        <v>20</v>
      </c>
      <c r="H38" s="6">
        <f t="shared" si="0"/>
        <v>-2070.3285625997696</v>
      </c>
      <c r="I38">
        <v>195</v>
      </c>
      <c r="J38" s="6">
        <f t="shared" si="1"/>
        <v>86291.079617235722</v>
      </c>
      <c r="K38" t="s">
        <v>12</v>
      </c>
      <c r="L38" s="11" t="str">
        <f t="shared" si="2"/>
        <v>GNMA</v>
      </c>
      <c r="M38">
        <v>9</v>
      </c>
      <c r="N38" t="str">
        <f t="shared" si="3"/>
        <v>90+</v>
      </c>
      <c r="O38" t="str">
        <f t="shared" si="4"/>
        <v>Y</v>
      </c>
    </row>
    <row r="39" spans="2:15" x14ac:dyDescent="0.3">
      <c r="B39">
        <v>23</v>
      </c>
      <c r="C39">
        <v>29381592</v>
      </c>
      <c r="D39" t="s">
        <v>3</v>
      </c>
      <c r="E39" s="2">
        <v>360000</v>
      </c>
      <c r="F39" s="1">
        <v>7.5597074524101956E-2</v>
      </c>
      <c r="G39">
        <v>10</v>
      </c>
      <c r="H39" s="6">
        <f t="shared" si="0"/>
        <v>-4284.4905459633765</v>
      </c>
      <c r="I39">
        <v>61</v>
      </c>
      <c r="J39" s="6">
        <f t="shared" si="1"/>
        <v>210576.97345214253</v>
      </c>
      <c r="K39" t="s">
        <v>10</v>
      </c>
      <c r="L39" s="11" t="str">
        <f t="shared" si="2"/>
        <v>FHLMC</v>
      </c>
      <c r="M39">
        <v>3</v>
      </c>
      <c r="N39" t="str">
        <f t="shared" si="3"/>
        <v>90+</v>
      </c>
      <c r="O39" t="str">
        <f t="shared" si="4"/>
        <v>N</v>
      </c>
    </row>
    <row r="40" spans="2:15" x14ac:dyDescent="0.3">
      <c r="B40">
        <v>24</v>
      </c>
      <c r="C40">
        <v>50137533</v>
      </c>
      <c r="D40" t="s">
        <v>3</v>
      </c>
      <c r="E40" s="2">
        <v>320000</v>
      </c>
      <c r="F40" s="1">
        <v>3.5673924310420199E-2</v>
      </c>
      <c r="G40">
        <v>30</v>
      </c>
      <c r="H40" s="6">
        <f t="shared" si="0"/>
        <v>-1449.008116844846</v>
      </c>
      <c r="I40">
        <v>133</v>
      </c>
      <c r="J40" s="6">
        <f t="shared" si="1"/>
        <v>238955.41133350937</v>
      </c>
      <c r="K40" t="s">
        <v>11</v>
      </c>
      <c r="L40" s="11" t="str">
        <f t="shared" si="2"/>
        <v>FNMA</v>
      </c>
      <c r="M40">
        <v>10</v>
      </c>
      <c r="N40" t="str">
        <f t="shared" si="3"/>
        <v>90+</v>
      </c>
      <c r="O40" t="str">
        <f t="shared" si="4"/>
        <v>Y</v>
      </c>
    </row>
    <row r="41" spans="2:15" x14ac:dyDescent="0.3">
      <c r="B41">
        <v>25</v>
      </c>
      <c r="C41">
        <v>52137527</v>
      </c>
      <c r="D41" t="s">
        <v>3</v>
      </c>
      <c r="E41" s="2">
        <v>350000</v>
      </c>
      <c r="F41" s="1">
        <v>6.0639301234321812E-2</v>
      </c>
      <c r="G41">
        <v>20</v>
      </c>
      <c r="H41" s="6">
        <f t="shared" si="0"/>
        <v>-2520.4343866910913</v>
      </c>
      <c r="I41">
        <v>29</v>
      </c>
      <c r="J41" s="6">
        <f t="shared" si="1"/>
        <v>326583.24368116446</v>
      </c>
      <c r="K41" t="s">
        <v>12</v>
      </c>
      <c r="L41" s="11" t="str">
        <f t="shared" si="2"/>
        <v>GNMA</v>
      </c>
      <c r="M41">
        <v>9</v>
      </c>
      <c r="N41" t="str">
        <f t="shared" si="3"/>
        <v>90+</v>
      </c>
      <c r="O41" t="str">
        <f t="shared" si="4"/>
        <v>Y</v>
      </c>
    </row>
    <row r="42" spans="2:15" x14ac:dyDescent="0.3">
      <c r="B42">
        <v>26</v>
      </c>
      <c r="C42">
        <v>49565781</v>
      </c>
      <c r="D42" t="s">
        <v>3</v>
      </c>
      <c r="E42" s="2">
        <v>170000</v>
      </c>
      <c r="F42" s="1">
        <v>3.5562170293429965E-2</v>
      </c>
      <c r="G42">
        <v>10</v>
      </c>
      <c r="H42" s="6">
        <f t="shared" si="0"/>
        <v>-1685.5402859385708</v>
      </c>
      <c r="I42">
        <v>3</v>
      </c>
      <c r="J42" s="6">
        <f t="shared" si="1"/>
        <v>166444.25466576836</v>
      </c>
      <c r="K42" t="s">
        <v>10</v>
      </c>
      <c r="L42" s="11" t="str">
        <f t="shared" si="2"/>
        <v>FHLMC</v>
      </c>
      <c r="M42">
        <v>0</v>
      </c>
      <c r="N42" t="str">
        <f t="shared" si="3"/>
        <v>Current</v>
      </c>
      <c r="O42" t="str">
        <f t="shared" si="4"/>
        <v>N</v>
      </c>
    </row>
    <row r="43" spans="2:15" x14ac:dyDescent="0.3">
      <c r="B43">
        <v>27</v>
      </c>
      <c r="C43">
        <v>49446589</v>
      </c>
      <c r="D43" t="s">
        <v>3</v>
      </c>
      <c r="E43" s="2">
        <v>380000</v>
      </c>
      <c r="F43" s="1">
        <v>4.3455090449965803E-2</v>
      </c>
      <c r="G43">
        <v>30</v>
      </c>
      <c r="H43" s="6">
        <f t="shared" si="0"/>
        <v>-1890.6798699800634</v>
      </c>
      <c r="I43">
        <v>196</v>
      </c>
      <c r="J43" s="6">
        <f t="shared" si="1"/>
        <v>233501.48415468709</v>
      </c>
      <c r="K43" t="s">
        <v>13</v>
      </c>
      <c r="L43" s="11" t="str">
        <f t="shared" si="2"/>
        <v>GNMA</v>
      </c>
      <c r="M43">
        <v>4</v>
      </c>
      <c r="N43" t="str">
        <f t="shared" si="3"/>
        <v>90+</v>
      </c>
      <c r="O43" t="str">
        <f t="shared" si="4"/>
        <v>N</v>
      </c>
    </row>
    <row r="44" spans="2:15" x14ac:dyDescent="0.3">
      <c r="B44">
        <v>28</v>
      </c>
      <c r="C44">
        <v>67342178</v>
      </c>
      <c r="D44" t="s">
        <v>3</v>
      </c>
      <c r="E44" s="2">
        <v>350000</v>
      </c>
      <c r="F44" s="1">
        <v>3.2696780273888046E-2</v>
      </c>
      <c r="G44">
        <v>20</v>
      </c>
      <c r="H44" s="6">
        <f t="shared" si="0"/>
        <v>-1988.6805492732656</v>
      </c>
      <c r="I44">
        <v>38</v>
      </c>
      <c r="J44" s="6">
        <f t="shared" si="1"/>
        <v>308620.09696011798</v>
      </c>
      <c r="K44" t="s">
        <v>12</v>
      </c>
      <c r="L44" s="11" t="str">
        <f t="shared" si="2"/>
        <v>GNMA</v>
      </c>
      <c r="M44">
        <v>0</v>
      </c>
      <c r="N44" t="str">
        <f t="shared" si="3"/>
        <v>Current</v>
      </c>
      <c r="O44" t="str">
        <f t="shared" si="4"/>
        <v>N</v>
      </c>
    </row>
    <row r="45" spans="2:15" x14ac:dyDescent="0.3">
      <c r="B45">
        <v>29</v>
      </c>
      <c r="C45">
        <v>97679083</v>
      </c>
      <c r="D45" t="s">
        <v>3</v>
      </c>
      <c r="E45" s="2">
        <v>370000</v>
      </c>
      <c r="F45" s="1">
        <v>7.8578878041267147E-2</v>
      </c>
      <c r="G45">
        <v>10</v>
      </c>
      <c r="H45" s="6">
        <f t="shared" si="0"/>
        <v>-4461.3851306356137</v>
      </c>
      <c r="I45">
        <v>48</v>
      </c>
      <c r="J45" s="6">
        <f t="shared" si="1"/>
        <v>255462.80531041126</v>
      </c>
      <c r="K45" t="s">
        <v>11</v>
      </c>
      <c r="L45" s="11" t="str">
        <f t="shared" si="2"/>
        <v>FNMA</v>
      </c>
      <c r="M45">
        <v>3</v>
      </c>
      <c r="N45" t="str">
        <f t="shared" si="3"/>
        <v>90+</v>
      </c>
      <c r="O45" t="str">
        <f t="shared" si="4"/>
        <v>N</v>
      </c>
    </row>
    <row r="46" spans="2:15" x14ac:dyDescent="0.3">
      <c r="B46">
        <v>30</v>
      </c>
      <c r="C46">
        <v>51105403</v>
      </c>
      <c r="D46" t="s">
        <v>3</v>
      </c>
      <c r="E46" s="2">
        <v>210000</v>
      </c>
      <c r="F46" s="1">
        <v>6.4614921853092214E-2</v>
      </c>
      <c r="G46">
        <v>20</v>
      </c>
      <c r="H46" s="6">
        <f t="shared" si="0"/>
        <v>-1560.9463857623168</v>
      </c>
      <c r="I46">
        <v>163</v>
      </c>
      <c r="J46" s="6">
        <f t="shared" si="1"/>
        <v>98177.347959744293</v>
      </c>
      <c r="K46" t="s">
        <v>11</v>
      </c>
      <c r="L46" s="11" t="str">
        <f t="shared" si="2"/>
        <v>FNMA</v>
      </c>
      <c r="M46">
        <v>1</v>
      </c>
      <c r="N46" t="str">
        <f t="shared" si="3"/>
        <v>30-60</v>
      </c>
      <c r="O46" t="str">
        <f t="shared" si="4"/>
        <v>N</v>
      </c>
    </row>
    <row r="47" spans="2:15" x14ac:dyDescent="0.3">
      <c r="B47">
        <v>31</v>
      </c>
      <c r="C47">
        <v>33064297</v>
      </c>
      <c r="D47" t="s">
        <v>3</v>
      </c>
      <c r="E47" s="2">
        <v>100000</v>
      </c>
      <c r="F47" s="1">
        <v>6.2879825673857012E-2</v>
      </c>
      <c r="G47">
        <v>10</v>
      </c>
      <c r="H47" s="6">
        <f t="shared" si="0"/>
        <v>-1124.7219318772229</v>
      </c>
      <c r="I47">
        <v>32</v>
      </c>
      <c r="J47" s="6">
        <f t="shared" si="1"/>
        <v>79130.538614991354</v>
      </c>
      <c r="K47" t="s">
        <v>12</v>
      </c>
      <c r="L47" s="11" t="str">
        <f t="shared" si="2"/>
        <v>GNMA</v>
      </c>
      <c r="M47">
        <v>6</v>
      </c>
      <c r="N47" t="str">
        <f t="shared" si="3"/>
        <v>90+</v>
      </c>
      <c r="O47" t="str">
        <f t="shared" si="4"/>
        <v>Y</v>
      </c>
    </row>
    <row r="48" spans="2:15" x14ac:dyDescent="0.3">
      <c r="B48">
        <v>32</v>
      </c>
      <c r="C48">
        <v>91324062</v>
      </c>
      <c r="D48" t="s">
        <v>3</v>
      </c>
      <c r="E48" s="2">
        <v>250000</v>
      </c>
      <c r="F48" s="1">
        <v>5.8930108641721893E-2</v>
      </c>
      <c r="G48">
        <v>30</v>
      </c>
      <c r="H48" s="6">
        <f t="shared" si="0"/>
        <v>-1481.7234013926939</v>
      </c>
      <c r="I48">
        <v>269</v>
      </c>
      <c r="J48" s="6">
        <f t="shared" si="1"/>
        <v>108525.51400132656</v>
      </c>
      <c r="K48" t="s">
        <v>10</v>
      </c>
      <c r="L48" s="11" t="str">
        <f t="shared" si="2"/>
        <v>FHLMC</v>
      </c>
      <c r="M48">
        <v>2</v>
      </c>
      <c r="N48" t="str">
        <f t="shared" si="3"/>
        <v>30-60</v>
      </c>
      <c r="O48" t="str">
        <f t="shared" si="4"/>
        <v>N</v>
      </c>
    </row>
    <row r="49" spans="2:15" x14ac:dyDescent="0.3">
      <c r="B49">
        <v>33</v>
      </c>
      <c r="C49">
        <v>65209293</v>
      </c>
      <c r="D49" t="s">
        <v>3</v>
      </c>
      <c r="E49" s="2">
        <v>450000</v>
      </c>
      <c r="F49" s="1">
        <v>2.7558682360886048E-2</v>
      </c>
      <c r="G49">
        <v>30</v>
      </c>
      <c r="H49" s="6">
        <f t="shared" ref="H49:H80" si="5">INDEX(MASTER_DATA,MATCH($C49,MASTER_ROWS,0),MATCH(H$16,MASTER_HEADERS,0))</f>
        <v>-1838.4843521166476</v>
      </c>
      <c r="I49">
        <v>212</v>
      </c>
      <c r="J49" s="6">
        <f t="shared" ref="J49:J80" si="6">INDEX(MASTER_DATA,MATCH($C49,MASTER_ROWS,0),MATCH(J$16,MASTER_HEADERS,0))</f>
        <v>230454.6663488154</v>
      </c>
      <c r="K49" t="s">
        <v>11</v>
      </c>
      <c r="L49" s="11" t="str">
        <f t="shared" ref="L49:L80" si="7">INDEX(MASTER_DATA,MATCH($C49,MASTER_ROWS,0),MATCH(L$16,MASTER_HEADERS,0))</f>
        <v>FNMA</v>
      </c>
      <c r="M49">
        <v>6</v>
      </c>
      <c r="N49" t="str">
        <f t="shared" si="3"/>
        <v>90+</v>
      </c>
      <c r="O49" t="str">
        <f t="shared" si="4"/>
        <v>Y</v>
      </c>
    </row>
    <row r="50" spans="2:15" x14ac:dyDescent="0.3">
      <c r="B50">
        <v>34</v>
      </c>
      <c r="C50">
        <v>14033138</v>
      </c>
      <c r="D50" t="s">
        <v>3</v>
      </c>
      <c r="E50" s="2">
        <v>380000</v>
      </c>
      <c r="F50" s="1">
        <v>7.7750119768659212E-2</v>
      </c>
      <c r="G50">
        <v>10</v>
      </c>
      <c r="H50" s="6">
        <f t="shared" si="5"/>
        <v>-4565.3970033060141</v>
      </c>
      <c r="I50">
        <v>3</v>
      </c>
      <c r="J50" s="6">
        <f t="shared" si="6"/>
        <v>373649.09892300068</v>
      </c>
      <c r="K50" t="s">
        <v>12</v>
      </c>
      <c r="L50" s="11" t="str">
        <f t="shared" si="7"/>
        <v>GNMA</v>
      </c>
      <c r="M50">
        <v>9</v>
      </c>
      <c r="N50" t="str">
        <f t="shared" si="3"/>
        <v>90+</v>
      </c>
      <c r="O50" t="str">
        <f t="shared" si="4"/>
        <v>Y</v>
      </c>
    </row>
    <row r="51" spans="2:15" x14ac:dyDescent="0.3">
      <c r="B51">
        <v>35</v>
      </c>
      <c r="C51">
        <v>88766432</v>
      </c>
      <c r="D51" t="s">
        <v>3</v>
      </c>
      <c r="E51" s="2">
        <v>360000</v>
      </c>
      <c r="F51" s="1">
        <v>3.8020196364644765E-2</v>
      </c>
      <c r="G51">
        <v>20</v>
      </c>
      <c r="H51" s="6">
        <f t="shared" si="5"/>
        <v>-2144.156616038792</v>
      </c>
      <c r="I51">
        <v>65</v>
      </c>
      <c r="J51" s="6">
        <f t="shared" si="6"/>
        <v>287693.12725008646</v>
      </c>
      <c r="K51" t="s">
        <v>10</v>
      </c>
      <c r="L51" s="11" t="str">
        <f t="shared" si="7"/>
        <v>FHLMC</v>
      </c>
      <c r="M51">
        <v>1</v>
      </c>
      <c r="N51" t="str">
        <f t="shared" si="3"/>
        <v>30-60</v>
      </c>
      <c r="O51" t="str">
        <f t="shared" si="4"/>
        <v>N</v>
      </c>
    </row>
    <row r="52" spans="2:15" x14ac:dyDescent="0.3">
      <c r="B52">
        <v>36</v>
      </c>
      <c r="C52">
        <v>95868629</v>
      </c>
      <c r="D52" t="s">
        <v>3</v>
      </c>
      <c r="E52" s="2">
        <v>320000</v>
      </c>
      <c r="F52" s="1">
        <v>6.5925739900995997E-2</v>
      </c>
      <c r="G52">
        <v>10</v>
      </c>
      <c r="H52" s="6">
        <f t="shared" si="5"/>
        <v>-3648.6260665192822</v>
      </c>
      <c r="I52">
        <v>4</v>
      </c>
      <c r="J52" s="6">
        <f t="shared" si="6"/>
        <v>312375.02628356131</v>
      </c>
      <c r="K52" t="s">
        <v>13</v>
      </c>
      <c r="L52" s="11" t="str">
        <f t="shared" si="7"/>
        <v>GNMA</v>
      </c>
      <c r="M52">
        <v>9</v>
      </c>
      <c r="N52" t="str">
        <f t="shared" si="3"/>
        <v>90+</v>
      </c>
      <c r="O52" t="str">
        <f t="shared" si="4"/>
        <v>Y</v>
      </c>
    </row>
    <row r="53" spans="2:15" x14ac:dyDescent="0.3">
      <c r="B53">
        <v>37</v>
      </c>
      <c r="C53">
        <v>58492506</v>
      </c>
      <c r="D53" t="s">
        <v>3</v>
      </c>
      <c r="E53" s="2">
        <v>160000</v>
      </c>
      <c r="F53" s="1">
        <v>4.1853063215998632E-2</v>
      </c>
      <c r="G53">
        <v>30</v>
      </c>
      <c r="H53" s="6">
        <f t="shared" si="5"/>
        <v>-781.05591764247345</v>
      </c>
      <c r="I53">
        <v>85</v>
      </c>
      <c r="J53" s="6">
        <f t="shared" si="6"/>
        <v>137978.65273628972</v>
      </c>
      <c r="K53" t="s">
        <v>9</v>
      </c>
      <c r="L53" s="11" t="str">
        <f t="shared" si="7"/>
        <v>GNMA</v>
      </c>
      <c r="M53">
        <v>0</v>
      </c>
      <c r="N53" t="str">
        <f t="shared" si="3"/>
        <v>Current</v>
      </c>
      <c r="O53" t="str">
        <f t="shared" si="4"/>
        <v>N</v>
      </c>
    </row>
    <row r="54" spans="2:15" x14ac:dyDescent="0.3">
      <c r="B54">
        <v>38</v>
      </c>
      <c r="C54">
        <v>13713998</v>
      </c>
      <c r="D54" t="s">
        <v>3</v>
      </c>
      <c r="E54" s="2">
        <v>140000</v>
      </c>
      <c r="F54" s="1">
        <v>2.966497552361293E-2</v>
      </c>
      <c r="G54">
        <v>30</v>
      </c>
      <c r="H54" s="6">
        <f t="shared" si="5"/>
        <v>-587.71904292656291</v>
      </c>
      <c r="I54">
        <v>36</v>
      </c>
      <c r="J54" s="6">
        <f t="shared" si="6"/>
        <v>130914.32892488279</v>
      </c>
      <c r="K54" t="s">
        <v>12</v>
      </c>
      <c r="L54" s="11" t="str">
        <f t="shared" si="7"/>
        <v>GNMA</v>
      </c>
      <c r="M54">
        <v>8</v>
      </c>
      <c r="N54" t="str">
        <f t="shared" si="3"/>
        <v>90+</v>
      </c>
      <c r="O54" t="str">
        <f t="shared" si="4"/>
        <v>Y</v>
      </c>
    </row>
    <row r="55" spans="2:15" x14ac:dyDescent="0.3">
      <c r="B55">
        <v>39</v>
      </c>
      <c r="C55">
        <v>84177304</v>
      </c>
      <c r="D55" t="s">
        <v>3</v>
      </c>
      <c r="E55" s="2">
        <v>320000</v>
      </c>
      <c r="F55" s="1">
        <v>8.1731961592310012E-2</v>
      </c>
      <c r="G55">
        <v>20</v>
      </c>
      <c r="H55" s="6">
        <f t="shared" si="5"/>
        <v>-2711.2034857582971</v>
      </c>
      <c r="I55">
        <v>135</v>
      </c>
      <c r="J55" s="6">
        <f t="shared" si="6"/>
        <v>202891.04889595046</v>
      </c>
      <c r="K55" t="s">
        <v>11</v>
      </c>
      <c r="L55" s="11" t="str">
        <f t="shared" si="7"/>
        <v>FNMA</v>
      </c>
      <c r="M55">
        <v>10</v>
      </c>
      <c r="N55" t="str">
        <f t="shared" si="3"/>
        <v>90+</v>
      </c>
      <c r="O55" t="str">
        <f t="shared" si="4"/>
        <v>Y</v>
      </c>
    </row>
    <row r="56" spans="2:15" x14ac:dyDescent="0.3">
      <c r="B56">
        <v>40</v>
      </c>
      <c r="C56">
        <v>12588878</v>
      </c>
      <c r="D56" t="s">
        <v>3</v>
      </c>
      <c r="E56" s="2">
        <v>400000</v>
      </c>
      <c r="F56" s="1">
        <v>2.3124063876185742E-2</v>
      </c>
      <c r="G56">
        <v>30</v>
      </c>
      <c r="H56" s="6">
        <f t="shared" si="5"/>
        <v>-1541.7473542373507</v>
      </c>
      <c r="I56">
        <v>152</v>
      </c>
      <c r="J56" s="6">
        <f t="shared" si="6"/>
        <v>263999.76465804153</v>
      </c>
      <c r="K56" t="s">
        <v>12</v>
      </c>
      <c r="L56" s="11" t="str">
        <f t="shared" si="7"/>
        <v>GNMA</v>
      </c>
      <c r="M56">
        <v>9</v>
      </c>
      <c r="N56" t="str">
        <f t="shared" si="3"/>
        <v>90+</v>
      </c>
      <c r="O56" t="str">
        <f t="shared" si="4"/>
        <v>Y</v>
      </c>
    </row>
    <row r="57" spans="2:15" x14ac:dyDescent="0.3">
      <c r="B57">
        <v>41</v>
      </c>
      <c r="C57">
        <v>59421574</v>
      </c>
      <c r="D57" t="s">
        <v>3</v>
      </c>
      <c r="E57" s="2">
        <v>100000</v>
      </c>
      <c r="F57" s="1">
        <v>6.2115111893552351E-2</v>
      </c>
      <c r="G57">
        <v>20</v>
      </c>
      <c r="H57" s="6">
        <f t="shared" si="5"/>
        <v>-728.68662035775344</v>
      </c>
      <c r="I57">
        <v>52</v>
      </c>
      <c r="J57" s="6">
        <f t="shared" si="6"/>
        <v>87442.870297965303</v>
      </c>
      <c r="K57" t="s">
        <v>11</v>
      </c>
      <c r="L57" s="11" t="str">
        <f t="shared" si="7"/>
        <v>FNMA</v>
      </c>
      <c r="M57">
        <v>8</v>
      </c>
      <c r="N57" t="str">
        <f t="shared" si="3"/>
        <v>90+</v>
      </c>
      <c r="O57" t="str">
        <f t="shared" si="4"/>
        <v>Y</v>
      </c>
    </row>
    <row r="58" spans="2:15" x14ac:dyDescent="0.3">
      <c r="B58">
        <v>42</v>
      </c>
      <c r="C58">
        <v>79015075</v>
      </c>
      <c r="D58" t="s">
        <v>3</v>
      </c>
      <c r="E58" s="2">
        <v>260000</v>
      </c>
      <c r="F58" s="1">
        <v>2.4795470508067418E-2</v>
      </c>
      <c r="G58">
        <v>10</v>
      </c>
      <c r="H58" s="6">
        <f t="shared" si="5"/>
        <v>-2448.6000303478299</v>
      </c>
      <c r="I58">
        <v>43</v>
      </c>
      <c r="J58" s="6">
        <f t="shared" si="6"/>
        <v>174142.14868624872</v>
      </c>
      <c r="K58" t="s">
        <v>9</v>
      </c>
      <c r="L58" s="11" t="str">
        <f t="shared" si="7"/>
        <v>GNMA</v>
      </c>
      <c r="M58">
        <v>9</v>
      </c>
      <c r="N58" t="str">
        <f t="shared" si="3"/>
        <v>90+</v>
      </c>
      <c r="O58" t="str">
        <f t="shared" si="4"/>
        <v>Y</v>
      </c>
    </row>
    <row r="59" spans="2:15" x14ac:dyDescent="0.3">
      <c r="B59">
        <v>43</v>
      </c>
      <c r="C59">
        <v>19354278</v>
      </c>
      <c r="D59" t="s">
        <v>3</v>
      </c>
      <c r="E59" s="2">
        <v>180000</v>
      </c>
      <c r="F59" s="1">
        <v>6.2624385664536333E-2</v>
      </c>
      <c r="G59">
        <v>10</v>
      </c>
      <c r="H59" s="6">
        <f t="shared" si="5"/>
        <v>-2022.1737064684473</v>
      </c>
      <c r="I59">
        <v>89</v>
      </c>
      <c r="J59" s="6">
        <f t="shared" si="6"/>
        <v>57740.663854286882</v>
      </c>
      <c r="K59" t="s">
        <v>12</v>
      </c>
      <c r="L59" s="11" t="str">
        <f t="shared" si="7"/>
        <v>GNMA</v>
      </c>
      <c r="M59">
        <v>7</v>
      </c>
      <c r="N59" t="str">
        <f t="shared" si="3"/>
        <v>90+</v>
      </c>
      <c r="O59" t="str">
        <f t="shared" si="4"/>
        <v>Y</v>
      </c>
    </row>
    <row r="60" spans="2:15" x14ac:dyDescent="0.3">
      <c r="B60">
        <v>44</v>
      </c>
      <c r="C60">
        <v>19728173</v>
      </c>
      <c r="D60" t="s">
        <v>3</v>
      </c>
      <c r="E60" s="2">
        <v>240000</v>
      </c>
      <c r="F60" s="1">
        <v>8.8685443767959421E-2</v>
      </c>
      <c r="G60">
        <v>20</v>
      </c>
      <c r="H60" s="6">
        <f t="shared" si="5"/>
        <v>-2139.0935536794937</v>
      </c>
      <c r="I60">
        <v>85</v>
      </c>
      <c r="J60" s="6">
        <f t="shared" si="6"/>
        <v>196992.65164534209</v>
      </c>
      <c r="K60" t="s">
        <v>11</v>
      </c>
      <c r="L60" s="11" t="str">
        <f t="shared" si="7"/>
        <v>FNMA</v>
      </c>
      <c r="M60">
        <v>5</v>
      </c>
      <c r="N60" t="str">
        <f t="shared" si="3"/>
        <v>90+</v>
      </c>
      <c r="O60" t="str">
        <f t="shared" si="4"/>
        <v>N</v>
      </c>
    </row>
    <row r="61" spans="2:15" x14ac:dyDescent="0.3">
      <c r="B61">
        <v>45</v>
      </c>
      <c r="C61">
        <v>71380476</v>
      </c>
      <c r="D61" t="s">
        <v>3</v>
      </c>
      <c r="E61" s="2">
        <v>400000</v>
      </c>
      <c r="F61" s="1">
        <v>2.8536155301216861E-2</v>
      </c>
      <c r="G61">
        <v>30</v>
      </c>
      <c r="H61" s="6">
        <f t="shared" si="5"/>
        <v>-1655.0012718596352</v>
      </c>
      <c r="I61">
        <v>20</v>
      </c>
      <c r="J61" s="6">
        <f t="shared" si="6"/>
        <v>385601.50389038748</v>
      </c>
      <c r="K61" t="s">
        <v>9</v>
      </c>
      <c r="L61" s="11" t="str">
        <f t="shared" si="7"/>
        <v>GNMA</v>
      </c>
      <c r="M61">
        <v>7</v>
      </c>
      <c r="N61" t="str">
        <f t="shared" si="3"/>
        <v>90+</v>
      </c>
      <c r="O61" t="str">
        <f t="shared" si="4"/>
        <v>Y</v>
      </c>
    </row>
    <row r="62" spans="2:15" x14ac:dyDescent="0.3">
      <c r="B62">
        <v>46</v>
      </c>
      <c r="C62">
        <v>53758029</v>
      </c>
      <c r="D62" t="s">
        <v>3</v>
      </c>
      <c r="E62" s="2">
        <v>230000</v>
      </c>
      <c r="F62" s="1">
        <v>6.4588054143448148E-2</v>
      </c>
      <c r="G62">
        <v>20</v>
      </c>
      <c r="H62" s="6">
        <f t="shared" si="5"/>
        <v>-1709.2447127954504</v>
      </c>
      <c r="I62">
        <v>153</v>
      </c>
      <c r="J62" s="6">
        <f t="shared" si="6"/>
        <v>118491.54088897574</v>
      </c>
      <c r="K62" t="s">
        <v>13</v>
      </c>
      <c r="L62" s="11" t="str">
        <f t="shared" si="7"/>
        <v>GNMA</v>
      </c>
      <c r="M62">
        <v>6</v>
      </c>
      <c r="N62" t="str">
        <f t="shared" si="3"/>
        <v>90+</v>
      </c>
      <c r="O62" t="str">
        <f t="shared" si="4"/>
        <v>Y</v>
      </c>
    </row>
    <row r="63" spans="2:15" x14ac:dyDescent="0.3">
      <c r="B63">
        <v>47</v>
      </c>
      <c r="C63">
        <v>74930308</v>
      </c>
      <c r="D63" t="s">
        <v>3</v>
      </c>
      <c r="E63" s="2">
        <v>140000</v>
      </c>
      <c r="F63" s="1">
        <v>4.0821913483801812E-2</v>
      </c>
      <c r="G63">
        <v>30</v>
      </c>
      <c r="H63" s="6">
        <f t="shared" si="5"/>
        <v>-675.03220560611874</v>
      </c>
      <c r="I63">
        <v>30</v>
      </c>
      <c r="J63" s="6">
        <f t="shared" si="6"/>
        <v>133732.99751163588</v>
      </c>
      <c r="K63" t="s">
        <v>12</v>
      </c>
      <c r="L63" s="11" t="str">
        <f t="shared" si="7"/>
        <v>GNMA</v>
      </c>
      <c r="M63">
        <v>9</v>
      </c>
      <c r="N63" t="str">
        <f t="shared" si="3"/>
        <v>90+</v>
      </c>
      <c r="O63" t="str">
        <f t="shared" si="4"/>
        <v>Y</v>
      </c>
    </row>
    <row r="64" spans="2:15" x14ac:dyDescent="0.3">
      <c r="B64">
        <v>48</v>
      </c>
      <c r="C64">
        <v>82635844</v>
      </c>
      <c r="D64" t="s">
        <v>3</v>
      </c>
      <c r="E64" s="2">
        <v>90000</v>
      </c>
      <c r="F64" s="1">
        <v>8.0194103559907345E-2</v>
      </c>
      <c r="G64">
        <v>20</v>
      </c>
      <c r="H64" s="6">
        <f t="shared" si="5"/>
        <v>-753.8836385245346</v>
      </c>
      <c r="I64">
        <v>8</v>
      </c>
      <c r="J64" s="6">
        <f t="shared" si="6"/>
        <v>88751.670447861601</v>
      </c>
      <c r="K64" t="s">
        <v>11</v>
      </c>
      <c r="L64" s="11" t="str">
        <f t="shared" si="7"/>
        <v>FNMA</v>
      </c>
      <c r="M64">
        <v>4</v>
      </c>
      <c r="N64" t="str">
        <f t="shared" si="3"/>
        <v>90+</v>
      </c>
      <c r="O64" t="str">
        <f t="shared" si="4"/>
        <v>N</v>
      </c>
    </row>
    <row r="65" spans="2:15" x14ac:dyDescent="0.3">
      <c r="B65">
        <v>49</v>
      </c>
      <c r="C65">
        <v>38909064</v>
      </c>
      <c r="D65" t="s">
        <v>3</v>
      </c>
      <c r="E65" s="2">
        <v>420000</v>
      </c>
      <c r="F65" s="1">
        <v>2.2996447985654003E-2</v>
      </c>
      <c r="G65">
        <v>10</v>
      </c>
      <c r="H65" s="6">
        <f t="shared" si="5"/>
        <v>-3921.1865201602018</v>
      </c>
      <c r="I65">
        <v>36</v>
      </c>
      <c r="J65" s="6">
        <f t="shared" si="6"/>
        <v>303967.42332739127</v>
      </c>
      <c r="K65" t="s">
        <v>11</v>
      </c>
      <c r="L65" s="11" t="str">
        <f t="shared" si="7"/>
        <v>FNMA</v>
      </c>
      <c r="M65">
        <v>4</v>
      </c>
      <c r="N65" t="str">
        <f t="shared" si="3"/>
        <v>90+</v>
      </c>
      <c r="O65" t="str">
        <f t="shared" si="4"/>
        <v>N</v>
      </c>
    </row>
    <row r="66" spans="2:15" x14ac:dyDescent="0.3">
      <c r="B66">
        <v>50</v>
      </c>
      <c r="C66">
        <v>98808855</v>
      </c>
      <c r="D66" t="s">
        <v>3</v>
      </c>
      <c r="E66" s="2">
        <v>200000</v>
      </c>
      <c r="F66" s="1">
        <v>2.5277016412276896E-2</v>
      </c>
      <c r="G66">
        <v>10</v>
      </c>
      <c r="H66" s="6">
        <f t="shared" si="5"/>
        <v>-1887.9184579969824</v>
      </c>
      <c r="I66">
        <v>4</v>
      </c>
      <c r="J66" s="6">
        <f t="shared" si="6"/>
        <v>194114.89847536708</v>
      </c>
      <c r="K66" t="s">
        <v>9</v>
      </c>
      <c r="L66" s="11" t="str">
        <f t="shared" si="7"/>
        <v>GNMA</v>
      </c>
      <c r="M66">
        <v>8</v>
      </c>
      <c r="N66" t="str">
        <f t="shared" si="3"/>
        <v>90+</v>
      </c>
      <c r="O66" t="str">
        <f t="shared" si="4"/>
        <v>Y</v>
      </c>
    </row>
    <row r="67" spans="2:15" x14ac:dyDescent="0.3">
      <c r="B67">
        <v>51</v>
      </c>
      <c r="C67">
        <v>26667365</v>
      </c>
      <c r="D67" t="s">
        <v>3</v>
      </c>
      <c r="E67" s="2">
        <v>130000</v>
      </c>
      <c r="F67" s="1">
        <v>5.6232150677562931E-2</v>
      </c>
      <c r="G67">
        <v>10</v>
      </c>
      <c r="H67" s="6">
        <f t="shared" si="5"/>
        <v>-1418.7918010041205</v>
      </c>
      <c r="I67">
        <v>4</v>
      </c>
      <c r="J67" s="6">
        <f t="shared" si="6"/>
        <v>126738.72506954949</v>
      </c>
      <c r="K67" t="s">
        <v>9</v>
      </c>
      <c r="L67" s="11" t="str">
        <f t="shared" si="7"/>
        <v>GNMA</v>
      </c>
      <c r="M67">
        <v>3</v>
      </c>
      <c r="N67" t="str">
        <f t="shared" si="3"/>
        <v>90+</v>
      </c>
      <c r="O67" t="str">
        <f t="shared" si="4"/>
        <v>N</v>
      </c>
    </row>
    <row r="68" spans="2:15" x14ac:dyDescent="0.3">
      <c r="B68">
        <v>52</v>
      </c>
      <c r="C68">
        <v>80880818</v>
      </c>
      <c r="D68" t="s">
        <v>3</v>
      </c>
      <c r="E68" s="2">
        <v>120000</v>
      </c>
      <c r="F68" s="1">
        <v>5.6587380060444684E-2</v>
      </c>
      <c r="G68">
        <v>10</v>
      </c>
      <c r="H68" s="6">
        <f t="shared" si="5"/>
        <v>-1311.7742239228342</v>
      </c>
      <c r="I68">
        <v>77</v>
      </c>
      <c r="J68" s="6">
        <f t="shared" si="6"/>
        <v>50946.937357005198</v>
      </c>
      <c r="K68" t="s">
        <v>12</v>
      </c>
      <c r="L68" s="11" t="str">
        <f t="shared" si="7"/>
        <v>GNMA</v>
      </c>
      <c r="M68">
        <v>7</v>
      </c>
      <c r="N68" t="str">
        <f t="shared" si="3"/>
        <v>90+</v>
      </c>
      <c r="O68" t="str">
        <f t="shared" si="4"/>
        <v>Y</v>
      </c>
    </row>
    <row r="69" spans="2:15" x14ac:dyDescent="0.3">
      <c r="B69">
        <v>53</v>
      </c>
      <c r="C69">
        <v>81807183</v>
      </c>
      <c r="D69" t="s">
        <v>3</v>
      </c>
      <c r="E69" s="2">
        <v>120000</v>
      </c>
      <c r="F69" s="1">
        <v>7.250452793744129E-2</v>
      </c>
      <c r="G69">
        <v>30</v>
      </c>
      <c r="H69" s="6">
        <f t="shared" si="5"/>
        <v>-818.64839053490459</v>
      </c>
      <c r="I69">
        <v>100</v>
      </c>
      <c r="J69" s="6">
        <f t="shared" si="6"/>
        <v>107196.32312312393</v>
      </c>
      <c r="K69" t="s">
        <v>11</v>
      </c>
      <c r="L69" s="11" t="str">
        <f t="shared" si="7"/>
        <v>FNMA</v>
      </c>
      <c r="M69">
        <v>9</v>
      </c>
      <c r="N69" t="str">
        <f t="shared" si="3"/>
        <v>90+</v>
      </c>
      <c r="O69" t="str">
        <f t="shared" si="4"/>
        <v>Y</v>
      </c>
    </row>
    <row r="70" spans="2:15" x14ac:dyDescent="0.3">
      <c r="B70">
        <v>54</v>
      </c>
      <c r="C70">
        <v>14611483</v>
      </c>
      <c r="D70" t="s">
        <v>3</v>
      </c>
      <c r="E70" s="2">
        <v>150000</v>
      </c>
      <c r="F70" s="1">
        <v>7.2752652226458867E-2</v>
      </c>
      <c r="G70">
        <v>20</v>
      </c>
      <c r="H70" s="6">
        <f t="shared" si="5"/>
        <v>-1187.8612740753533</v>
      </c>
      <c r="I70">
        <v>76</v>
      </c>
      <c r="J70" s="6">
        <f t="shared" si="6"/>
        <v>123219.62822422951</v>
      </c>
      <c r="K70" t="s">
        <v>11</v>
      </c>
      <c r="L70" s="11" t="str">
        <f t="shared" si="7"/>
        <v>FNMA</v>
      </c>
      <c r="M70">
        <v>2</v>
      </c>
      <c r="N70" t="str">
        <f t="shared" si="3"/>
        <v>30-60</v>
      </c>
      <c r="O70" t="str">
        <f t="shared" si="4"/>
        <v>N</v>
      </c>
    </row>
    <row r="71" spans="2:15" x14ac:dyDescent="0.3">
      <c r="B71">
        <v>55</v>
      </c>
      <c r="C71">
        <v>97257211</v>
      </c>
      <c r="D71" t="s">
        <v>3</v>
      </c>
      <c r="E71" s="2">
        <v>90000</v>
      </c>
      <c r="F71" s="1">
        <v>4.7155846847419934E-2</v>
      </c>
      <c r="G71">
        <v>30</v>
      </c>
      <c r="H71" s="6">
        <f t="shared" si="5"/>
        <v>-467.61745240145035</v>
      </c>
      <c r="I71">
        <v>156</v>
      </c>
      <c r="J71" s="6">
        <f t="shared" si="6"/>
        <v>65532.453303987968</v>
      </c>
      <c r="K71" t="s">
        <v>10</v>
      </c>
      <c r="L71" s="11" t="str">
        <f t="shared" si="7"/>
        <v>FHLMC</v>
      </c>
      <c r="M71">
        <v>5</v>
      </c>
      <c r="N71" t="str">
        <f t="shared" si="3"/>
        <v>90+</v>
      </c>
      <c r="O71" t="str">
        <f t="shared" si="4"/>
        <v>N</v>
      </c>
    </row>
    <row r="72" spans="2:15" x14ac:dyDescent="0.3">
      <c r="B72">
        <v>56</v>
      </c>
      <c r="C72">
        <v>94915980</v>
      </c>
      <c r="D72" t="s">
        <v>3</v>
      </c>
      <c r="E72" s="2">
        <v>310000</v>
      </c>
      <c r="F72" s="1">
        <v>3.5647185007364517E-2</v>
      </c>
      <c r="G72">
        <v>10</v>
      </c>
      <c r="H72" s="6">
        <f t="shared" si="5"/>
        <v>-3074.8690260412382</v>
      </c>
      <c r="I72">
        <v>36</v>
      </c>
      <c r="J72" s="6">
        <f t="shared" si="6"/>
        <v>228286.36077492562</v>
      </c>
      <c r="K72" t="s">
        <v>13</v>
      </c>
      <c r="L72" s="11" t="str">
        <f t="shared" si="7"/>
        <v>GNMA</v>
      </c>
      <c r="M72">
        <v>0</v>
      </c>
      <c r="N72" t="str">
        <f t="shared" si="3"/>
        <v>Current</v>
      </c>
      <c r="O72" t="str">
        <f t="shared" si="4"/>
        <v>N</v>
      </c>
    </row>
    <row r="73" spans="2:15" x14ac:dyDescent="0.3">
      <c r="B73">
        <v>57</v>
      </c>
      <c r="C73">
        <v>16798870</v>
      </c>
      <c r="D73" t="s">
        <v>3</v>
      </c>
      <c r="E73" s="2">
        <v>270000</v>
      </c>
      <c r="F73" s="1">
        <v>3.8124204390776455E-2</v>
      </c>
      <c r="G73">
        <v>30</v>
      </c>
      <c r="H73" s="6">
        <f t="shared" si="5"/>
        <v>-1259.9946484214199</v>
      </c>
      <c r="I73">
        <v>327</v>
      </c>
      <c r="J73" s="6">
        <f t="shared" si="6"/>
        <v>39415.038705480743</v>
      </c>
      <c r="K73" t="s">
        <v>13</v>
      </c>
      <c r="L73" s="11" t="str">
        <f t="shared" si="7"/>
        <v>GNMA</v>
      </c>
      <c r="M73">
        <v>3</v>
      </c>
      <c r="N73" t="str">
        <f t="shared" si="3"/>
        <v>90+</v>
      </c>
      <c r="O73" t="str">
        <f t="shared" si="4"/>
        <v>N</v>
      </c>
    </row>
    <row r="74" spans="2:15" x14ac:dyDescent="0.3">
      <c r="B74">
        <v>58</v>
      </c>
      <c r="C74">
        <v>78996690</v>
      </c>
      <c r="D74" t="s">
        <v>3</v>
      </c>
      <c r="E74" s="2">
        <v>280000</v>
      </c>
      <c r="F74" s="1">
        <v>8.3762295006845983E-2</v>
      </c>
      <c r="G74">
        <v>30</v>
      </c>
      <c r="H74" s="6">
        <f t="shared" si="5"/>
        <v>-2128.4452821872769</v>
      </c>
      <c r="I74">
        <v>187</v>
      </c>
      <c r="J74" s="6">
        <f t="shared" si="6"/>
        <v>213394.12647606496</v>
      </c>
      <c r="K74" t="s">
        <v>13</v>
      </c>
      <c r="L74" s="11" t="str">
        <f t="shared" si="7"/>
        <v>GNMA</v>
      </c>
      <c r="M74">
        <v>0</v>
      </c>
      <c r="N74" t="str">
        <f t="shared" si="3"/>
        <v>Current</v>
      </c>
      <c r="O74" t="str">
        <f t="shared" si="4"/>
        <v>N</v>
      </c>
    </row>
    <row r="75" spans="2:15" x14ac:dyDescent="0.3">
      <c r="B75">
        <v>59</v>
      </c>
      <c r="C75">
        <v>12860906</v>
      </c>
      <c r="D75" t="s">
        <v>3</v>
      </c>
      <c r="E75" s="2">
        <v>80000</v>
      </c>
      <c r="F75" s="1">
        <v>8.3028447544266887E-2</v>
      </c>
      <c r="G75">
        <v>10</v>
      </c>
      <c r="H75" s="6">
        <f t="shared" si="5"/>
        <v>-983.46990744473135</v>
      </c>
      <c r="I75">
        <v>57</v>
      </c>
      <c r="J75" s="6">
        <f t="shared" si="6"/>
        <v>50082.318285723595</v>
      </c>
      <c r="K75" t="s">
        <v>9</v>
      </c>
      <c r="L75" s="11" t="str">
        <f t="shared" si="7"/>
        <v>GNMA</v>
      </c>
      <c r="M75">
        <v>1</v>
      </c>
      <c r="N75" t="str">
        <f t="shared" si="3"/>
        <v>30-60</v>
      </c>
      <c r="O75" t="str">
        <f t="shared" si="4"/>
        <v>N</v>
      </c>
    </row>
    <row r="76" spans="2:15" x14ac:dyDescent="0.3">
      <c r="B76">
        <v>60</v>
      </c>
      <c r="C76">
        <v>24261168</v>
      </c>
      <c r="D76" t="s">
        <v>3</v>
      </c>
      <c r="E76" s="2">
        <v>100000</v>
      </c>
      <c r="F76" s="1">
        <v>3.2246080585092513E-2</v>
      </c>
      <c r="G76">
        <v>10</v>
      </c>
      <c r="H76" s="6">
        <f t="shared" si="5"/>
        <v>-976.00994049914834</v>
      </c>
      <c r="I76">
        <v>33</v>
      </c>
      <c r="J76" s="6">
        <f t="shared" si="6"/>
        <v>75627.382067917511</v>
      </c>
      <c r="K76" t="s">
        <v>12</v>
      </c>
      <c r="L76" s="11" t="str">
        <f t="shared" si="7"/>
        <v>GNMA</v>
      </c>
      <c r="M76">
        <v>0</v>
      </c>
      <c r="N76" t="str">
        <f t="shared" si="3"/>
        <v>Current</v>
      </c>
      <c r="O76" t="str">
        <f t="shared" si="4"/>
        <v>N</v>
      </c>
    </row>
    <row r="77" spans="2:15" x14ac:dyDescent="0.3">
      <c r="B77">
        <v>61</v>
      </c>
      <c r="C77">
        <v>61297822</v>
      </c>
      <c r="D77" t="s">
        <v>3</v>
      </c>
      <c r="E77" s="2">
        <v>100000</v>
      </c>
      <c r="F77" s="1">
        <v>5.3983098508402307E-2</v>
      </c>
      <c r="G77">
        <v>30</v>
      </c>
      <c r="H77" s="6">
        <f t="shared" si="5"/>
        <v>-561.42529354833619</v>
      </c>
      <c r="I77">
        <v>238</v>
      </c>
      <c r="J77" s="6">
        <f t="shared" si="6"/>
        <v>52623.559305270435</v>
      </c>
      <c r="K77" t="s">
        <v>10</v>
      </c>
      <c r="L77" s="11" t="str">
        <f t="shared" si="7"/>
        <v>FHLMC</v>
      </c>
      <c r="M77">
        <v>0</v>
      </c>
      <c r="N77" t="str">
        <f t="shared" si="3"/>
        <v>Current</v>
      </c>
      <c r="O77" t="str">
        <f t="shared" si="4"/>
        <v>N</v>
      </c>
    </row>
    <row r="78" spans="2:15" x14ac:dyDescent="0.3">
      <c r="B78">
        <v>62</v>
      </c>
      <c r="C78">
        <v>25037514</v>
      </c>
      <c r="D78" t="s">
        <v>3</v>
      </c>
      <c r="E78" s="2">
        <v>380000</v>
      </c>
      <c r="F78" s="1">
        <v>6.6890959133402261E-2</v>
      </c>
      <c r="G78">
        <v>20</v>
      </c>
      <c r="H78" s="6">
        <f t="shared" si="5"/>
        <v>-2875.6399914511162</v>
      </c>
      <c r="I78">
        <v>62</v>
      </c>
      <c r="J78" s="6">
        <f t="shared" si="6"/>
        <v>324087.34693467576</v>
      </c>
      <c r="K78" t="s">
        <v>11</v>
      </c>
      <c r="L78" s="11" t="str">
        <f t="shared" si="7"/>
        <v>FNMA</v>
      </c>
      <c r="M78">
        <v>0</v>
      </c>
      <c r="N78" t="str">
        <f t="shared" si="3"/>
        <v>Current</v>
      </c>
      <c r="O78" t="str">
        <f t="shared" si="4"/>
        <v>N</v>
      </c>
    </row>
    <row r="79" spans="2:15" x14ac:dyDescent="0.3">
      <c r="B79">
        <v>63</v>
      </c>
      <c r="C79">
        <v>64266143</v>
      </c>
      <c r="D79" t="s">
        <v>3</v>
      </c>
      <c r="E79" s="2">
        <v>150000</v>
      </c>
      <c r="F79" s="1">
        <v>2.4040124038044522E-2</v>
      </c>
      <c r="G79">
        <v>20</v>
      </c>
      <c r="H79" s="6">
        <f t="shared" si="5"/>
        <v>-787.85872743274172</v>
      </c>
      <c r="I79">
        <v>205</v>
      </c>
      <c r="J79" s="6">
        <f t="shared" si="6"/>
        <v>26604.80204904468</v>
      </c>
      <c r="K79" t="s">
        <v>11</v>
      </c>
      <c r="L79" s="11" t="str">
        <f t="shared" si="7"/>
        <v>FNMA</v>
      </c>
      <c r="M79">
        <v>0</v>
      </c>
      <c r="N79" t="str">
        <f t="shared" si="3"/>
        <v>Current</v>
      </c>
      <c r="O79" t="str">
        <f t="shared" si="4"/>
        <v>N</v>
      </c>
    </row>
    <row r="80" spans="2:15" x14ac:dyDescent="0.3">
      <c r="B80">
        <v>64</v>
      </c>
      <c r="C80">
        <v>75089533</v>
      </c>
      <c r="D80" t="s">
        <v>2</v>
      </c>
      <c r="E80" s="2">
        <v>100000</v>
      </c>
      <c r="F80" s="1">
        <v>2.3500078758323658E-2</v>
      </c>
      <c r="G80">
        <v>30</v>
      </c>
      <c r="H80" s="6">
        <f t="shared" si="5"/>
        <v>-387.36679047648778</v>
      </c>
      <c r="I80">
        <v>315</v>
      </c>
      <c r="J80" s="6">
        <f t="shared" si="6"/>
        <v>16669.892294490219</v>
      </c>
      <c r="K80" t="s">
        <v>11</v>
      </c>
      <c r="L80" s="11" t="str">
        <f t="shared" si="7"/>
        <v>FNMA</v>
      </c>
      <c r="M80">
        <v>0</v>
      </c>
      <c r="N80" t="str">
        <f t="shared" si="3"/>
        <v>Current</v>
      </c>
      <c r="O80" t="str">
        <f t="shared" si="4"/>
        <v>N</v>
      </c>
    </row>
    <row r="81" spans="2:15" x14ac:dyDescent="0.3">
      <c r="B81">
        <v>65</v>
      </c>
      <c r="C81">
        <v>91788629</v>
      </c>
      <c r="D81" t="s">
        <v>2</v>
      </c>
      <c r="E81" s="2">
        <v>390000</v>
      </c>
      <c r="F81" s="1">
        <v>6.6238204969847433E-2</v>
      </c>
      <c r="G81">
        <v>30</v>
      </c>
      <c r="H81" s="6">
        <f t="shared" ref="H81:H112" si="8">INDEX(MASTER_DATA,MATCH($C81,MASTER_ROWS,0),MATCH(H$16,MASTER_HEADERS,0))</f>
        <v>-2496.9085946625487</v>
      </c>
      <c r="I81">
        <v>317</v>
      </c>
      <c r="J81" s="6">
        <f t="shared" ref="J81:J112" si="9">INDEX(MASTER_DATA,MATCH($C81,MASTER_ROWS,0),MATCH(J$16,MASTER_HEADERS,0))</f>
        <v>95343.185278616031</v>
      </c>
      <c r="K81" t="s">
        <v>13</v>
      </c>
      <c r="L81" s="11" t="str">
        <f t="shared" ref="L81:L112" si="10">INDEX(MASTER_DATA,MATCH($C81,MASTER_ROWS,0),MATCH(L$16,MASTER_HEADERS,0))</f>
        <v>GNMA</v>
      </c>
      <c r="M81">
        <v>0</v>
      </c>
      <c r="N81" t="str">
        <f t="shared" si="3"/>
        <v>Current</v>
      </c>
      <c r="O81" t="str">
        <f t="shared" si="4"/>
        <v>N</v>
      </c>
    </row>
    <row r="82" spans="2:15" x14ac:dyDescent="0.3">
      <c r="B82">
        <v>66</v>
      </c>
      <c r="C82">
        <v>93924899</v>
      </c>
      <c r="D82" t="s">
        <v>2</v>
      </c>
      <c r="E82" s="2">
        <v>260000</v>
      </c>
      <c r="F82" s="1">
        <v>8.8488321849944707E-2</v>
      </c>
      <c r="G82">
        <v>30</v>
      </c>
      <c r="H82" s="6">
        <f t="shared" si="8"/>
        <v>-2063.8011239785942</v>
      </c>
      <c r="I82">
        <v>204</v>
      </c>
      <c r="J82" s="6">
        <f t="shared" si="9"/>
        <v>190912.02062684187</v>
      </c>
      <c r="K82" t="s">
        <v>13</v>
      </c>
      <c r="L82" s="11" t="str">
        <f t="shared" si="10"/>
        <v>GNMA</v>
      </c>
      <c r="M82">
        <v>0</v>
      </c>
      <c r="N82" t="str">
        <f t="shared" ref="N82:N145" si="11">IF(M82=0,$C$5,IF((AND(M82&lt;=2,M82&gt;=1)),$C$6,IF(M82&gt;=3,$C$7)))</f>
        <v>Current</v>
      </c>
      <c r="O82" t="str">
        <f t="shared" ref="O82:O145" si="12">IF(M82&gt;=6,"Y","N")</f>
        <v>N</v>
      </c>
    </row>
    <row r="83" spans="2:15" x14ac:dyDescent="0.3">
      <c r="B83">
        <v>67</v>
      </c>
      <c r="C83">
        <v>14685343</v>
      </c>
      <c r="D83" t="s">
        <v>2</v>
      </c>
      <c r="E83" s="2">
        <v>230000</v>
      </c>
      <c r="F83" s="1">
        <v>7.0071082298951745E-2</v>
      </c>
      <c r="G83">
        <v>30</v>
      </c>
      <c r="H83" s="6">
        <f t="shared" si="8"/>
        <v>-1531.293884883142</v>
      </c>
      <c r="I83">
        <v>237</v>
      </c>
      <c r="J83" s="6">
        <f t="shared" si="9"/>
        <v>134101.01991193905</v>
      </c>
      <c r="K83" t="s">
        <v>11</v>
      </c>
      <c r="L83" s="11" t="str">
        <f t="shared" si="10"/>
        <v>FNMA</v>
      </c>
      <c r="M83">
        <v>0</v>
      </c>
      <c r="N83" t="str">
        <f t="shared" si="11"/>
        <v>Current</v>
      </c>
      <c r="O83" t="str">
        <f t="shared" si="12"/>
        <v>N</v>
      </c>
    </row>
    <row r="84" spans="2:15" x14ac:dyDescent="0.3">
      <c r="B84">
        <v>68</v>
      </c>
      <c r="C84">
        <v>46047163</v>
      </c>
      <c r="D84" t="s">
        <v>2</v>
      </c>
      <c r="E84" s="2">
        <v>180000</v>
      </c>
      <c r="F84" s="1">
        <v>6.9073868790080276E-2</v>
      </c>
      <c r="G84">
        <v>10</v>
      </c>
      <c r="H84" s="6">
        <f t="shared" si="8"/>
        <v>-2081.3710610219168</v>
      </c>
      <c r="I84">
        <v>74</v>
      </c>
      <c r="J84" s="6">
        <f t="shared" si="9"/>
        <v>83905.224032455211</v>
      </c>
      <c r="K84" t="s">
        <v>11</v>
      </c>
      <c r="L84" s="11" t="str">
        <f t="shared" si="10"/>
        <v>FNMA</v>
      </c>
      <c r="M84">
        <v>0</v>
      </c>
      <c r="N84" t="str">
        <f t="shared" si="11"/>
        <v>Current</v>
      </c>
      <c r="O84" t="str">
        <f t="shared" si="12"/>
        <v>N</v>
      </c>
    </row>
    <row r="85" spans="2:15" x14ac:dyDescent="0.3">
      <c r="B85">
        <v>69</v>
      </c>
      <c r="C85">
        <v>21390949</v>
      </c>
      <c r="D85" t="s">
        <v>2</v>
      </c>
      <c r="E85" s="2">
        <v>420000</v>
      </c>
      <c r="F85" s="1">
        <v>8.6516783487079515E-2</v>
      </c>
      <c r="G85">
        <v>30</v>
      </c>
      <c r="H85" s="6">
        <f t="shared" si="8"/>
        <v>-3274.6923069116292</v>
      </c>
      <c r="I85">
        <v>237</v>
      </c>
      <c r="J85" s="6">
        <f t="shared" si="9"/>
        <v>266488.12538013776</v>
      </c>
      <c r="K85" t="s">
        <v>13</v>
      </c>
      <c r="L85" s="11" t="str">
        <f t="shared" si="10"/>
        <v>GNMA</v>
      </c>
      <c r="M85">
        <v>0</v>
      </c>
      <c r="N85" t="str">
        <f t="shared" si="11"/>
        <v>Current</v>
      </c>
      <c r="O85" t="str">
        <f t="shared" si="12"/>
        <v>N</v>
      </c>
    </row>
    <row r="86" spans="2:15" x14ac:dyDescent="0.3">
      <c r="B86">
        <v>70</v>
      </c>
      <c r="C86">
        <v>86868306</v>
      </c>
      <c r="D86" t="s">
        <v>2</v>
      </c>
      <c r="E86" s="2">
        <v>220000</v>
      </c>
      <c r="F86" s="1">
        <v>5.9538523786275999E-2</v>
      </c>
      <c r="G86">
        <v>10</v>
      </c>
      <c r="H86" s="6">
        <f t="shared" si="8"/>
        <v>-2437.3558171598584</v>
      </c>
      <c r="I86">
        <v>118</v>
      </c>
      <c r="J86" s="6">
        <f t="shared" si="9"/>
        <v>4838.6710135669418</v>
      </c>
      <c r="K86" t="s">
        <v>9</v>
      </c>
      <c r="L86" s="11" t="str">
        <f t="shared" si="10"/>
        <v>GNMA</v>
      </c>
      <c r="M86">
        <v>0</v>
      </c>
      <c r="N86" t="str">
        <f t="shared" si="11"/>
        <v>Current</v>
      </c>
      <c r="O86" t="str">
        <f t="shared" si="12"/>
        <v>N</v>
      </c>
    </row>
    <row r="87" spans="2:15" x14ac:dyDescent="0.3">
      <c r="B87">
        <v>71</v>
      </c>
      <c r="C87">
        <v>16735695</v>
      </c>
      <c r="D87" t="s">
        <v>2</v>
      </c>
      <c r="E87" s="2">
        <v>290000</v>
      </c>
      <c r="F87" s="1">
        <v>3.7419614625481337E-2</v>
      </c>
      <c r="G87">
        <v>10</v>
      </c>
      <c r="H87" s="6">
        <f t="shared" si="8"/>
        <v>-2900.6762025728844</v>
      </c>
      <c r="I87">
        <v>28</v>
      </c>
      <c r="J87" s="6">
        <f t="shared" si="9"/>
        <v>231683.66372603667</v>
      </c>
      <c r="K87" t="s">
        <v>9</v>
      </c>
      <c r="L87" s="11" t="str">
        <f t="shared" si="10"/>
        <v>GNMA</v>
      </c>
      <c r="M87">
        <v>1</v>
      </c>
      <c r="N87" t="str">
        <f t="shared" si="11"/>
        <v>30-60</v>
      </c>
      <c r="O87" t="str">
        <f t="shared" si="12"/>
        <v>N</v>
      </c>
    </row>
    <row r="88" spans="2:15" x14ac:dyDescent="0.3">
      <c r="B88">
        <v>72</v>
      </c>
      <c r="C88">
        <v>46796012</v>
      </c>
      <c r="D88" t="s">
        <v>2</v>
      </c>
      <c r="E88" s="2">
        <v>90000</v>
      </c>
      <c r="F88" s="1">
        <v>3.9502545578306847E-2</v>
      </c>
      <c r="G88">
        <v>20</v>
      </c>
      <c r="H88" s="6">
        <f t="shared" si="8"/>
        <v>-543.02606512443833</v>
      </c>
      <c r="I88">
        <v>161</v>
      </c>
      <c r="J88" s="6">
        <f t="shared" si="9"/>
        <v>37720.271498697657</v>
      </c>
      <c r="K88" t="s">
        <v>10</v>
      </c>
      <c r="L88" s="11" t="str">
        <f t="shared" si="10"/>
        <v>FHLMC</v>
      </c>
      <c r="M88">
        <v>10</v>
      </c>
      <c r="N88" t="str">
        <f t="shared" si="11"/>
        <v>90+</v>
      </c>
      <c r="O88" t="str">
        <f t="shared" si="12"/>
        <v>Y</v>
      </c>
    </row>
    <row r="89" spans="2:15" x14ac:dyDescent="0.3">
      <c r="B89">
        <v>73</v>
      </c>
      <c r="C89">
        <v>18909077</v>
      </c>
      <c r="D89" t="s">
        <v>2</v>
      </c>
      <c r="E89" s="2">
        <v>280000</v>
      </c>
      <c r="F89" s="1">
        <v>8.0913712050867476E-2</v>
      </c>
      <c r="G89">
        <v>10</v>
      </c>
      <c r="H89" s="6">
        <f t="shared" si="8"/>
        <v>-3410.7063010811376</v>
      </c>
      <c r="I89">
        <v>64</v>
      </c>
      <c r="J89" s="6">
        <f t="shared" si="9"/>
        <v>158640.11139969429</v>
      </c>
      <c r="K89" t="s">
        <v>12</v>
      </c>
      <c r="L89" s="11" t="str">
        <f t="shared" si="10"/>
        <v>GNMA</v>
      </c>
      <c r="M89">
        <v>9</v>
      </c>
      <c r="N89" t="str">
        <f t="shared" si="11"/>
        <v>90+</v>
      </c>
      <c r="O89" t="str">
        <f t="shared" si="12"/>
        <v>Y</v>
      </c>
    </row>
    <row r="90" spans="2:15" x14ac:dyDescent="0.3">
      <c r="B90">
        <v>74</v>
      </c>
      <c r="C90">
        <v>87247227</v>
      </c>
      <c r="D90" t="s">
        <v>2</v>
      </c>
      <c r="E90" s="2">
        <v>350000</v>
      </c>
      <c r="F90" s="1">
        <v>3.5787945697589502E-2</v>
      </c>
      <c r="G90">
        <v>30</v>
      </c>
      <c r="H90" s="6">
        <f t="shared" si="8"/>
        <v>-1587.0911310039264</v>
      </c>
      <c r="I90">
        <v>293</v>
      </c>
      <c r="J90" s="6">
        <f t="shared" si="9"/>
        <v>96255.38703589837</v>
      </c>
      <c r="K90" t="s">
        <v>12</v>
      </c>
      <c r="L90" s="11" t="str">
        <f t="shared" si="10"/>
        <v>GNMA</v>
      </c>
      <c r="M90">
        <v>4</v>
      </c>
      <c r="N90" t="str">
        <f t="shared" si="11"/>
        <v>90+</v>
      </c>
      <c r="O90" t="str">
        <f t="shared" si="12"/>
        <v>N</v>
      </c>
    </row>
    <row r="91" spans="2:15" x14ac:dyDescent="0.3">
      <c r="B91">
        <v>75</v>
      </c>
      <c r="C91">
        <v>75779854</v>
      </c>
      <c r="D91" t="s">
        <v>2</v>
      </c>
      <c r="E91" s="2">
        <v>440000</v>
      </c>
      <c r="F91" s="1">
        <v>7.5454290205374391E-2</v>
      </c>
      <c r="G91">
        <v>30</v>
      </c>
      <c r="H91" s="6">
        <f t="shared" si="8"/>
        <v>-3090.2427562976304</v>
      </c>
      <c r="I91">
        <v>151</v>
      </c>
      <c r="J91" s="6">
        <f t="shared" si="9"/>
        <v>358862.00552587159</v>
      </c>
      <c r="K91" t="s">
        <v>11</v>
      </c>
      <c r="L91" s="11" t="str">
        <f t="shared" si="10"/>
        <v>FNMA</v>
      </c>
      <c r="M91">
        <v>1</v>
      </c>
      <c r="N91" t="str">
        <f t="shared" si="11"/>
        <v>30-60</v>
      </c>
      <c r="O91" t="str">
        <f t="shared" si="12"/>
        <v>N</v>
      </c>
    </row>
    <row r="92" spans="2:15" x14ac:dyDescent="0.3">
      <c r="B92">
        <v>76</v>
      </c>
      <c r="C92">
        <v>28343036</v>
      </c>
      <c r="D92" t="s">
        <v>2</v>
      </c>
      <c r="E92" s="2">
        <v>390000</v>
      </c>
      <c r="F92" s="1">
        <v>3.3529466107279624E-2</v>
      </c>
      <c r="G92">
        <v>20</v>
      </c>
      <c r="H92" s="6">
        <f t="shared" si="8"/>
        <v>-2232.4839059240298</v>
      </c>
      <c r="I92">
        <v>75</v>
      </c>
      <c r="J92" s="6">
        <f t="shared" si="9"/>
        <v>294797.06318568881</v>
      </c>
      <c r="K92" t="s">
        <v>9</v>
      </c>
      <c r="L92" s="11" t="str">
        <f t="shared" si="10"/>
        <v>GNMA</v>
      </c>
      <c r="M92">
        <v>5</v>
      </c>
      <c r="N92" t="str">
        <f t="shared" si="11"/>
        <v>90+</v>
      </c>
      <c r="O92" t="str">
        <f t="shared" si="12"/>
        <v>N</v>
      </c>
    </row>
    <row r="93" spans="2:15" x14ac:dyDescent="0.3">
      <c r="B93">
        <v>77</v>
      </c>
      <c r="C93">
        <v>39275659</v>
      </c>
      <c r="D93" t="s">
        <v>2</v>
      </c>
      <c r="E93" s="2">
        <v>280000</v>
      </c>
      <c r="F93" s="1">
        <v>3.8174534059814809E-2</v>
      </c>
      <c r="G93">
        <v>20</v>
      </c>
      <c r="H93" s="6">
        <f t="shared" si="8"/>
        <v>-1669.9330862531151</v>
      </c>
      <c r="I93">
        <v>229</v>
      </c>
      <c r="J93" s="6">
        <f t="shared" si="9"/>
        <v>18023.424966670162</v>
      </c>
      <c r="K93" t="s">
        <v>13</v>
      </c>
      <c r="L93" s="11" t="str">
        <f t="shared" si="10"/>
        <v>GNMA</v>
      </c>
      <c r="M93">
        <v>4</v>
      </c>
      <c r="N93" t="str">
        <f t="shared" si="11"/>
        <v>90+</v>
      </c>
      <c r="O93" t="str">
        <f t="shared" si="12"/>
        <v>N</v>
      </c>
    </row>
    <row r="94" spans="2:15" x14ac:dyDescent="0.3">
      <c r="B94">
        <v>78</v>
      </c>
      <c r="C94">
        <v>86619026</v>
      </c>
      <c r="D94" t="s">
        <v>2</v>
      </c>
      <c r="E94" s="2">
        <v>380000</v>
      </c>
      <c r="F94" s="1">
        <v>8.8639262942166508E-2</v>
      </c>
      <c r="G94">
        <v>30</v>
      </c>
      <c r="H94" s="6">
        <f t="shared" si="8"/>
        <v>-3020.4343909700733</v>
      </c>
      <c r="I94">
        <v>57</v>
      </c>
      <c r="J94" s="6">
        <f t="shared" si="9"/>
        <v>364934.14294332487</v>
      </c>
      <c r="K94" t="s">
        <v>9</v>
      </c>
      <c r="L94" s="11" t="str">
        <f t="shared" si="10"/>
        <v>GNMA</v>
      </c>
      <c r="M94">
        <v>4</v>
      </c>
      <c r="N94" t="str">
        <f t="shared" si="11"/>
        <v>90+</v>
      </c>
      <c r="O94" t="str">
        <f t="shared" si="12"/>
        <v>N</v>
      </c>
    </row>
    <row r="95" spans="2:15" x14ac:dyDescent="0.3">
      <c r="B95">
        <v>79</v>
      </c>
      <c r="C95">
        <v>31354657</v>
      </c>
      <c r="D95" t="s">
        <v>2</v>
      </c>
      <c r="E95" s="2">
        <v>110000</v>
      </c>
      <c r="F95" s="1">
        <v>5.489254667303671E-2</v>
      </c>
      <c r="G95">
        <v>10</v>
      </c>
      <c r="H95" s="6">
        <f t="shared" si="8"/>
        <v>-1193.2034618023984</v>
      </c>
      <c r="I95">
        <v>84</v>
      </c>
      <c r="J95" s="6">
        <f t="shared" si="9"/>
        <v>39521.753831882197</v>
      </c>
      <c r="K95" t="s">
        <v>12</v>
      </c>
      <c r="L95" s="11" t="str">
        <f t="shared" si="10"/>
        <v>GNMA</v>
      </c>
      <c r="M95">
        <v>8</v>
      </c>
      <c r="N95" t="str">
        <f t="shared" si="11"/>
        <v>90+</v>
      </c>
      <c r="O95" t="str">
        <f t="shared" si="12"/>
        <v>Y</v>
      </c>
    </row>
    <row r="96" spans="2:15" x14ac:dyDescent="0.3">
      <c r="B96">
        <v>80</v>
      </c>
      <c r="C96">
        <v>87048847</v>
      </c>
      <c r="D96" t="s">
        <v>2</v>
      </c>
      <c r="E96" s="2">
        <v>380000</v>
      </c>
      <c r="F96" s="1">
        <v>7.5436353811503654E-2</v>
      </c>
      <c r="G96">
        <v>20</v>
      </c>
      <c r="H96" s="6">
        <f t="shared" si="8"/>
        <v>-3071.4010993646089</v>
      </c>
      <c r="I96">
        <v>124</v>
      </c>
      <c r="J96" s="6">
        <f t="shared" si="9"/>
        <v>252407.09661965974</v>
      </c>
      <c r="K96" t="s">
        <v>12</v>
      </c>
      <c r="L96" s="11" t="str">
        <f t="shared" si="10"/>
        <v>GNMA</v>
      </c>
      <c r="M96">
        <v>3</v>
      </c>
      <c r="N96" t="str">
        <f t="shared" si="11"/>
        <v>90+</v>
      </c>
      <c r="O96" t="str">
        <f t="shared" si="12"/>
        <v>N</v>
      </c>
    </row>
    <row r="97" spans="2:15" x14ac:dyDescent="0.3">
      <c r="B97">
        <v>81</v>
      </c>
      <c r="C97">
        <v>35342493</v>
      </c>
      <c r="D97" t="s">
        <v>2</v>
      </c>
      <c r="E97" s="2">
        <v>370000</v>
      </c>
      <c r="F97" s="1">
        <v>4.4525794658394374E-2</v>
      </c>
      <c r="G97">
        <v>10</v>
      </c>
      <c r="H97" s="6">
        <f t="shared" si="8"/>
        <v>-3826.169015377312</v>
      </c>
      <c r="I97">
        <v>45</v>
      </c>
      <c r="J97" s="6">
        <f t="shared" si="9"/>
        <v>250091.53285965056</v>
      </c>
      <c r="K97" t="s">
        <v>11</v>
      </c>
      <c r="L97" s="11" t="str">
        <f t="shared" si="10"/>
        <v>FNMA</v>
      </c>
      <c r="M97">
        <v>6</v>
      </c>
      <c r="N97" t="str">
        <f t="shared" si="11"/>
        <v>90+</v>
      </c>
      <c r="O97" t="str">
        <f t="shared" si="12"/>
        <v>Y</v>
      </c>
    </row>
    <row r="98" spans="2:15" x14ac:dyDescent="0.3">
      <c r="B98">
        <v>82</v>
      </c>
      <c r="C98">
        <v>75556629</v>
      </c>
      <c r="D98" t="s">
        <v>2</v>
      </c>
      <c r="E98" s="2">
        <v>310000</v>
      </c>
      <c r="F98" s="1">
        <v>3.9359824408563691E-2</v>
      </c>
      <c r="G98">
        <v>30</v>
      </c>
      <c r="H98" s="6">
        <f t="shared" si="8"/>
        <v>-1468.5691609622631</v>
      </c>
      <c r="I98">
        <v>246</v>
      </c>
      <c r="J98" s="6">
        <f t="shared" si="9"/>
        <v>139490.4135723091</v>
      </c>
      <c r="K98" t="s">
        <v>13</v>
      </c>
      <c r="L98" s="11" t="str">
        <f t="shared" si="10"/>
        <v>GNMA</v>
      </c>
      <c r="M98">
        <v>9</v>
      </c>
      <c r="N98" t="str">
        <f t="shared" si="11"/>
        <v>90+</v>
      </c>
      <c r="O98" t="str">
        <f t="shared" si="12"/>
        <v>Y</v>
      </c>
    </row>
    <row r="99" spans="2:15" x14ac:dyDescent="0.3">
      <c r="B99">
        <v>83</v>
      </c>
      <c r="C99">
        <v>87177391</v>
      </c>
      <c r="D99" t="s">
        <v>2</v>
      </c>
      <c r="E99" s="2">
        <v>360000</v>
      </c>
      <c r="F99" s="1">
        <v>6.9952886514902876E-2</v>
      </c>
      <c r="G99">
        <v>20</v>
      </c>
      <c r="H99" s="6">
        <f t="shared" si="8"/>
        <v>-2790.058179585259</v>
      </c>
      <c r="I99">
        <v>216</v>
      </c>
      <c r="J99" s="6">
        <f t="shared" si="9"/>
        <v>62319.199340444364</v>
      </c>
      <c r="K99" t="s">
        <v>10</v>
      </c>
      <c r="L99" s="11" t="str">
        <f t="shared" si="10"/>
        <v>FHLMC</v>
      </c>
      <c r="M99">
        <v>1</v>
      </c>
      <c r="N99" t="str">
        <f t="shared" si="11"/>
        <v>30-60</v>
      </c>
      <c r="O99" t="str">
        <f t="shared" si="12"/>
        <v>N</v>
      </c>
    </row>
    <row r="100" spans="2:15" x14ac:dyDescent="0.3">
      <c r="B100">
        <v>84</v>
      </c>
      <c r="C100">
        <v>70455980</v>
      </c>
      <c r="D100" t="s">
        <v>2</v>
      </c>
      <c r="E100" s="2">
        <v>360000</v>
      </c>
      <c r="F100" s="1">
        <v>2.6369708310845265E-2</v>
      </c>
      <c r="G100">
        <v>30</v>
      </c>
      <c r="H100" s="6">
        <f t="shared" si="8"/>
        <v>-1448.2046136394538</v>
      </c>
      <c r="I100">
        <v>329</v>
      </c>
      <c r="J100" s="6">
        <f t="shared" si="9"/>
        <v>43353.328607756092</v>
      </c>
      <c r="K100" t="s">
        <v>13</v>
      </c>
      <c r="L100" s="11" t="str">
        <f t="shared" si="10"/>
        <v>GNMA</v>
      </c>
      <c r="M100">
        <v>4</v>
      </c>
      <c r="N100" t="str">
        <f t="shared" si="11"/>
        <v>90+</v>
      </c>
      <c r="O100" t="str">
        <f t="shared" si="12"/>
        <v>N</v>
      </c>
    </row>
    <row r="101" spans="2:15" x14ac:dyDescent="0.3">
      <c r="B101">
        <v>85</v>
      </c>
      <c r="C101">
        <v>75392997</v>
      </c>
      <c r="D101" t="s">
        <v>2</v>
      </c>
      <c r="E101" s="2">
        <v>440000</v>
      </c>
      <c r="F101" s="1">
        <v>4.3556765273894182E-2</v>
      </c>
      <c r="G101">
        <v>30</v>
      </c>
      <c r="H101" s="6">
        <f t="shared" si="8"/>
        <v>-2191.8431353548999</v>
      </c>
      <c r="I101">
        <v>164</v>
      </c>
      <c r="J101" s="6">
        <f t="shared" si="9"/>
        <v>307016.215082879</v>
      </c>
      <c r="K101" t="s">
        <v>12</v>
      </c>
      <c r="L101" s="11" t="str">
        <f t="shared" si="10"/>
        <v>GNMA</v>
      </c>
      <c r="M101">
        <v>5</v>
      </c>
      <c r="N101" t="str">
        <f t="shared" si="11"/>
        <v>90+</v>
      </c>
      <c r="O101" t="str">
        <f t="shared" si="12"/>
        <v>N</v>
      </c>
    </row>
    <row r="102" spans="2:15" x14ac:dyDescent="0.3">
      <c r="B102">
        <v>86</v>
      </c>
      <c r="C102">
        <v>19338298</v>
      </c>
      <c r="D102" t="s">
        <v>2</v>
      </c>
      <c r="E102" s="2">
        <v>210000</v>
      </c>
      <c r="F102" s="1">
        <v>2.092235791221576E-2</v>
      </c>
      <c r="G102">
        <v>20</v>
      </c>
      <c r="H102" s="6">
        <f t="shared" si="8"/>
        <v>-1071.5526430845575</v>
      </c>
      <c r="I102">
        <v>232</v>
      </c>
      <c r="J102" s="6">
        <f t="shared" si="9"/>
        <v>8505.5519435938586</v>
      </c>
      <c r="K102" t="s">
        <v>12</v>
      </c>
      <c r="L102" s="11" t="str">
        <f t="shared" si="10"/>
        <v>GNMA</v>
      </c>
      <c r="M102">
        <v>0</v>
      </c>
      <c r="N102" t="str">
        <f t="shared" si="11"/>
        <v>Current</v>
      </c>
      <c r="O102" t="str">
        <f t="shared" si="12"/>
        <v>N</v>
      </c>
    </row>
    <row r="103" spans="2:15" x14ac:dyDescent="0.3">
      <c r="B103">
        <v>87</v>
      </c>
      <c r="C103">
        <v>46089585</v>
      </c>
      <c r="D103" t="s">
        <v>2</v>
      </c>
      <c r="E103" s="2">
        <v>360000</v>
      </c>
      <c r="F103" s="1">
        <v>5.6408371052604878E-2</v>
      </c>
      <c r="G103">
        <v>15</v>
      </c>
      <c r="H103" s="6">
        <f t="shared" si="8"/>
        <v>-2968.4742211011367</v>
      </c>
      <c r="I103">
        <v>78</v>
      </c>
      <c r="J103" s="6">
        <f t="shared" si="9"/>
        <v>240090.79904152575</v>
      </c>
      <c r="K103" t="s">
        <v>9</v>
      </c>
      <c r="L103" s="11" t="str">
        <f t="shared" si="10"/>
        <v>GNMA</v>
      </c>
      <c r="M103">
        <v>0</v>
      </c>
      <c r="N103" t="str">
        <f t="shared" si="11"/>
        <v>Current</v>
      </c>
      <c r="O103" t="str">
        <f t="shared" si="12"/>
        <v>N</v>
      </c>
    </row>
    <row r="104" spans="2:15" x14ac:dyDescent="0.3">
      <c r="B104">
        <v>88</v>
      </c>
      <c r="C104">
        <v>82517417</v>
      </c>
      <c r="D104" t="s">
        <v>2</v>
      </c>
      <c r="E104" s="2">
        <v>190000</v>
      </c>
      <c r="F104" s="1">
        <v>8.4050464805110664E-2</v>
      </c>
      <c r="G104">
        <v>30</v>
      </c>
      <c r="H104" s="6">
        <f t="shared" si="8"/>
        <v>-1448.1689745522599</v>
      </c>
      <c r="I104">
        <v>307</v>
      </c>
      <c r="J104" s="6">
        <f t="shared" si="9"/>
        <v>63932.703600784225</v>
      </c>
      <c r="K104" t="s">
        <v>12</v>
      </c>
      <c r="L104" s="11" t="str">
        <f t="shared" si="10"/>
        <v>GNMA</v>
      </c>
      <c r="M104">
        <v>0</v>
      </c>
      <c r="N104" t="str">
        <f t="shared" si="11"/>
        <v>Current</v>
      </c>
      <c r="O104" t="str">
        <f t="shared" si="12"/>
        <v>N</v>
      </c>
    </row>
    <row r="105" spans="2:15" x14ac:dyDescent="0.3">
      <c r="B105">
        <v>89</v>
      </c>
      <c r="C105">
        <v>42621092</v>
      </c>
      <c r="D105" t="s">
        <v>2</v>
      </c>
      <c r="E105" s="2">
        <v>270000</v>
      </c>
      <c r="F105" s="1">
        <v>4.3622348956864891E-2</v>
      </c>
      <c r="G105">
        <v>20</v>
      </c>
      <c r="H105" s="6">
        <f t="shared" si="8"/>
        <v>-1688.1403027146584</v>
      </c>
      <c r="I105">
        <v>171</v>
      </c>
      <c r="J105" s="6">
        <f t="shared" si="9"/>
        <v>102857.332590162</v>
      </c>
      <c r="K105" t="s">
        <v>10</v>
      </c>
      <c r="L105" s="11" t="str">
        <f t="shared" si="10"/>
        <v>FHLMC</v>
      </c>
      <c r="M105">
        <v>0</v>
      </c>
      <c r="N105" t="str">
        <f t="shared" si="11"/>
        <v>Current</v>
      </c>
      <c r="O105" t="str">
        <f t="shared" si="12"/>
        <v>N</v>
      </c>
    </row>
    <row r="106" spans="2:15" x14ac:dyDescent="0.3">
      <c r="B106">
        <v>90</v>
      </c>
      <c r="C106">
        <v>88723122</v>
      </c>
      <c r="D106" t="s">
        <v>2</v>
      </c>
      <c r="E106" s="2">
        <v>160000</v>
      </c>
      <c r="F106" s="1">
        <v>2.3133587418061395E-2</v>
      </c>
      <c r="G106">
        <v>30</v>
      </c>
      <c r="H106" s="6">
        <f t="shared" si="8"/>
        <v>-616.77704074120834</v>
      </c>
      <c r="I106">
        <v>33</v>
      </c>
      <c r="J106" s="6">
        <f t="shared" si="9"/>
        <v>149504.95132874412</v>
      </c>
      <c r="K106" t="s">
        <v>10</v>
      </c>
      <c r="L106" s="11" t="str">
        <f t="shared" si="10"/>
        <v>FHLMC</v>
      </c>
      <c r="M106">
        <v>0</v>
      </c>
      <c r="N106" t="str">
        <f t="shared" si="11"/>
        <v>Current</v>
      </c>
      <c r="O106" t="str">
        <f t="shared" si="12"/>
        <v>N</v>
      </c>
    </row>
    <row r="107" spans="2:15" x14ac:dyDescent="0.3">
      <c r="B107">
        <v>91</v>
      </c>
      <c r="C107">
        <v>87714312</v>
      </c>
      <c r="D107" t="s">
        <v>2</v>
      </c>
      <c r="E107" s="2">
        <v>410000</v>
      </c>
      <c r="F107" s="1">
        <v>7.6002502678293865E-2</v>
      </c>
      <c r="G107">
        <v>15</v>
      </c>
      <c r="H107" s="6">
        <f t="shared" si="8"/>
        <v>-3824.1453134030444</v>
      </c>
      <c r="I107">
        <v>49</v>
      </c>
      <c r="J107" s="6">
        <f t="shared" si="9"/>
        <v>339738.68083478435</v>
      </c>
      <c r="K107" t="s">
        <v>10</v>
      </c>
      <c r="L107" s="11" t="str">
        <f t="shared" si="10"/>
        <v>FHLMC</v>
      </c>
      <c r="M107">
        <v>0</v>
      </c>
      <c r="N107" t="str">
        <f t="shared" si="11"/>
        <v>Current</v>
      </c>
      <c r="O107" t="str">
        <f t="shared" si="12"/>
        <v>N</v>
      </c>
    </row>
    <row r="108" spans="2:15" x14ac:dyDescent="0.3">
      <c r="B108">
        <v>92</v>
      </c>
      <c r="C108">
        <v>37402885</v>
      </c>
      <c r="D108" t="s">
        <v>2</v>
      </c>
      <c r="E108" s="2">
        <v>100000</v>
      </c>
      <c r="F108" s="1">
        <v>8.0625304723364447E-2</v>
      </c>
      <c r="G108">
        <v>30</v>
      </c>
      <c r="H108" s="6">
        <f t="shared" si="8"/>
        <v>-738.12836595525948</v>
      </c>
      <c r="I108">
        <v>17</v>
      </c>
      <c r="J108" s="6">
        <f t="shared" si="9"/>
        <v>98811.116686448775</v>
      </c>
      <c r="K108" t="s">
        <v>9</v>
      </c>
      <c r="L108" s="11" t="str">
        <f t="shared" si="10"/>
        <v>GNMA</v>
      </c>
      <c r="M108">
        <v>0</v>
      </c>
      <c r="N108" t="str">
        <f t="shared" si="11"/>
        <v>Current</v>
      </c>
      <c r="O108" t="str">
        <f t="shared" si="12"/>
        <v>N</v>
      </c>
    </row>
    <row r="109" spans="2:15" x14ac:dyDescent="0.3">
      <c r="B109">
        <v>93</v>
      </c>
      <c r="C109">
        <v>50004880</v>
      </c>
      <c r="D109" t="s">
        <v>2</v>
      </c>
      <c r="E109" s="2">
        <v>200000</v>
      </c>
      <c r="F109" s="1">
        <v>3.1586661242958225E-2</v>
      </c>
      <c r="G109">
        <v>15</v>
      </c>
      <c r="H109" s="6">
        <f t="shared" si="8"/>
        <v>-1396.4764067875863</v>
      </c>
      <c r="I109">
        <v>46</v>
      </c>
      <c r="J109" s="6">
        <f t="shared" si="9"/>
        <v>157514.10005123282</v>
      </c>
      <c r="K109" t="s">
        <v>13</v>
      </c>
      <c r="L109" s="11" t="str">
        <f t="shared" si="10"/>
        <v>GNMA</v>
      </c>
      <c r="M109">
        <v>0</v>
      </c>
      <c r="N109" t="str">
        <f t="shared" si="11"/>
        <v>Current</v>
      </c>
      <c r="O109" t="str">
        <f t="shared" si="12"/>
        <v>N</v>
      </c>
    </row>
    <row r="110" spans="2:15" x14ac:dyDescent="0.3">
      <c r="B110">
        <v>94</v>
      </c>
      <c r="C110">
        <v>54104168</v>
      </c>
      <c r="D110" t="s">
        <v>2</v>
      </c>
      <c r="E110" s="2">
        <v>320000</v>
      </c>
      <c r="F110" s="1">
        <v>6.9094609118500627E-2</v>
      </c>
      <c r="G110">
        <v>30</v>
      </c>
      <c r="H110" s="6">
        <f t="shared" si="8"/>
        <v>-2109.5458171216096</v>
      </c>
      <c r="I110">
        <v>140</v>
      </c>
      <c r="J110" s="6">
        <f t="shared" si="9"/>
        <v>262773.21351286402</v>
      </c>
      <c r="K110" t="s">
        <v>12</v>
      </c>
      <c r="L110" s="11" t="str">
        <f t="shared" si="10"/>
        <v>GNMA</v>
      </c>
      <c r="M110">
        <v>4</v>
      </c>
      <c r="N110" t="str">
        <f t="shared" si="11"/>
        <v>90+</v>
      </c>
      <c r="O110" t="str">
        <f t="shared" si="12"/>
        <v>N</v>
      </c>
    </row>
    <row r="111" spans="2:15" x14ac:dyDescent="0.3">
      <c r="B111">
        <v>95</v>
      </c>
      <c r="C111">
        <v>82658753</v>
      </c>
      <c r="D111" t="s">
        <v>2</v>
      </c>
      <c r="E111" s="2">
        <v>390000</v>
      </c>
      <c r="F111" s="1">
        <v>3.0758992929878257E-2</v>
      </c>
      <c r="G111">
        <v>30</v>
      </c>
      <c r="H111" s="6">
        <f t="shared" si="8"/>
        <v>-1660.2631024193468</v>
      </c>
      <c r="I111">
        <v>13</v>
      </c>
      <c r="J111" s="6">
        <f t="shared" si="9"/>
        <v>381278.92966405768</v>
      </c>
      <c r="K111" t="s">
        <v>11</v>
      </c>
      <c r="L111" s="11" t="str">
        <f t="shared" si="10"/>
        <v>FNMA</v>
      </c>
      <c r="M111">
        <v>2</v>
      </c>
      <c r="N111" t="str">
        <f t="shared" si="11"/>
        <v>30-60</v>
      </c>
      <c r="O111" t="str">
        <f t="shared" si="12"/>
        <v>N</v>
      </c>
    </row>
    <row r="112" spans="2:15" x14ac:dyDescent="0.3">
      <c r="B112">
        <v>96</v>
      </c>
      <c r="C112">
        <v>10503800</v>
      </c>
      <c r="D112" t="s">
        <v>2</v>
      </c>
      <c r="E112" s="2">
        <v>260000</v>
      </c>
      <c r="F112" s="1">
        <v>8.3913752944148587E-2</v>
      </c>
      <c r="G112">
        <v>20</v>
      </c>
      <c r="H112" s="6">
        <f t="shared" si="8"/>
        <v>-2238.4973019559488</v>
      </c>
      <c r="I112">
        <v>90</v>
      </c>
      <c r="J112" s="6">
        <f t="shared" si="9"/>
        <v>207563.08641201249</v>
      </c>
      <c r="K112" t="s">
        <v>13</v>
      </c>
      <c r="L112" s="11" t="str">
        <f t="shared" si="10"/>
        <v>GNMA</v>
      </c>
      <c r="M112">
        <v>8</v>
      </c>
      <c r="N112" t="str">
        <f t="shared" si="11"/>
        <v>90+</v>
      </c>
      <c r="O112" t="str">
        <f t="shared" si="12"/>
        <v>Y</v>
      </c>
    </row>
    <row r="113" spans="2:15" x14ac:dyDescent="0.3">
      <c r="B113">
        <v>97</v>
      </c>
      <c r="C113">
        <v>33072572</v>
      </c>
      <c r="D113" t="s">
        <v>2</v>
      </c>
      <c r="E113" s="2">
        <v>390000</v>
      </c>
      <c r="F113" s="1">
        <v>5.914795686569916E-2</v>
      </c>
      <c r="G113">
        <v>15</v>
      </c>
      <c r="H113" s="6">
        <f t="shared" ref="H113:H144" si="13">INDEX(MASTER_DATA,MATCH($C113,MASTER_ROWS,0),MATCH(H$16,MASTER_HEADERS,0))</f>
        <v>-3273.1159683163173</v>
      </c>
      <c r="I113">
        <v>30</v>
      </c>
      <c r="J113" s="6">
        <f t="shared" ref="J113:J144" si="14">INDEX(MASTER_DATA,MATCH($C113,MASTER_ROWS,0),MATCH(J$16,MASTER_HEADERS,0))</f>
        <v>346441.70509429998</v>
      </c>
      <c r="K113" t="s">
        <v>10</v>
      </c>
      <c r="L113" s="11" t="str">
        <f t="shared" ref="L113:L144" si="15">INDEX(MASTER_DATA,MATCH($C113,MASTER_ROWS,0),MATCH(L$16,MASTER_HEADERS,0))</f>
        <v>FHLMC</v>
      </c>
      <c r="M113">
        <v>5</v>
      </c>
      <c r="N113" t="str">
        <f t="shared" si="11"/>
        <v>90+</v>
      </c>
      <c r="O113" t="str">
        <f t="shared" si="12"/>
        <v>N</v>
      </c>
    </row>
    <row r="114" spans="2:15" x14ac:dyDescent="0.3">
      <c r="B114">
        <v>98</v>
      </c>
      <c r="C114">
        <v>13860670</v>
      </c>
      <c r="D114" t="s">
        <v>2</v>
      </c>
      <c r="E114" s="2">
        <v>160000</v>
      </c>
      <c r="F114" s="1">
        <v>3.401337062358261E-2</v>
      </c>
      <c r="G114">
        <v>20</v>
      </c>
      <c r="H114" s="6">
        <f t="shared" si="13"/>
        <v>-919.84426907277771</v>
      </c>
      <c r="I114">
        <v>66</v>
      </c>
      <c r="J114" s="6">
        <f t="shared" si="14"/>
        <v>126207.41994572611</v>
      </c>
      <c r="K114" t="s">
        <v>13</v>
      </c>
      <c r="L114" s="11" t="str">
        <f t="shared" si="15"/>
        <v>GNMA</v>
      </c>
      <c r="M114">
        <v>10</v>
      </c>
      <c r="N114" t="str">
        <f t="shared" si="11"/>
        <v>90+</v>
      </c>
      <c r="O114" t="str">
        <f t="shared" si="12"/>
        <v>Y</v>
      </c>
    </row>
    <row r="115" spans="2:15" x14ac:dyDescent="0.3">
      <c r="B115">
        <v>99</v>
      </c>
      <c r="C115">
        <v>78628786</v>
      </c>
      <c r="D115" t="s">
        <v>2</v>
      </c>
      <c r="E115" s="2">
        <v>400000</v>
      </c>
      <c r="F115" s="1">
        <v>2.3051931389460947E-2</v>
      </c>
      <c r="G115">
        <v>30</v>
      </c>
      <c r="H115" s="6">
        <f t="shared" si="13"/>
        <v>-1540.2689912021608</v>
      </c>
      <c r="I115">
        <v>17</v>
      </c>
      <c r="J115" s="6">
        <f t="shared" si="14"/>
        <v>386674.58288546558</v>
      </c>
      <c r="K115" t="s">
        <v>9</v>
      </c>
      <c r="L115" s="11" t="str">
        <f t="shared" si="15"/>
        <v>GNMA</v>
      </c>
      <c r="M115">
        <v>9</v>
      </c>
      <c r="N115" t="str">
        <f t="shared" si="11"/>
        <v>90+</v>
      </c>
      <c r="O115" t="str">
        <f t="shared" si="12"/>
        <v>Y</v>
      </c>
    </row>
    <row r="116" spans="2:15" x14ac:dyDescent="0.3">
      <c r="B116">
        <v>100</v>
      </c>
      <c r="C116">
        <v>19293538</v>
      </c>
      <c r="D116" t="s">
        <v>2</v>
      </c>
      <c r="E116" s="2">
        <v>110000</v>
      </c>
      <c r="F116" s="1">
        <v>7.9989228013860547E-2</v>
      </c>
      <c r="G116">
        <v>20</v>
      </c>
      <c r="H116" s="6">
        <f t="shared" si="13"/>
        <v>-920.01033320253225</v>
      </c>
      <c r="I116">
        <v>200</v>
      </c>
      <c r="J116" s="6">
        <f t="shared" si="14"/>
        <v>32209.23467080425</v>
      </c>
      <c r="K116" t="s">
        <v>12</v>
      </c>
      <c r="L116" s="11" t="str">
        <f t="shared" si="15"/>
        <v>GNMA</v>
      </c>
      <c r="M116">
        <v>9</v>
      </c>
      <c r="N116" t="str">
        <f t="shared" si="11"/>
        <v>90+</v>
      </c>
      <c r="O116" t="str">
        <f t="shared" si="12"/>
        <v>Y</v>
      </c>
    </row>
    <row r="117" spans="2:15" x14ac:dyDescent="0.3">
      <c r="B117">
        <v>101</v>
      </c>
      <c r="C117">
        <v>74043188</v>
      </c>
      <c r="D117" t="s">
        <v>2</v>
      </c>
      <c r="E117" s="2">
        <v>270000</v>
      </c>
      <c r="F117" s="1">
        <v>4.318656729242594E-2</v>
      </c>
      <c r="G117">
        <v>20</v>
      </c>
      <c r="H117" s="6">
        <f t="shared" si="13"/>
        <v>-1681.8370465093874</v>
      </c>
      <c r="I117">
        <v>145</v>
      </c>
      <c r="J117" s="6">
        <f t="shared" si="14"/>
        <v>135121.60639166343</v>
      </c>
      <c r="K117" t="s">
        <v>12</v>
      </c>
      <c r="L117" s="11" t="str">
        <f t="shared" si="15"/>
        <v>GNMA</v>
      </c>
      <c r="M117">
        <v>9</v>
      </c>
      <c r="N117" t="str">
        <f t="shared" si="11"/>
        <v>90+</v>
      </c>
      <c r="O117" t="str">
        <f t="shared" si="12"/>
        <v>Y</v>
      </c>
    </row>
    <row r="118" spans="2:15" x14ac:dyDescent="0.3">
      <c r="B118">
        <v>102</v>
      </c>
      <c r="C118">
        <v>85981412</v>
      </c>
      <c r="D118" t="s">
        <v>2</v>
      </c>
      <c r="E118" s="2">
        <v>100000</v>
      </c>
      <c r="F118" s="1">
        <v>4.9320800002458996E-2</v>
      </c>
      <c r="G118">
        <v>20</v>
      </c>
      <c r="H118" s="6">
        <f t="shared" si="13"/>
        <v>-656.20946828759884</v>
      </c>
      <c r="I118">
        <v>185</v>
      </c>
      <c r="J118" s="6">
        <f t="shared" si="14"/>
        <v>32243.961964010221</v>
      </c>
      <c r="K118" t="s">
        <v>10</v>
      </c>
      <c r="L118" s="11" t="str">
        <f t="shared" si="15"/>
        <v>FHLMC</v>
      </c>
      <c r="M118">
        <v>10</v>
      </c>
      <c r="N118" t="str">
        <f t="shared" si="11"/>
        <v>90+</v>
      </c>
      <c r="O118" t="str">
        <f t="shared" si="12"/>
        <v>Y</v>
      </c>
    </row>
    <row r="119" spans="2:15" x14ac:dyDescent="0.3">
      <c r="B119">
        <v>103</v>
      </c>
      <c r="C119">
        <v>28790211</v>
      </c>
      <c r="D119" t="s">
        <v>2</v>
      </c>
      <c r="E119" s="2">
        <v>280000</v>
      </c>
      <c r="F119" s="1">
        <v>8.5050217334716488E-2</v>
      </c>
      <c r="G119">
        <v>15</v>
      </c>
      <c r="H119" s="6">
        <f t="shared" si="13"/>
        <v>-2758.0950332798766</v>
      </c>
      <c r="I119">
        <v>118</v>
      </c>
      <c r="J119" s="6">
        <f t="shared" si="14"/>
        <v>137989.75301180655</v>
      </c>
      <c r="K119" t="s">
        <v>10</v>
      </c>
      <c r="L119" s="11" t="str">
        <f t="shared" si="15"/>
        <v>FHLMC</v>
      </c>
      <c r="M119">
        <v>3</v>
      </c>
      <c r="N119" t="str">
        <f t="shared" si="11"/>
        <v>90+</v>
      </c>
      <c r="O119" t="str">
        <f t="shared" si="12"/>
        <v>N</v>
      </c>
    </row>
    <row r="120" spans="2:15" x14ac:dyDescent="0.3">
      <c r="B120">
        <v>104</v>
      </c>
      <c r="C120">
        <v>74439129</v>
      </c>
      <c r="D120" t="s">
        <v>2</v>
      </c>
      <c r="E120" s="2">
        <v>360000</v>
      </c>
      <c r="F120" s="1">
        <v>6.172569651273551E-2</v>
      </c>
      <c r="G120">
        <v>15</v>
      </c>
      <c r="H120" s="6">
        <f t="shared" si="13"/>
        <v>-3071.5504974779028</v>
      </c>
      <c r="I120">
        <v>157</v>
      </c>
      <c r="J120" s="6">
        <f t="shared" si="14"/>
        <v>66465.848352409899</v>
      </c>
      <c r="K120" t="s">
        <v>13</v>
      </c>
      <c r="L120" s="11" t="str">
        <f t="shared" si="15"/>
        <v>GNMA</v>
      </c>
      <c r="M120">
        <v>5</v>
      </c>
      <c r="N120" t="str">
        <f t="shared" si="11"/>
        <v>90+</v>
      </c>
      <c r="O120" t="str">
        <f t="shared" si="12"/>
        <v>N</v>
      </c>
    </row>
    <row r="121" spans="2:15" x14ac:dyDescent="0.3">
      <c r="B121">
        <v>105</v>
      </c>
      <c r="C121">
        <v>79146016</v>
      </c>
      <c r="D121" t="s">
        <v>2</v>
      </c>
      <c r="E121" s="2">
        <v>260000</v>
      </c>
      <c r="F121" s="1">
        <v>6.6777345462205137E-2</v>
      </c>
      <c r="G121">
        <v>15</v>
      </c>
      <c r="H121" s="6">
        <f t="shared" si="13"/>
        <v>-2290.360204717053</v>
      </c>
      <c r="I121">
        <v>15</v>
      </c>
      <c r="J121" s="6">
        <f t="shared" si="14"/>
        <v>246842.2793794398</v>
      </c>
      <c r="K121" t="s">
        <v>9</v>
      </c>
      <c r="L121" s="11" t="str">
        <f t="shared" si="15"/>
        <v>GNMA</v>
      </c>
      <c r="M121">
        <v>0</v>
      </c>
      <c r="N121" t="str">
        <f t="shared" si="11"/>
        <v>Current</v>
      </c>
      <c r="O121" t="str">
        <f t="shared" si="12"/>
        <v>N</v>
      </c>
    </row>
    <row r="122" spans="2:15" x14ac:dyDescent="0.3">
      <c r="B122">
        <v>106</v>
      </c>
      <c r="C122">
        <v>72685786</v>
      </c>
      <c r="D122" t="s">
        <v>2</v>
      </c>
      <c r="E122" s="2">
        <v>280000</v>
      </c>
      <c r="F122" s="1">
        <v>4.0406672002481922E-2</v>
      </c>
      <c r="G122">
        <v>15</v>
      </c>
      <c r="H122" s="6">
        <f t="shared" si="13"/>
        <v>-2076.8370206374502</v>
      </c>
      <c r="I122">
        <v>95</v>
      </c>
      <c r="J122" s="6">
        <f t="shared" si="14"/>
        <v>153292.67570242152</v>
      </c>
      <c r="K122" t="s">
        <v>9</v>
      </c>
      <c r="L122" s="11" t="str">
        <f t="shared" si="15"/>
        <v>GNMA</v>
      </c>
      <c r="M122">
        <v>3</v>
      </c>
      <c r="N122" t="str">
        <f t="shared" si="11"/>
        <v>90+</v>
      </c>
      <c r="O122" t="str">
        <f t="shared" si="12"/>
        <v>N</v>
      </c>
    </row>
    <row r="123" spans="2:15" x14ac:dyDescent="0.3">
      <c r="B123">
        <v>107</v>
      </c>
      <c r="C123">
        <v>66696062</v>
      </c>
      <c r="D123" t="s">
        <v>2</v>
      </c>
      <c r="E123" s="2">
        <v>130000</v>
      </c>
      <c r="F123" s="1">
        <v>6.9978729603616049E-2</v>
      </c>
      <c r="G123">
        <v>20</v>
      </c>
      <c r="H123" s="6">
        <f t="shared" si="13"/>
        <v>-1007.7226440856219</v>
      </c>
      <c r="I123">
        <v>62</v>
      </c>
      <c r="J123" s="6">
        <f t="shared" si="14"/>
        <v>111420.25929454762</v>
      </c>
      <c r="K123" t="s">
        <v>10</v>
      </c>
      <c r="L123" s="11" t="str">
        <f t="shared" si="15"/>
        <v>FHLMC</v>
      </c>
      <c r="M123">
        <v>0</v>
      </c>
      <c r="N123" t="str">
        <f t="shared" si="11"/>
        <v>Current</v>
      </c>
      <c r="O123" t="str">
        <f t="shared" si="12"/>
        <v>N</v>
      </c>
    </row>
    <row r="124" spans="2:15" x14ac:dyDescent="0.3">
      <c r="B124">
        <v>108</v>
      </c>
      <c r="C124">
        <v>84759219</v>
      </c>
      <c r="D124" t="s">
        <v>2</v>
      </c>
      <c r="E124" s="2">
        <v>300000</v>
      </c>
      <c r="F124" s="1">
        <v>7.3541099206711563E-2</v>
      </c>
      <c r="G124">
        <v>15</v>
      </c>
      <c r="H124" s="6">
        <f t="shared" si="13"/>
        <v>-2756.2241468293892</v>
      </c>
      <c r="I124">
        <v>72</v>
      </c>
      <c r="J124" s="6">
        <f t="shared" si="14"/>
        <v>217258.49255830029</v>
      </c>
      <c r="K124" t="s">
        <v>13</v>
      </c>
      <c r="L124" s="11" t="str">
        <f t="shared" si="15"/>
        <v>GNMA</v>
      </c>
      <c r="M124">
        <v>5</v>
      </c>
      <c r="N124" t="str">
        <f t="shared" si="11"/>
        <v>90+</v>
      </c>
      <c r="O124" t="str">
        <f t="shared" si="12"/>
        <v>N</v>
      </c>
    </row>
    <row r="125" spans="2:15" x14ac:dyDescent="0.3">
      <c r="B125">
        <v>109</v>
      </c>
      <c r="C125">
        <v>70637400</v>
      </c>
      <c r="D125" t="s">
        <v>2</v>
      </c>
      <c r="E125" s="2">
        <v>310000</v>
      </c>
      <c r="F125" s="1">
        <v>8.429193812760874E-2</v>
      </c>
      <c r="G125">
        <v>30</v>
      </c>
      <c r="H125" s="6">
        <f t="shared" si="13"/>
        <v>-2368.0931864350027</v>
      </c>
      <c r="I125">
        <v>242</v>
      </c>
      <c r="J125" s="6">
        <f t="shared" si="14"/>
        <v>189530.05682059354</v>
      </c>
      <c r="K125" t="s">
        <v>13</v>
      </c>
      <c r="L125" s="11" t="str">
        <f t="shared" si="15"/>
        <v>GNMA</v>
      </c>
      <c r="M125">
        <v>8</v>
      </c>
      <c r="N125" t="str">
        <f t="shared" si="11"/>
        <v>90+</v>
      </c>
      <c r="O125" t="str">
        <f t="shared" si="12"/>
        <v>Y</v>
      </c>
    </row>
    <row r="126" spans="2:15" x14ac:dyDescent="0.3">
      <c r="B126">
        <v>110</v>
      </c>
      <c r="C126">
        <v>38798861</v>
      </c>
      <c r="D126" t="s">
        <v>2</v>
      </c>
      <c r="E126" s="2">
        <v>430000</v>
      </c>
      <c r="F126" s="1">
        <v>2.1001186674988234E-2</v>
      </c>
      <c r="G126">
        <v>15</v>
      </c>
      <c r="H126" s="6">
        <f t="shared" si="13"/>
        <v>-2786.9555157276159</v>
      </c>
      <c r="I126">
        <v>23</v>
      </c>
      <c r="J126" s="6">
        <f t="shared" si="14"/>
        <v>382296.58142740378</v>
      </c>
      <c r="K126" t="s">
        <v>10</v>
      </c>
      <c r="L126" s="11" t="str">
        <f t="shared" si="15"/>
        <v>FHLMC</v>
      </c>
      <c r="M126">
        <v>2</v>
      </c>
      <c r="N126" t="str">
        <f t="shared" si="11"/>
        <v>30-60</v>
      </c>
      <c r="O126" t="str">
        <f t="shared" si="12"/>
        <v>N</v>
      </c>
    </row>
    <row r="127" spans="2:15" x14ac:dyDescent="0.3">
      <c r="B127">
        <v>111</v>
      </c>
      <c r="C127">
        <v>76703611</v>
      </c>
      <c r="D127" t="s">
        <v>2</v>
      </c>
      <c r="E127" s="2">
        <v>140000</v>
      </c>
      <c r="F127" s="1">
        <v>7.4869625494172767E-2</v>
      </c>
      <c r="G127">
        <v>15</v>
      </c>
      <c r="H127" s="6">
        <f t="shared" si="13"/>
        <v>-1296.7803011909505</v>
      </c>
      <c r="I127">
        <v>108</v>
      </c>
      <c r="J127" s="6">
        <f t="shared" si="14"/>
        <v>75028.657941106503</v>
      </c>
      <c r="K127" t="s">
        <v>10</v>
      </c>
      <c r="L127" s="11" t="str">
        <f t="shared" si="15"/>
        <v>FHLMC</v>
      </c>
      <c r="M127">
        <v>5</v>
      </c>
      <c r="N127" t="str">
        <f t="shared" si="11"/>
        <v>90+</v>
      </c>
      <c r="O127" t="str">
        <f t="shared" si="12"/>
        <v>N</v>
      </c>
    </row>
    <row r="128" spans="2:15" x14ac:dyDescent="0.3">
      <c r="B128">
        <v>112</v>
      </c>
      <c r="C128">
        <v>70445419</v>
      </c>
      <c r="D128" t="s">
        <v>2</v>
      </c>
      <c r="E128" s="2">
        <v>110000</v>
      </c>
      <c r="F128" s="1">
        <v>4.0022588821897263E-2</v>
      </c>
      <c r="G128">
        <v>30</v>
      </c>
      <c r="H128" s="6">
        <f t="shared" si="13"/>
        <v>-525.30008525464871</v>
      </c>
      <c r="I128">
        <v>61</v>
      </c>
      <c r="J128" s="6">
        <f t="shared" si="14"/>
        <v>99302.433763665118</v>
      </c>
      <c r="K128" t="s">
        <v>13</v>
      </c>
      <c r="L128" s="11" t="str">
        <f t="shared" si="15"/>
        <v>GNMA</v>
      </c>
      <c r="M128">
        <v>6</v>
      </c>
      <c r="N128" t="str">
        <f t="shared" si="11"/>
        <v>90+</v>
      </c>
      <c r="O128" t="str">
        <f t="shared" si="12"/>
        <v>Y</v>
      </c>
    </row>
    <row r="129" spans="2:15" x14ac:dyDescent="0.3">
      <c r="B129">
        <v>113</v>
      </c>
      <c r="C129">
        <v>44239553</v>
      </c>
      <c r="D129" t="s">
        <v>2</v>
      </c>
      <c r="E129" s="2">
        <v>240000</v>
      </c>
      <c r="F129" s="1">
        <v>5.5915919135758191E-2</v>
      </c>
      <c r="G129">
        <v>30</v>
      </c>
      <c r="H129" s="6">
        <f t="shared" si="13"/>
        <v>-1376.5173548341957</v>
      </c>
      <c r="I129">
        <v>309</v>
      </c>
      <c r="J129" s="6">
        <f t="shared" si="14"/>
        <v>62355.550259492658</v>
      </c>
      <c r="K129" t="s">
        <v>11</v>
      </c>
      <c r="L129" s="11" t="str">
        <f t="shared" si="15"/>
        <v>FNMA</v>
      </c>
      <c r="M129">
        <v>9</v>
      </c>
      <c r="N129" t="str">
        <f t="shared" si="11"/>
        <v>90+</v>
      </c>
      <c r="O129" t="str">
        <f t="shared" si="12"/>
        <v>Y</v>
      </c>
    </row>
    <row r="130" spans="2:15" x14ac:dyDescent="0.3">
      <c r="B130">
        <v>114</v>
      </c>
      <c r="C130">
        <v>41349397</v>
      </c>
      <c r="D130" t="s">
        <v>2</v>
      </c>
      <c r="E130" s="2">
        <v>270000</v>
      </c>
      <c r="F130" s="1">
        <v>6.2954123371356599E-2</v>
      </c>
      <c r="G130">
        <v>20</v>
      </c>
      <c r="H130" s="6">
        <f t="shared" si="13"/>
        <v>-1980.6592873396762</v>
      </c>
      <c r="I130">
        <v>211</v>
      </c>
      <c r="J130" s="6">
        <f t="shared" si="14"/>
        <v>53154.177861113814</v>
      </c>
      <c r="K130" t="s">
        <v>12</v>
      </c>
      <c r="L130" s="11" t="str">
        <f t="shared" si="15"/>
        <v>GNMA</v>
      </c>
      <c r="M130">
        <v>6</v>
      </c>
      <c r="N130" t="str">
        <f t="shared" si="11"/>
        <v>90+</v>
      </c>
      <c r="O130" t="str">
        <f t="shared" si="12"/>
        <v>Y</v>
      </c>
    </row>
    <row r="131" spans="2:15" x14ac:dyDescent="0.3">
      <c r="B131">
        <v>115</v>
      </c>
      <c r="C131">
        <v>58908267</v>
      </c>
      <c r="D131" t="s">
        <v>2</v>
      </c>
      <c r="E131" s="2">
        <v>120000</v>
      </c>
      <c r="F131" s="1">
        <v>6.1454302986937014E-2</v>
      </c>
      <c r="G131">
        <v>15</v>
      </c>
      <c r="H131" s="6">
        <f t="shared" si="13"/>
        <v>-1022.0808233240052</v>
      </c>
      <c r="I131">
        <v>24</v>
      </c>
      <c r="J131" s="6">
        <f t="shared" si="14"/>
        <v>109620.83215053298</v>
      </c>
      <c r="K131" t="s">
        <v>12</v>
      </c>
      <c r="L131" s="11" t="str">
        <f t="shared" si="15"/>
        <v>GNMA</v>
      </c>
      <c r="M131">
        <v>9</v>
      </c>
      <c r="N131" t="str">
        <f t="shared" si="11"/>
        <v>90+</v>
      </c>
      <c r="O131" t="str">
        <f t="shared" si="12"/>
        <v>Y</v>
      </c>
    </row>
    <row r="132" spans="2:15" x14ac:dyDescent="0.3">
      <c r="B132">
        <v>116</v>
      </c>
      <c r="C132">
        <v>61089089</v>
      </c>
      <c r="D132" t="s">
        <v>2</v>
      </c>
      <c r="E132" s="2">
        <v>340000</v>
      </c>
      <c r="F132" s="1">
        <v>4.668521806741701E-2</v>
      </c>
      <c r="G132">
        <v>30</v>
      </c>
      <c r="H132" s="6">
        <f t="shared" si="13"/>
        <v>-1756.9414700267623</v>
      </c>
      <c r="I132">
        <v>67</v>
      </c>
      <c r="J132" s="6">
        <f t="shared" si="14"/>
        <v>306838.78568016167</v>
      </c>
      <c r="K132" t="s">
        <v>13</v>
      </c>
      <c r="L132" s="11" t="str">
        <f t="shared" si="15"/>
        <v>GNMA</v>
      </c>
      <c r="M132">
        <v>0</v>
      </c>
      <c r="N132" t="str">
        <f t="shared" si="11"/>
        <v>Current</v>
      </c>
      <c r="O132" t="str">
        <f t="shared" si="12"/>
        <v>N</v>
      </c>
    </row>
    <row r="133" spans="2:15" x14ac:dyDescent="0.3">
      <c r="B133">
        <v>117</v>
      </c>
      <c r="C133">
        <v>26400832</v>
      </c>
      <c r="D133" t="s">
        <v>2</v>
      </c>
      <c r="E133" s="2">
        <v>380000</v>
      </c>
      <c r="F133" s="1">
        <v>4.9991672426802622E-2</v>
      </c>
      <c r="G133">
        <v>30</v>
      </c>
      <c r="H133" s="6">
        <f t="shared" si="13"/>
        <v>-2039.7287724035755</v>
      </c>
      <c r="I133">
        <v>284</v>
      </c>
      <c r="J133" s="6">
        <f t="shared" si="14"/>
        <v>132641.33289572553</v>
      </c>
      <c r="K133" t="s">
        <v>10</v>
      </c>
      <c r="L133" s="11" t="str">
        <f t="shared" si="15"/>
        <v>FHLMC</v>
      </c>
      <c r="M133">
        <v>0</v>
      </c>
      <c r="N133" t="str">
        <f t="shared" si="11"/>
        <v>Current</v>
      </c>
      <c r="O133" t="str">
        <f t="shared" si="12"/>
        <v>N</v>
      </c>
    </row>
    <row r="134" spans="2:15" x14ac:dyDescent="0.3">
      <c r="B134">
        <v>118</v>
      </c>
      <c r="C134">
        <v>56764510</v>
      </c>
      <c r="D134" t="s">
        <v>2</v>
      </c>
      <c r="E134" s="2">
        <v>340000</v>
      </c>
      <c r="F134" s="1">
        <v>8.5340966360992601E-2</v>
      </c>
      <c r="G134">
        <v>15</v>
      </c>
      <c r="H134" s="6">
        <f t="shared" si="13"/>
        <v>-3354.913387689614</v>
      </c>
      <c r="I134">
        <v>17</v>
      </c>
      <c r="J134" s="6">
        <f t="shared" si="14"/>
        <v>323133.14511068602</v>
      </c>
      <c r="K134" t="s">
        <v>13</v>
      </c>
      <c r="L134" s="11" t="str">
        <f t="shared" si="15"/>
        <v>GNMA</v>
      </c>
      <c r="M134">
        <v>0</v>
      </c>
      <c r="N134" t="str">
        <f t="shared" si="11"/>
        <v>Current</v>
      </c>
      <c r="O134" t="str">
        <f t="shared" si="12"/>
        <v>N</v>
      </c>
    </row>
    <row r="135" spans="2:15" x14ac:dyDescent="0.3">
      <c r="B135">
        <v>119</v>
      </c>
      <c r="C135">
        <v>36145045</v>
      </c>
      <c r="D135" t="s">
        <v>2</v>
      </c>
      <c r="E135" s="2">
        <v>410000</v>
      </c>
      <c r="F135" s="1">
        <v>7.5583847572718132E-2</v>
      </c>
      <c r="G135">
        <v>15</v>
      </c>
      <c r="H135" s="6">
        <f t="shared" si="13"/>
        <v>-3814.3663631752834</v>
      </c>
      <c r="I135">
        <v>42</v>
      </c>
      <c r="J135" s="6">
        <f t="shared" si="14"/>
        <v>350981.32259311236</v>
      </c>
      <c r="K135" t="s">
        <v>9</v>
      </c>
      <c r="L135" s="11" t="str">
        <f t="shared" si="15"/>
        <v>GNMA</v>
      </c>
      <c r="M135">
        <v>0</v>
      </c>
      <c r="N135" t="str">
        <f t="shared" si="11"/>
        <v>Current</v>
      </c>
      <c r="O135" t="str">
        <f t="shared" si="12"/>
        <v>N</v>
      </c>
    </row>
    <row r="136" spans="2:15" x14ac:dyDescent="0.3">
      <c r="B136">
        <v>120</v>
      </c>
      <c r="C136">
        <v>29047113</v>
      </c>
      <c r="D136" t="s">
        <v>2</v>
      </c>
      <c r="E136" s="2">
        <v>270000</v>
      </c>
      <c r="F136" s="1">
        <v>7.7926012795862518E-2</v>
      </c>
      <c r="G136">
        <v>30</v>
      </c>
      <c r="H136" s="6">
        <f t="shared" si="13"/>
        <v>-1942.2676240636117</v>
      </c>
      <c r="I136">
        <v>330</v>
      </c>
      <c r="J136" s="6">
        <f t="shared" si="14"/>
        <v>52788.504493355722</v>
      </c>
      <c r="K136" t="s">
        <v>11</v>
      </c>
      <c r="L136" s="11" t="str">
        <f t="shared" si="15"/>
        <v>FNMA</v>
      </c>
      <c r="M136">
        <v>0</v>
      </c>
      <c r="N136" t="str">
        <f t="shared" si="11"/>
        <v>Current</v>
      </c>
      <c r="O136" t="str">
        <f t="shared" si="12"/>
        <v>N</v>
      </c>
    </row>
    <row r="137" spans="2:15" x14ac:dyDescent="0.3">
      <c r="B137">
        <v>121</v>
      </c>
      <c r="C137">
        <v>87579604</v>
      </c>
      <c r="D137" t="s">
        <v>2</v>
      </c>
      <c r="E137" s="2">
        <v>250000</v>
      </c>
      <c r="F137" s="1">
        <v>2.2360686555375126E-2</v>
      </c>
      <c r="G137">
        <v>15</v>
      </c>
      <c r="H137" s="6">
        <f t="shared" si="13"/>
        <v>-1636.0907706143087</v>
      </c>
      <c r="I137">
        <v>90</v>
      </c>
      <c r="J137" s="6">
        <f t="shared" si="14"/>
        <v>135447.38920004253</v>
      </c>
      <c r="K137" t="s">
        <v>11</v>
      </c>
      <c r="L137" s="11" t="str">
        <f t="shared" si="15"/>
        <v>FNMA</v>
      </c>
      <c r="M137">
        <v>0</v>
      </c>
      <c r="N137" t="str">
        <f t="shared" si="11"/>
        <v>Current</v>
      </c>
      <c r="O137" t="str">
        <f t="shared" si="12"/>
        <v>N</v>
      </c>
    </row>
    <row r="138" spans="2:15" x14ac:dyDescent="0.3">
      <c r="B138">
        <v>122</v>
      </c>
      <c r="C138">
        <v>19460471</v>
      </c>
      <c r="D138" t="s">
        <v>2</v>
      </c>
      <c r="E138" s="2">
        <v>190000</v>
      </c>
      <c r="F138" s="1">
        <v>3.7814520931784459E-2</v>
      </c>
      <c r="G138">
        <v>30</v>
      </c>
      <c r="H138" s="6">
        <f t="shared" si="13"/>
        <v>-883.31401145040593</v>
      </c>
      <c r="I138">
        <v>287</v>
      </c>
      <c r="J138" s="6">
        <f t="shared" si="14"/>
        <v>57522.14840909552</v>
      </c>
      <c r="K138" t="s">
        <v>10</v>
      </c>
      <c r="L138" s="11" t="str">
        <f t="shared" si="15"/>
        <v>FHLMC</v>
      </c>
      <c r="M138">
        <v>0</v>
      </c>
      <c r="N138" t="str">
        <f t="shared" si="11"/>
        <v>Current</v>
      </c>
      <c r="O138" t="str">
        <f t="shared" si="12"/>
        <v>N</v>
      </c>
    </row>
    <row r="139" spans="2:15" x14ac:dyDescent="0.3">
      <c r="B139">
        <v>123</v>
      </c>
      <c r="C139">
        <v>49318803</v>
      </c>
      <c r="D139" t="s">
        <v>2</v>
      </c>
      <c r="E139" s="2">
        <v>300000</v>
      </c>
      <c r="F139" s="1">
        <v>6.2918411461241788E-2</v>
      </c>
      <c r="G139">
        <v>15</v>
      </c>
      <c r="H139" s="6">
        <f t="shared" si="13"/>
        <v>-2579.1148082440081</v>
      </c>
      <c r="I139">
        <v>53</v>
      </c>
      <c r="J139" s="6">
        <f t="shared" si="14"/>
        <v>238711.4957636068</v>
      </c>
      <c r="K139" t="s">
        <v>11</v>
      </c>
      <c r="L139" s="11" t="str">
        <f t="shared" si="15"/>
        <v>FNMA</v>
      </c>
      <c r="M139">
        <v>0</v>
      </c>
      <c r="N139" t="str">
        <f t="shared" si="11"/>
        <v>Current</v>
      </c>
      <c r="O139" t="str">
        <f t="shared" si="12"/>
        <v>N</v>
      </c>
    </row>
    <row r="140" spans="2:15" x14ac:dyDescent="0.3">
      <c r="B140">
        <v>124</v>
      </c>
      <c r="C140">
        <v>30774746</v>
      </c>
      <c r="D140" t="s">
        <v>2</v>
      </c>
      <c r="E140" s="2">
        <v>130000</v>
      </c>
      <c r="F140" s="1">
        <v>3.4605535037912347E-2</v>
      </c>
      <c r="G140">
        <v>15</v>
      </c>
      <c r="H140" s="6">
        <f t="shared" si="13"/>
        <v>-926.83108054887657</v>
      </c>
      <c r="I140">
        <v>86</v>
      </c>
      <c r="J140" s="6">
        <f t="shared" si="14"/>
        <v>76216.538546413198</v>
      </c>
      <c r="K140" t="s">
        <v>9</v>
      </c>
      <c r="L140" s="11" t="str">
        <f t="shared" si="15"/>
        <v>GNMA</v>
      </c>
      <c r="M140">
        <v>0</v>
      </c>
      <c r="N140" t="str">
        <f t="shared" si="11"/>
        <v>Current</v>
      </c>
      <c r="O140" t="str">
        <f t="shared" si="12"/>
        <v>N</v>
      </c>
    </row>
    <row r="141" spans="2:15" x14ac:dyDescent="0.3">
      <c r="B141">
        <v>125</v>
      </c>
      <c r="C141">
        <v>53409938</v>
      </c>
      <c r="D141" t="s">
        <v>2</v>
      </c>
      <c r="E141" s="2">
        <v>110000</v>
      </c>
      <c r="F141" s="1">
        <v>3.4229733471017439E-2</v>
      </c>
      <c r="G141">
        <v>30</v>
      </c>
      <c r="H141" s="6">
        <f t="shared" si="13"/>
        <v>-489.23164472366238</v>
      </c>
      <c r="I141">
        <v>295</v>
      </c>
      <c r="J141" s="6">
        <f t="shared" si="14"/>
        <v>28988.461649952435</v>
      </c>
      <c r="K141" t="s">
        <v>12</v>
      </c>
      <c r="L141" s="11" t="str">
        <f t="shared" si="15"/>
        <v>GNMA</v>
      </c>
      <c r="M141">
        <v>0</v>
      </c>
      <c r="N141" t="str">
        <f t="shared" si="11"/>
        <v>Current</v>
      </c>
      <c r="O141" t="str">
        <f t="shared" si="12"/>
        <v>N</v>
      </c>
    </row>
    <row r="142" spans="2:15" x14ac:dyDescent="0.3">
      <c r="B142">
        <v>126</v>
      </c>
      <c r="C142">
        <v>77171778</v>
      </c>
      <c r="D142" t="s">
        <v>2</v>
      </c>
      <c r="E142" s="2">
        <v>210000</v>
      </c>
      <c r="F142" s="1">
        <v>4.7007634568982694E-2</v>
      </c>
      <c r="G142">
        <v>20</v>
      </c>
      <c r="H142" s="6">
        <f t="shared" si="13"/>
        <v>-1351.4291694817948</v>
      </c>
      <c r="I142">
        <v>72</v>
      </c>
      <c r="J142" s="6">
        <f t="shared" si="14"/>
        <v>166113.61442796746</v>
      </c>
      <c r="K142" t="s">
        <v>12</v>
      </c>
      <c r="L142" s="11" t="str">
        <f t="shared" si="15"/>
        <v>GNMA</v>
      </c>
      <c r="M142">
        <v>0</v>
      </c>
      <c r="N142" t="str">
        <f t="shared" si="11"/>
        <v>Current</v>
      </c>
      <c r="O142" t="str">
        <f t="shared" si="12"/>
        <v>N</v>
      </c>
    </row>
    <row r="143" spans="2:15" x14ac:dyDescent="0.3">
      <c r="B143">
        <v>127</v>
      </c>
      <c r="C143">
        <v>81971835</v>
      </c>
      <c r="D143" t="s">
        <v>2</v>
      </c>
      <c r="E143" s="2">
        <v>320000</v>
      </c>
      <c r="F143" s="1">
        <v>8.1868207234357213E-2</v>
      </c>
      <c r="G143">
        <v>15</v>
      </c>
      <c r="H143" s="6">
        <f t="shared" si="13"/>
        <v>-3092.6989074109324</v>
      </c>
      <c r="I143">
        <v>4</v>
      </c>
      <c r="J143" s="6">
        <f t="shared" si="14"/>
        <v>316324.41203627427</v>
      </c>
      <c r="K143" t="s">
        <v>9</v>
      </c>
      <c r="L143" s="11" t="str">
        <f t="shared" si="15"/>
        <v>GNMA</v>
      </c>
      <c r="M143">
        <v>1</v>
      </c>
      <c r="N143" t="str">
        <f t="shared" si="11"/>
        <v>30-60</v>
      </c>
      <c r="O143" t="str">
        <f t="shared" si="12"/>
        <v>N</v>
      </c>
    </row>
    <row r="144" spans="2:15" x14ac:dyDescent="0.3">
      <c r="B144">
        <v>128</v>
      </c>
      <c r="C144">
        <v>48132930</v>
      </c>
      <c r="D144" t="s">
        <v>2</v>
      </c>
      <c r="E144" s="2">
        <v>140000</v>
      </c>
      <c r="F144" s="1">
        <v>2.3522228194114383E-2</v>
      </c>
      <c r="G144">
        <v>20</v>
      </c>
      <c r="H144" s="6">
        <f t="shared" si="13"/>
        <v>-731.82649204647726</v>
      </c>
      <c r="I144">
        <v>100</v>
      </c>
      <c r="J144" s="6">
        <f t="shared" si="14"/>
        <v>89523.612178655414</v>
      </c>
      <c r="K144" t="s">
        <v>13</v>
      </c>
      <c r="L144" s="11" t="str">
        <f t="shared" si="15"/>
        <v>GNMA</v>
      </c>
      <c r="M144">
        <v>1</v>
      </c>
      <c r="N144" t="str">
        <f t="shared" si="11"/>
        <v>30-60</v>
      </c>
      <c r="O144" t="str">
        <f t="shared" si="12"/>
        <v>N</v>
      </c>
    </row>
    <row r="145" spans="2:15" x14ac:dyDescent="0.3">
      <c r="B145">
        <v>129</v>
      </c>
      <c r="C145">
        <v>95454260</v>
      </c>
      <c r="D145" t="s">
        <v>2</v>
      </c>
      <c r="E145" s="2">
        <v>200000</v>
      </c>
      <c r="F145" s="1">
        <v>5.9759655653747787E-2</v>
      </c>
      <c r="G145">
        <v>30</v>
      </c>
      <c r="H145" s="6">
        <f t="shared" ref="H145:H176" si="16">INDEX(MASTER_DATA,MATCH($C145,MASTER_ROWS,0),MATCH(H$16,MASTER_HEADERS,0))</f>
        <v>-1196.0123591701058</v>
      </c>
      <c r="I145">
        <v>22</v>
      </c>
      <c r="J145" s="6">
        <f t="shared" ref="J145:J176" si="17">INDEX(MASTER_DATA,MATCH($C145,MASTER_ROWS,0),MATCH(J$16,MASTER_HEADERS,0))</f>
        <v>195361.68322919542</v>
      </c>
      <c r="K145" t="s">
        <v>13</v>
      </c>
      <c r="L145" s="11" t="str">
        <f t="shared" ref="L145:L176" si="18">INDEX(MASTER_DATA,MATCH($C145,MASTER_ROWS,0),MATCH(L$16,MASTER_HEADERS,0))</f>
        <v>GNMA</v>
      </c>
      <c r="M145">
        <v>3</v>
      </c>
      <c r="N145" t="str">
        <f t="shared" si="11"/>
        <v>90+</v>
      </c>
      <c r="O145" t="str">
        <f t="shared" si="12"/>
        <v>N</v>
      </c>
    </row>
    <row r="146" spans="2:15" x14ac:dyDescent="0.3">
      <c r="B146">
        <v>130</v>
      </c>
      <c r="C146">
        <v>59273999</v>
      </c>
      <c r="D146" t="s">
        <v>2</v>
      </c>
      <c r="E146" s="2">
        <v>360000</v>
      </c>
      <c r="F146" s="1">
        <v>5.3519955426174042E-2</v>
      </c>
      <c r="G146">
        <v>15</v>
      </c>
      <c r="H146" s="6">
        <f t="shared" si="16"/>
        <v>-2913.3027813134468</v>
      </c>
      <c r="I146">
        <v>179</v>
      </c>
      <c r="J146" s="6">
        <f t="shared" si="17"/>
        <v>2900.3671545774155</v>
      </c>
      <c r="K146" t="s">
        <v>13</v>
      </c>
      <c r="L146" s="11" t="str">
        <f t="shared" si="18"/>
        <v>GNMA</v>
      </c>
      <c r="M146">
        <v>3</v>
      </c>
      <c r="N146" t="str">
        <f t="shared" ref="N146:N190" si="19">IF(M146=0,$C$5,IF((AND(M146&lt;=2,M146&gt;=1)),$C$6,IF(M146&gt;=3,$C$7)))</f>
        <v>90+</v>
      </c>
      <c r="O146" t="str">
        <f t="shared" ref="O146:O190" si="20">IF(M146&gt;=6,"Y","N")</f>
        <v>N</v>
      </c>
    </row>
    <row r="147" spans="2:15" x14ac:dyDescent="0.3">
      <c r="B147">
        <v>131</v>
      </c>
      <c r="C147">
        <v>74183133</v>
      </c>
      <c r="D147" t="s">
        <v>2</v>
      </c>
      <c r="E147" s="2">
        <v>260000</v>
      </c>
      <c r="F147" s="1">
        <v>5.5635707435100275E-2</v>
      </c>
      <c r="G147">
        <v>30</v>
      </c>
      <c r="H147" s="6">
        <f t="shared" si="16"/>
        <v>-1486.6382135935514</v>
      </c>
      <c r="I147">
        <v>75</v>
      </c>
      <c r="J147" s="6">
        <f t="shared" si="17"/>
        <v>234847.75208026863</v>
      </c>
      <c r="K147" t="s">
        <v>11</v>
      </c>
      <c r="L147" s="11" t="str">
        <f t="shared" si="18"/>
        <v>FNMA</v>
      </c>
      <c r="M147">
        <v>6</v>
      </c>
      <c r="N147" t="str">
        <f t="shared" si="19"/>
        <v>90+</v>
      </c>
      <c r="O147" t="str">
        <f t="shared" si="20"/>
        <v>Y</v>
      </c>
    </row>
    <row r="148" spans="2:15" x14ac:dyDescent="0.3">
      <c r="B148">
        <v>132</v>
      </c>
      <c r="C148">
        <v>46404591</v>
      </c>
      <c r="D148" t="s">
        <v>1</v>
      </c>
      <c r="E148" s="2">
        <v>440000</v>
      </c>
      <c r="F148" s="1">
        <v>3.4147634194001963E-2</v>
      </c>
      <c r="G148">
        <v>20</v>
      </c>
      <c r="H148" s="6">
        <f t="shared" si="16"/>
        <v>-2532.5930831414826</v>
      </c>
      <c r="I148">
        <v>212</v>
      </c>
      <c r="J148" s="6">
        <f t="shared" si="17"/>
        <v>68068.089213422427</v>
      </c>
      <c r="K148" t="s">
        <v>10</v>
      </c>
      <c r="L148" s="11" t="str">
        <f t="shared" si="18"/>
        <v>FHLMC</v>
      </c>
      <c r="M148">
        <v>7</v>
      </c>
      <c r="N148" t="str">
        <f t="shared" si="19"/>
        <v>90+</v>
      </c>
      <c r="O148" t="str">
        <f t="shared" si="20"/>
        <v>Y</v>
      </c>
    </row>
    <row r="149" spans="2:15" x14ac:dyDescent="0.3">
      <c r="B149">
        <v>133</v>
      </c>
      <c r="C149">
        <v>58799609</v>
      </c>
      <c r="D149" t="s">
        <v>1</v>
      </c>
      <c r="E149" s="2">
        <v>360000</v>
      </c>
      <c r="F149" s="1">
        <v>5.1870351612887451E-2</v>
      </c>
      <c r="G149">
        <v>30</v>
      </c>
      <c r="H149" s="6">
        <f t="shared" si="16"/>
        <v>-1973.9169150348255</v>
      </c>
      <c r="I149">
        <v>249</v>
      </c>
      <c r="J149" s="6">
        <f t="shared" si="17"/>
        <v>173736.85878153448</v>
      </c>
      <c r="K149" t="s">
        <v>13</v>
      </c>
      <c r="L149" s="11" t="str">
        <f t="shared" si="18"/>
        <v>GNMA</v>
      </c>
      <c r="M149">
        <v>4</v>
      </c>
      <c r="N149" t="str">
        <f t="shared" si="19"/>
        <v>90+</v>
      </c>
      <c r="O149" t="str">
        <f t="shared" si="20"/>
        <v>N</v>
      </c>
    </row>
    <row r="150" spans="2:15" x14ac:dyDescent="0.3">
      <c r="B150">
        <v>134</v>
      </c>
      <c r="C150">
        <v>45991355</v>
      </c>
      <c r="D150" t="s">
        <v>1</v>
      </c>
      <c r="E150" s="2">
        <v>400000</v>
      </c>
      <c r="F150" s="1">
        <v>5.9758883555077774E-2</v>
      </c>
      <c r="G150">
        <v>20</v>
      </c>
      <c r="H150" s="6">
        <f t="shared" si="16"/>
        <v>-2860.1629593829925</v>
      </c>
      <c r="I150">
        <v>28</v>
      </c>
      <c r="J150" s="6">
        <f t="shared" si="17"/>
        <v>373983.30680385057</v>
      </c>
      <c r="K150" t="s">
        <v>9</v>
      </c>
      <c r="L150" s="11" t="str">
        <f t="shared" si="18"/>
        <v>GNMA</v>
      </c>
      <c r="M150">
        <v>6</v>
      </c>
      <c r="N150" t="str">
        <f t="shared" si="19"/>
        <v>90+</v>
      </c>
      <c r="O150" t="str">
        <f t="shared" si="20"/>
        <v>Y</v>
      </c>
    </row>
    <row r="151" spans="2:15" x14ac:dyDescent="0.3">
      <c r="B151">
        <v>135</v>
      </c>
      <c r="C151">
        <v>40766918</v>
      </c>
      <c r="D151" t="s">
        <v>1</v>
      </c>
      <c r="E151" s="2">
        <v>390000</v>
      </c>
      <c r="F151" s="1">
        <v>4.3504269841479912E-2</v>
      </c>
      <c r="G151">
        <v>15</v>
      </c>
      <c r="H151" s="6">
        <f t="shared" si="16"/>
        <v>-2953.747545750673</v>
      </c>
      <c r="I151">
        <v>49</v>
      </c>
      <c r="J151" s="6">
        <f t="shared" si="17"/>
        <v>307592.91336829832</v>
      </c>
      <c r="K151" t="s">
        <v>12</v>
      </c>
      <c r="L151" s="11" t="str">
        <f t="shared" si="18"/>
        <v>GNMA</v>
      </c>
      <c r="M151">
        <v>5</v>
      </c>
      <c r="N151" t="str">
        <f t="shared" si="19"/>
        <v>90+</v>
      </c>
      <c r="O151" t="str">
        <f t="shared" si="20"/>
        <v>N</v>
      </c>
    </row>
    <row r="152" spans="2:15" x14ac:dyDescent="0.3">
      <c r="B152">
        <v>136</v>
      </c>
      <c r="C152">
        <v>50543518</v>
      </c>
      <c r="D152" t="s">
        <v>1</v>
      </c>
      <c r="E152" s="2">
        <v>210000</v>
      </c>
      <c r="F152" s="1">
        <v>6.6997557171815436E-2</v>
      </c>
      <c r="G152">
        <v>30</v>
      </c>
      <c r="H152" s="6">
        <f t="shared" si="16"/>
        <v>-1355.0497259540837</v>
      </c>
      <c r="I152">
        <v>306</v>
      </c>
      <c r="J152" s="6">
        <f t="shared" si="17"/>
        <v>63021.459962368383</v>
      </c>
      <c r="K152" t="s">
        <v>12</v>
      </c>
      <c r="L152" s="11" t="str">
        <f t="shared" si="18"/>
        <v>GNMA</v>
      </c>
      <c r="M152">
        <v>0</v>
      </c>
      <c r="N152" t="str">
        <f t="shared" si="19"/>
        <v>Current</v>
      </c>
      <c r="O152" t="str">
        <f t="shared" si="20"/>
        <v>N</v>
      </c>
    </row>
    <row r="153" spans="2:15" x14ac:dyDescent="0.3">
      <c r="B153">
        <v>137</v>
      </c>
      <c r="C153">
        <v>28254071</v>
      </c>
      <c r="D153" t="s">
        <v>1</v>
      </c>
      <c r="E153" s="2">
        <v>290000</v>
      </c>
      <c r="F153" s="1">
        <v>2.4733212439948523E-2</v>
      </c>
      <c r="G153">
        <v>15</v>
      </c>
      <c r="H153" s="6">
        <f t="shared" si="16"/>
        <v>-1930.0487801292927</v>
      </c>
      <c r="I153">
        <v>53</v>
      </c>
      <c r="J153" s="6">
        <f t="shared" si="17"/>
        <v>215466.38368277025</v>
      </c>
      <c r="K153" t="s">
        <v>10</v>
      </c>
      <c r="L153" s="11" t="str">
        <f t="shared" si="18"/>
        <v>FHLMC</v>
      </c>
      <c r="M153">
        <v>0</v>
      </c>
      <c r="N153" t="str">
        <f t="shared" si="19"/>
        <v>Current</v>
      </c>
      <c r="O153" t="str">
        <f t="shared" si="20"/>
        <v>N</v>
      </c>
    </row>
    <row r="154" spans="2:15" x14ac:dyDescent="0.3">
      <c r="B154">
        <v>138</v>
      </c>
      <c r="C154">
        <v>66109061</v>
      </c>
      <c r="D154" t="s">
        <v>1</v>
      </c>
      <c r="E154" s="2">
        <v>380000</v>
      </c>
      <c r="F154" s="1">
        <v>6.5073173837024004E-2</v>
      </c>
      <c r="G154">
        <v>15</v>
      </c>
      <c r="H154" s="6">
        <f t="shared" si="16"/>
        <v>-3311.7367835051036</v>
      </c>
      <c r="I154">
        <v>177</v>
      </c>
      <c r="J154" s="6">
        <f t="shared" si="17"/>
        <v>9828.4237387075154</v>
      </c>
      <c r="K154" t="s">
        <v>10</v>
      </c>
      <c r="L154" s="11" t="str">
        <f t="shared" si="18"/>
        <v>FHLMC</v>
      </c>
      <c r="M154">
        <v>0</v>
      </c>
      <c r="N154" t="str">
        <f t="shared" si="19"/>
        <v>Current</v>
      </c>
      <c r="O154" t="str">
        <f t="shared" si="20"/>
        <v>N</v>
      </c>
    </row>
    <row r="155" spans="2:15" x14ac:dyDescent="0.3">
      <c r="B155">
        <v>139</v>
      </c>
      <c r="C155">
        <v>21617507</v>
      </c>
      <c r="D155" t="s">
        <v>1</v>
      </c>
      <c r="E155" s="2">
        <v>370000</v>
      </c>
      <c r="F155" s="1">
        <v>7.5409423490472402E-2</v>
      </c>
      <c r="G155">
        <v>20</v>
      </c>
      <c r="H155" s="6">
        <f t="shared" si="16"/>
        <v>-2989.9645471773642</v>
      </c>
      <c r="I155">
        <v>136</v>
      </c>
      <c r="J155" s="6">
        <f t="shared" si="17"/>
        <v>227782.3157421826</v>
      </c>
      <c r="K155" t="s">
        <v>12</v>
      </c>
      <c r="L155" s="11" t="str">
        <f t="shared" si="18"/>
        <v>GNMA</v>
      </c>
      <c r="M155">
        <v>0</v>
      </c>
      <c r="N155" t="str">
        <f t="shared" si="19"/>
        <v>Current</v>
      </c>
      <c r="O155" t="str">
        <f t="shared" si="20"/>
        <v>N</v>
      </c>
    </row>
    <row r="156" spans="2:15" x14ac:dyDescent="0.3">
      <c r="B156">
        <v>140</v>
      </c>
      <c r="C156">
        <v>97989606</v>
      </c>
      <c r="D156" t="s">
        <v>1</v>
      </c>
      <c r="E156" s="2">
        <v>190000</v>
      </c>
      <c r="F156" s="1">
        <v>3.9082079146889916E-2</v>
      </c>
      <c r="G156">
        <v>15</v>
      </c>
      <c r="H156" s="6">
        <f t="shared" si="16"/>
        <v>-1396.6832379755779</v>
      </c>
      <c r="I156">
        <v>74</v>
      </c>
      <c r="J156" s="6">
        <f t="shared" si="17"/>
        <v>125026.53335086055</v>
      </c>
      <c r="K156" t="s">
        <v>9</v>
      </c>
      <c r="L156" s="11" t="str">
        <f t="shared" si="18"/>
        <v>GNMA</v>
      </c>
      <c r="M156">
        <v>0</v>
      </c>
      <c r="N156" t="str">
        <f t="shared" si="19"/>
        <v>Current</v>
      </c>
      <c r="O156" t="str">
        <f t="shared" si="20"/>
        <v>N</v>
      </c>
    </row>
    <row r="157" spans="2:15" x14ac:dyDescent="0.3">
      <c r="B157">
        <v>141</v>
      </c>
      <c r="C157">
        <v>39361910</v>
      </c>
      <c r="D157" t="s">
        <v>1</v>
      </c>
      <c r="E157" s="2">
        <v>80000</v>
      </c>
      <c r="F157" s="1">
        <v>2.918801643188013E-2</v>
      </c>
      <c r="G157">
        <v>15</v>
      </c>
      <c r="H157" s="6">
        <f t="shared" si="16"/>
        <v>-549.34651843590734</v>
      </c>
      <c r="I157">
        <v>7</v>
      </c>
      <c r="J157" s="6">
        <f t="shared" si="17"/>
        <v>77498.487382740379</v>
      </c>
      <c r="K157" t="s">
        <v>13</v>
      </c>
      <c r="L157" s="11" t="str">
        <f t="shared" si="18"/>
        <v>GNMA</v>
      </c>
      <c r="M157">
        <v>0</v>
      </c>
      <c r="N157" t="str">
        <f t="shared" si="19"/>
        <v>Current</v>
      </c>
      <c r="O157" t="str">
        <f t="shared" si="20"/>
        <v>N</v>
      </c>
    </row>
    <row r="158" spans="2:15" x14ac:dyDescent="0.3">
      <c r="B158">
        <v>142</v>
      </c>
      <c r="C158">
        <v>92208306</v>
      </c>
      <c r="D158" t="s">
        <v>1</v>
      </c>
      <c r="E158" s="2">
        <v>200000</v>
      </c>
      <c r="F158" s="1">
        <v>2.7108181721399505E-2</v>
      </c>
      <c r="G158">
        <v>20</v>
      </c>
      <c r="H158" s="6">
        <f t="shared" si="16"/>
        <v>-1080.4663531994659</v>
      </c>
      <c r="I158">
        <v>90</v>
      </c>
      <c r="J158" s="6">
        <f t="shared" si="17"/>
        <v>137336.40374766377</v>
      </c>
      <c r="K158" t="s">
        <v>9</v>
      </c>
      <c r="L158" s="11" t="str">
        <f t="shared" si="18"/>
        <v>GNMA</v>
      </c>
      <c r="M158">
        <v>0</v>
      </c>
      <c r="N158" t="str">
        <f t="shared" si="19"/>
        <v>Current</v>
      </c>
      <c r="O158" t="str">
        <f t="shared" si="20"/>
        <v>N</v>
      </c>
    </row>
    <row r="159" spans="2:15" x14ac:dyDescent="0.3">
      <c r="B159">
        <v>143</v>
      </c>
      <c r="C159">
        <v>70859925</v>
      </c>
      <c r="D159" t="s">
        <v>1</v>
      </c>
      <c r="E159" s="2">
        <v>440000</v>
      </c>
      <c r="F159" s="1">
        <v>7.8279039349961069E-2</v>
      </c>
      <c r="G159">
        <v>30</v>
      </c>
      <c r="H159" s="6">
        <f t="shared" si="16"/>
        <v>-3175.9338745549298</v>
      </c>
      <c r="I159">
        <v>206</v>
      </c>
      <c r="J159" s="6">
        <f t="shared" si="17"/>
        <v>307992.44094564364</v>
      </c>
      <c r="K159" t="s">
        <v>9</v>
      </c>
      <c r="L159" s="11" t="str">
        <f t="shared" si="18"/>
        <v>GNMA</v>
      </c>
      <c r="M159">
        <v>0</v>
      </c>
      <c r="N159" t="str">
        <f t="shared" si="19"/>
        <v>Current</v>
      </c>
      <c r="O159" t="str">
        <f t="shared" si="20"/>
        <v>N</v>
      </c>
    </row>
    <row r="160" spans="2:15" x14ac:dyDescent="0.3">
      <c r="B160">
        <v>144</v>
      </c>
      <c r="C160">
        <v>38351345</v>
      </c>
      <c r="D160" t="s">
        <v>1</v>
      </c>
      <c r="E160" s="2">
        <v>230000</v>
      </c>
      <c r="F160" s="1">
        <v>8.5661220417817804E-2</v>
      </c>
      <c r="G160">
        <v>30</v>
      </c>
      <c r="H160" s="6">
        <f t="shared" si="16"/>
        <v>-1779.2903232090136</v>
      </c>
      <c r="I160">
        <v>316</v>
      </c>
      <c r="J160" s="6">
        <f t="shared" si="17"/>
        <v>66982.805778146241</v>
      </c>
      <c r="K160" t="s">
        <v>9</v>
      </c>
      <c r="L160" s="11" t="str">
        <f t="shared" si="18"/>
        <v>GNMA</v>
      </c>
      <c r="M160">
        <v>7</v>
      </c>
      <c r="N160" t="str">
        <f t="shared" si="19"/>
        <v>90+</v>
      </c>
      <c r="O160" t="str">
        <f t="shared" si="20"/>
        <v>Y</v>
      </c>
    </row>
    <row r="161" spans="2:15" x14ac:dyDescent="0.3">
      <c r="B161">
        <v>145</v>
      </c>
      <c r="C161">
        <v>38803902</v>
      </c>
      <c r="D161" t="s">
        <v>1</v>
      </c>
      <c r="E161" s="2">
        <v>110000</v>
      </c>
      <c r="F161" s="1">
        <v>3.9948712579245552E-2</v>
      </c>
      <c r="G161">
        <v>15</v>
      </c>
      <c r="H161" s="6">
        <f t="shared" si="16"/>
        <v>-813.37403255032621</v>
      </c>
      <c r="I161">
        <v>13</v>
      </c>
      <c r="J161" s="6">
        <f t="shared" si="17"/>
        <v>104069.14616071964</v>
      </c>
      <c r="K161" t="s">
        <v>10</v>
      </c>
      <c r="L161" s="11" t="str">
        <f t="shared" si="18"/>
        <v>FHLMC</v>
      </c>
      <c r="M161">
        <v>9</v>
      </c>
      <c r="N161" t="str">
        <f t="shared" si="19"/>
        <v>90+</v>
      </c>
      <c r="O161" t="str">
        <f t="shared" si="20"/>
        <v>Y</v>
      </c>
    </row>
    <row r="162" spans="2:15" x14ac:dyDescent="0.3">
      <c r="B162">
        <v>146</v>
      </c>
      <c r="C162">
        <v>70936359</v>
      </c>
      <c r="D162" t="s">
        <v>1</v>
      </c>
      <c r="E162" s="2">
        <v>150000</v>
      </c>
      <c r="F162" s="1">
        <v>4.8616549792090978E-2</v>
      </c>
      <c r="G162">
        <v>15</v>
      </c>
      <c r="H162" s="6">
        <f t="shared" si="16"/>
        <v>-1175.4085597861902</v>
      </c>
      <c r="I162">
        <v>90</v>
      </c>
      <c r="J162" s="6">
        <f t="shared" si="17"/>
        <v>88497.174099021882</v>
      </c>
      <c r="K162" t="s">
        <v>13</v>
      </c>
      <c r="L162" s="11" t="str">
        <f t="shared" si="18"/>
        <v>GNMA</v>
      </c>
      <c r="M162">
        <v>8</v>
      </c>
      <c r="N162" t="str">
        <f t="shared" si="19"/>
        <v>90+</v>
      </c>
      <c r="O162" t="str">
        <f t="shared" si="20"/>
        <v>Y</v>
      </c>
    </row>
    <row r="163" spans="2:15" x14ac:dyDescent="0.3">
      <c r="B163">
        <v>147</v>
      </c>
      <c r="C163">
        <v>22527091</v>
      </c>
      <c r="D163" t="s">
        <v>1</v>
      </c>
      <c r="E163" s="2">
        <v>400000</v>
      </c>
      <c r="F163" s="1">
        <v>2.553940346467095E-2</v>
      </c>
      <c r="G163">
        <v>30</v>
      </c>
      <c r="H163" s="6">
        <f t="shared" si="16"/>
        <v>-1591.7243056429579</v>
      </c>
      <c r="I163">
        <v>276</v>
      </c>
      <c r="J163" s="6">
        <f t="shared" si="17"/>
        <v>122315.90578323975</v>
      </c>
      <c r="K163" t="s">
        <v>10</v>
      </c>
      <c r="L163" s="11" t="str">
        <f t="shared" si="18"/>
        <v>FHLMC</v>
      </c>
      <c r="M163">
        <v>1</v>
      </c>
      <c r="N163" t="str">
        <f t="shared" si="19"/>
        <v>30-60</v>
      </c>
      <c r="O163" t="str">
        <f t="shared" si="20"/>
        <v>N</v>
      </c>
    </row>
    <row r="164" spans="2:15" x14ac:dyDescent="0.3">
      <c r="B164">
        <v>148</v>
      </c>
      <c r="C164">
        <v>85565195</v>
      </c>
      <c r="D164" t="s">
        <v>1</v>
      </c>
      <c r="E164" s="2">
        <v>350000</v>
      </c>
      <c r="F164" s="1">
        <v>3.759737492262525E-2</v>
      </c>
      <c r="G164">
        <v>15</v>
      </c>
      <c r="H164" s="6">
        <f t="shared" si="16"/>
        <v>-2546.9696911629712</v>
      </c>
      <c r="I164">
        <v>80</v>
      </c>
      <c r="J164" s="6">
        <f t="shared" si="17"/>
        <v>218366.14266245431</v>
      </c>
      <c r="K164" t="s">
        <v>9</v>
      </c>
      <c r="L164" s="11" t="str">
        <f t="shared" si="18"/>
        <v>GNMA</v>
      </c>
      <c r="M164">
        <v>3</v>
      </c>
      <c r="N164" t="str">
        <f t="shared" si="19"/>
        <v>90+</v>
      </c>
      <c r="O164" t="str">
        <f t="shared" si="20"/>
        <v>N</v>
      </c>
    </row>
    <row r="165" spans="2:15" x14ac:dyDescent="0.3">
      <c r="B165">
        <v>149</v>
      </c>
      <c r="C165">
        <v>49758502</v>
      </c>
      <c r="D165" t="s">
        <v>1</v>
      </c>
      <c r="E165" s="2">
        <v>130000</v>
      </c>
      <c r="F165" s="1">
        <v>5.1929476788526233E-2</v>
      </c>
      <c r="G165">
        <v>15</v>
      </c>
      <c r="H165" s="6">
        <f t="shared" si="16"/>
        <v>-1041.1453845544738</v>
      </c>
      <c r="I165">
        <v>93</v>
      </c>
      <c r="J165" s="6">
        <f t="shared" si="17"/>
        <v>75347.07737762075</v>
      </c>
      <c r="K165" t="s">
        <v>10</v>
      </c>
      <c r="L165" s="11" t="str">
        <f t="shared" si="18"/>
        <v>FHLMC</v>
      </c>
      <c r="M165">
        <v>9</v>
      </c>
      <c r="N165" t="str">
        <f t="shared" si="19"/>
        <v>90+</v>
      </c>
      <c r="O165" t="str">
        <f t="shared" si="20"/>
        <v>Y</v>
      </c>
    </row>
    <row r="166" spans="2:15" x14ac:dyDescent="0.3">
      <c r="B166">
        <v>150</v>
      </c>
      <c r="C166">
        <v>44521885</v>
      </c>
      <c r="D166" t="s">
        <v>1</v>
      </c>
      <c r="E166" s="2">
        <v>190000</v>
      </c>
      <c r="F166" s="1">
        <v>4.9833531113900251E-2</v>
      </c>
      <c r="G166">
        <v>30</v>
      </c>
      <c r="H166" s="6">
        <f t="shared" si="16"/>
        <v>-1018.0289241065121</v>
      </c>
      <c r="I166">
        <v>174</v>
      </c>
      <c r="J166" s="6">
        <f t="shared" si="17"/>
        <v>131731.72010516841</v>
      </c>
      <c r="K166" t="s">
        <v>9</v>
      </c>
      <c r="L166" s="11" t="str">
        <f t="shared" si="18"/>
        <v>GNMA</v>
      </c>
      <c r="M166">
        <v>8</v>
      </c>
      <c r="N166" t="str">
        <f t="shared" si="19"/>
        <v>90+</v>
      </c>
      <c r="O166" t="str">
        <f t="shared" si="20"/>
        <v>Y</v>
      </c>
    </row>
    <row r="167" spans="2:15" x14ac:dyDescent="0.3">
      <c r="B167">
        <v>151</v>
      </c>
      <c r="C167">
        <v>81877816</v>
      </c>
      <c r="D167" t="s">
        <v>1</v>
      </c>
      <c r="E167" s="2">
        <v>120000</v>
      </c>
      <c r="F167" s="1">
        <v>4.8171984913974467E-2</v>
      </c>
      <c r="G167">
        <v>15</v>
      </c>
      <c r="H167" s="6">
        <f t="shared" si="16"/>
        <v>-937.56465618487778</v>
      </c>
      <c r="I167">
        <v>27</v>
      </c>
      <c r="J167" s="6">
        <f t="shared" si="17"/>
        <v>107027.87703160969</v>
      </c>
      <c r="K167" t="s">
        <v>9</v>
      </c>
      <c r="L167" s="11" t="str">
        <f t="shared" si="18"/>
        <v>GNMA</v>
      </c>
      <c r="M167">
        <v>7</v>
      </c>
      <c r="N167" t="str">
        <f t="shared" si="19"/>
        <v>90+</v>
      </c>
      <c r="O167" t="str">
        <f t="shared" si="20"/>
        <v>Y</v>
      </c>
    </row>
    <row r="168" spans="2:15" x14ac:dyDescent="0.3">
      <c r="B168">
        <v>152</v>
      </c>
      <c r="C168">
        <v>30045340</v>
      </c>
      <c r="D168" t="s">
        <v>1</v>
      </c>
      <c r="E168" s="2">
        <v>360000</v>
      </c>
      <c r="F168" s="1">
        <v>8.4051872918695605E-2</v>
      </c>
      <c r="G168">
        <v>20</v>
      </c>
      <c r="H168" s="6">
        <f t="shared" si="16"/>
        <v>-3102.5943125677773</v>
      </c>
      <c r="I168">
        <v>67</v>
      </c>
      <c r="J168" s="6">
        <f t="shared" si="17"/>
        <v>310538.99669582827</v>
      </c>
      <c r="K168" t="s">
        <v>13</v>
      </c>
      <c r="L168" s="11" t="str">
        <f t="shared" si="18"/>
        <v>GNMA</v>
      </c>
      <c r="M168">
        <v>7</v>
      </c>
      <c r="N168" t="str">
        <f t="shared" si="19"/>
        <v>90+</v>
      </c>
      <c r="O168" t="str">
        <f t="shared" si="20"/>
        <v>Y</v>
      </c>
    </row>
    <row r="169" spans="2:15" x14ac:dyDescent="0.3">
      <c r="B169">
        <v>153</v>
      </c>
      <c r="C169">
        <v>50054768</v>
      </c>
      <c r="D169" t="s">
        <v>1</v>
      </c>
      <c r="E169" s="2">
        <v>140000</v>
      </c>
      <c r="F169" s="1">
        <v>4.7353760052952686E-2</v>
      </c>
      <c r="G169">
        <v>15</v>
      </c>
      <c r="H169" s="6">
        <f t="shared" si="16"/>
        <v>-1087.9085190630351</v>
      </c>
      <c r="I169">
        <v>20</v>
      </c>
      <c r="J169" s="6">
        <f t="shared" si="17"/>
        <v>128879.91179480437</v>
      </c>
      <c r="K169" t="s">
        <v>12</v>
      </c>
      <c r="L169" s="11" t="str">
        <f t="shared" si="18"/>
        <v>GNMA</v>
      </c>
      <c r="M169">
        <v>0</v>
      </c>
      <c r="N169" t="str">
        <f t="shared" si="19"/>
        <v>Current</v>
      </c>
      <c r="O169" t="str">
        <f t="shared" si="20"/>
        <v>N</v>
      </c>
    </row>
    <row r="170" spans="2:15" x14ac:dyDescent="0.3">
      <c r="B170">
        <v>154</v>
      </c>
      <c r="C170">
        <v>63115595</v>
      </c>
      <c r="D170" t="s">
        <v>1</v>
      </c>
      <c r="E170" s="2">
        <v>420000</v>
      </c>
      <c r="F170" s="1">
        <v>3.1754491121864389E-2</v>
      </c>
      <c r="G170">
        <v>30</v>
      </c>
      <c r="H170" s="6">
        <f t="shared" si="16"/>
        <v>-1810.7258825168124</v>
      </c>
      <c r="I170">
        <v>40</v>
      </c>
      <c r="J170" s="6">
        <f t="shared" si="17"/>
        <v>390534.24043349538</v>
      </c>
      <c r="K170" t="s">
        <v>9</v>
      </c>
      <c r="L170" s="11" t="str">
        <f t="shared" si="18"/>
        <v>GNMA</v>
      </c>
      <c r="M170">
        <v>5</v>
      </c>
      <c r="N170" t="str">
        <f t="shared" si="19"/>
        <v>90+</v>
      </c>
      <c r="O170" t="str">
        <f t="shared" si="20"/>
        <v>N</v>
      </c>
    </row>
    <row r="171" spans="2:15" x14ac:dyDescent="0.3">
      <c r="B171">
        <v>155</v>
      </c>
      <c r="C171">
        <v>12815365</v>
      </c>
      <c r="D171" t="s">
        <v>1</v>
      </c>
      <c r="E171" s="2">
        <v>300000</v>
      </c>
      <c r="F171" s="1">
        <v>7.1192531516652197E-2</v>
      </c>
      <c r="G171">
        <v>15</v>
      </c>
      <c r="H171" s="6">
        <f t="shared" si="16"/>
        <v>-2716.5257069980771</v>
      </c>
      <c r="I171">
        <v>20</v>
      </c>
      <c r="J171" s="6">
        <f t="shared" si="17"/>
        <v>280171.32405919704</v>
      </c>
      <c r="K171" t="s">
        <v>9</v>
      </c>
      <c r="L171" s="11" t="str">
        <f t="shared" si="18"/>
        <v>GNMA</v>
      </c>
      <c r="M171">
        <v>5</v>
      </c>
      <c r="N171" t="str">
        <f t="shared" si="19"/>
        <v>90+</v>
      </c>
      <c r="O171" t="str">
        <f t="shared" si="20"/>
        <v>N</v>
      </c>
    </row>
    <row r="172" spans="2:15" x14ac:dyDescent="0.3">
      <c r="B172">
        <v>156</v>
      </c>
      <c r="C172">
        <v>57963170</v>
      </c>
      <c r="D172" t="s">
        <v>1</v>
      </c>
      <c r="E172" s="2">
        <v>190000</v>
      </c>
      <c r="F172" s="1">
        <v>5.577789572375437E-2</v>
      </c>
      <c r="G172">
        <v>15</v>
      </c>
      <c r="H172" s="6">
        <f t="shared" si="16"/>
        <v>-1560.3127311548092</v>
      </c>
      <c r="I172">
        <v>134</v>
      </c>
      <c r="J172" s="6">
        <f t="shared" si="17"/>
        <v>64485.698829029498</v>
      </c>
      <c r="K172" t="s">
        <v>13</v>
      </c>
      <c r="L172" s="11" t="str">
        <f t="shared" si="18"/>
        <v>GNMA</v>
      </c>
      <c r="M172">
        <v>1</v>
      </c>
      <c r="N172" t="str">
        <f t="shared" si="19"/>
        <v>30-60</v>
      </c>
      <c r="O172" t="str">
        <f t="shared" si="20"/>
        <v>N</v>
      </c>
    </row>
    <row r="173" spans="2:15" x14ac:dyDescent="0.3">
      <c r="B173">
        <v>157</v>
      </c>
      <c r="C173">
        <v>27425669</v>
      </c>
      <c r="D173" t="s">
        <v>1</v>
      </c>
      <c r="E173" s="2">
        <v>120000</v>
      </c>
      <c r="F173" s="1">
        <v>4.5537190045218612E-2</v>
      </c>
      <c r="G173">
        <v>15</v>
      </c>
      <c r="H173" s="6">
        <f t="shared" si="16"/>
        <v>-921.28990326889095</v>
      </c>
      <c r="I173">
        <v>10</v>
      </c>
      <c r="J173" s="6">
        <f t="shared" si="17"/>
        <v>115260.44724317468</v>
      </c>
      <c r="K173" t="s">
        <v>13</v>
      </c>
      <c r="L173" s="11" t="str">
        <f t="shared" si="18"/>
        <v>GNMA</v>
      </c>
      <c r="M173">
        <v>10</v>
      </c>
      <c r="N173" t="str">
        <f t="shared" si="19"/>
        <v>90+</v>
      </c>
      <c r="O173" t="str">
        <f t="shared" si="20"/>
        <v>Y</v>
      </c>
    </row>
    <row r="174" spans="2:15" x14ac:dyDescent="0.3">
      <c r="B174">
        <v>158</v>
      </c>
      <c r="C174">
        <v>42454326</v>
      </c>
      <c r="D174" t="s">
        <v>1</v>
      </c>
      <c r="E174" s="2">
        <v>230000</v>
      </c>
      <c r="F174" s="1">
        <v>5.0982489981923208E-2</v>
      </c>
      <c r="G174">
        <v>15</v>
      </c>
      <c r="H174" s="6">
        <f t="shared" si="16"/>
        <v>-1830.6184473844403</v>
      </c>
      <c r="I174">
        <v>81</v>
      </c>
      <c r="J174" s="6">
        <f t="shared" si="17"/>
        <v>147691.43016632533</v>
      </c>
      <c r="K174" t="s">
        <v>9</v>
      </c>
      <c r="L174" s="11" t="str">
        <f t="shared" si="18"/>
        <v>GNMA</v>
      </c>
      <c r="M174">
        <v>2</v>
      </c>
      <c r="N174" t="str">
        <f t="shared" si="19"/>
        <v>30-60</v>
      </c>
      <c r="O174" t="str">
        <f t="shared" si="20"/>
        <v>N</v>
      </c>
    </row>
    <row r="175" spans="2:15" x14ac:dyDescent="0.3">
      <c r="B175">
        <v>159</v>
      </c>
      <c r="C175">
        <v>43854478</v>
      </c>
      <c r="D175" t="s">
        <v>1</v>
      </c>
      <c r="E175" s="2">
        <v>180000</v>
      </c>
      <c r="F175" s="1">
        <v>3.2977812852717114E-2</v>
      </c>
      <c r="G175">
        <v>20</v>
      </c>
      <c r="H175" s="6">
        <f t="shared" si="16"/>
        <v>-1025.3204880582011</v>
      </c>
      <c r="I175">
        <v>55</v>
      </c>
      <c r="J175" s="6">
        <f t="shared" si="17"/>
        <v>148539.46508435311</v>
      </c>
      <c r="K175" t="s">
        <v>12</v>
      </c>
      <c r="L175" s="11" t="str">
        <f t="shared" si="18"/>
        <v>GNMA</v>
      </c>
      <c r="M175">
        <v>0</v>
      </c>
      <c r="N175" t="str">
        <f t="shared" si="19"/>
        <v>Current</v>
      </c>
      <c r="O175" t="str">
        <f t="shared" si="20"/>
        <v>N</v>
      </c>
    </row>
    <row r="176" spans="2:15" x14ac:dyDescent="0.3">
      <c r="B176">
        <v>160</v>
      </c>
      <c r="C176">
        <v>28025475</v>
      </c>
      <c r="D176" t="s">
        <v>1</v>
      </c>
      <c r="E176" s="2">
        <v>430000</v>
      </c>
      <c r="F176" s="1">
        <v>5.2234852657205018E-2</v>
      </c>
      <c r="G176">
        <v>15</v>
      </c>
      <c r="H176" s="6">
        <f t="shared" si="16"/>
        <v>-3450.6822795469407</v>
      </c>
      <c r="I176">
        <v>128</v>
      </c>
      <c r="J176" s="6">
        <f t="shared" si="17"/>
        <v>160266.47460750217</v>
      </c>
      <c r="K176" t="s">
        <v>9</v>
      </c>
      <c r="L176" s="11" t="str">
        <f t="shared" si="18"/>
        <v>GNMA</v>
      </c>
      <c r="M176">
        <v>0</v>
      </c>
      <c r="N176" t="str">
        <f t="shared" si="19"/>
        <v>Current</v>
      </c>
      <c r="O176" t="str">
        <f t="shared" si="20"/>
        <v>N</v>
      </c>
    </row>
    <row r="177" spans="2:15" x14ac:dyDescent="0.3">
      <c r="B177">
        <v>161</v>
      </c>
      <c r="C177">
        <v>64176281</v>
      </c>
      <c r="D177" t="s">
        <v>1</v>
      </c>
      <c r="E177" s="2">
        <v>340000</v>
      </c>
      <c r="F177" s="1">
        <v>7.8054402152243199E-2</v>
      </c>
      <c r="G177">
        <v>20</v>
      </c>
      <c r="H177" s="6">
        <f t="shared" ref="H177:H190" si="21">INDEX(MASTER_DATA,MATCH($C177,MASTER_ROWS,0),MATCH(H$16,MASTER_HEADERS,0))</f>
        <v>-2802.8658140065268</v>
      </c>
      <c r="I177">
        <v>25</v>
      </c>
      <c r="J177" s="6">
        <f t="shared" ref="J177:J190" si="22">INDEX(MASTER_DATA,MATCH($C177,MASTER_ROWS,0),MATCH(J$16,MASTER_HEADERS,0))</f>
        <v>324003.34447729628</v>
      </c>
      <c r="K177" t="s">
        <v>10</v>
      </c>
      <c r="L177" s="11" t="str">
        <f t="shared" ref="L177:L190" si="23">INDEX(MASTER_DATA,MATCH($C177,MASTER_ROWS,0),MATCH(L$16,MASTER_HEADERS,0))</f>
        <v>FHLMC</v>
      </c>
      <c r="M177">
        <v>0</v>
      </c>
      <c r="N177" t="str">
        <f t="shared" si="19"/>
        <v>Current</v>
      </c>
      <c r="O177" t="str">
        <f t="shared" si="20"/>
        <v>N</v>
      </c>
    </row>
    <row r="178" spans="2:15" x14ac:dyDescent="0.3">
      <c r="B178">
        <v>162</v>
      </c>
      <c r="C178">
        <v>19068436</v>
      </c>
      <c r="D178" t="s">
        <v>1</v>
      </c>
      <c r="E178" s="2">
        <v>90000</v>
      </c>
      <c r="F178" s="1">
        <v>8.5197825606209504E-2</v>
      </c>
      <c r="G178">
        <v>20</v>
      </c>
      <c r="H178" s="6">
        <f t="shared" si="21"/>
        <v>-782.16813742200156</v>
      </c>
      <c r="I178">
        <v>214</v>
      </c>
      <c r="J178" s="6">
        <f t="shared" si="22"/>
        <v>18509.967884466841</v>
      </c>
      <c r="K178" t="s">
        <v>9</v>
      </c>
      <c r="L178" s="11" t="str">
        <f t="shared" si="23"/>
        <v>GNMA</v>
      </c>
      <c r="M178">
        <v>0</v>
      </c>
      <c r="N178" t="str">
        <f t="shared" si="19"/>
        <v>Current</v>
      </c>
      <c r="O178" t="str">
        <f t="shared" si="20"/>
        <v>N</v>
      </c>
    </row>
    <row r="179" spans="2:15" x14ac:dyDescent="0.3">
      <c r="B179">
        <v>163</v>
      </c>
      <c r="C179">
        <v>55935051</v>
      </c>
      <c r="D179" t="s">
        <v>1</v>
      </c>
      <c r="E179" s="2">
        <v>310000</v>
      </c>
      <c r="F179" s="1">
        <v>6.5776912974517682E-2</v>
      </c>
      <c r="G179">
        <v>15</v>
      </c>
      <c r="H179" s="6">
        <f t="shared" si="21"/>
        <v>-2713.6904725412978</v>
      </c>
      <c r="I179">
        <v>171</v>
      </c>
      <c r="J179" s="6">
        <f t="shared" si="22"/>
        <v>23767.081251326628</v>
      </c>
      <c r="K179" t="s">
        <v>10</v>
      </c>
      <c r="L179" s="11" t="str">
        <f t="shared" si="23"/>
        <v>FHLMC</v>
      </c>
      <c r="M179">
        <v>0</v>
      </c>
      <c r="N179" t="str">
        <f t="shared" si="19"/>
        <v>Current</v>
      </c>
      <c r="O179" t="str">
        <f t="shared" si="20"/>
        <v>N</v>
      </c>
    </row>
    <row r="180" spans="2:15" x14ac:dyDescent="0.3">
      <c r="B180">
        <v>164</v>
      </c>
      <c r="C180">
        <v>58190701</v>
      </c>
      <c r="D180" t="s">
        <v>1</v>
      </c>
      <c r="E180" s="2">
        <v>390000</v>
      </c>
      <c r="F180" s="1">
        <v>2.8968661386930758E-2</v>
      </c>
      <c r="G180">
        <v>30</v>
      </c>
      <c r="H180" s="6">
        <f t="shared" si="21"/>
        <v>-1622.6425259479668</v>
      </c>
      <c r="I180">
        <v>42</v>
      </c>
      <c r="J180" s="6">
        <f t="shared" si="22"/>
        <v>359928.7791981693</v>
      </c>
      <c r="K180" t="s">
        <v>10</v>
      </c>
      <c r="L180" s="11" t="str">
        <f t="shared" si="23"/>
        <v>FHLMC</v>
      </c>
      <c r="M180">
        <v>0</v>
      </c>
      <c r="N180" t="str">
        <f t="shared" si="19"/>
        <v>Current</v>
      </c>
      <c r="O180" t="str">
        <f t="shared" si="20"/>
        <v>N</v>
      </c>
    </row>
    <row r="181" spans="2:15" x14ac:dyDescent="0.3">
      <c r="B181">
        <v>165</v>
      </c>
      <c r="C181">
        <v>22410771</v>
      </c>
      <c r="D181" t="s">
        <v>1</v>
      </c>
      <c r="E181" s="2">
        <v>280000</v>
      </c>
      <c r="F181" s="1">
        <v>2.7107655095394385E-2</v>
      </c>
      <c r="G181">
        <v>15</v>
      </c>
      <c r="H181" s="6">
        <f t="shared" si="21"/>
        <v>-1894.9174430384887</v>
      </c>
      <c r="I181">
        <v>122</v>
      </c>
      <c r="J181" s="6">
        <f t="shared" si="22"/>
        <v>102900.97550968033</v>
      </c>
      <c r="K181" t="s">
        <v>10</v>
      </c>
      <c r="L181" s="11" t="str">
        <f t="shared" si="23"/>
        <v>FHLMC</v>
      </c>
      <c r="M181">
        <v>0</v>
      </c>
      <c r="N181" t="str">
        <f t="shared" si="19"/>
        <v>Current</v>
      </c>
      <c r="O181" t="str">
        <f t="shared" si="20"/>
        <v>N</v>
      </c>
    </row>
    <row r="182" spans="2:15" x14ac:dyDescent="0.3">
      <c r="B182">
        <v>166</v>
      </c>
      <c r="C182">
        <v>60128733</v>
      </c>
      <c r="D182" t="s">
        <v>1</v>
      </c>
      <c r="E182" s="2">
        <v>450000</v>
      </c>
      <c r="F182" s="1">
        <v>7.5354629162056694E-2</v>
      </c>
      <c r="G182">
        <v>15</v>
      </c>
      <c r="H182" s="6">
        <f t="shared" si="21"/>
        <v>-4180.6293078023364</v>
      </c>
      <c r="I182">
        <v>156</v>
      </c>
      <c r="J182" s="6">
        <f t="shared" si="22"/>
        <v>92870.431164271708</v>
      </c>
      <c r="K182" t="s">
        <v>11</v>
      </c>
      <c r="L182" s="11" t="str">
        <f t="shared" si="23"/>
        <v>FNMA</v>
      </c>
      <c r="M182">
        <v>0</v>
      </c>
      <c r="N182" t="str">
        <f t="shared" si="19"/>
        <v>Current</v>
      </c>
      <c r="O182" t="str">
        <f t="shared" si="20"/>
        <v>N</v>
      </c>
    </row>
    <row r="183" spans="2:15" x14ac:dyDescent="0.3">
      <c r="B183">
        <v>167</v>
      </c>
      <c r="C183">
        <v>66609862</v>
      </c>
      <c r="D183" t="s">
        <v>1</v>
      </c>
      <c r="E183" s="2">
        <v>400000</v>
      </c>
      <c r="F183" s="1">
        <v>6.4130198135724042E-2</v>
      </c>
      <c r="G183">
        <v>15</v>
      </c>
      <c r="H183" s="6">
        <f t="shared" si="21"/>
        <v>-3465.3314397950089</v>
      </c>
      <c r="I183">
        <v>139</v>
      </c>
      <c r="J183" s="6">
        <f t="shared" si="22"/>
        <v>127286.33027175204</v>
      </c>
      <c r="K183" t="s">
        <v>10</v>
      </c>
      <c r="L183" s="11" t="str">
        <f t="shared" si="23"/>
        <v>FHLMC</v>
      </c>
      <c r="M183">
        <v>0</v>
      </c>
      <c r="N183" t="str">
        <f t="shared" si="19"/>
        <v>Current</v>
      </c>
      <c r="O183" t="str">
        <f t="shared" si="20"/>
        <v>N</v>
      </c>
    </row>
    <row r="184" spans="2:15" x14ac:dyDescent="0.3">
      <c r="B184">
        <v>168</v>
      </c>
      <c r="C184">
        <v>64197854</v>
      </c>
      <c r="D184" t="s">
        <v>1</v>
      </c>
      <c r="E184" s="2">
        <v>90000</v>
      </c>
      <c r="F184" s="1">
        <v>8.500410975067306E-2</v>
      </c>
      <c r="G184">
        <v>20</v>
      </c>
      <c r="H184" s="6">
        <f t="shared" si="21"/>
        <v>-781.06432030082647</v>
      </c>
      <c r="I184">
        <v>144</v>
      </c>
      <c r="J184" s="6">
        <f t="shared" si="22"/>
        <v>54269.447517068336</v>
      </c>
      <c r="K184" t="s">
        <v>11</v>
      </c>
      <c r="L184" s="11" t="str">
        <f t="shared" si="23"/>
        <v>FNMA</v>
      </c>
      <c r="M184">
        <v>0</v>
      </c>
      <c r="N184" t="str">
        <f t="shared" si="19"/>
        <v>Current</v>
      </c>
      <c r="O184" t="str">
        <f t="shared" si="20"/>
        <v>N</v>
      </c>
    </row>
    <row r="185" spans="2:15" x14ac:dyDescent="0.3">
      <c r="B185">
        <v>169</v>
      </c>
      <c r="C185">
        <v>59656529</v>
      </c>
      <c r="D185" t="s">
        <v>1</v>
      </c>
      <c r="E185" s="2">
        <v>100000</v>
      </c>
      <c r="F185" s="1">
        <v>6.538733883278261E-2</v>
      </c>
      <c r="G185">
        <v>20</v>
      </c>
      <c r="H185" s="6">
        <f t="shared" si="21"/>
        <v>-747.85526058280811</v>
      </c>
      <c r="I185">
        <v>195</v>
      </c>
      <c r="J185" s="6">
        <f t="shared" si="22"/>
        <v>29773.545703494408</v>
      </c>
      <c r="K185" t="s">
        <v>13</v>
      </c>
      <c r="L185" s="11" t="str">
        <f t="shared" si="23"/>
        <v>GNMA</v>
      </c>
      <c r="M185">
        <v>0</v>
      </c>
      <c r="N185" t="str">
        <f t="shared" si="19"/>
        <v>Current</v>
      </c>
      <c r="O185" t="str">
        <f t="shared" si="20"/>
        <v>N</v>
      </c>
    </row>
    <row r="186" spans="2:15" x14ac:dyDescent="0.3">
      <c r="B186">
        <v>170</v>
      </c>
      <c r="C186">
        <v>27416011</v>
      </c>
      <c r="D186" t="s">
        <v>1</v>
      </c>
      <c r="E186" s="2">
        <v>320000</v>
      </c>
      <c r="F186" s="1">
        <v>4.5206795026638533E-2</v>
      </c>
      <c r="G186">
        <v>20</v>
      </c>
      <c r="H186" s="6">
        <f t="shared" si="21"/>
        <v>-2028.0517953301764</v>
      </c>
      <c r="I186">
        <v>120</v>
      </c>
      <c r="J186" s="6">
        <f t="shared" si="22"/>
        <v>195497.25390834792</v>
      </c>
      <c r="K186" t="s">
        <v>10</v>
      </c>
      <c r="L186" s="11" t="str">
        <f t="shared" si="23"/>
        <v>FHLMC</v>
      </c>
      <c r="M186">
        <v>6</v>
      </c>
      <c r="N186" t="str">
        <f t="shared" si="19"/>
        <v>90+</v>
      </c>
      <c r="O186" t="str">
        <f t="shared" si="20"/>
        <v>Y</v>
      </c>
    </row>
    <row r="187" spans="2:15" x14ac:dyDescent="0.3">
      <c r="B187">
        <v>171</v>
      </c>
      <c r="C187">
        <v>48475995</v>
      </c>
      <c r="D187" t="s">
        <v>1</v>
      </c>
      <c r="E187" s="2">
        <v>270000</v>
      </c>
      <c r="F187" s="1">
        <v>8.0420328455112197E-2</v>
      </c>
      <c r="G187">
        <v>15</v>
      </c>
      <c r="H187" s="6">
        <f t="shared" si="21"/>
        <v>-2586.8165856002333</v>
      </c>
      <c r="I187">
        <v>47</v>
      </c>
      <c r="J187" s="6">
        <f t="shared" si="22"/>
        <v>227222.13938087691</v>
      </c>
      <c r="K187" t="s">
        <v>9</v>
      </c>
      <c r="L187" s="11" t="str">
        <f t="shared" si="23"/>
        <v>GNMA</v>
      </c>
      <c r="M187">
        <v>9</v>
      </c>
      <c r="N187" t="str">
        <f t="shared" si="19"/>
        <v>90+</v>
      </c>
      <c r="O187" t="str">
        <f t="shared" si="20"/>
        <v>Y</v>
      </c>
    </row>
    <row r="188" spans="2:15" x14ac:dyDescent="0.3">
      <c r="B188">
        <v>172</v>
      </c>
      <c r="C188">
        <v>71360853</v>
      </c>
      <c r="D188" t="s">
        <v>1</v>
      </c>
      <c r="E188" s="2">
        <v>430000</v>
      </c>
      <c r="F188" s="1">
        <v>8.948433022180316E-2</v>
      </c>
      <c r="G188">
        <v>15</v>
      </c>
      <c r="H188" s="6">
        <f t="shared" si="21"/>
        <v>-4348.1654276527343</v>
      </c>
      <c r="I188">
        <v>164</v>
      </c>
      <c r="J188" s="6">
        <f t="shared" si="22"/>
        <v>65351.444777577453</v>
      </c>
      <c r="K188" t="s">
        <v>11</v>
      </c>
      <c r="L188" s="11" t="str">
        <f t="shared" si="23"/>
        <v>FNMA</v>
      </c>
      <c r="M188">
        <v>5</v>
      </c>
      <c r="N188" t="str">
        <f t="shared" si="19"/>
        <v>90+</v>
      </c>
      <c r="O188" t="str">
        <f t="shared" si="20"/>
        <v>N</v>
      </c>
    </row>
    <row r="189" spans="2:15" x14ac:dyDescent="0.3">
      <c r="B189">
        <v>173</v>
      </c>
      <c r="C189">
        <v>35512275</v>
      </c>
      <c r="D189" t="s">
        <v>1</v>
      </c>
      <c r="E189" s="2">
        <v>380000</v>
      </c>
      <c r="F189" s="1">
        <v>6.1968837801717767E-2</v>
      </c>
      <c r="G189">
        <v>30</v>
      </c>
      <c r="H189" s="6">
        <f t="shared" si="21"/>
        <v>-2326.6137587718663</v>
      </c>
      <c r="I189">
        <v>62</v>
      </c>
      <c r="J189" s="6">
        <f t="shared" si="22"/>
        <v>353461.13425502449</v>
      </c>
      <c r="K189" t="s">
        <v>9</v>
      </c>
      <c r="L189" s="11" t="str">
        <f t="shared" si="23"/>
        <v>GNMA</v>
      </c>
      <c r="M189">
        <v>9</v>
      </c>
      <c r="N189" t="str">
        <f t="shared" si="19"/>
        <v>90+</v>
      </c>
      <c r="O189" t="str">
        <f t="shared" si="20"/>
        <v>Y</v>
      </c>
    </row>
    <row r="190" spans="2:15" x14ac:dyDescent="0.3">
      <c r="B190">
        <v>174</v>
      </c>
      <c r="C190">
        <v>38613129</v>
      </c>
      <c r="D190" t="s">
        <v>1</v>
      </c>
      <c r="E190" s="2">
        <v>370000</v>
      </c>
      <c r="F190" s="1">
        <v>5.8198216683628096E-2</v>
      </c>
      <c r="G190">
        <v>15</v>
      </c>
      <c r="H190" s="6">
        <f t="shared" si="21"/>
        <v>-3086.3680567423221</v>
      </c>
      <c r="I190">
        <v>28</v>
      </c>
      <c r="J190" s="6">
        <f t="shared" si="22"/>
        <v>331355.10669905931</v>
      </c>
      <c r="K190" t="s">
        <v>13</v>
      </c>
      <c r="L190" s="11" t="str">
        <f t="shared" si="23"/>
        <v>GNMA</v>
      </c>
      <c r="M190">
        <v>4</v>
      </c>
      <c r="N190" t="str">
        <f t="shared" si="19"/>
        <v>90+</v>
      </c>
      <c r="O190" t="str">
        <f t="shared" si="20"/>
        <v>N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T190"/>
  <sheetViews>
    <sheetView topLeftCell="G10" zoomScale="135" workbookViewId="0">
      <selection activeCell="Q17" sqref="Q17:Q190"/>
    </sheetView>
  </sheetViews>
  <sheetFormatPr defaultRowHeight="10.75" x14ac:dyDescent="0.3"/>
  <cols>
    <col min="1" max="1" width="2.5" customWidth="1"/>
    <col min="2" max="2" width="4.8984375" bestFit="1" customWidth="1"/>
    <col min="3" max="3" width="11.59765625" bestFit="1" customWidth="1"/>
    <col min="4" max="4" width="24.19921875" customWidth="1"/>
    <col min="5" max="5" width="11.59765625" bestFit="1" customWidth="1"/>
    <col min="6" max="6" width="10.59765625" bestFit="1" customWidth="1"/>
    <col min="7" max="7" width="10.796875" bestFit="1" customWidth="1"/>
    <col min="8" max="8" width="13.09765625" bestFit="1" customWidth="1"/>
    <col min="9" max="9" width="13.796875" style="7" bestFit="1" customWidth="1"/>
    <col min="10" max="10" width="13.796875" bestFit="1" customWidth="1"/>
    <col min="13" max="13" width="18.796875" bestFit="1" customWidth="1"/>
    <col min="14" max="14" width="10.796875" customWidth="1"/>
    <col min="15" max="15" width="10.296875" bestFit="1" customWidth="1"/>
    <col min="16" max="16" width="28.19921875" customWidth="1"/>
    <col min="17" max="17" width="13.3984375" customWidth="1"/>
    <col min="21" max="21" width="26.19921875" bestFit="1" customWidth="1"/>
    <col min="22" max="22" width="25.796875" bestFit="1" customWidth="1"/>
    <col min="23" max="23" width="57.5" bestFit="1" customWidth="1"/>
  </cols>
  <sheetData>
    <row r="1" spans="2:17" x14ac:dyDescent="0.3">
      <c r="I1"/>
    </row>
    <row r="2" spans="2:17" x14ac:dyDescent="0.3">
      <c r="B2" t="s">
        <v>37</v>
      </c>
      <c r="I2"/>
    </row>
    <row r="3" spans="2:17" x14ac:dyDescent="0.3">
      <c r="I3"/>
    </row>
    <row r="4" spans="2:17" x14ac:dyDescent="0.3">
      <c r="B4" t="s">
        <v>40</v>
      </c>
      <c r="I4"/>
    </row>
    <row r="5" spans="2:17" x14ac:dyDescent="0.3">
      <c r="I5"/>
    </row>
    <row r="6" spans="2:17" x14ac:dyDescent="0.3">
      <c r="I6"/>
    </row>
    <row r="7" spans="2:17" x14ac:dyDescent="0.3">
      <c r="I7"/>
    </row>
    <row r="8" spans="2:17" x14ac:dyDescent="0.3">
      <c r="I8"/>
    </row>
    <row r="9" spans="2:17" x14ac:dyDescent="0.3">
      <c r="I9"/>
    </row>
    <row r="10" spans="2:17" x14ac:dyDescent="0.3">
      <c r="I10"/>
    </row>
    <row r="11" spans="2:17" x14ac:dyDescent="0.3">
      <c r="I11"/>
    </row>
    <row r="12" spans="2:17" x14ac:dyDescent="0.3">
      <c r="I12"/>
    </row>
    <row r="13" spans="2:17" x14ac:dyDescent="0.3">
      <c r="I13"/>
    </row>
    <row r="14" spans="2:17" x14ac:dyDescent="0.3">
      <c r="I14"/>
    </row>
    <row r="15" spans="2:17" x14ac:dyDescent="0.3">
      <c r="I15"/>
    </row>
    <row r="16" spans="2:17" x14ac:dyDescent="0.3">
      <c r="B16" s="8" t="s">
        <v>19</v>
      </c>
      <c r="C16" s="8" t="s">
        <v>0</v>
      </c>
      <c r="D16" s="9" t="s">
        <v>15</v>
      </c>
      <c r="E16" s="9" t="s">
        <v>5</v>
      </c>
      <c r="F16" s="9" t="s">
        <v>21</v>
      </c>
      <c r="G16" s="9" t="s">
        <v>20</v>
      </c>
      <c r="H16" s="9" t="s">
        <v>4</v>
      </c>
      <c r="I16" s="9" t="s">
        <v>7</v>
      </c>
      <c r="J16" s="9" t="s">
        <v>6</v>
      </c>
      <c r="K16" s="9" t="s">
        <v>8</v>
      </c>
      <c r="L16" s="9" t="s">
        <v>14</v>
      </c>
      <c r="M16" s="9" t="s">
        <v>24</v>
      </c>
      <c r="N16" s="8" t="s">
        <v>25</v>
      </c>
      <c r="O16" s="8" t="s">
        <v>32</v>
      </c>
      <c r="P16" s="8" t="s">
        <v>35</v>
      </c>
      <c r="Q16" s="5" t="s">
        <v>36</v>
      </c>
    </row>
    <row r="17" spans="2:20" x14ac:dyDescent="0.3">
      <c r="B17">
        <v>1</v>
      </c>
      <c r="C17">
        <v>83449837</v>
      </c>
      <c r="D17" t="s">
        <v>3</v>
      </c>
      <c r="E17" s="2">
        <v>280000</v>
      </c>
      <c r="F17" s="1">
        <v>6.3422300277239399E-2</v>
      </c>
      <c r="G17">
        <v>30</v>
      </c>
      <c r="H17" s="6">
        <f t="shared" ref="H17:H48" si="0">INDEX(MASTER_DATA,MATCH($C17,MASTER_ROWS,0),MATCH(H$16,MASTER_HEADERS,0))</f>
        <v>-1740.8388784193021</v>
      </c>
      <c r="I17">
        <v>191</v>
      </c>
      <c r="J17" s="6">
        <f t="shared" ref="J17:J48" si="1">INDEX(MASTER_DATA,MATCH($C17,MASTER_ROWS,0),MATCH(J$16,MASTER_HEADERS,0))</f>
        <v>194232.77149761905</v>
      </c>
      <c r="K17" t="s">
        <v>12</v>
      </c>
      <c r="L17" s="11" t="str">
        <f t="shared" ref="L17:L48" si="2">INDEX(MASTER_DATA,MATCH($C17,MASTER_ROWS,0),MATCH(L$16,MASTER_HEADERS,0))</f>
        <v>GNMA</v>
      </c>
      <c r="M17">
        <v>6</v>
      </c>
      <c r="N17" s="11" t="str">
        <f t="shared" ref="N17:O36" si="3">INDEX(MASTER_DATA,MATCH($C17,MASTER_ROWS,0),MATCH(N$16,MASTER_HEADERS,0))</f>
        <v>90+</v>
      </c>
      <c r="O17" s="11" t="str">
        <f t="shared" si="3"/>
        <v>Y</v>
      </c>
      <c r="P17" t="str">
        <f>IF(O17="Y","This Loan is in Step: Judgment","This Loan is in Step: n/a")</f>
        <v>This Loan is in Step: Judgment</v>
      </c>
      <c r="Q17" t="str">
        <f>RIGHT(P17,LEN(P17)-FIND(":",P17)-1)</f>
        <v>Judgment</v>
      </c>
      <c r="R17" s="10"/>
      <c r="T17" s="10"/>
    </row>
    <row r="18" spans="2:20" x14ac:dyDescent="0.3">
      <c r="B18">
        <v>2</v>
      </c>
      <c r="C18">
        <v>41209504</v>
      </c>
      <c r="D18" t="s">
        <v>3</v>
      </c>
      <c r="E18" s="2">
        <v>370000</v>
      </c>
      <c r="F18" s="1">
        <v>4.7923567837379721E-2</v>
      </c>
      <c r="G18">
        <v>30</v>
      </c>
      <c r="H18" s="6">
        <f t="shared" si="0"/>
        <v>-1939.5527972832565</v>
      </c>
      <c r="I18">
        <v>322</v>
      </c>
      <c r="J18" s="6">
        <f t="shared" si="1"/>
        <v>68256.85188202397</v>
      </c>
      <c r="K18" t="s">
        <v>11</v>
      </c>
      <c r="L18" s="11" t="str">
        <f t="shared" si="2"/>
        <v>FNMA</v>
      </c>
      <c r="M18">
        <v>5</v>
      </c>
      <c r="N18" s="11" t="str">
        <f t="shared" si="3"/>
        <v>90+</v>
      </c>
      <c r="O18" s="11" t="str">
        <f t="shared" si="3"/>
        <v>N</v>
      </c>
      <c r="P18" t="str">
        <f>IF(O18="Y","This Loan is in Step: Service","This Loan is in Step: n/a")</f>
        <v>This Loan is in Step: n/a</v>
      </c>
      <c r="Q18" t="str">
        <f t="shared" ref="Q18:Q81" si="4">RIGHT(P18,LEN(P18)-FIND(":",P18)-1)</f>
        <v>n/a</v>
      </c>
      <c r="R18" s="10"/>
      <c r="T18" s="10"/>
    </row>
    <row r="19" spans="2:20" x14ac:dyDescent="0.3">
      <c r="B19">
        <v>3</v>
      </c>
      <c r="C19">
        <v>25055860</v>
      </c>
      <c r="D19" t="s">
        <v>3</v>
      </c>
      <c r="E19" s="2">
        <v>210000</v>
      </c>
      <c r="F19" s="1">
        <v>6.1424733534152585E-2</v>
      </c>
      <c r="G19">
        <v>20</v>
      </c>
      <c r="H19" s="6">
        <f t="shared" si="0"/>
        <v>-1521.8167990007571</v>
      </c>
      <c r="I19">
        <v>32</v>
      </c>
      <c r="J19" s="6">
        <f t="shared" si="1"/>
        <v>194504.82943547497</v>
      </c>
      <c r="K19" t="s">
        <v>13</v>
      </c>
      <c r="L19" s="11" t="str">
        <f t="shared" si="2"/>
        <v>GNMA</v>
      </c>
      <c r="M19">
        <v>0</v>
      </c>
      <c r="N19" s="11" t="str">
        <f t="shared" si="3"/>
        <v>Current</v>
      </c>
      <c r="O19" s="11" t="str">
        <f t="shared" si="3"/>
        <v>N</v>
      </c>
      <c r="P19" t="str">
        <f>IF(O19="Y","This Loan is in Step: Service","This Loan is in Step: n/a")</f>
        <v>This Loan is in Step: n/a</v>
      </c>
      <c r="Q19" t="str">
        <f t="shared" si="4"/>
        <v>n/a</v>
      </c>
      <c r="R19" s="10"/>
      <c r="T19" s="10"/>
    </row>
    <row r="20" spans="2:20" x14ac:dyDescent="0.3">
      <c r="B20">
        <v>4</v>
      </c>
      <c r="C20">
        <v>61173887</v>
      </c>
      <c r="D20" t="s">
        <v>3</v>
      </c>
      <c r="E20" s="2">
        <v>120000</v>
      </c>
      <c r="F20" s="1">
        <v>6.9916583821802616E-2</v>
      </c>
      <c r="G20">
        <v>30</v>
      </c>
      <c r="H20" s="6">
        <f t="shared" si="0"/>
        <v>-797.69084311639654</v>
      </c>
      <c r="I20">
        <v>23</v>
      </c>
      <c r="J20" s="6">
        <f t="shared" si="1"/>
        <v>117582.59194191683</v>
      </c>
      <c r="K20" t="s">
        <v>12</v>
      </c>
      <c r="L20" s="11" t="str">
        <f t="shared" si="2"/>
        <v>GNMA</v>
      </c>
      <c r="M20">
        <v>0</v>
      </c>
      <c r="N20" s="11" t="str">
        <f t="shared" si="3"/>
        <v>Current</v>
      </c>
      <c r="O20" s="11" t="str">
        <f t="shared" si="3"/>
        <v>N</v>
      </c>
      <c r="P20" t="str">
        <f>IF(O20="Y","This Loan is in Step: Referral","This Loan is in Step: n/a")</f>
        <v>This Loan is in Step: n/a</v>
      </c>
      <c r="Q20" t="str">
        <f t="shared" si="4"/>
        <v>n/a</v>
      </c>
      <c r="R20" s="10"/>
      <c r="T20" s="10"/>
    </row>
    <row r="21" spans="2:20" x14ac:dyDescent="0.3">
      <c r="B21">
        <v>5</v>
      </c>
      <c r="C21">
        <v>51398733</v>
      </c>
      <c r="D21" t="s">
        <v>3</v>
      </c>
      <c r="E21" s="2">
        <v>350000</v>
      </c>
      <c r="F21" s="1">
        <v>5.0134005155326899E-2</v>
      </c>
      <c r="G21">
        <v>20</v>
      </c>
      <c r="H21" s="6">
        <f t="shared" si="0"/>
        <v>-2312.4368284914549</v>
      </c>
      <c r="I21">
        <v>154</v>
      </c>
      <c r="J21" s="6">
        <f t="shared" si="1"/>
        <v>166774.39516807985</v>
      </c>
      <c r="K21" t="s">
        <v>11</v>
      </c>
      <c r="L21" s="11" t="str">
        <f t="shared" si="2"/>
        <v>FNMA</v>
      </c>
      <c r="M21">
        <v>0</v>
      </c>
      <c r="N21" s="11" t="str">
        <f t="shared" si="3"/>
        <v>Current</v>
      </c>
      <c r="O21" s="11" t="str">
        <f t="shared" si="3"/>
        <v>N</v>
      </c>
      <c r="P21" t="str">
        <f>IF(O21="Y","This Loan is in Step: Sale","This Loan is in Step: n/a")</f>
        <v>This Loan is in Step: n/a</v>
      </c>
      <c r="Q21" t="str">
        <f t="shared" si="4"/>
        <v>n/a</v>
      </c>
      <c r="R21" s="10"/>
      <c r="T21" s="10"/>
    </row>
    <row r="22" spans="2:20" x14ac:dyDescent="0.3">
      <c r="B22">
        <v>6</v>
      </c>
      <c r="C22">
        <v>76906141</v>
      </c>
      <c r="D22" t="s">
        <v>3</v>
      </c>
      <c r="E22" s="2">
        <v>220000</v>
      </c>
      <c r="F22" s="1">
        <v>4.2786225749490842E-2</v>
      </c>
      <c r="G22">
        <v>10</v>
      </c>
      <c r="H22" s="6">
        <f t="shared" si="0"/>
        <v>-2256.6410339925496</v>
      </c>
      <c r="I22">
        <v>47</v>
      </c>
      <c r="J22" s="6">
        <f t="shared" si="1"/>
        <v>144815.13162833391</v>
      </c>
      <c r="K22" t="s">
        <v>10</v>
      </c>
      <c r="L22" s="11" t="str">
        <f t="shared" si="2"/>
        <v>FHLMC</v>
      </c>
      <c r="M22">
        <v>5</v>
      </c>
      <c r="N22" s="11" t="str">
        <f t="shared" si="3"/>
        <v>90+</v>
      </c>
      <c r="O22" s="11" t="str">
        <f t="shared" si="3"/>
        <v>N</v>
      </c>
      <c r="P22" t="str">
        <f>IF(O22="Y","This Loan is in Step: Service","This Loan is in Step: n/a")</f>
        <v>This Loan is in Step: n/a</v>
      </c>
      <c r="Q22" t="str">
        <f t="shared" si="4"/>
        <v>n/a</v>
      </c>
      <c r="R22" s="10"/>
      <c r="T22" s="10"/>
    </row>
    <row r="23" spans="2:20" x14ac:dyDescent="0.3">
      <c r="B23">
        <v>7</v>
      </c>
      <c r="C23">
        <v>49304139</v>
      </c>
      <c r="D23" t="s">
        <v>3</v>
      </c>
      <c r="E23" s="2">
        <v>330000</v>
      </c>
      <c r="F23" s="1">
        <v>7.9882925276980848E-2</v>
      </c>
      <c r="G23">
        <v>10</v>
      </c>
      <c r="H23" s="6">
        <f t="shared" si="0"/>
        <v>-4001.7694462201434</v>
      </c>
      <c r="I23">
        <v>81</v>
      </c>
      <c r="J23" s="6">
        <f t="shared" si="1"/>
        <v>137055.7403967772</v>
      </c>
      <c r="K23" t="s">
        <v>13</v>
      </c>
      <c r="L23" s="11" t="str">
        <f t="shared" si="2"/>
        <v>GNMA</v>
      </c>
      <c r="M23">
        <v>5</v>
      </c>
      <c r="N23" s="11" t="str">
        <f t="shared" si="3"/>
        <v>90+</v>
      </c>
      <c r="O23" s="11" t="str">
        <f t="shared" si="3"/>
        <v>N</v>
      </c>
      <c r="P23" t="str">
        <f>IF(O23="Y","This Loan is in Step: Referral","This Loan is in Step: n/a")</f>
        <v>This Loan is in Step: n/a</v>
      </c>
      <c r="Q23" t="str">
        <f t="shared" si="4"/>
        <v>n/a</v>
      </c>
      <c r="R23" s="10"/>
      <c r="T23" s="10"/>
    </row>
    <row r="24" spans="2:20" x14ac:dyDescent="0.3">
      <c r="B24">
        <v>8</v>
      </c>
      <c r="C24">
        <v>23473039</v>
      </c>
      <c r="D24" t="s">
        <v>3</v>
      </c>
      <c r="E24" s="2">
        <v>160000</v>
      </c>
      <c r="F24" s="1">
        <v>3.7834646761219816E-2</v>
      </c>
      <c r="G24">
        <v>30</v>
      </c>
      <c r="H24" s="6">
        <f t="shared" si="0"/>
        <v>-744.02648275288288</v>
      </c>
      <c r="I24">
        <v>317</v>
      </c>
      <c r="J24" s="6">
        <f t="shared" si="1"/>
        <v>29875.237982358442</v>
      </c>
      <c r="K24" t="s">
        <v>13</v>
      </c>
      <c r="L24" s="11" t="str">
        <f t="shared" si="2"/>
        <v>GNMA</v>
      </c>
      <c r="M24">
        <v>3</v>
      </c>
      <c r="N24" s="11" t="str">
        <f t="shared" si="3"/>
        <v>90+</v>
      </c>
      <c r="O24" s="11" t="str">
        <f t="shared" si="3"/>
        <v>N</v>
      </c>
      <c r="P24" t="str">
        <f>IF(O24="Y","This Loan is in Step: Judgment","This Loan is in Step: n/a")</f>
        <v>This Loan is in Step: n/a</v>
      </c>
      <c r="Q24" t="str">
        <f t="shared" si="4"/>
        <v>n/a</v>
      </c>
      <c r="R24" s="10"/>
      <c r="T24" s="10"/>
    </row>
    <row r="25" spans="2:20" x14ac:dyDescent="0.3">
      <c r="B25">
        <v>9</v>
      </c>
      <c r="C25">
        <v>53651842</v>
      </c>
      <c r="D25" t="s">
        <v>3</v>
      </c>
      <c r="E25" s="2">
        <v>370000</v>
      </c>
      <c r="F25" s="1">
        <v>5.6469996936378344E-2</v>
      </c>
      <c r="G25">
        <v>30</v>
      </c>
      <c r="H25" s="6">
        <f t="shared" si="0"/>
        <v>-2135.0707200458078</v>
      </c>
      <c r="I25">
        <v>73</v>
      </c>
      <c r="J25" s="6">
        <f t="shared" si="1"/>
        <v>335782.61355425371</v>
      </c>
      <c r="K25" t="s">
        <v>10</v>
      </c>
      <c r="L25" s="11" t="str">
        <f t="shared" si="2"/>
        <v>FHLMC</v>
      </c>
      <c r="M25">
        <v>4</v>
      </c>
      <c r="N25" s="11" t="str">
        <f t="shared" si="3"/>
        <v>90+</v>
      </c>
      <c r="O25" s="11" t="str">
        <f t="shared" si="3"/>
        <v>N</v>
      </c>
      <c r="P25" t="str">
        <f>IF(O25="Y","This Loan is in Step: Sale","This Loan is in Step: n/a")</f>
        <v>This Loan is in Step: n/a</v>
      </c>
      <c r="Q25" t="str">
        <f t="shared" si="4"/>
        <v>n/a</v>
      </c>
      <c r="R25" s="10"/>
      <c r="T25" s="10"/>
    </row>
    <row r="26" spans="2:20" x14ac:dyDescent="0.3">
      <c r="B26">
        <v>10</v>
      </c>
      <c r="C26">
        <v>77159777</v>
      </c>
      <c r="D26" t="s">
        <v>3</v>
      </c>
      <c r="E26" s="2">
        <v>240000</v>
      </c>
      <c r="F26" s="1">
        <v>5.6715626593494835E-2</v>
      </c>
      <c r="G26">
        <v>30</v>
      </c>
      <c r="H26" s="6">
        <f t="shared" si="0"/>
        <v>-1388.6390205991597</v>
      </c>
      <c r="I26">
        <v>174</v>
      </c>
      <c r="J26" s="6">
        <f t="shared" si="1"/>
        <v>171579.60088119478</v>
      </c>
      <c r="K26" t="s">
        <v>12</v>
      </c>
      <c r="L26" s="11" t="str">
        <f t="shared" si="2"/>
        <v>GNMA</v>
      </c>
      <c r="M26">
        <v>9</v>
      </c>
      <c r="N26" s="11" t="str">
        <f t="shared" si="3"/>
        <v>90+</v>
      </c>
      <c r="O26" s="11" t="str">
        <f t="shared" si="3"/>
        <v>Y</v>
      </c>
      <c r="P26" t="str">
        <f>IF(O26="Y","This Loan is in Step: Referral","This Loan is in Step: n/a")</f>
        <v>This Loan is in Step: Referral</v>
      </c>
      <c r="Q26" t="str">
        <f t="shared" si="4"/>
        <v>Referral</v>
      </c>
      <c r="R26" s="10"/>
      <c r="T26" s="10"/>
    </row>
    <row r="27" spans="2:20" x14ac:dyDescent="0.3">
      <c r="B27">
        <v>11</v>
      </c>
      <c r="C27">
        <v>66573753</v>
      </c>
      <c r="D27" t="s">
        <v>3</v>
      </c>
      <c r="E27" s="2">
        <v>240000</v>
      </c>
      <c r="F27" s="1">
        <v>4.0215407626109097E-2</v>
      </c>
      <c r="G27">
        <v>30</v>
      </c>
      <c r="H27" s="6">
        <f t="shared" si="0"/>
        <v>-1148.7791567926149</v>
      </c>
      <c r="I27">
        <v>80</v>
      </c>
      <c r="J27" s="6">
        <f t="shared" si="1"/>
        <v>208454.89645217644</v>
      </c>
      <c r="K27" t="s">
        <v>11</v>
      </c>
      <c r="L27" s="11" t="str">
        <f t="shared" si="2"/>
        <v>FNMA</v>
      </c>
      <c r="M27">
        <v>2</v>
      </c>
      <c r="N27" s="11" t="str">
        <f t="shared" si="3"/>
        <v>30-60</v>
      </c>
      <c r="O27" s="11" t="str">
        <f t="shared" si="3"/>
        <v>N</v>
      </c>
      <c r="P27" t="str">
        <f>IF(O27="Y","This Loan is in Step: Sale","This Loan is in Step: n/a")</f>
        <v>This Loan is in Step: n/a</v>
      </c>
      <c r="Q27" t="str">
        <f t="shared" si="4"/>
        <v>n/a</v>
      </c>
      <c r="R27" s="10"/>
      <c r="T27" s="10"/>
    </row>
    <row r="28" spans="2:20" x14ac:dyDescent="0.3">
      <c r="B28">
        <v>12</v>
      </c>
      <c r="C28">
        <v>35312476</v>
      </c>
      <c r="D28" t="s">
        <v>3</v>
      </c>
      <c r="E28" s="2">
        <v>120000</v>
      </c>
      <c r="F28" s="1">
        <v>8.3860466435509498E-2</v>
      </c>
      <c r="G28">
        <v>10</v>
      </c>
      <c r="H28" s="6">
        <f t="shared" si="0"/>
        <v>-1480.5247973648513</v>
      </c>
      <c r="I28">
        <v>103</v>
      </c>
      <c r="J28" s="6">
        <f t="shared" si="1"/>
        <v>23653.598787943563</v>
      </c>
      <c r="K28" t="s">
        <v>9</v>
      </c>
      <c r="L28" s="11" t="str">
        <f t="shared" si="2"/>
        <v>GNMA</v>
      </c>
      <c r="M28">
        <v>4</v>
      </c>
      <c r="N28" s="11" t="str">
        <f t="shared" si="3"/>
        <v>90+</v>
      </c>
      <c r="O28" s="11" t="str">
        <f t="shared" si="3"/>
        <v>N</v>
      </c>
      <c r="P28" t="str">
        <f>IF(O28="Y","This Loan is in Step: Sale","This Loan is in Step: n/a")</f>
        <v>This Loan is in Step: n/a</v>
      </c>
      <c r="Q28" t="str">
        <f t="shared" si="4"/>
        <v>n/a</v>
      </c>
      <c r="R28" s="10"/>
      <c r="T28" s="10"/>
    </row>
    <row r="29" spans="2:20" x14ac:dyDescent="0.3">
      <c r="B29">
        <v>13</v>
      </c>
      <c r="C29">
        <v>95991315</v>
      </c>
      <c r="D29" t="s">
        <v>3</v>
      </c>
      <c r="E29" s="2">
        <v>150000</v>
      </c>
      <c r="F29" s="1">
        <v>3.5523380678162242E-2</v>
      </c>
      <c r="G29">
        <v>20</v>
      </c>
      <c r="H29" s="6">
        <f t="shared" si="0"/>
        <v>-873.97914438024759</v>
      </c>
      <c r="I29">
        <v>37</v>
      </c>
      <c r="J29" s="6">
        <f t="shared" si="1"/>
        <v>133214.66827461461</v>
      </c>
      <c r="K29" t="s">
        <v>9</v>
      </c>
      <c r="L29" s="11" t="str">
        <f t="shared" si="2"/>
        <v>GNMA</v>
      </c>
      <c r="M29">
        <v>9</v>
      </c>
      <c r="N29" s="11" t="str">
        <f t="shared" si="3"/>
        <v>90+</v>
      </c>
      <c r="O29" s="11" t="str">
        <f t="shared" si="3"/>
        <v>Y</v>
      </c>
      <c r="P29" t="str">
        <f>IF(O29="Y","This Loan is in Step: Judgment","This Loan is in Step: n/a")</f>
        <v>This Loan is in Step: Judgment</v>
      </c>
      <c r="Q29" t="str">
        <f t="shared" si="4"/>
        <v>Judgment</v>
      </c>
      <c r="R29" s="10"/>
      <c r="T29" s="10"/>
    </row>
    <row r="30" spans="2:20" x14ac:dyDescent="0.3">
      <c r="B30">
        <v>14</v>
      </c>
      <c r="C30">
        <v>30278425</v>
      </c>
      <c r="D30" t="s">
        <v>3</v>
      </c>
      <c r="E30" s="2">
        <v>100000</v>
      </c>
      <c r="F30" s="1">
        <v>3.6067921361398102E-2</v>
      </c>
      <c r="G30">
        <v>20</v>
      </c>
      <c r="H30" s="6">
        <f t="shared" si="0"/>
        <v>-585.46233413051527</v>
      </c>
      <c r="I30">
        <v>238</v>
      </c>
      <c r="J30" s="6">
        <f t="shared" si="1"/>
        <v>1165.6666429540903</v>
      </c>
      <c r="K30" t="s">
        <v>9</v>
      </c>
      <c r="L30" s="11" t="str">
        <f t="shared" si="2"/>
        <v>GNMA</v>
      </c>
      <c r="M30">
        <v>8</v>
      </c>
      <c r="N30" s="11" t="str">
        <f t="shared" si="3"/>
        <v>90+</v>
      </c>
      <c r="O30" s="11" t="str">
        <f t="shared" si="3"/>
        <v>Y</v>
      </c>
      <c r="P30" t="str">
        <f>IF(O30="Y","This Loan is in Step: Sale","This Loan is in Step: n/a")</f>
        <v>This Loan is in Step: Sale</v>
      </c>
      <c r="Q30" t="str">
        <f t="shared" si="4"/>
        <v>Sale</v>
      </c>
      <c r="R30" s="10"/>
      <c r="T30" s="10"/>
    </row>
    <row r="31" spans="2:20" x14ac:dyDescent="0.3">
      <c r="B31">
        <v>15</v>
      </c>
      <c r="C31">
        <v>89078715</v>
      </c>
      <c r="D31" t="s">
        <v>3</v>
      </c>
      <c r="E31" s="2">
        <v>210000</v>
      </c>
      <c r="F31" s="1">
        <v>2.0976206387454444E-2</v>
      </c>
      <c r="G31">
        <v>10</v>
      </c>
      <c r="H31" s="6">
        <f t="shared" si="0"/>
        <v>-1941.4772703169913</v>
      </c>
      <c r="I31">
        <v>29</v>
      </c>
      <c r="J31" s="6">
        <f t="shared" si="1"/>
        <v>163207.46498471222</v>
      </c>
      <c r="K31" t="s">
        <v>9</v>
      </c>
      <c r="L31" s="11" t="str">
        <f t="shared" si="2"/>
        <v>GNMA</v>
      </c>
      <c r="M31">
        <v>0</v>
      </c>
      <c r="N31" s="11" t="str">
        <f t="shared" si="3"/>
        <v>Current</v>
      </c>
      <c r="O31" s="11" t="str">
        <f t="shared" si="3"/>
        <v>N</v>
      </c>
      <c r="P31" t="str">
        <f>IF(O31="Y","This Loan is in Step: Service","This Loan is in Step: n/a")</f>
        <v>This Loan is in Step: n/a</v>
      </c>
      <c r="Q31" t="str">
        <f t="shared" si="4"/>
        <v>n/a</v>
      </c>
      <c r="R31" s="10"/>
      <c r="T31" s="10"/>
    </row>
    <row r="32" spans="2:20" x14ac:dyDescent="0.3">
      <c r="B32">
        <v>16</v>
      </c>
      <c r="C32">
        <v>66655583</v>
      </c>
      <c r="D32" t="s">
        <v>3</v>
      </c>
      <c r="E32" s="2">
        <v>390000</v>
      </c>
      <c r="F32" s="1">
        <v>7.3061166730698637E-2</v>
      </c>
      <c r="G32">
        <v>10</v>
      </c>
      <c r="H32" s="6">
        <f t="shared" si="0"/>
        <v>-4589.999762786163</v>
      </c>
      <c r="I32">
        <v>23</v>
      </c>
      <c r="J32" s="6">
        <f t="shared" si="1"/>
        <v>335480.53454250272</v>
      </c>
      <c r="K32" t="s">
        <v>11</v>
      </c>
      <c r="L32" s="11" t="str">
        <f t="shared" si="2"/>
        <v>FNMA</v>
      </c>
      <c r="M32">
        <v>1</v>
      </c>
      <c r="N32" s="11" t="str">
        <f t="shared" si="3"/>
        <v>30-60</v>
      </c>
      <c r="O32" s="11" t="str">
        <f t="shared" si="3"/>
        <v>N</v>
      </c>
      <c r="P32" t="str">
        <f>IF(O32="Y","This Loan is in Step: Referral","This Loan is in Step: n/a")</f>
        <v>This Loan is in Step: n/a</v>
      </c>
      <c r="Q32" t="str">
        <f t="shared" si="4"/>
        <v>n/a</v>
      </c>
      <c r="R32" s="10"/>
      <c r="T32" s="10"/>
    </row>
    <row r="33" spans="2:20" x14ac:dyDescent="0.3">
      <c r="B33">
        <v>17</v>
      </c>
      <c r="C33">
        <v>23457613</v>
      </c>
      <c r="D33" t="s">
        <v>3</v>
      </c>
      <c r="E33" s="2">
        <v>240000</v>
      </c>
      <c r="F33" s="1">
        <v>2.7097694596205285E-2</v>
      </c>
      <c r="G33">
        <v>20</v>
      </c>
      <c r="H33" s="6">
        <f t="shared" si="0"/>
        <v>-1296.4355820821277</v>
      </c>
      <c r="I33">
        <v>228</v>
      </c>
      <c r="J33" s="6">
        <f t="shared" si="1"/>
        <v>15331.265380235949</v>
      </c>
      <c r="K33" t="s">
        <v>11</v>
      </c>
      <c r="L33" s="11" t="str">
        <f t="shared" si="2"/>
        <v>FNMA</v>
      </c>
      <c r="M33">
        <v>4</v>
      </c>
      <c r="N33" s="11" t="str">
        <f t="shared" si="3"/>
        <v>90+</v>
      </c>
      <c r="O33" s="11" t="str">
        <f t="shared" si="3"/>
        <v>N</v>
      </c>
      <c r="P33" t="str">
        <f>IF(O33="Y","This Loan is in Step: Service","This Loan is in Step: n/a")</f>
        <v>This Loan is in Step: n/a</v>
      </c>
      <c r="Q33" t="str">
        <f t="shared" si="4"/>
        <v>n/a</v>
      </c>
      <c r="R33" s="10"/>
      <c r="T33" s="10"/>
    </row>
    <row r="34" spans="2:20" x14ac:dyDescent="0.3">
      <c r="B34">
        <v>18</v>
      </c>
      <c r="C34">
        <v>68418670</v>
      </c>
      <c r="D34" t="s">
        <v>3</v>
      </c>
      <c r="E34" s="2">
        <v>280000</v>
      </c>
      <c r="F34" s="1">
        <v>2.5842605502086724E-2</v>
      </c>
      <c r="G34">
        <v>20</v>
      </c>
      <c r="H34" s="6">
        <f t="shared" si="0"/>
        <v>-1495.248625286298</v>
      </c>
      <c r="I34">
        <v>69</v>
      </c>
      <c r="J34" s="6">
        <f t="shared" si="1"/>
        <v>213701.82999526226</v>
      </c>
      <c r="K34" t="s">
        <v>13</v>
      </c>
      <c r="L34" s="11" t="str">
        <f t="shared" si="2"/>
        <v>GNMA</v>
      </c>
      <c r="M34">
        <v>0</v>
      </c>
      <c r="N34" s="11" t="str">
        <f t="shared" si="3"/>
        <v>Current</v>
      </c>
      <c r="O34" s="11" t="str">
        <f t="shared" si="3"/>
        <v>N</v>
      </c>
      <c r="P34" t="str">
        <f>IF(O34="Y","This Loan is in Step: Sale","This Loan is in Step: n/a")</f>
        <v>This Loan is in Step: n/a</v>
      </c>
      <c r="Q34" t="str">
        <f t="shared" si="4"/>
        <v>n/a</v>
      </c>
      <c r="R34" s="10"/>
      <c r="T34" s="10"/>
    </row>
    <row r="35" spans="2:20" x14ac:dyDescent="0.3">
      <c r="B35">
        <v>19</v>
      </c>
      <c r="C35">
        <v>77337678</v>
      </c>
      <c r="D35" t="s">
        <v>3</v>
      </c>
      <c r="E35" s="2">
        <v>310000</v>
      </c>
      <c r="F35" s="1">
        <v>2.7655486798436463E-2</v>
      </c>
      <c r="G35">
        <v>20</v>
      </c>
      <c r="H35" s="6">
        <f t="shared" si="0"/>
        <v>-1683.0972026395843</v>
      </c>
      <c r="I35">
        <v>116</v>
      </c>
      <c r="J35" s="6">
        <f t="shared" si="1"/>
        <v>181351.36327327162</v>
      </c>
      <c r="K35" t="s">
        <v>12</v>
      </c>
      <c r="L35" s="11" t="str">
        <f t="shared" si="2"/>
        <v>GNMA</v>
      </c>
      <c r="M35">
        <v>10</v>
      </c>
      <c r="N35" s="11" t="str">
        <f t="shared" si="3"/>
        <v>90+</v>
      </c>
      <c r="O35" s="11" t="str">
        <f t="shared" si="3"/>
        <v>Y</v>
      </c>
      <c r="P35" t="str">
        <f>IF(O35="Y","This Loan is in Step: Referral","This Loan is in Step: n/a")</f>
        <v>This Loan is in Step: Referral</v>
      </c>
      <c r="Q35" t="str">
        <f t="shared" si="4"/>
        <v>Referral</v>
      </c>
      <c r="R35" s="10"/>
      <c r="T35" s="10"/>
    </row>
    <row r="36" spans="2:20" x14ac:dyDescent="0.3">
      <c r="B36">
        <v>20</v>
      </c>
      <c r="C36">
        <v>66901329</v>
      </c>
      <c r="D36" t="s">
        <v>3</v>
      </c>
      <c r="E36" s="2">
        <v>300000</v>
      </c>
      <c r="F36" s="1">
        <v>8.0418748029822365E-2</v>
      </c>
      <c r="G36">
        <v>20</v>
      </c>
      <c r="H36" s="6">
        <f t="shared" si="0"/>
        <v>-2517.1441496255266</v>
      </c>
      <c r="I36">
        <v>64</v>
      </c>
      <c r="J36" s="6">
        <f t="shared" si="1"/>
        <v>259674.1056688689</v>
      </c>
      <c r="K36" t="s">
        <v>13</v>
      </c>
      <c r="L36" s="11" t="str">
        <f t="shared" si="2"/>
        <v>GNMA</v>
      </c>
      <c r="M36">
        <v>1</v>
      </c>
      <c r="N36" s="11" t="str">
        <f t="shared" si="3"/>
        <v>30-60</v>
      </c>
      <c r="O36" s="11" t="str">
        <f t="shared" si="3"/>
        <v>N</v>
      </c>
      <c r="P36" t="str">
        <f>IF(O36="Y","This Loan is in Step: Referral","This Loan is in Step: n/a")</f>
        <v>This Loan is in Step: n/a</v>
      </c>
      <c r="Q36" t="str">
        <f t="shared" si="4"/>
        <v>n/a</v>
      </c>
      <c r="R36" s="10"/>
      <c r="T36" s="10"/>
    </row>
    <row r="37" spans="2:20" x14ac:dyDescent="0.3">
      <c r="B37">
        <v>21</v>
      </c>
      <c r="C37">
        <v>14201616</v>
      </c>
      <c r="D37" t="s">
        <v>3</v>
      </c>
      <c r="E37" s="2">
        <v>200000</v>
      </c>
      <c r="F37" s="1">
        <v>3.8827805000615556E-2</v>
      </c>
      <c r="G37">
        <v>10</v>
      </c>
      <c r="H37" s="6">
        <f t="shared" si="0"/>
        <v>-2013.7795253375859</v>
      </c>
      <c r="I37">
        <v>44</v>
      </c>
      <c r="J37" s="6">
        <f t="shared" si="1"/>
        <v>135488.26608174641</v>
      </c>
      <c r="K37" t="s">
        <v>9</v>
      </c>
      <c r="L37" s="11" t="str">
        <f t="shared" si="2"/>
        <v>GNMA</v>
      </c>
      <c r="M37">
        <v>5</v>
      </c>
      <c r="N37" s="11" t="str">
        <f t="shared" ref="N37:O56" si="5">INDEX(MASTER_DATA,MATCH($C37,MASTER_ROWS,0),MATCH(N$16,MASTER_HEADERS,0))</f>
        <v>90+</v>
      </c>
      <c r="O37" s="11" t="str">
        <f t="shared" si="5"/>
        <v>N</v>
      </c>
      <c r="P37" t="str">
        <f>IF(O37="Y","This Loan is in Step: Service","This Loan is in Step: n/a")</f>
        <v>This Loan is in Step: n/a</v>
      </c>
      <c r="Q37" t="str">
        <f t="shared" si="4"/>
        <v>n/a</v>
      </c>
      <c r="R37" s="10"/>
      <c r="T37" s="10"/>
    </row>
    <row r="38" spans="2:20" x14ac:dyDescent="0.3">
      <c r="B38">
        <v>22</v>
      </c>
      <c r="C38">
        <v>33480177</v>
      </c>
      <c r="D38" t="s">
        <v>3</v>
      </c>
      <c r="E38" s="2">
        <v>340000</v>
      </c>
      <c r="F38" s="1">
        <v>4.0557152115227098E-2</v>
      </c>
      <c r="G38">
        <v>20</v>
      </c>
      <c r="H38" s="6">
        <f t="shared" si="0"/>
        <v>-2070.3285625997696</v>
      </c>
      <c r="I38">
        <v>195</v>
      </c>
      <c r="J38" s="6">
        <f t="shared" si="1"/>
        <v>86291.079617235722</v>
      </c>
      <c r="K38" t="s">
        <v>12</v>
      </c>
      <c r="L38" s="11" t="str">
        <f t="shared" si="2"/>
        <v>GNMA</v>
      </c>
      <c r="M38">
        <v>9</v>
      </c>
      <c r="N38" s="11" t="str">
        <f t="shared" si="5"/>
        <v>90+</v>
      </c>
      <c r="O38" s="11" t="str">
        <f t="shared" si="5"/>
        <v>Y</v>
      </c>
      <c r="P38" t="str">
        <f>IF(O38="Y","This Loan is in Step: Referral","This Loan is in Step: n/a")</f>
        <v>This Loan is in Step: Referral</v>
      </c>
      <c r="Q38" t="str">
        <f t="shared" si="4"/>
        <v>Referral</v>
      </c>
      <c r="R38" s="10"/>
      <c r="T38" s="10"/>
    </row>
    <row r="39" spans="2:20" x14ac:dyDescent="0.3">
      <c r="B39">
        <v>23</v>
      </c>
      <c r="C39">
        <v>29381592</v>
      </c>
      <c r="D39" t="s">
        <v>3</v>
      </c>
      <c r="E39" s="2">
        <v>360000</v>
      </c>
      <c r="F39" s="1">
        <v>7.5597074524101956E-2</v>
      </c>
      <c r="G39">
        <v>10</v>
      </c>
      <c r="H39" s="6">
        <f t="shared" si="0"/>
        <v>-4284.4905459633765</v>
      </c>
      <c r="I39">
        <v>61</v>
      </c>
      <c r="J39" s="6">
        <f t="shared" si="1"/>
        <v>210576.97345214253</v>
      </c>
      <c r="K39" t="s">
        <v>10</v>
      </c>
      <c r="L39" s="11" t="str">
        <f t="shared" si="2"/>
        <v>FHLMC</v>
      </c>
      <c r="M39">
        <v>3</v>
      </c>
      <c r="N39" s="11" t="str">
        <f t="shared" si="5"/>
        <v>90+</v>
      </c>
      <c r="O39" s="11" t="str">
        <f t="shared" si="5"/>
        <v>N</v>
      </c>
      <c r="P39" t="str">
        <f>IF(O39="Y","This Loan is in Step: Referral","This Loan is in Step: n/a")</f>
        <v>This Loan is in Step: n/a</v>
      </c>
      <c r="Q39" t="str">
        <f t="shared" si="4"/>
        <v>n/a</v>
      </c>
      <c r="R39" s="10"/>
      <c r="T39" s="10"/>
    </row>
    <row r="40" spans="2:20" x14ac:dyDescent="0.3">
      <c r="B40">
        <v>24</v>
      </c>
      <c r="C40">
        <v>50137533</v>
      </c>
      <c r="D40" t="s">
        <v>3</v>
      </c>
      <c r="E40" s="2">
        <v>320000</v>
      </c>
      <c r="F40" s="1">
        <v>3.5673924310420199E-2</v>
      </c>
      <c r="G40">
        <v>30</v>
      </c>
      <c r="H40" s="6">
        <f t="shared" si="0"/>
        <v>-1449.008116844846</v>
      </c>
      <c r="I40">
        <v>133</v>
      </c>
      <c r="J40" s="6">
        <f t="shared" si="1"/>
        <v>238955.41133350937</v>
      </c>
      <c r="K40" t="s">
        <v>11</v>
      </c>
      <c r="L40" s="11" t="str">
        <f t="shared" si="2"/>
        <v>FNMA</v>
      </c>
      <c r="M40">
        <v>10</v>
      </c>
      <c r="N40" s="11" t="str">
        <f t="shared" si="5"/>
        <v>90+</v>
      </c>
      <c r="O40" s="11" t="str">
        <f t="shared" si="5"/>
        <v>Y</v>
      </c>
      <c r="P40" t="str">
        <f>IF(O40="Y","This Loan is in Step: Service","This Loan is in Step: n/a")</f>
        <v>This Loan is in Step: Service</v>
      </c>
      <c r="Q40" t="str">
        <f t="shared" si="4"/>
        <v>Service</v>
      </c>
      <c r="R40" s="10"/>
      <c r="T40" s="10"/>
    </row>
    <row r="41" spans="2:20" x14ac:dyDescent="0.3">
      <c r="B41">
        <v>25</v>
      </c>
      <c r="C41">
        <v>52137527</v>
      </c>
      <c r="D41" t="s">
        <v>3</v>
      </c>
      <c r="E41" s="2">
        <v>350000</v>
      </c>
      <c r="F41" s="1">
        <v>6.0639301234321812E-2</v>
      </c>
      <c r="G41">
        <v>20</v>
      </c>
      <c r="H41" s="6">
        <f t="shared" si="0"/>
        <v>-2520.4343866910913</v>
      </c>
      <c r="I41">
        <v>29</v>
      </c>
      <c r="J41" s="6">
        <f t="shared" si="1"/>
        <v>326583.24368116446</v>
      </c>
      <c r="K41" t="s">
        <v>12</v>
      </c>
      <c r="L41" s="11" t="str">
        <f t="shared" si="2"/>
        <v>GNMA</v>
      </c>
      <c r="M41">
        <v>9</v>
      </c>
      <c r="N41" s="11" t="str">
        <f t="shared" si="5"/>
        <v>90+</v>
      </c>
      <c r="O41" s="11" t="str">
        <f t="shared" si="5"/>
        <v>Y</v>
      </c>
      <c r="P41" t="str">
        <f>IF(O41="Y","This Loan is in Step: Service","This Loan is in Step: n/a")</f>
        <v>This Loan is in Step: Service</v>
      </c>
      <c r="Q41" t="str">
        <f t="shared" si="4"/>
        <v>Service</v>
      </c>
      <c r="R41" s="10"/>
      <c r="T41" s="10"/>
    </row>
    <row r="42" spans="2:20" x14ac:dyDescent="0.3">
      <c r="B42">
        <v>26</v>
      </c>
      <c r="C42">
        <v>49565781</v>
      </c>
      <c r="D42" t="s">
        <v>3</v>
      </c>
      <c r="E42" s="2">
        <v>170000</v>
      </c>
      <c r="F42" s="1">
        <v>3.5562170293429965E-2</v>
      </c>
      <c r="G42">
        <v>10</v>
      </c>
      <c r="H42" s="6">
        <f t="shared" si="0"/>
        <v>-1685.5402859385708</v>
      </c>
      <c r="I42">
        <v>3</v>
      </c>
      <c r="J42" s="6">
        <f t="shared" si="1"/>
        <v>166444.25466576836</v>
      </c>
      <c r="K42" t="s">
        <v>10</v>
      </c>
      <c r="L42" s="11" t="str">
        <f t="shared" si="2"/>
        <v>FHLMC</v>
      </c>
      <c r="M42">
        <v>0</v>
      </c>
      <c r="N42" s="11" t="str">
        <f t="shared" si="5"/>
        <v>Current</v>
      </c>
      <c r="O42" s="11" t="str">
        <f t="shared" si="5"/>
        <v>N</v>
      </c>
      <c r="P42" t="str">
        <f>IF(O42="Y","This Loan is in Step: Judgment","This Loan is in Step: n/a")</f>
        <v>This Loan is in Step: n/a</v>
      </c>
      <c r="Q42" t="str">
        <f t="shared" si="4"/>
        <v>n/a</v>
      </c>
      <c r="R42" s="10"/>
      <c r="T42" s="10"/>
    </row>
    <row r="43" spans="2:20" x14ac:dyDescent="0.3">
      <c r="B43">
        <v>27</v>
      </c>
      <c r="C43">
        <v>49446589</v>
      </c>
      <c r="D43" t="s">
        <v>3</v>
      </c>
      <c r="E43" s="2">
        <v>380000</v>
      </c>
      <c r="F43" s="1">
        <v>4.3455090449965803E-2</v>
      </c>
      <c r="G43">
        <v>30</v>
      </c>
      <c r="H43" s="6">
        <f t="shared" si="0"/>
        <v>-1890.6798699800634</v>
      </c>
      <c r="I43">
        <v>196</v>
      </c>
      <c r="J43" s="6">
        <f t="shared" si="1"/>
        <v>233501.48415468709</v>
      </c>
      <c r="K43" t="s">
        <v>13</v>
      </c>
      <c r="L43" s="11" t="str">
        <f t="shared" si="2"/>
        <v>GNMA</v>
      </c>
      <c r="M43">
        <v>4</v>
      </c>
      <c r="N43" s="11" t="str">
        <f t="shared" si="5"/>
        <v>90+</v>
      </c>
      <c r="O43" s="11" t="str">
        <f t="shared" si="5"/>
        <v>N</v>
      </c>
      <c r="P43" t="str">
        <f>IF(O43="Y","This Loan is in Step: Referral","This Loan is in Step: n/a")</f>
        <v>This Loan is in Step: n/a</v>
      </c>
      <c r="Q43" t="str">
        <f t="shared" si="4"/>
        <v>n/a</v>
      </c>
      <c r="R43" s="10"/>
      <c r="T43" s="10"/>
    </row>
    <row r="44" spans="2:20" x14ac:dyDescent="0.3">
      <c r="B44">
        <v>28</v>
      </c>
      <c r="C44">
        <v>67342178</v>
      </c>
      <c r="D44" t="s">
        <v>3</v>
      </c>
      <c r="E44" s="2">
        <v>350000</v>
      </c>
      <c r="F44" s="1">
        <v>3.2696780273888046E-2</v>
      </c>
      <c r="G44">
        <v>20</v>
      </c>
      <c r="H44" s="6">
        <f t="shared" si="0"/>
        <v>-1988.6805492732656</v>
      </c>
      <c r="I44">
        <v>38</v>
      </c>
      <c r="J44" s="6">
        <f t="shared" si="1"/>
        <v>308620.09696011798</v>
      </c>
      <c r="K44" t="s">
        <v>12</v>
      </c>
      <c r="L44" s="11" t="str">
        <f t="shared" si="2"/>
        <v>GNMA</v>
      </c>
      <c r="M44">
        <v>0</v>
      </c>
      <c r="N44" s="11" t="str">
        <f t="shared" si="5"/>
        <v>Current</v>
      </c>
      <c r="O44" s="11" t="str">
        <f t="shared" si="5"/>
        <v>N</v>
      </c>
      <c r="P44" t="str">
        <f>IF(O44="Y","This Loan is in Step: Service","This Loan is in Step: n/a")</f>
        <v>This Loan is in Step: n/a</v>
      </c>
      <c r="Q44" t="str">
        <f t="shared" si="4"/>
        <v>n/a</v>
      </c>
      <c r="R44" s="10"/>
      <c r="T44" s="10"/>
    </row>
    <row r="45" spans="2:20" x14ac:dyDescent="0.3">
      <c r="B45">
        <v>29</v>
      </c>
      <c r="C45">
        <v>97679083</v>
      </c>
      <c r="D45" t="s">
        <v>3</v>
      </c>
      <c r="E45" s="2">
        <v>370000</v>
      </c>
      <c r="F45" s="1">
        <v>7.8578878041267147E-2</v>
      </c>
      <c r="G45">
        <v>10</v>
      </c>
      <c r="H45" s="6">
        <f t="shared" si="0"/>
        <v>-4461.3851306356137</v>
      </c>
      <c r="I45">
        <v>48</v>
      </c>
      <c r="J45" s="6">
        <f t="shared" si="1"/>
        <v>255462.80531041126</v>
      </c>
      <c r="K45" t="s">
        <v>11</v>
      </c>
      <c r="L45" s="11" t="str">
        <f t="shared" si="2"/>
        <v>FNMA</v>
      </c>
      <c r="M45">
        <v>3</v>
      </c>
      <c r="N45" s="11" t="str">
        <f t="shared" si="5"/>
        <v>90+</v>
      </c>
      <c r="O45" s="11" t="str">
        <f t="shared" si="5"/>
        <v>N</v>
      </c>
      <c r="P45" t="str">
        <f>IF(O45="Y","This Loan is in Step: Sale","This Loan is in Step: n/a")</f>
        <v>This Loan is in Step: n/a</v>
      </c>
      <c r="Q45" t="str">
        <f t="shared" si="4"/>
        <v>n/a</v>
      </c>
      <c r="R45" s="10"/>
      <c r="T45" s="10"/>
    </row>
    <row r="46" spans="2:20" x14ac:dyDescent="0.3">
      <c r="B46">
        <v>30</v>
      </c>
      <c r="C46">
        <v>51105403</v>
      </c>
      <c r="D46" t="s">
        <v>3</v>
      </c>
      <c r="E46" s="2">
        <v>210000</v>
      </c>
      <c r="F46" s="1">
        <v>6.4614921853092214E-2</v>
      </c>
      <c r="G46">
        <v>20</v>
      </c>
      <c r="H46" s="6">
        <f t="shared" si="0"/>
        <v>-1560.9463857623168</v>
      </c>
      <c r="I46">
        <v>163</v>
      </c>
      <c r="J46" s="6">
        <f t="shared" si="1"/>
        <v>98177.347959744293</v>
      </c>
      <c r="K46" t="s">
        <v>11</v>
      </c>
      <c r="L46" s="11" t="str">
        <f t="shared" si="2"/>
        <v>FNMA</v>
      </c>
      <c r="M46">
        <v>1</v>
      </c>
      <c r="N46" s="11" t="str">
        <f t="shared" si="5"/>
        <v>30-60</v>
      </c>
      <c r="O46" s="11" t="str">
        <f t="shared" si="5"/>
        <v>N</v>
      </c>
      <c r="P46" t="str">
        <f>IF(O46="Y","This Loan is in Step: Service","This Loan is in Step: n/a")</f>
        <v>This Loan is in Step: n/a</v>
      </c>
      <c r="Q46" t="str">
        <f t="shared" si="4"/>
        <v>n/a</v>
      </c>
      <c r="R46" s="10"/>
      <c r="T46" s="10"/>
    </row>
    <row r="47" spans="2:20" x14ac:dyDescent="0.3">
      <c r="B47">
        <v>31</v>
      </c>
      <c r="C47">
        <v>33064297</v>
      </c>
      <c r="D47" t="s">
        <v>3</v>
      </c>
      <c r="E47" s="2">
        <v>100000</v>
      </c>
      <c r="F47" s="1">
        <v>6.2879825673857012E-2</v>
      </c>
      <c r="G47">
        <v>10</v>
      </c>
      <c r="H47" s="6">
        <f t="shared" si="0"/>
        <v>-1124.7219318772229</v>
      </c>
      <c r="I47">
        <v>32</v>
      </c>
      <c r="J47" s="6">
        <f t="shared" si="1"/>
        <v>79130.538614991354</v>
      </c>
      <c r="K47" t="s">
        <v>12</v>
      </c>
      <c r="L47" s="11" t="str">
        <f t="shared" si="2"/>
        <v>GNMA</v>
      </c>
      <c r="M47">
        <v>6</v>
      </c>
      <c r="N47" s="11" t="str">
        <f t="shared" si="5"/>
        <v>90+</v>
      </c>
      <c r="O47" s="11" t="str">
        <f t="shared" si="5"/>
        <v>Y</v>
      </c>
      <c r="P47" t="str">
        <f>IF(O47="Y","This Loan is in Step: Sale","This Loan is in Step: n/a")</f>
        <v>This Loan is in Step: Sale</v>
      </c>
      <c r="Q47" t="str">
        <f t="shared" si="4"/>
        <v>Sale</v>
      </c>
      <c r="R47" s="10"/>
      <c r="T47" s="10"/>
    </row>
    <row r="48" spans="2:20" x14ac:dyDescent="0.3">
      <c r="B48">
        <v>32</v>
      </c>
      <c r="C48">
        <v>91324062</v>
      </c>
      <c r="D48" t="s">
        <v>3</v>
      </c>
      <c r="E48" s="2">
        <v>250000</v>
      </c>
      <c r="F48" s="1">
        <v>5.8930108641721893E-2</v>
      </c>
      <c r="G48">
        <v>30</v>
      </c>
      <c r="H48" s="6">
        <f t="shared" si="0"/>
        <v>-1481.7234013926939</v>
      </c>
      <c r="I48">
        <v>269</v>
      </c>
      <c r="J48" s="6">
        <f t="shared" si="1"/>
        <v>108525.51400132656</v>
      </c>
      <c r="K48" t="s">
        <v>10</v>
      </c>
      <c r="L48" s="11" t="str">
        <f t="shared" si="2"/>
        <v>FHLMC</v>
      </c>
      <c r="M48">
        <v>2</v>
      </c>
      <c r="N48" s="11" t="str">
        <f t="shared" si="5"/>
        <v>30-60</v>
      </c>
      <c r="O48" s="11" t="str">
        <f t="shared" si="5"/>
        <v>N</v>
      </c>
      <c r="P48" t="str">
        <f>IF(O48="Y","This Loan is in Step: Referral","This Loan is in Step: n/a")</f>
        <v>This Loan is in Step: n/a</v>
      </c>
      <c r="Q48" t="str">
        <f t="shared" si="4"/>
        <v>n/a</v>
      </c>
      <c r="R48" s="10"/>
      <c r="T48" s="10"/>
    </row>
    <row r="49" spans="2:20" x14ac:dyDescent="0.3">
      <c r="B49">
        <v>33</v>
      </c>
      <c r="C49">
        <v>65209293</v>
      </c>
      <c r="D49" t="s">
        <v>3</v>
      </c>
      <c r="E49" s="2">
        <v>450000</v>
      </c>
      <c r="F49" s="1">
        <v>2.7558682360886048E-2</v>
      </c>
      <c r="G49">
        <v>30</v>
      </c>
      <c r="H49" s="6">
        <f t="shared" ref="H49:H80" si="6">INDEX(MASTER_DATA,MATCH($C49,MASTER_ROWS,0),MATCH(H$16,MASTER_HEADERS,0))</f>
        <v>-1838.4843521166476</v>
      </c>
      <c r="I49">
        <v>212</v>
      </c>
      <c r="J49" s="6">
        <f t="shared" ref="J49:J80" si="7">INDEX(MASTER_DATA,MATCH($C49,MASTER_ROWS,0),MATCH(J$16,MASTER_HEADERS,0))</f>
        <v>230454.6663488154</v>
      </c>
      <c r="K49" t="s">
        <v>11</v>
      </c>
      <c r="L49" s="11" t="str">
        <f t="shared" ref="L49:L80" si="8">INDEX(MASTER_DATA,MATCH($C49,MASTER_ROWS,0),MATCH(L$16,MASTER_HEADERS,0))</f>
        <v>FNMA</v>
      </c>
      <c r="M49">
        <v>6</v>
      </c>
      <c r="N49" s="11" t="str">
        <f t="shared" si="5"/>
        <v>90+</v>
      </c>
      <c r="O49" s="11" t="str">
        <f t="shared" si="5"/>
        <v>Y</v>
      </c>
      <c r="P49" t="str">
        <f>IF(O49="Y","This Loan is in Step: Sale","This Loan is in Step: n/a")</f>
        <v>This Loan is in Step: Sale</v>
      </c>
      <c r="Q49" t="str">
        <f t="shared" si="4"/>
        <v>Sale</v>
      </c>
      <c r="R49" s="10"/>
      <c r="T49" s="10"/>
    </row>
    <row r="50" spans="2:20" x14ac:dyDescent="0.3">
      <c r="B50">
        <v>34</v>
      </c>
      <c r="C50">
        <v>14033138</v>
      </c>
      <c r="D50" t="s">
        <v>3</v>
      </c>
      <c r="E50" s="2">
        <v>380000</v>
      </c>
      <c r="F50" s="1">
        <v>7.7750119768659212E-2</v>
      </c>
      <c r="G50">
        <v>10</v>
      </c>
      <c r="H50" s="6">
        <f t="shared" si="6"/>
        <v>-4565.3970033060141</v>
      </c>
      <c r="I50">
        <v>3</v>
      </c>
      <c r="J50" s="6">
        <f t="shared" si="7"/>
        <v>373649.09892300068</v>
      </c>
      <c r="K50" t="s">
        <v>12</v>
      </c>
      <c r="L50" s="11" t="str">
        <f t="shared" si="8"/>
        <v>GNMA</v>
      </c>
      <c r="M50">
        <v>9</v>
      </c>
      <c r="N50" s="11" t="str">
        <f t="shared" si="5"/>
        <v>90+</v>
      </c>
      <c r="O50" s="11" t="str">
        <f t="shared" si="5"/>
        <v>Y</v>
      </c>
      <c r="P50" t="str">
        <f>IF(O50="Y","This Loan is in Step: Sale","This Loan is in Step: n/a")</f>
        <v>This Loan is in Step: Sale</v>
      </c>
      <c r="Q50" t="str">
        <f t="shared" si="4"/>
        <v>Sale</v>
      </c>
      <c r="R50" s="10"/>
      <c r="T50" s="10"/>
    </row>
    <row r="51" spans="2:20" x14ac:dyDescent="0.3">
      <c r="B51">
        <v>35</v>
      </c>
      <c r="C51">
        <v>88766432</v>
      </c>
      <c r="D51" t="s">
        <v>3</v>
      </c>
      <c r="E51" s="2">
        <v>360000</v>
      </c>
      <c r="F51" s="1">
        <v>3.8020196364644765E-2</v>
      </c>
      <c r="G51">
        <v>20</v>
      </c>
      <c r="H51" s="6">
        <f t="shared" si="6"/>
        <v>-2144.156616038792</v>
      </c>
      <c r="I51">
        <v>65</v>
      </c>
      <c r="J51" s="6">
        <f t="shared" si="7"/>
        <v>287693.12725008646</v>
      </c>
      <c r="K51" t="s">
        <v>10</v>
      </c>
      <c r="L51" s="11" t="str">
        <f t="shared" si="8"/>
        <v>FHLMC</v>
      </c>
      <c r="M51">
        <v>1</v>
      </c>
      <c r="N51" s="11" t="str">
        <f t="shared" si="5"/>
        <v>30-60</v>
      </c>
      <c r="O51" s="11" t="str">
        <f t="shared" si="5"/>
        <v>N</v>
      </c>
      <c r="P51" t="str">
        <f>IF(O51="Y","This Loan is in Step: Judgment","This Loan is in Step: n/a")</f>
        <v>This Loan is in Step: n/a</v>
      </c>
      <c r="Q51" t="str">
        <f t="shared" si="4"/>
        <v>n/a</v>
      </c>
      <c r="R51" s="10"/>
      <c r="T51" s="10"/>
    </row>
    <row r="52" spans="2:20" x14ac:dyDescent="0.3">
      <c r="B52">
        <v>36</v>
      </c>
      <c r="C52">
        <v>95868629</v>
      </c>
      <c r="D52" t="s">
        <v>3</v>
      </c>
      <c r="E52" s="2">
        <v>320000</v>
      </c>
      <c r="F52" s="1">
        <v>6.5925739900995997E-2</v>
      </c>
      <c r="G52">
        <v>10</v>
      </c>
      <c r="H52" s="6">
        <f t="shared" si="6"/>
        <v>-3648.6260665192822</v>
      </c>
      <c r="I52">
        <v>4</v>
      </c>
      <c r="J52" s="6">
        <f t="shared" si="7"/>
        <v>312375.02628356131</v>
      </c>
      <c r="K52" t="s">
        <v>13</v>
      </c>
      <c r="L52" s="11" t="str">
        <f t="shared" si="8"/>
        <v>GNMA</v>
      </c>
      <c r="M52">
        <v>9</v>
      </c>
      <c r="N52" s="11" t="str">
        <f t="shared" si="5"/>
        <v>90+</v>
      </c>
      <c r="O52" s="11" t="str">
        <f t="shared" si="5"/>
        <v>Y</v>
      </c>
      <c r="P52" t="str">
        <f>IF(O52="Y","This Loan is in Step: Service","This Loan is in Step: n/a")</f>
        <v>This Loan is in Step: Service</v>
      </c>
      <c r="Q52" t="str">
        <f t="shared" si="4"/>
        <v>Service</v>
      </c>
      <c r="R52" s="10"/>
      <c r="T52" s="10"/>
    </row>
    <row r="53" spans="2:20" x14ac:dyDescent="0.3">
      <c r="B53">
        <v>37</v>
      </c>
      <c r="C53">
        <v>58492506</v>
      </c>
      <c r="D53" t="s">
        <v>3</v>
      </c>
      <c r="E53" s="2">
        <v>160000</v>
      </c>
      <c r="F53" s="1">
        <v>4.1853063215998632E-2</v>
      </c>
      <c r="G53">
        <v>30</v>
      </c>
      <c r="H53" s="6">
        <f t="shared" si="6"/>
        <v>-781.05591764247345</v>
      </c>
      <c r="I53">
        <v>85</v>
      </c>
      <c r="J53" s="6">
        <f t="shared" si="7"/>
        <v>137978.65273628972</v>
      </c>
      <c r="K53" t="s">
        <v>9</v>
      </c>
      <c r="L53" s="11" t="str">
        <f t="shared" si="8"/>
        <v>GNMA</v>
      </c>
      <c r="M53">
        <v>0</v>
      </c>
      <c r="N53" s="11" t="str">
        <f t="shared" si="5"/>
        <v>Current</v>
      </c>
      <c r="O53" s="11" t="str">
        <f t="shared" si="5"/>
        <v>N</v>
      </c>
      <c r="P53" t="str">
        <f>IF(O53="Y","This Loan is in Step: Judgment","This Loan is in Step: n/a")</f>
        <v>This Loan is in Step: n/a</v>
      </c>
      <c r="Q53" t="str">
        <f t="shared" si="4"/>
        <v>n/a</v>
      </c>
      <c r="R53" s="10"/>
      <c r="T53" s="10"/>
    </row>
    <row r="54" spans="2:20" x14ac:dyDescent="0.3">
      <c r="B54">
        <v>38</v>
      </c>
      <c r="C54">
        <v>13713998</v>
      </c>
      <c r="D54" t="s">
        <v>3</v>
      </c>
      <c r="E54" s="2">
        <v>140000</v>
      </c>
      <c r="F54" s="1">
        <v>2.966497552361293E-2</v>
      </c>
      <c r="G54">
        <v>30</v>
      </c>
      <c r="H54" s="6">
        <f t="shared" si="6"/>
        <v>-587.71904292656291</v>
      </c>
      <c r="I54">
        <v>36</v>
      </c>
      <c r="J54" s="6">
        <f t="shared" si="7"/>
        <v>130914.32892488279</v>
      </c>
      <c r="K54" t="s">
        <v>12</v>
      </c>
      <c r="L54" s="11" t="str">
        <f t="shared" si="8"/>
        <v>GNMA</v>
      </c>
      <c r="M54">
        <v>8</v>
      </c>
      <c r="N54" s="11" t="str">
        <f t="shared" si="5"/>
        <v>90+</v>
      </c>
      <c r="O54" s="11" t="str">
        <f t="shared" si="5"/>
        <v>Y</v>
      </c>
      <c r="P54" t="str">
        <f>IF(O54="Y","This Loan is in Step: Sale","This Loan is in Step: n/a")</f>
        <v>This Loan is in Step: Sale</v>
      </c>
      <c r="Q54" t="str">
        <f t="shared" si="4"/>
        <v>Sale</v>
      </c>
      <c r="R54" s="10"/>
      <c r="T54" s="10"/>
    </row>
    <row r="55" spans="2:20" x14ac:dyDescent="0.3">
      <c r="B55">
        <v>39</v>
      </c>
      <c r="C55">
        <v>84177304</v>
      </c>
      <c r="D55" t="s">
        <v>3</v>
      </c>
      <c r="E55" s="2">
        <v>320000</v>
      </c>
      <c r="F55" s="1">
        <v>8.1731961592310012E-2</v>
      </c>
      <c r="G55">
        <v>20</v>
      </c>
      <c r="H55" s="6">
        <f t="shared" si="6"/>
        <v>-2711.2034857582971</v>
      </c>
      <c r="I55">
        <v>135</v>
      </c>
      <c r="J55" s="6">
        <f t="shared" si="7"/>
        <v>202891.04889595046</v>
      </c>
      <c r="K55" t="s">
        <v>11</v>
      </c>
      <c r="L55" s="11" t="str">
        <f t="shared" si="8"/>
        <v>FNMA</v>
      </c>
      <c r="M55">
        <v>10</v>
      </c>
      <c r="N55" s="11" t="str">
        <f t="shared" si="5"/>
        <v>90+</v>
      </c>
      <c r="O55" s="11" t="str">
        <f t="shared" si="5"/>
        <v>Y</v>
      </c>
      <c r="P55" t="str">
        <f>IF(O55="Y","This Loan is in Step: Judgment","This Loan is in Step: n/a")</f>
        <v>This Loan is in Step: Judgment</v>
      </c>
      <c r="Q55" t="str">
        <f t="shared" si="4"/>
        <v>Judgment</v>
      </c>
      <c r="R55" s="10"/>
      <c r="T55" s="10"/>
    </row>
    <row r="56" spans="2:20" x14ac:dyDescent="0.3">
      <c r="B56">
        <v>40</v>
      </c>
      <c r="C56">
        <v>12588878</v>
      </c>
      <c r="D56" t="s">
        <v>3</v>
      </c>
      <c r="E56" s="2">
        <v>400000</v>
      </c>
      <c r="F56" s="1">
        <v>2.3124063876185742E-2</v>
      </c>
      <c r="G56">
        <v>30</v>
      </c>
      <c r="H56" s="6">
        <f t="shared" si="6"/>
        <v>-1541.7473542373507</v>
      </c>
      <c r="I56">
        <v>152</v>
      </c>
      <c r="J56" s="6">
        <f t="shared" si="7"/>
        <v>263999.76465804153</v>
      </c>
      <c r="K56" t="s">
        <v>12</v>
      </c>
      <c r="L56" s="11" t="str">
        <f t="shared" si="8"/>
        <v>GNMA</v>
      </c>
      <c r="M56">
        <v>9</v>
      </c>
      <c r="N56" s="11" t="str">
        <f t="shared" si="5"/>
        <v>90+</v>
      </c>
      <c r="O56" s="11" t="str">
        <f t="shared" si="5"/>
        <v>Y</v>
      </c>
      <c r="P56" t="str">
        <f>IF(O56="Y","This Loan is in Step: Referral","This Loan is in Step: n/a")</f>
        <v>This Loan is in Step: Referral</v>
      </c>
      <c r="Q56" t="str">
        <f t="shared" si="4"/>
        <v>Referral</v>
      </c>
      <c r="R56" s="10"/>
      <c r="T56" s="10"/>
    </row>
    <row r="57" spans="2:20" x14ac:dyDescent="0.3">
      <c r="B57">
        <v>41</v>
      </c>
      <c r="C57">
        <v>59421574</v>
      </c>
      <c r="D57" t="s">
        <v>3</v>
      </c>
      <c r="E57" s="2">
        <v>100000</v>
      </c>
      <c r="F57" s="1">
        <v>6.2115111893552351E-2</v>
      </c>
      <c r="G57">
        <v>20</v>
      </c>
      <c r="H57" s="6">
        <f t="shared" si="6"/>
        <v>-728.68662035775344</v>
      </c>
      <c r="I57">
        <v>52</v>
      </c>
      <c r="J57" s="6">
        <f t="shared" si="7"/>
        <v>87442.870297965303</v>
      </c>
      <c r="K57" t="s">
        <v>11</v>
      </c>
      <c r="L57" s="11" t="str">
        <f t="shared" si="8"/>
        <v>FNMA</v>
      </c>
      <c r="M57">
        <v>8</v>
      </c>
      <c r="N57" s="11" t="str">
        <f t="shared" ref="N57:O76" si="9">INDEX(MASTER_DATA,MATCH($C57,MASTER_ROWS,0),MATCH(N$16,MASTER_HEADERS,0))</f>
        <v>90+</v>
      </c>
      <c r="O57" s="11" t="str">
        <f t="shared" si="9"/>
        <v>Y</v>
      </c>
      <c r="P57" t="str">
        <f>IF(O57="Y","This Loan is in Step: Referral","This Loan is in Step: n/a")</f>
        <v>This Loan is in Step: Referral</v>
      </c>
      <c r="Q57" t="str">
        <f t="shared" si="4"/>
        <v>Referral</v>
      </c>
      <c r="R57" s="10"/>
      <c r="T57" s="10"/>
    </row>
    <row r="58" spans="2:20" x14ac:dyDescent="0.3">
      <c r="B58">
        <v>42</v>
      </c>
      <c r="C58">
        <v>79015075</v>
      </c>
      <c r="D58" t="s">
        <v>3</v>
      </c>
      <c r="E58" s="2">
        <v>260000</v>
      </c>
      <c r="F58" s="1">
        <v>2.4795470508067418E-2</v>
      </c>
      <c r="G58">
        <v>10</v>
      </c>
      <c r="H58" s="6">
        <f t="shared" si="6"/>
        <v>-2448.6000303478299</v>
      </c>
      <c r="I58">
        <v>43</v>
      </c>
      <c r="J58" s="6">
        <f t="shared" si="7"/>
        <v>174142.14868624872</v>
      </c>
      <c r="K58" t="s">
        <v>9</v>
      </c>
      <c r="L58" s="11" t="str">
        <f t="shared" si="8"/>
        <v>GNMA</v>
      </c>
      <c r="M58">
        <v>9</v>
      </c>
      <c r="N58" s="11" t="str">
        <f t="shared" si="9"/>
        <v>90+</v>
      </c>
      <c r="O58" s="11" t="str">
        <f t="shared" si="9"/>
        <v>Y</v>
      </c>
      <c r="P58" t="str">
        <f>IF(O58="Y","This Loan is in Step: Service","This Loan is in Step: n/a")</f>
        <v>This Loan is in Step: Service</v>
      </c>
      <c r="Q58" t="str">
        <f t="shared" si="4"/>
        <v>Service</v>
      </c>
      <c r="R58" s="10"/>
      <c r="T58" s="10"/>
    </row>
    <row r="59" spans="2:20" x14ac:dyDescent="0.3">
      <c r="B59">
        <v>43</v>
      </c>
      <c r="C59">
        <v>19354278</v>
      </c>
      <c r="D59" t="s">
        <v>3</v>
      </c>
      <c r="E59" s="2">
        <v>180000</v>
      </c>
      <c r="F59" s="1">
        <v>6.2624385664536333E-2</v>
      </c>
      <c r="G59">
        <v>10</v>
      </c>
      <c r="H59" s="6">
        <f t="shared" si="6"/>
        <v>-2022.1737064684473</v>
      </c>
      <c r="I59">
        <v>89</v>
      </c>
      <c r="J59" s="6">
        <f t="shared" si="7"/>
        <v>57740.663854286882</v>
      </c>
      <c r="K59" t="s">
        <v>12</v>
      </c>
      <c r="L59" s="11" t="str">
        <f t="shared" si="8"/>
        <v>GNMA</v>
      </c>
      <c r="M59">
        <v>7</v>
      </c>
      <c r="N59" s="11" t="str">
        <f t="shared" si="9"/>
        <v>90+</v>
      </c>
      <c r="O59" s="11" t="str">
        <f t="shared" si="9"/>
        <v>Y</v>
      </c>
      <c r="P59" t="str">
        <f>IF(O59="Y","This Loan is in Step: Judgment","This Loan is in Step: n/a")</f>
        <v>This Loan is in Step: Judgment</v>
      </c>
      <c r="Q59" t="str">
        <f t="shared" si="4"/>
        <v>Judgment</v>
      </c>
      <c r="R59" s="10"/>
      <c r="T59" s="10"/>
    </row>
    <row r="60" spans="2:20" x14ac:dyDescent="0.3">
      <c r="B60">
        <v>44</v>
      </c>
      <c r="C60">
        <v>19728173</v>
      </c>
      <c r="D60" t="s">
        <v>3</v>
      </c>
      <c r="E60" s="2">
        <v>240000</v>
      </c>
      <c r="F60" s="1">
        <v>8.8685443767959421E-2</v>
      </c>
      <c r="G60">
        <v>20</v>
      </c>
      <c r="H60" s="6">
        <f t="shared" si="6"/>
        <v>-2139.0935536794937</v>
      </c>
      <c r="I60">
        <v>85</v>
      </c>
      <c r="J60" s="6">
        <f t="shared" si="7"/>
        <v>196992.65164534209</v>
      </c>
      <c r="K60" t="s">
        <v>11</v>
      </c>
      <c r="L60" s="11" t="str">
        <f t="shared" si="8"/>
        <v>FNMA</v>
      </c>
      <c r="M60">
        <v>5</v>
      </c>
      <c r="N60" s="11" t="str">
        <f t="shared" si="9"/>
        <v>90+</v>
      </c>
      <c r="O60" s="11" t="str">
        <f t="shared" si="9"/>
        <v>N</v>
      </c>
      <c r="P60" t="str">
        <f>IF(O60="Y","This Loan is in Step: Referral","This Loan is in Step: n/a")</f>
        <v>This Loan is in Step: n/a</v>
      </c>
      <c r="Q60" t="str">
        <f t="shared" si="4"/>
        <v>n/a</v>
      </c>
      <c r="R60" s="10"/>
      <c r="T60" s="10"/>
    </row>
    <row r="61" spans="2:20" x14ac:dyDescent="0.3">
      <c r="B61">
        <v>45</v>
      </c>
      <c r="C61">
        <v>71380476</v>
      </c>
      <c r="D61" t="s">
        <v>3</v>
      </c>
      <c r="E61" s="2">
        <v>400000</v>
      </c>
      <c r="F61" s="1">
        <v>2.8536155301216861E-2</v>
      </c>
      <c r="G61">
        <v>30</v>
      </c>
      <c r="H61" s="6">
        <f t="shared" si="6"/>
        <v>-1655.0012718596352</v>
      </c>
      <c r="I61">
        <v>20</v>
      </c>
      <c r="J61" s="6">
        <f t="shared" si="7"/>
        <v>385601.50389038748</v>
      </c>
      <c r="K61" t="s">
        <v>9</v>
      </c>
      <c r="L61" s="11" t="str">
        <f t="shared" si="8"/>
        <v>GNMA</v>
      </c>
      <c r="M61">
        <v>7</v>
      </c>
      <c r="N61" s="11" t="str">
        <f t="shared" si="9"/>
        <v>90+</v>
      </c>
      <c r="O61" s="11" t="str">
        <f t="shared" si="9"/>
        <v>Y</v>
      </c>
      <c r="P61" t="str">
        <f>IF(O61="Y","This Loan is in Step: Referral","This Loan is in Step: n/a")</f>
        <v>This Loan is in Step: Referral</v>
      </c>
      <c r="Q61" t="str">
        <f t="shared" si="4"/>
        <v>Referral</v>
      </c>
      <c r="R61" s="10"/>
      <c r="T61" s="10"/>
    </row>
    <row r="62" spans="2:20" x14ac:dyDescent="0.3">
      <c r="B62">
        <v>46</v>
      </c>
      <c r="C62">
        <v>53758029</v>
      </c>
      <c r="D62" t="s">
        <v>3</v>
      </c>
      <c r="E62" s="2">
        <v>230000</v>
      </c>
      <c r="F62" s="1">
        <v>6.4588054143448148E-2</v>
      </c>
      <c r="G62">
        <v>20</v>
      </c>
      <c r="H62" s="6">
        <f t="shared" si="6"/>
        <v>-1709.2447127954504</v>
      </c>
      <c r="I62">
        <v>153</v>
      </c>
      <c r="J62" s="6">
        <f t="shared" si="7"/>
        <v>118491.54088897574</v>
      </c>
      <c r="K62" t="s">
        <v>13</v>
      </c>
      <c r="L62" s="11" t="str">
        <f t="shared" si="8"/>
        <v>GNMA</v>
      </c>
      <c r="M62">
        <v>6</v>
      </c>
      <c r="N62" s="11" t="str">
        <f t="shared" si="9"/>
        <v>90+</v>
      </c>
      <c r="O62" s="11" t="str">
        <f t="shared" si="9"/>
        <v>Y</v>
      </c>
      <c r="P62" t="str">
        <f>IF(O62="Y","This Loan is in Step: Service","This Loan is in Step: n/a")</f>
        <v>This Loan is in Step: Service</v>
      </c>
      <c r="Q62" t="str">
        <f t="shared" si="4"/>
        <v>Service</v>
      </c>
      <c r="R62" s="10"/>
      <c r="T62" s="10"/>
    </row>
    <row r="63" spans="2:20" x14ac:dyDescent="0.3">
      <c r="B63">
        <v>47</v>
      </c>
      <c r="C63">
        <v>74930308</v>
      </c>
      <c r="D63" t="s">
        <v>3</v>
      </c>
      <c r="E63" s="2">
        <v>140000</v>
      </c>
      <c r="F63" s="1">
        <v>4.0821913483801812E-2</v>
      </c>
      <c r="G63">
        <v>30</v>
      </c>
      <c r="H63" s="6">
        <f t="shared" si="6"/>
        <v>-675.03220560611874</v>
      </c>
      <c r="I63">
        <v>30</v>
      </c>
      <c r="J63" s="6">
        <f t="shared" si="7"/>
        <v>133732.99751163588</v>
      </c>
      <c r="K63" t="s">
        <v>12</v>
      </c>
      <c r="L63" s="11" t="str">
        <f t="shared" si="8"/>
        <v>GNMA</v>
      </c>
      <c r="M63">
        <v>9</v>
      </c>
      <c r="N63" s="11" t="str">
        <f t="shared" si="9"/>
        <v>90+</v>
      </c>
      <c r="O63" s="11" t="str">
        <f t="shared" si="9"/>
        <v>Y</v>
      </c>
      <c r="P63" t="str">
        <f>IF(O63="Y","This Loan is in Step: Service","This Loan is in Step: n/a")</f>
        <v>This Loan is in Step: Service</v>
      </c>
      <c r="Q63" t="str">
        <f t="shared" si="4"/>
        <v>Service</v>
      </c>
      <c r="R63" s="10"/>
      <c r="T63" s="10"/>
    </row>
    <row r="64" spans="2:20" x14ac:dyDescent="0.3">
      <c r="B64">
        <v>48</v>
      </c>
      <c r="C64">
        <v>82635844</v>
      </c>
      <c r="D64" t="s">
        <v>3</v>
      </c>
      <c r="E64" s="2">
        <v>90000</v>
      </c>
      <c r="F64" s="1">
        <v>8.0194103559907345E-2</v>
      </c>
      <c r="G64">
        <v>20</v>
      </c>
      <c r="H64" s="6">
        <f t="shared" si="6"/>
        <v>-753.8836385245346</v>
      </c>
      <c r="I64">
        <v>8</v>
      </c>
      <c r="J64" s="6">
        <f t="shared" si="7"/>
        <v>88751.670447861601</v>
      </c>
      <c r="K64" t="s">
        <v>11</v>
      </c>
      <c r="L64" s="11" t="str">
        <f t="shared" si="8"/>
        <v>FNMA</v>
      </c>
      <c r="M64">
        <v>4</v>
      </c>
      <c r="N64" s="11" t="str">
        <f t="shared" si="9"/>
        <v>90+</v>
      </c>
      <c r="O64" s="11" t="str">
        <f t="shared" si="9"/>
        <v>N</v>
      </c>
      <c r="P64" t="str">
        <f>IF(O64="Y","This Loan is in Step: Sale","This Loan is in Step: n/a")</f>
        <v>This Loan is in Step: n/a</v>
      </c>
      <c r="Q64" t="str">
        <f t="shared" si="4"/>
        <v>n/a</v>
      </c>
      <c r="R64" s="10"/>
      <c r="T64" s="10"/>
    </row>
    <row r="65" spans="2:20" x14ac:dyDescent="0.3">
      <c r="B65">
        <v>49</v>
      </c>
      <c r="C65">
        <v>38909064</v>
      </c>
      <c r="D65" t="s">
        <v>3</v>
      </c>
      <c r="E65" s="2">
        <v>420000</v>
      </c>
      <c r="F65" s="1">
        <v>2.2996447985654003E-2</v>
      </c>
      <c r="G65">
        <v>10</v>
      </c>
      <c r="H65" s="6">
        <f t="shared" si="6"/>
        <v>-3921.1865201602018</v>
      </c>
      <c r="I65">
        <v>36</v>
      </c>
      <c r="J65" s="6">
        <f t="shared" si="7"/>
        <v>303967.42332739127</v>
      </c>
      <c r="K65" t="s">
        <v>11</v>
      </c>
      <c r="L65" s="11" t="str">
        <f t="shared" si="8"/>
        <v>FNMA</v>
      </c>
      <c r="M65">
        <v>4</v>
      </c>
      <c r="N65" s="11" t="str">
        <f t="shared" si="9"/>
        <v>90+</v>
      </c>
      <c r="O65" s="11" t="str">
        <f t="shared" si="9"/>
        <v>N</v>
      </c>
      <c r="P65" t="str">
        <f>IF(O65="Y","This Loan is in Step: Referral","This Loan is in Step: n/a")</f>
        <v>This Loan is in Step: n/a</v>
      </c>
      <c r="Q65" t="str">
        <f t="shared" si="4"/>
        <v>n/a</v>
      </c>
      <c r="R65" s="10"/>
      <c r="T65" s="10"/>
    </row>
    <row r="66" spans="2:20" x14ac:dyDescent="0.3">
      <c r="B66">
        <v>50</v>
      </c>
      <c r="C66">
        <v>98808855</v>
      </c>
      <c r="D66" t="s">
        <v>3</v>
      </c>
      <c r="E66" s="2">
        <v>200000</v>
      </c>
      <c r="F66" s="1">
        <v>2.5277016412276896E-2</v>
      </c>
      <c r="G66">
        <v>10</v>
      </c>
      <c r="H66" s="6">
        <f t="shared" si="6"/>
        <v>-1887.9184579969824</v>
      </c>
      <c r="I66">
        <v>4</v>
      </c>
      <c r="J66" s="6">
        <f t="shared" si="7"/>
        <v>194114.89847536708</v>
      </c>
      <c r="K66" t="s">
        <v>9</v>
      </c>
      <c r="L66" s="11" t="str">
        <f t="shared" si="8"/>
        <v>GNMA</v>
      </c>
      <c r="M66">
        <v>8</v>
      </c>
      <c r="N66" s="11" t="str">
        <f t="shared" si="9"/>
        <v>90+</v>
      </c>
      <c r="O66" s="11" t="str">
        <f t="shared" si="9"/>
        <v>Y</v>
      </c>
      <c r="P66" t="str">
        <f>IF(O66="Y","This Loan is in Step: Judgment","This Loan is in Step: n/a")</f>
        <v>This Loan is in Step: Judgment</v>
      </c>
      <c r="Q66" t="str">
        <f t="shared" si="4"/>
        <v>Judgment</v>
      </c>
      <c r="R66" s="10"/>
      <c r="T66" s="10"/>
    </row>
    <row r="67" spans="2:20" x14ac:dyDescent="0.3">
      <c r="B67">
        <v>51</v>
      </c>
      <c r="C67">
        <v>26667365</v>
      </c>
      <c r="D67" t="s">
        <v>3</v>
      </c>
      <c r="E67" s="2">
        <v>130000</v>
      </c>
      <c r="F67" s="1">
        <v>5.6232150677562931E-2</v>
      </c>
      <c r="G67">
        <v>10</v>
      </c>
      <c r="H67" s="6">
        <f t="shared" si="6"/>
        <v>-1418.7918010041205</v>
      </c>
      <c r="I67">
        <v>4</v>
      </c>
      <c r="J67" s="6">
        <f t="shared" si="7"/>
        <v>126738.72506954949</v>
      </c>
      <c r="K67" t="s">
        <v>9</v>
      </c>
      <c r="L67" s="11" t="str">
        <f t="shared" si="8"/>
        <v>GNMA</v>
      </c>
      <c r="M67">
        <v>3</v>
      </c>
      <c r="N67" s="11" t="str">
        <f t="shared" si="9"/>
        <v>90+</v>
      </c>
      <c r="O67" s="11" t="str">
        <f t="shared" si="9"/>
        <v>N</v>
      </c>
      <c r="P67" t="str">
        <f>IF(O67="Y","This Loan is in Step: Referral","This Loan is in Step: n/a")</f>
        <v>This Loan is in Step: n/a</v>
      </c>
      <c r="Q67" t="str">
        <f t="shared" si="4"/>
        <v>n/a</v>
      </c>
      <c r="R67" s="10"/>
      <c r="T67" s="10"/>
    </row>
    <row r="68" spans="2:20" x14ac:dyDescent="0.3">
      <c r="B68">
        <v>52</v>
      </c>
      <c r="C68">
        <v>80880818</v>
      </c>
      <c r="D68" t="s">
        <v>3</v>
      </c>
      <c r="E68" s="2">
        <v>120000</v>
      </c>
      <c r="F68" s="1">
        <v>5.6587380060444684E-2</v>
      </c>
      <c r="G68">
        <v>10</v>
      </c>
      <c r="H68" s="6">
        <f t="shared" si="6"/>
        <v>-1311.7742239228342</v>
      </c>
      <c r="I68">
        <v>77</v>
      </c>
      <c r="J68" s="6">
        <f t="shared" si="7"/>
        <v>50946.937357005198</v>
      </c>
      <c r="K68" t="s">
        <v>12</v>
      </c>
      <c r="L68" s="11" t="str">
        <f t="shared" si="8"/>
        <v>GNMA</v>
      </c>
      <c r="M68">
        <v>7</v>
      </c>
      <c r="N68" s="11" t="str">
        <f t="shared" si="9"/>
        <v>90+</v>
      </c>
      <c r="O68" s="11" t="str">
        <f t="shared" si="9"/>
        <v>Y</v>
      </c>
      <c r="P68" t="str">
        <f>IF(O68="Y","This Loan is in Step: Referral","This Loan is in Step: n/a")</f>
        <v>This Loan is in Step: Referral</v>
      </c>
      <c r="Q68" t="str">
        <f t="shared" si="4"/>
        <v>Referral</v>
      </c>
      <c r="R68" s="10"/>
      <c r="T68" s="10"/>
    </row>
    <row r="69" spans="2:20" x14ac:dyDescent="0.3">
      <c r="B69">
        <v>53</v>
      </c>
      <c r="C69">
        <v>81807183</v>
      </c>
      <c r="D69" t="s">
        <v>3</v>
      </c>
      <c r="E69" s="2">
        <v>120000</v>
      </c>
      <c r="F69" s="1">
        <v>7.250452793744129E-2</v>
      </c>
      <c r="G69">
        <v>30</v>
      </c>
      <c r="H69" s="6">
        <f t="shared" si="6"/>
        <v>-818.64839053490459</v>
      </c>
      <c r="I69">
        <v>100</v>
      </c>
      <c r="J69" s="6">
        <f t="shared" si="7"/>
        <v>107196.32312312393</v>
      </c>
      <c r="K69" t="s">
        <v>11</v>
      </c>
      <c r="L69" s="11" t="str">
        <f t="shared" si="8"/>
        <v>FNMA</v>
      </c>
      <c r="M69">
        <v>9</v>
      </c>
      <c r="N69" s="11" t="str">
        <f t="shared" si="9"/>
        <v>90+</v>
      </c>
      <c r="O69" s="11" t="str">
        <f t="shared" si="9"/>
        <v>Y</v>
      </c>
      <c r="P69" t="str">
        <f>IF(O69="Y","This Loan is in Step: Judgment","This Loan is in Step: n/a")</f>
        <v>This Loan is in Step: Judgment</v>
      </c>
      <c r="Q69" t="str">
        <f t="shared" si="4"/>
        <v>Judgment</v>
      </c>
      <c r="R69" s="10"/>
      <c r="T69" s="10"/>
    </row>
    <row r="70" spans="2:20" x14ac:dyDescent="0.3">
      <c r="B70">
        <v>54</v>
      </c>
      <c r="C70">
        <v>14611483</v>
      </c>
      <c r="D70" t="s">
        <v>3</v>
      </c>
      <c r="E70" s="2">
        <v>150000</v>
      </c>
      <c r="F70" s="1">
        <v>7.2752652226458867E-2</v>
      </c>
      <c r="G70">
        <v>20</v>
      </c>
      <c r="H70" s="6">
        <f t="shared" si="6"/>
        <v>-1187.8612740753533</v>
      </c>
      <c r="I70">
        <v>76</v>
      </c>
      <c r="J70" s="6">
        <f t="shared" si="7"/>
        <v>123219.62822422951</v>
      </c>
      <c r="K70" t="s">
        <v>11</v>
      </c>
      <c r="L70" s="11" t="str">
        <f t="shared" si="8"/>
        <v>FNMA</v>
      </c>
      <c r="M70">
        <v>2</v>
      </c>
      <c r="N70" s="11" t="str">
        <f t="shared" si="9"/>
        <v>30-60</v>
      </c>
      <c r="O70" s="11" t="str">
        <f t="shared" si="9"/>
        <v>N</v>
      </c>
      <c r="P70" t="str">
        <f>IF(O70="Y","This Loan is in Step: Judgment","This Loan is in Step: n/a")</f>
        <v>This Loan is in Step: n/a</v>
      </c>
      <c r="Q70" t="str">
        <f t="shared" si="4"/>
        <v>n/a</v>
      </c>
      <c r="R70" s="10"/>
      <c r="T70" s="10"/>
    </row>
    <row r="71" spans="2:20" x14ac:dyDescent="0.3">
      <c r="B71">
        <v>55</v>
      </c>
      <c r="C71">
        <v>97257211</v>
      </c>
      <c r="D71" t="s">
        <v>3</v>
      </c>
      <c r="E71" s="2">
        <v>90000</v>
      </c>
      <c r="F71" s="1">
        <v>4.7155846847419934E-2</v>
      </c>
      <c r="G71">
        <v>30</v>
      </c>
      <c r="H71" s="6">
        <f t="shared" si="6"/>
        <v>-467.61745240145035</v>
      </c>
      <c r="I71">
        <v>156</v>
      </c>
      <c r="J71" s="6">
        <f t="shared" si="7"/>
        <v>65532.453303987968</v>
      </c>
      <c r="K71" t="s">
        <v>10</v>
      </c>
      <c r="L71" s="11" t="str">
        <f t="shared" si="8"/>
        <v>FHLMC</v>
      </c>
      <c r="M71">
        <v>5</v>
      </c>
      <c r="N71" s="11" t="str">
        <f t="shared" si="9"/>
        <v>90+</v>
      </c>
      <c r="O71" s="11" t="str">
        <f t="shared" si="9"/>
        <v>N</v>
      </c>
      <c r="P71" t="str">
        <f>IF(O71="Y","This Loan is in Step: Sale","This Loan is in Step: n/a")</f>
        <v>This Loan is in Step: n/a</v>
      </c>
      <c r="Q71" t="str">
        <f t="shared" si="4"/>
        <v>n/a</v>
      </c>
      <c r="R71" s="10"/>
      <c r="T71" s="10"/>
    </row>
    <row r="72" spans="2:20" x14ac:dyDescent="0.3">
      <c r="B72">
        <v>56</v>
      </c>
      <c r="C72">
        <v>94915980</v>
      </c>
      <c r="D72" t="s">
        <v>3</v>
      </c>
      <c r="E72" s="2">
        <v>310000</v>
      </c>
      <c r="F72" s="1">
        <v>3.5647185007364517E-2</v>
      </c>
      <c r="G72">
        <v>10</v>
      </c>
      <c r="H72" s="6">
        <f t="shared" si="6"/>
        <v>-3074.8690260412382</v>
      </c>
      <c r="I72">
        <v>36</v>
      </c>
      <c r="J72" s="6">
        <f t="shared" si="7"/>
        <v>228286.36077492562</v>
      </c>
      <c r="K72" t="s">
        <v>13</v>
      </c>
      <c r="L72" s="11" t="str">
        <f t="shared" si="8"/>
        <v>GNMA</v>
      </c>
      <c r="M72">
        <v>0</v>
      </c>
      <c r="N72" s="11" t="str">
        <f t="shared" si="9"/>
        <v>Current</v>
      </c>
      <c r="O72" s="11" t="str">
        <f t="shared" si="9"/>
        <v>N</v>
      </c>
      <c r="P72" t="str">
        <f>IF(O72="Y","This Loan is in Step: Judgment","This Loan is in Step: n/a")</f>
        <v>This Loan is in Step: n/a</v>
      </c>
      <c r="Q72" t="str">
        <f t="shared" si="4"/>
        <v>n/a</v>
      </c>
      <c r="R72" s="10"/>
      <c r="T72" s="10"/>
    </row>
    <row r="73" spans="2:20" x14ac:dyDescent="0.3">
      <c r="B73">
        <v>57</v>
      </c>
      <c r="C73">
        <v>16798870</v>
      </c>
      <c r="D73" t="s">
        <v>3</v>
      </c>
      <c r="E73" s="2">
        <v>270000</v>
      </c>
      <c r="F73" s="1">
        <v>3.8124204390776455E-2</v>
      </c>
      <c r="G73">
        <v>30</v>
      </c>
      <c r="H73" s="6">
        <f t="shared" si="6"/>
        <v>-1259.9946484214199</v>
      </c>
      <c r="I73">
        <v>327</v>
      </c>
      <c r="J73" s="6">
        <f t="shared" si="7"/>
        <v>39415.038705480743</v>
      </c>
      <c r="K73" t="s">
        <v>13</v>
      </c>
      <c r="L73" s="11" t="str">
        <f t="shared" si="8"/>
        <v>GNMA</v>
      </c>
      <c r="M73">
        <v>3</v>
      </c>
      <c r="N73" s="11" t="str">
        <f t="shared" si="9"/>
        <v>90+</v>
      </c>
      <c r="O73" s="11" t="str">
        <f t="shared" si="9"/>
        <v>N</v>
      </c>
      <c r="P73" t="str">
        <f>IF(O73="Y","This Loan is in Step: Service","This Loan is in Step: n/a")</f>
        <v>This Loan is in Step: n/a</v>
      </c>
      <c r="Q73" t="str">
        <f t="shared" si="4"/>
        <v>n/a</v>
      </c>
      <c r="R73" s="10"/>
      <c r="T73" s="10"/>
    </row>
    <row r="74" spans="2:20" x14ac:dyDescent="0.3">
      <c r="B74">
        <v>58</v>
      </c>
      <c r="C74">
        <v>78996690</v>
      </c>
      <c r="D74" t="s">
        <v>3</v>
      </c>
      <c r="E74" s="2">
        <v>280000</v>
      </c>
      <c r="F74" s="1">
        <v>8.3762295006845983E-2</v>
      </c>
      <c r="G74">
        <v>30</v>
      </c>
      <c r="H74" s="6">
        <f t="shared" si="6"/>
        <v>-2128.4452821872769</v>
      </c>
      <c r="I74">
        <v>187</v>
      </c>
      <c r="J74" s="6">
        <f t="shared" si="7"/>
        <v>213394.12647606496</v>
      </c>
      <c r="K74" t="s">
        <v>13</v>
      </c>
      <c r="L74" s="11" t="str">
        <f t="shared" si="8"/>
        <v>GNMA</v>
      </c>
      <c r="M74">
        <v>0</v>
      </c>
      <c r="N74" s="11" t="str">
        <f t="shared" si="9"/>
        <v>Current</v>
      </c>
      <c r="O74" s="11" t="str">
        <f t="shared" si="9"/>
        <v>N</v>
      </c>
      <c r="P74" t="str">
        <f>IF(O74="Y","This Loan is in Step: Judgment","This Loan is in Step: n/a")</f>
        <v>This Loan is in Step: n/a</v>
      </c>
      <c r="Q74" t="str">
        <f t="shared" si="4"/>
        <v>n/a</v>
      </c>
      <c r="R74" s="10"/>
      <c r="T74" s="10"/>
    </row>
    <row r="75" spans="2:20" x14ac:dyDescent="0.3">
      <c r="B75">
        <v>59</v>
      </c>
      <c r="C75">
        <v>12860906</v>
      </c>
      <c r="D75" t="s">
        <v>3</v>
      </c>
      <c r="E75" s="2">
        <v>80000</v>
      </c>
      <c r="F75" s="1">
        <v>8.3028447544266887E-2</v>
      </c>
      <c r="G75">
        <v>10</v>
      </c>
      <c r="H75" s="6">
        <f t="shared" si="6"/>
        <v>-983.46990744473135</v>
      </c>
      <c r="I75">
        <v>57</v>
      </c>
      <c r="J75" s="6">
        <f t="shared" si="7"/>
        <v>50082.318285723595</v>
      </c>
      <c r="K75" t="s">
        <v>9</v>
      </c>
      <c r="L75" s="11" t="str">
        <f t="shared" si="8"/>
        <v>GNMA</v>
      </c>
      <c r="M75">
        <v>1</v>
      </c>
      <c r="N75" s="11" t="str">
        <f t="shared" si="9"/>
        <v>30-60</v>
      </c>
      <c r="O75" s="11" t="str">
        <f t="shared" si="9"/>
        <v>N</v>
      </c>
      <c r="P75" t="str">
        <f>IF(O75="Y","This Loan is in Step: Referral","This Loan is in Step: n/a")</f>
        <v>This Loan is in Step: n/a</v>
      </c>
      <c r="Q75" t="str">
        <f t="shared" si="4"/>
        <v>n/a</v>
      </c>
      <c r="R75" s="10"/>
      <c r="T75" s="10"/>
    </row>
    <row r="76" spans="2:20" x14ac:dyDescent="0.3">
      <c r="B76">
        <v>60</v>
      </c>
      <c r="C76">
        <v>24261168</v>
      </c>
      <c r="D76" t="s">
        <v>3</v>
      </c>
      <c r="E76" s="2">
        <v>100000</v>
      </c>
      <c r="F76" s="1">
        <v>3.2246080585092513E-2</v>
      </c>
      <c r="G76">
        <v>10</v>
      </c>
      <c r="H76" s="6">
        <f t="shared" si="6"/>
        <v>-976.00994049914834</v>
      </c>
      <c r="I76">
        <v>33</v>
      </c>
      <c r="J76" s="6">
        <f t="shared" si="7"/>
        <v>75627.382067917511</v>
      </c>
      <c r="K76" t="s">
        <v>12</v>
      </c>
      <c r="L76" s="11" t="str">
        <f t="shared" si="8"/>
        <v>GNMA</v>
      </c>
      <c r="M76">
        <v>0</v>
      </c>
      <c r="N76" s="11" t="str">
        <f t="shared" si="9"/>
        <v>Current</v>
      </c>
      <c r="O76" s="11" t="str">
        <f t="shared" si="9"/>
        <v>N</v>
      </c>
      <c r="P76" t="str">
        <f>IF(O76="Y","This Loan is in Step: Sale","This Loan is in Step: n/a")</f>
        <v>This Loan is in Step: n/a</v>
      </c>
      <c r="Q76" t="str">
        <f t="shared" si="4"/>
        <v>n/a</v>
      </c>
      <c r="R76" s="10"/>
      <c r="T76" s="10"/>
    </row>
    <row r="77" spans="2:20" x14ac:dyDescent="0.3">
      <c r="B77">
        <v>61</v>
      </c>
      <c r="C77">
        <v>61297822</v>
      </c>
      <c r="D77" t="s">
        <v>3</v>
      </c>
      <c r="E77" s="2">
        <v>100000</v>
      </c>
      <c r="F77" s="1">
        <v>5.3983098508402307E-2</v>
      </c>
      <c r="G77">
        <v>30</v>
      </c>
      <c r="H77" s="6">
        <f t="shared" si="6"/>
        <v>-561.42529354833619</v>
      </c>
      <c r="I77">
        <v>238</v>
      </c>
      <c r="J77" s="6">
        <f t="shared" si="7"/>
        <v>52623.559305270435</v>
      </c>
      <c r="K77" t="s">
        <v>10</v>
      </c>
      <c r="L77" s="11" t="str">
        <f t="shared" si="8"/>
        <v>FHLMC</v>
      </c>
      <c r="M77">
        <v>0</v>
      </c>
      <c r="N77" s="11" t="str">
        <f t="shared" ref="N77:O96" si="10">INDEX(MASTER_DATA,MATCH($C77,MASTER_ROWS,0),MATCH(N$16,MASTER_HEADERS,0))</f>
        <v>Current</v>
      </c>
      <c r="O77" s="11" t="str">
        <f t="shared" si="10"/>
        <v>N</v>
      </c>
      <c r="P77" t="str">
        <f>IF(O77="Y","This Loan is in Step: Judgment","This Loan is in Step: n/a")</f>
        <v>This Loan is in Step: n/a</v>
      </c>
      <c r="Q77" t="str">
        <f t="shared" si="4"/>
        <v>n/a</v>
      </c>
      <c r="R77" s="10"/>
      <c r="T77" s="10"/>
    </row>
    <row r="78" spans="2:20" x14ac:dyDescent="0.3">
      <c r="B78">
        <v>62</v>
      </c>
      <c r="C78">
        <v>25037514</v>
      </c>
      <c r="D78" t="s">
        <v>3</v>
      </c>
      <c r="E78" s="2">
        <v>380000</v>
      </c>
      <c r="F78" s="1">
        <v>6.6890959133402261E-2</v>
      </c>
      <c r="G78">
        <v>20</v>
      </c>
      <c r="H78" s="6">
        <f t="shared" si="6"/>
        <v>-2875.6399914511162</v>
      </c>
      <c r="I78">
        <v>62</v>
      </c>
      <c r="J78" s="6">
        <f t="shared" si="7"/>
        <v>324087.34693467576</v>
      </c>
      <c r="K78" t="s">
        <v>11</v>
      </c>
      <c r="L78" s="11" t="str">
        <f t="shared" si="8"/>
        <v>FNMA</v>
      </c>
      <c r="M78">
        <v>0</v>
      </c>
      <c r="N78" s="11" t="str">
        <f t="shared" si="10"/>
        <v>Current</v>
      </c>
      <c r="O78" s="11" t="str">
        <f t="shared" si="10"/>
        <v>N</v>
      </c>
      <c r="P78" t="str">
        <f>IF(O78="Y","This Loan is in Step: Judgment","This Loan is in Step: n/a")</f>
        <v>This Loan is in Step: n/a</v>
      </c>
      <c r="Q78" t="str">
        <f t="shared" si="4"/>
        <v>n/a</v>
      </c>
      <c r="R78" s="10"/>
      <c r="T78" s="10"/>
    </row>
    <row r="79" spans="2:20" x14ac:dyDescent="0.3">
      <c r="B79">
        <v>63</v>
      </c>
      <c r="C79">
        <v>64266143</v>
      </c>
      <c r="D79" t="s">
        <v>3</v>
      </c>
      <c r="E79" s="2">
        <v>150000</v>
      </c>
      <c r="F79" s="1">
        <v>2.4040124038044522E-2</v>
      </c>
      <c r="G79">
        <v>20</v>
      </c>
      <c r="H79" s="6">
        <f t="shared" si="6"/>
        <v>-787.85872743274172</v>
      </c>
      <c r="I79">
        <v>205</v>
      </c>
      <c r="J79" s="6">
        <f t="shared" si="7"/>
        <v>26604.80204904468</v>
      </c>
      <c r="K79" t="s">
        <v>11</v>
      </c>
      <c r="L79" s="11" t="str">
        <f t="shared" si="8"/>
        <v>FNMA</v>
      </c>
      <c r="M79">
        <v>0</v>
      </c>
      <c r="N79" s="11" t="str">
        <f t="shared" si="10"/>
        <v>Current</v>
      </c>
      <c r="O79" s="11" t="str">
        <f t="shared" si="10"/>
        <v>N</v>
      </c>
      <c r="P79" t="str">
        <f>IF(O79="Y","This Loan is in Step: Referral","This Loan is in Step: n/a")</f>
        <v>This Loan is in Step: n/a</v>
      </c>
      <c r="Q79" t="str">
        <f t="shared" si="4"/>
        <v>n/a</v>
      </c>
      <c r="R79" s="10"/>
      <c r="T79" s="10"/>
    </row>
    <row r="80" spans="2:20" x14ac:dyDescent="0.3">
      <c r="B80">
        <v>64</v>
      </c>
      <c r="C80">
        <v>75089533</v>
      </c>
      <c r="D80" t="s">
        <v>2</v>
      </c>
      <c r="E80" s="2">
        <v>100000</v>
      </c>
      <c r="F80" s="1">
        <v>2.3500078758323658E-2</v>
      </c>
      <c r="G80">
        <v>30</v>
      </c>
      <c r="H80" s="6">
        <f t="shared" si="6"/>
        <v>-387.36679047648778</v>
      </c>
      <c r="I80">
        <v>315</v>
      </c>
      <c r="J80" s="6">
        <f t="shared" si="7"/>
        <v>16669.892294490219</v>
      </c>
      <c r="K80" t="s">
        <v>11</v>
      </c>
      <c r="L80" s="11" t="str">
        <f t="shared" si="8"/>
        <v>FNMA</v>
      </c>
      <c r="M80">
        <v>0</v>
      </c>
      <c r="N80" s="11" t="str">
        <f t="shared" si="10"/>
        <v>Current</v>
      </c>
      <c r="O80" s="11" t="str">
        <f t="shared" si="10"/>
        <v>N</v>
      </c>
      <c r="P80" t="str">
        <f>IF(O80="Y","This Loan is in Step: Judgment","This Loan is in Step: n/a")</f>
        <v>This Loan is in Step: n/a</v>
      </c>
      <c r="Q80" t="str">
        <f t="shared" si="4"/>
        <v>n/a</v>
      </c>
      <c r="R80" s="10"/>
      <c r="T80" s="10"/>
    </row>
    <row r="81" spans="2:20" x14ac:dyDescent="0.3">
      <c r="B81">
        <v>65</v>
      </c>
      <c r="C81">
        <v>91788629</v>
      </c>
      <c r="D81" t="s">
        <v>2</v>
      </c>
      <c r="E81" s="2">
        <v>390000</v>
      </c>
      <c r="F81" s="1">
        <v>6.6238204969847433E-2</v>
      </c>
      <c r="G81">
        <v>30</v>
      </c>
      <c r="H81" s="6">
        <f t="shared" ref="H81:H112" si="11">INDEX(MASTER_DATA,MATCH($C81,MASTER_ROWS,0),MATCH(H$16,MASTER_HEADERS,0))</f>
        <v>-2496.9085946625487</v>
      </c>
      <c r="I81">
        <v>317</v>
      </c>
      <c r="J81" s="6">
        <f t="shared" ref="J81:J112" si="12">INDEX(MASTER_DATA,MATCH($C81,MASTER_ROWS,0),MATCH(J$16,MASTER_HEADERS,0))</f>
        <v>95343.185278616031</v>
      </c>
      <c r="K81" t="s">
        <v>13</v>
      </c>
      <c r="L81" s="11" t="str">
        <f t="shared" ref="L81:L112" si="13">INDEX(MASTER_DATA,MATCH($C81,MASTER_ROWS,0),MATCH(L$16,MASTER_HEADERS,0))</f>
        <v>GNMA</v>
      </c>
      <c r="M81">
        <v>0</v>
      </c>
      <c r="N81" s="11" t="str">
        <f t="shared" si="10"/>
        <v>Current</v>
      </c>
      <c r="O81" s="11" t="str">
        <f t="shared" si="10"/>
        <v>N</v>
      </c>
      <c r="P81" t="str">
        <f>IF(O81="Y","This Loan is in Step: Service","This Loan is in Step: n/a")</f>
        <v>This Loan is in Step: n/a</v>
      </c>
      <c r="Q81" t="str">
        <f t="shared" si="4"/>
        <v>n/a</v>
      </c>
      <c r="R81" s="10"/>
      <c r="T81" s="10"/>
    </row>
    <row r="82" spans="2:20" x14ac:dyDescent="0.3">
      <c r="B82">
        <v>66</v>
      </c>
      <c r="C82">
        <v>93924899</v>
      </c>
      <c r="D82" t="s">
        <v>2</v>
      </c>
      <c r="E82" s="2">
        <v>260000</v>
      </c>
      <c r="F82" s="1">
        <v>8.8488321849944707E-2</v>
      </c>
      <c r="G82">
        <v>30</v>
      </c>
      <c r="H82" s="6">
        <f t="shared" si="11"/>
        <v>-2063.8011239785942</v>
      </c>
      <c r="I82">
        <v>204</v>
      </c>
      <c r="J82" s="6">
        <f t="shared" si="12"/>
        <v>190912.02062684187</v>
      </c>
      <c r="K82" t="s">
        <v>13</v>
      </c>
      <c r="L82" s="11" t="str">
        <f t="shared" si="13"/>
        <v>GNMA</v>
      </c>
      <c r="M82">
        <v>0</v>
      </c>
      <c r="N82" s="11" t="str">
        <f t="shared" si="10"/>
        <v>Current</v>
      </c>
      <c r="O82" s="11" t="str">
        <f t="shared" si="10"/>
        <v>N</v>
      </c>
      <c r="P82" t="str">
        <f>IF(O82="Y","This Loan is in Step: Judgment","This Loan is in Step: n/a")</f>
        <v>This Loan is in Step: n/a</v>
      </c>
      <c r="Q82" t="str">
        <f t="shared" ref="Q82:Q145" si="14">RIGHT(P82,LEN(P82)-FIND(":",P82)-1)</f>
        <v>n/a</v>
      </c>
      <c r="R82" s="10"/>
      <c r="T82" s="10"/>
    </row>
    <row r="83" spans="2:20" x14ac:dyDescent="0.3">
      <c r="B83">
        <v>67</v>
      </c>
      <c r="C83">
        <v>14685343</v>
      </c>
      <c r="D83" t="s">
        <v>2</v>
      </c>
      <c r="E83" s="2">
        <v>230000</v>
      </c>
      <c r="F83" s="1">
        <v>7.0071082298951745E-2</v>
      </c>
      <c r="G83">
        <v>30</v>
      </c>
      <c r="H83" s="6">
        <f t="shared" si="11"/>
        <v>-1531.293884883142</v>
      </c>
      <c r="I83">
        <v>237</v>
      </c>
      <c r="J83" s="6">
        <f t="shared" si="12"/>
        <v>134101.01991193905</v>
      </c>
      <c r="K83" t="s">
        <v>11</v>
      </c>
      <c r="L83" s="11" t="str">
        <f t="shared" si="13"/>
        <v>FNMA</v>
      </c>
      <c r="M83">
        <v>0</v>
      </c>
      <c r="N83" s="11" t="str">
        <f t="shared" si="10"/>
        <v>Current</v>
      </c>
      <c r="O83" s="11" t="str">
        <f t="shared" si="10"/>
        <v>N</v>
      </c>
      <c r="P83" t="str">
        <f>IF(O83="Y","This Loan is in Step: Judgment","This Loan is in Step: n/a")</f>
        <v>This Loan is in Step: n/a</v>
      </c>
      <c r="Q83" t="str">
        <f t="shared" si="14"/>
        <v>n/a</v>
      </c>
      <c r="R83" s="10"/>
      <c r="T83" s="10"/>
    </row>
    <row r="84" spans="2:20" x14ac:dyDescent="0.3">
      <c r="B84">
        <v>68</v>
      </c>
      <c r="C84">
        <v>46047163</v>
      </c>
      <c r="D84" t="s">
        <v>2</v>
      </c>
      <c r="E84" s="2">
        <v>180000</v>
      </c>
      <c r="F84" s="1">
        <v>6.9073868790080276E-2</v>
      </c>
      <c r="G84">
        <v>10</v>
      </c>
      <c r="H84" s="6">
        <f t="shared" si="11"/>
        <v>-2081.3710610219168</v>
      </c>
      <c r="I84">
        <v>74</v>
      </c>
      <c r="J84" s="6">
        <f t="shared" si="12"/>
        <v>83905.224032455211</v>
      </c>
      <c r="K84" t="s">
        <v>11</v>
      </c>
      <c r="L84" s="11" t="str">
        <f t="shared" si="13"/>
        <v>FNMA</v>
      </c>
      <c r="M84">
        <v>0</v>
      </c>
      <c r="N84" s="11" t="str">
        <f t="shared" si="10"/>
        <v>Current</v>
      </c>
      <c r="O84" s="11" t="str">
        <f t="shared" si="10"/>
        <v>N</v>
      </c>
      <c r="P84" t="str">
        <f>IF(O84="Y","This Loan is in Step: Judgment","This Loan is in Step: n/a")</f>
        <v>This Loan is in Step: n/a</v>
      </c>
      <c r="Q84" t="str">
        <f t="shared" si="14"/>
        <v>n/a</v>
      </c>
      <c r="R84" s="10"/>
      <c r="T84" s="10"/>
    </row>
    <row r="85" spans="2:20" x14ac:dyDescent="0.3">
      <c r="B85">
        <v>69</v>
      </c>
      <c r="C85">
        <v>21390949</v>
      </c>
      <c r="D85" t="s">
        <v>2</v>
      </c>
      <c r="E85" s="2">
        <v>420000</v>
      </c>
      <c r="F85" s="1">
        <v>8.6516783487079515E-2</v>
      </c>
      <c r="G85">
        <v>30</v>
      </c>
      <c r="H85" s="6">
        <f t="shared" si="11"/>
        <v>-3274.6923069116292</v>
      </c>
      <c r="I85">
        <v>237</v>
      </c>
      <c r="J85" s="6">
        <f t="shared" si="12"/>
        <v>266488.12538013776</v>
      </c>
      <c r="K85" t="s">
        <v>13</v>
      </c>
      <c r="L85" s="11" t="str">
        <f t="shared" si="13"/>
        <v>GNMA</v>
      </c>
      <c r="M85">
        <v>0</v>
      </c>
      <c r="N85" s="11" t="str">
        <f t="shared" si="10"/>
        <v>Current</v>
      </c>
      <c r="O85" s="11" t="str">
        <f t="shared" si="10"/>
        <v>N</v>
      </c>
      <c r="P85" t="str">
        <f>IF(O85="Y","This Loan is in Step: Judgment","This Loan is in Step: n/a")</f>
        <v>This Loan is in Step: n/a</v>
      </c>
      <c r="Q85" t="str">
        <f t="shared" si="14"/>
        <v>n/a</v>
      </c>
      <c r="R85" s="10"/>
      <c r="T85" s="10"/>
    </row>
    <row r="86" spans="2:20" x14ac:dyDescent="0.3">
      <c r="B86">
        <v>70</v>
      </c>
      <c r="C86">
        <v>86868306</v>
      </c>
      <c r="D86" t="s">
        <v>2</v>
      </c>
      <c r="E86" s="2">
        <v>220000</v>
      </c>
      <c r="F86" s="1">
        <v>5.9538523786275999E-2</v>
      </c>
      <c r="G86">
        <v>10</v>
      </c>
      <c r="H86" s="6">
        <f t="shared" si="11"/>
        <v>-2437.3558171598584</v>
      </c>
      <c r="I86">
        <v>118</v>
      </c>
      <c r="J86" s="6">
        <f t="shared" si="12"/>
        <v>4838.6710135669418</v>
      </c>
      <c r="K86" t="s">
        <v>9</v>
      </c>
      <c r="L86" s="11" t="str">
        <f t="shared" si="13"/>
        <v>GNMA</v>
      </c>
      <c r="M86">
        <v>0</v>
      </c>
      <c r="N86" s="11" t="str">
        <f t="shared" si="10"/>
        <v>Current</v>
      </c>
      <c r="O86" s="11" t="str">
        <f t="shared" si="10"/>
        <v>N</v>
      </c>
      <c r="P86" t="str">
        <f>IF(O86="Y","This Loan is in Step: Sale","This Loan is in Step: n/a")</f>
        <v>This Loan is in Step: n/a</v>
      </c>
      <c r="Q86" t="str">
        <f t="shared" si="14"/>
        <v>n/a</v>
      </c>
      <c r="R86" s="10"/>
      <c r="T86" s="10"/>
    </row>
    <row r="87" spans="2:20" x14ac:dyDescent="0.3">
      <c r="B87">
        <v>71</v>
      </c>
      <c r="C87">
        <v>16735695</v>
      </c>
      <c r="D87" t="s">
        <v>2</v>
      </c>
      <c r="E87" s="2">
        <v>290000</v>
      </c>
      <c r="F87" s="1">
        <v>3.7419614625481337E-2</v>
      </c>
      <c r="G87">
        <v>10</v>
      </c>
      <c r="H87" s="6">
        <f t="shared" si="11"/>
        <v>-2900.6762025728844</v>
      </c>
      <c r="I87">
        <v>28</v>
      </c>
      <c r="J87" s="6">
        <f t="shared" si="12"/>
        <v>231683.66372603667</v>
      </c>
      <c r="K87" t="s">
        <v>9</v>
      </c>
      <c r="L87" s="11" t="str">
        <f t="shared" si="13"/>
        <v>GNMA</v>
      </c>
      <c r="M87">
        <v>1</v>
      </c>
      <c r="N87" s="11" t="str">
        <f t="shared" si="10"/>
        <v>30-60</v>
      </c>
      <c r="O87" s="11" t="str">
        <f t="shared" si="10"/>
        <v>N</v>
      </c>
      <c r="P87" t="str">
        <f>IF(O87="Y","This Loan is in Step: Judgment","This Loan is in Step: n/a")</f>
        <v>This Loan is in Step: n/a</v>
      </c>
      <c r="Q87" t="str">
        <f t="shared" si="14"/>
        <v>n/a</v>
      </c>
      <c r="R87" s="10"/>
      <c r="T87" s="10"/>
    </row>
    <row r="88" spans="2:20" x14ac:dyDescent="0.3">
      <c r="B88">
        <v>72</v>
      </c>
      <c r="C88">
        <v>46796012</v>
      </c>
      <c r="D88" t="s">
        <v>2</v>
      </c>
      <c r="E88" s="2">
        <v>90000</v>
      </c>
      <c r="F88" s="1">
        <v>3.9502545578306847E-2</v>
      </c>
      <c r="G88">
        <v>20</v>
      </c>
      <c r="H88" s="6">
        <f t="shared" si="11"/>
        <v>-543.02606512443833</v>
      </c>
      <c r="I88">
        <v>161</v>
      </c>
      <c r="J88" s="6">
        <f t="shared" si="12"/>
        <v>37720.271498697657</v>
      </c>
      <c r="K88" t="s">
        <v>10</v>
      </c>
      <c r="L88" s="11" t="str">
        <f t="shared" si="13"/>
        <v>FHLMC</v>
      </c>
      <c r="M88">
        <v>10</v>
      </c>
      <c r="N88" s="11" t="str">
        <f t="shared" si="10"/>
        <v>90+</v>
      </c>
      <c r="O88" s="11" t="str">
        <f t="shared" si="10"/>
        <v>Y</v>
      </c>
      <c r="P88" t="str">
        <f>IF(O88="Y","This Loan is in Step: Service","This Loan is in Step: n/a")</f>
        <v>This Loan is in Step: Service</v>
      </c>
      <c r="Q88" t="str">
        <f t="shared" si="14"/>
        <v>Service</v>
      </c>
      <c r="R88" s="10"/>
      <c r="T88" s="10"/>
    </row>
    <row r="89" spans="2:20" x14ac:dyDescent="0.3">
      <c r="B89">
        <v>73</v>
      </c>
      <c r="C89">
        <v>18909077</v>
      </c>
      <c r="D89" t="s">
        <v>2</v>
      </c>
      <c r="E89" s="2">
        <v>280000</v>
      </c>
      <c r="F89" s="1">
        <v>8.0913712050867476E-2</v>
      </c>
      <c r="G89">
        <v>10</v>
      </c>
      <c r="H89" s="6">
        <f t="shared" si="11"/>
        <v>-3410.7063010811376</v>
      </c>
      <c r="I89">
        <v>64</v>
      </c>
      <c r="J89" s="6">
        <f t="shared" si="12"/>
        <v>158640.11139969429</v>
      </c>
      <c r="K89" t="s">
        <v>12</v>
      </c>
      <c r="L89" s="11" t="str">
        <f t="shared" si="13"/>
        <v>GNMA</v>
      </c>
      <c r="M89">
        <v>9</v>
      </c>
      <c r="N89" s="11" t="str">
        <f t="shared" si="10"/>
        <v>90+</v>
      </c>
      <c r="O89" s="11" t="str">
        <f t="shared" si="10"/>
        <v>Y</v>
      </c>
      <c r="P89" t="str">
        <f>IF(O89="Y","This Loan is in Step: Sale","This Loan is in Step: n/a")</f>
        <v>This Loan is in Step: Sale</v>
      </c>
      <c r="Q89" t="str">
        <f t="shared" si="14"/>
        <v>Sale</v>
      </c>
      <c r="R89" s="10"/>
      <c r="T89" s="10"/>
    </row>
    <row r="90" spans="2:20" x14ac:dyDescent="0.3">
      <c r="B90">
        <v>74</v>
      </c>
      <c r="C90">
        <v>87247227</v>
      </c>
      <c r="D90" t="s">
        <v>2</v>
      </c>
      <c r="E90" s="2">
        <v>350000</v>
      </c>
      <c r="F90" s="1">
        <v>3.5787945697589502E-2</v>
      </c>
      <c r="G90">
        <v>30</v>
      </c>
      <c r="H90" s="6">
        <f t="shared" si="11"/>
        <v>-1587.0911310039264</v>
      </c>
      <c r="I90">
        <v>293</v>
      </c>
      <c r="J90" s="6">
        <f t="shared" si="12"/>
        <v>96255.38703589837</v>
      </c>
      <c r="K90" t="s">
        <v>12</v>
      </c>
      <c r="L90" s="11" t="str">
        <f t="shared" si="13"/>
        <v>GNMA</v>
      </c>
      <c r="M90">
        <v>4</v>
      </c>
      <c r="N90" s="11" t="str">
        <f t="shared" si="10"/>
        <v>90+</v>
      </c>
      <c r="O90" s="11" t="str">
        <f t="shared" si="10"/>
        <v>N</v>
      </c>
      <c r="P90" t="str">
        <f>IF(O90="Y","This Loan is in Step: Service","This Loan is in Step: n/a")</f>
        <v>This Loan is in Step: n/a</v>
      </c>
      <c r="Q90" t="str">
        <f t="shared" si="14"/>
        <v>n/a</v>
      </c>
      <c r="R90" s="10"/>
      <c r="T90" s="10"/>
    </row>
    <row r="91" spans="2:20" x14ac:dyDescent="0.3">
      <c r="B91">
        <v>75</v>
      </c>
      <c r="C91">
        <v>75779854</v>
      </c>
      <c r="D91" t="s">
        <v>2</v>
      </c>
      <c r="E91" s="2">
        <v>440000</v>
      </c>
      <c r="F91" s="1">
        <v>7.5454290205374391E-2</v>
      </c>
      <c r="G91">
        <v>30</v>
      </c>
      <c r="H91" s="6">
        <f t="shared" si="11"/>
        <v>-3090.2427562976304</v>
      </c>
      <c r="I91">
        <v>151</v>
      </c>
      <c r="J91" s="6">
        <f t="shared" si="12"/>
        <v>358862.00552587159</v>
      </c>
      <c r="K91" t="s">
        <v>11</v>
      </c>
      <c r="L91" s="11" t="str">
        <f t="shared" si="13"/>
        <v>FNMA</v>
      </c>
      <c r="M91">
        <v>1</v>
      </c>
      <c r="N91" s="11" t="str">
        <f t="shared" si="10"/>
        <v>30-60</v>
      </c>
      <c r="O91" s="11" t="str">
        <f t="shared" si="10"/>
        <v>N</v>
      </c>
      <c r="P91" t="str">
        <f>IF(O91="Y","This Loan is in Step: Sale","This Loan is in Step: n/a")</f>
        <v>This Loan is in Step: n/a</v>
      </c>
      <c r="Q91" t="str">
        <f t="shared" si="14"/>
        <v>n/a</v>
      </c>
      <c r="R91" s="10"/>
      <c r="T91" s="10"/>
    </row>
    <row r="92" spans="2:20" x14ac:dyDescent="0.3">
      <c r="B92">
        <v>76</v>
      </c>
      <c r="C92">
        <v>28343036</v>
      </c>
      <c r="D92" t="s">
        <v>2</v>
      </c>
      <c r="E92" s="2">
        <v>390000</v>
      </c>
      <c r="F92" s="1">
        <v>3.3529466107279624E-2</v>
      </c>
      <c r="G92">
        <v>20</v>
      </c>
      <c r="H92" s="6">
        <f t="shared" si="11"/>
        <v>-2232.4839059240298</v>
      </c>
      <c r="I92">
        <v>75</v>
      </c>
      <c r="J92" s="6">
        <f t="shared" si="12"/>
        <v>294797.06318568881</v>
      </c>
      <c r="K92" t="s">
        <v>9</v>
      </c>
      <c r="L92" s="11" t="str">
        <f t="shared" si="13"/>
        <v>GNMA</v>
      </c>
      <c r="M92">
        <v>5</v>
      </c>
      <c r="N92" s="11" t="str">
        <f t="shared" si="10"/>
        <v>90+</v>
      </c>
      <c r="O92" s="11" t="str">
        <f t="shared" si="10"/>
        <v>N</v>
      </c>
      <c r="P92" t="str">
        <f>IF(O92="Y","This Loan is in Step: Referral","This Loan is in Step: n/a")</f>
        <v>This Loan is in Step: n/a</v>
      </c>
      <c r="Q92" t="str">
        <f t="shared" si="14"/>
        <v>n/a</v>
      </c>
      <c r="R92" s="10"/>
      <c r="T92" s="10"/>
    </row>
    <row r="93" spans="2:20" x14ac:dyDescent="0.3">
      <c r="B93">
        <v>77</v>
      </c>
      <c r="C93">
        <v>39275659</v>
      </c>
      <c r="D93" t="s">
        <v>2</v>
      </c>
      <c r="E93" s="2">
        <v>280000</v>
      </c>
      <c r="F93" s="1">
        <v>3.8174534059814809E-2</v>
      </c>
      <c r="G93">
        <v>20</v>
      </c>
      <c r="H93" s="6">
        <f t="shared" si="11"/>
        <v>-1669.9330862531151</v>
      </c>
      <c r="I93">
        <v>229</v>
      </c>
      <c r="J93" s="6">
        <f t="shared" si="12"/>
        <v>18023.424966670162</v>
      </c>
      <c r="K93" t="s">
        <v>13</v>
      </c>
      <c r="L93" s="11" t="str">
        <f t="shared" si="13"/>
        <v>GNMA</v>
      </c>
      <c r="M93">
        <v>4</v>
      </c>
      <c r="N93" s="11" t="str">
        <f t="shared" si="10"/>
        <v>90+</v>
      </c>
      <c r="O93" s="11" t="str">
        <f t="shared" si="10"/>
        <v>N</v>
      </c>
      <c r="P93" t="str">
        <f>IF(O93="Y","This Loan is in Step: Service","This Loan is in Step: n/a")</f>
        <v>This Loan is in Step: n/a</v>
      </c>
      <c r="Q93" t="str">
        <f t="shared" si="14"/>
        <v>n/a</v>
      </c>
      <c r="R93" s="10"/>
      <c r="T93" s="10"/>
    </row>
    <row r="94" spans="2:20" x14ac:dyDescent="0.3">
      <c r="B94">
        <v>78</v>
      </c>
      <c r="C94">
        <v>86619026</v>
      </c>
      <c r="D94" t="s">
        <v>2</v>
      </c>
      <c r="E94" s="2">
        <v>380000</v>
      </c>
      <c r="F94" s="1">
        <v>8.8639262942166508E-2</v>
      </c>
      <c r="G94">
        <v>30</v>
      </c>
      <c r="H94" s="6">
        <f t="shared" si="11"/>
        <v>-3020.4343909700733</v>
      </c>
      <c r="I94">
        <v>57</v>
      </c>
      <c r="J94" s="6">
        <f t="shared" si="12"/>
        <v>364934.14294332487</v>
      </c>
      <c r="K94" t="s">
        <v>9</v>
      </c>
      <c r="L94" s="11" t="str">
        <f t="shared" si="13"/>
        <v>GNMA</v>
      </c>
      <c r="M94">
        <v>4</v>
      </c>
      <c r="N94" s="11" t="str">
        <f t="shared" si="10"/>
        <v>90+</v>
      </c>
      <c r="O94" s="11" t="str">
        <f t="shared" si="10"/>
        <v>N</v>
      </c>
      <c r="P94" t="str">
        <f>IF(O94="Y","This Loan is in Step: Sale","This Loan is in Step: n/a")</f>
        <v>This Loan is in Step: n/a</v>
      </c>
      <c r="Q94" t="str">
        <f t="shared" si="14"/>
        <v>n/a</v>
      </c>
      <c r="R94" s="10"/>
      <c r="T94" s="10"/>
    </row>
    <row r="95" spans="2:20" x14ac:dyDescent="0.3">
      <c r="B95">
        <v>79</v>
      </c>
      <c r="C95">
        <v>31354657</v>
      </c>
      <c r="D95" t="s">
        <v>2</v>
      </c>
      <c r="E95" s="2">
        <v>110000</v>
      </c>
      <c r="F95" s="1">
        <v>5.489254667303671E-2</v>
      </c>
      <c r="G95">
        <v>10</v>
      </c>
      <c r="H95" s="6">
        <f t="shared" si="11"/>
        <v>-1193.2034618023984</v>
      </c>
      <c r="I95">
        <v>84</v>
      </c>
      <c r="J95" s="6">
        <f t="shared" si="12"/>
        <v>39521.753831882197</v>
      </c>
      <c r="K95" t="s">
        <v>12</v>
      </c>
      <c r="L95" s="11" t="str">
        <f t="shared" si="13"/>
        <v>GNMA</v>
      </c>
      <c r="M95">
        <v>8</v>
      </c>
      <c r="N95" s="11" t="str">
        <f t="shared" si="10"/>
        <v>90+</v>
      </c>
      <c r="O95" s="11" t="str">
        <f t="shared" si="10"/>
        <v>Y</v>
      </c>
      <c r="P95" t="str">
        <f>IF(O95="Y","This Loan is in Step: Referral","This Loan is in Step: n/a")</f>
        <v>This Loan is in Step: Referral</v>
      </c>
      <c r="Q95" t="str">
        <f t="shared" si="14"/>
        <v>Referral</v>
      </c>
      <c r="R95" s="10"/>
      <c r="T95" s="10"/>
    </row>
    <row r="96" spans="2:20" x14ac:dyDescent="0.3">
      <c r="B96">
        <v>80</v>
      </c>
      <c r="C96">
        <v>87048847</v>
      </c>
      <c r="D96" t="s">
        <v>2</v>
      </c>
      <c r="E96" s="2">
        <v>380000</v>
      </c>
      <c r="F96" s="1">
        <v>7.5436353811503654E-2</v>
      </c>
      <c r="G96">
        <v>20</v>
      </c>
      <c r="H96" s="6">
        <f t="shared" si="11"/>
        <v>-3071.4010993646089</v>
      </c>
      <c r="I96">
        <v>124</v>
      </c>
      <c r="J96" s="6">
        <f t="shared" si="12"/>
        <v>252407.09661965974</v>
      </c>
      <c r="K96" t="s">
        <v>12</v>
      </c>
      <c r="L96" s="11" t="str">
        <f t="shared" si="13"/>
        <v>GNMA</v>
      </c>
      <c r="M96">
        <v>3</v>
      </c>
      <c r="N96" s="11" t="str">
        <f t="shared" si="10"/>
        <v>90+</v>
      </c>
      <c r="O96" s="11" t="str">
        <f t="shared" si="10"/>
        <v>N</v>
      </c>
      <c r="P96" t="str">
        <f>IF(O96="Y","This Loan is in Step: Service","This Loan is in Step: n/a")</f>
        <v>This Loan is in Step: n/a</v>
      </c>
      <c r="Q96" t="str">
        <f t="shared" si="14"/>
        <v>n/a</v>
      </c>
      <c r="R96" s="10"/>
      <c r="T96" s="10"/>
    </row>
    <row r="97" spans="2:20" x14ac:dyDescent="0.3">
      <c r="B97">
        <v>81</v>
      </c>
      <c r="C97">
        <v>35342493</v>
      </c>
      <c r="D97" t="s">
        <v>2</v>
      </c>
      <c r="E97" s="2">
        <v>370000</v>
      </c>
      <c r="F97" s="1">
        <v>4.4525794658394374E-2</v>
      </c>
      <c r="G97">
        <v>10</v>
      </c>
      <c r="H97" s="6">
        <f t="shared" si="11"/>
        <v>-3826.169015377312</v>
      </c>
      <c r="I97">
        <v>45</v>
      </c>
      <c r="J97" s="6">
        <f t="shared" si="12"/>
        <v>250091.53285965056</v>
      </c>
      <c r="K97" t="s">
        <v>11</v>
      </c>
      <c r="L97" s="11" t="str">
        <f t="shared" si="13"/>
        <v>FNMA</v>
      </c>
      <c r="M97">
        <v>6</v>
      </c>
      <c r="N97" s="11" t="str">
        <f t="shared" ref="N97:O116" si="15">INDEX(MASTER_DATA,MATCH($C97,MASTER_ROWS,0),MATCH(N$16,MASTER_HEADERS,0))</f>
        <v>90+</v>
      </c>
      <c r="O97" s="11" t="str">
        <f t="shared" si="15"/>
        <v>Y</v>
      </c>
      <c r="P97" t="str">
        <f>IF(O97="Y","This Loan is in Step: Service","This Loan is in Step: n/a")</f>
        <v>This Loan is in Step: Service</v>
      </c>
      <c r="Q97" t="str">
        <f t="shared" si="14"/>
        <v>Service</v>
      </c>
      <c r="R97" s="10"/>
      <c r="T97" s="10"/>
    </row>
    <row r="98" spans="2:20" x14ac:dyDescent="0.3">
      <c r="B98">
        <v>82</v>
      </c>
      <c r="C98">
        <v>75556629</v>
      </c>
      <c r="D98" t="s">
        <v>2</v>
      </c>
      <c r="E98" s="2">
        <v>310000</v>
      </c>
      <c r="F98" s="1">
        <v>3.9359824408563691E-2</v>
      </c>
      <c r="G98">
        <v>30</v>
      </c>
      <c r="H98" s="6">
        <f t="shared" si="11"/>
        <v>-1468.5691609622631</v>
      </c>
      <c r="I98">
        <v>246</v>
      </c>
      <c r="J98" s="6">
        <f t="shared" si="12"/>
        <v>139490.4135723091</v>
      </c>
      <c r="K98" t="s">
        <v>13</v>
      </c>
      <c r="L98" s="11" t="str">
        <f t="shared" si="13"/>
        <v>GNMA</v>
      </c>
      <c r="M98">
        <v>9</v>
      </c>
      <c r="N98" s="11" t="str">
        <f t="shared" si="15"/>
        <v>90+</v>
      </c>
      <c r="O98" s="11" t="str">
        <f t="shared" si="15"/>
        <v>Y</v>
      </c>
      <c r="P98" t="str">
        <f>IF(O98="Y","This Loan is in Step: Referral","This Loan is in Step: n/a")</f>
        <v>This Loan is in Step: Referral</v>
      </c>
      <c r="Q98" t="str">
        <f t="shared" si="14"/>
        <v>Referral</v>
      </c>
      <c r="R98" s="10"/>
      <c r="T98" s="10"/>
    </row>
    <row r="99" spans="2:20" x14ac:dyDescent="0.3">
      <c r="B99">
        <v>83</v>
      </c>
      <c r="C99">
        <v>87177391</v>
      </c>
      <c r="D99" t="s">
        <v>2</v>
      </c>
      <c r="E99" s="2">
        <v>360000</v>
      </c>
      <c r="F99" s="1">
        <v>6.9952886514902876E-2</v>
      </c>
      <c r="G99">
        <v>20</v>
      </c>
      <c r="H99" s="6">
        <f t="shared" si="11"/>
        <v>-2790.058179585259</v>
      </c>
      <c r="I99">
        <v>216</v>
      </c>
      <c r="J99" s="6">
        <f t="shared" si="12"/>
        <v>62319.199340444364</v>
      </c>
      <c r="K99" t="s">
        <v>10</v>
      </c>
      <c r="L99" s="11" t="str">
        <f t="shared" si="13"/>
        <v>FHLMC</v>
      </c>
      <c r="M99">
        <v>1</v>
      </c>
      <c r="N99" s="11" t="str">
        <f t="shared" si="15"/>
        <v>30-60</v>
      </c>
      <c r="O99" s="11" t="str">
        <f t="shared" si="15"/>
        <v>N</v>
      </c>
      <c r="P99" t="str">
        <f>IF(O99="Y","This Loan is in Step: Service","This Loan is in Step: n/a")</f>
        <v>This Loan is in Step: n/a</v>
      </c>
      <c r="Q99" t="str">
        <f t="shared" si="14"/>
        <v>n/a</v>
      </c>
      <c r="R99" s="10"/>
      <c r="T99" s="10"/>
    </row>
    <row r="100" spans="2:20" x14ac:dyDescent="0.3">
      <c r="B100">
        <v>84</v>
      </c>
      <c r="C100">
        <v>70455980</v>
      </c>
      <c r="D100" t="s">
        <v>2</v>
      </c>
      <c r="E100" s="2">
        <v>360000</v>
      </c>
      <c r="F100" s="1">
        <v>2.6369708310845265E-2</v>
      </c>
      <c r="G100">
        <v>30</v>
      </c>
      <c r="H100" s="6">
        <f t="shared" si="11"/>
        <v>-1448.2046136394538</v>
      </c>
      <c r="I100">
        <v>329</v>
      </c>
      <c r="J100" s="6">
        <f t="shared" si="12"/>
        <v>43353.328607756092</v>
      </c>
      <c r="K100" t="s">
        <v>13</v>
      </c>
      <c r="L100" s="11" t="str">
        <f t="shared" si="13"/>
        <v>GNMA</v>
      </c>
      <c r="M100">
        <v>4</v>
      </c>
      <c r="N100" s="11" t="str">
        <f t="shared" si="15"/>
        <v>90+</v>
      </c>
      <c r="O100" s="11" t="str">
        <f t="shared" si="15"/>
        <v>N</v>
      </c>
      <c r="P100" t="str">
        <f>IF(O100="Y","This Loan is in Step: Service","This Loan is in Step: n/a")</f>
        <v>This Loan is in Step: n/a</v>
      </c>
      <c r="Q100" t="str">
        <f t="shared" si="14"/>
        <v>n/a</v>
      </c>
      <c r="R100" s="10"/>
      <c r="T100" s="10"/>
    </row>
    <row r="101" spans="2:20" x14ac:dyDescent="0.3">
      <c r="B101">
        <v>85</v>
      </c>
      <c r="C101">
        <v>75392997</v>
      </c>
      <c r="D101" t="s">
        <v>2</v>
      </c>
      <c r="E101" s="2">
        <v>440000</v>
      </c>
      <c r="F101" s="1">
        <v>4.3556765273894182E-2</v>
      </c>
      <c r="G101">
        <v>30</v>
      </c>
      <c r="H101" s="6">
        <f t="shared" si="11"/>
        <v>-2191.8431353548999</v>
      </c>
      <c r="I101">
        <v>164</v>
      </c>
      <c r="J101" s="6">
        <f t="shared" si="12"/>
        <v>307016.215082879</v>
      </c>
      <c r="K101" t="s">
        <v>12</v>
      </c>
      <c r="L101" s="11" t="str">
        <f t="shared" si="13"/>
        <v>GNMA</v>
      </c>
      <c r="M101">
        <v>5</v>
      </c>
      <c r="N101" s="11" t="str">
        <f t="shared" si="15"/>
        <v>90+</v>
      </c>
      <c r="O101" s="11" t="str">
        <f t="shared" si="15"/>
        <v>N</v>
      </c>
      <c r="P101" t="str">
        <f>IF(O101="Y","This Loan is in Step: Referral","This Loan is in Step: n/a")</f>
        <v>This Loan is in Step: n/a</v>
      </c>
      <c r="Q101" t="str">
        <f t="shared" si="14"/>
        <v>n/a</v>
      </c>
      <c r="R101" s="10"/>
      <c r="T101" s="10"/>
    </row>
    <row r="102" spans="2:20" x14ac:dyDescent="0.3">
      <c r="B102">
        <v>86</v>
      </c>
      <c r="C102">
        <v>19338298</v>
      </c>
      <c r="D102" t="s">
        <v>2</v>
      </c>
      <c r="E102" s="2">
        <v>210000</v>
      </c>
      <c r="F102" s="1">
        <v>2.092235791221576E-2</v>
      </c>
      <c r="G102">
        <v>20</v>
      </c>
      <c r="H102" s="6">
        <f t="shared" si="11"/>
        <v>-1071.5526430845575</v>
      </c>
      <c r="I102">
        <v>232</v>
      </c>
      <c r="J102" s="6">
        <f t="shared" si="12"/>
        <v>8505.5519435938586</v>
      </c>
      <c r="K102" t="s">
        <v>12</v>
      </c>
      <c r="L102" s="11" t="str">
        <f t="shared" si="13"/>
        <v>GNMA</v>
      </c>
      <c r="M102">
        <v>0</v>
      </c>
      <c r="N102" s="11" t="str">
        <f t="shared" si="15"/>
        <v>Current</v>
      </c>
      <c r="O102" s="11" t="str">
        <f t="shared" si="15"/>
        <v>N</v>
      </c>
      <c r="P102" t="str">
        <f>IF(O102="Y","This Loan is in Step: Judgment","This Loan is in Step: n/a")</f>
        <v>This Loan is in Step: n/a</v>
      </c>
      <c r="Q102" t="str">
        <f t="shared" si="14"/>
        <v>n/a</v>
      </c>
      <c r="R102" s="10"/>
      <c r="T102" s="10"/>
    </row>
    <row r="103" spans="2:20" x14ac:dyDescent="0.3">
      <c r="B103">
        <v>87</v>
      </c>
      <c r="C103">
        <v>46089585</v>
      </c>
      <c r="D103" t="s">
        <v>2</v>
      </c>
      <c r="E103" s="2">
        <v>360000</v>
      </c>
      <c r="F103" s="1">
        <v>5.6408371052604878E-2</v>
      </c>
      <c r="G103">
        <v>15</v>
      </c>
      <c r="H103" s="6">
        <f t="shared" si="11"/>
        <v>-2968.4742211011367</v>
      </c>
      <c r="I103">
        <v>78</v>
      </c>
      <c r="J103" s="6">
        <f t="shared" si="12"/>
        <v>240090.79904152575</v>
      </c>
      <c r="K103" t="s">
        <v>9</v>
      </c>
      <c r="L103" s="11" t="str">
        <f t="shared" si="13"/>
        <v>GNMA</v>
      </c>
      <c r="M103">
        <v>0</v>
      </c>
      <c r="N103" s="11" t="str">
        <f t="shared" si="15"/>
        <v>Current</v>
      </c>
      <c r="O103" s="11" t="str">
        <f t="shared" si="15"/>
        <v>N</v>
      </c>
      <c r="P103" t="str">
        <f>IF(O103="Y","This Loan is in Step: Judgment","This Loan is in Step: n/a")</f>
        <v>This Loan is in Step: n/a</v>
      </c>
      <c r="Q103" t="str">
        <f t="shared" si="14"/>
        <v>n/a</v>
      </c>
      <c r="R103" s="10"/>
      <c r="T103" s="10"/>
    </row>
    <row r="104" spans="2:20" x14ac:dyDescent="0.3">
      <c r="B104">
        <v>88</v>
      </c>
      <c r="C104">
        <v>82517417</v>
      </c>
      <c r="D104" t="s">
        <v>2</v>
      </c>
      <c r="E104" s="2">
        <v>190000</v>
      </c>
      <c r="F104" s="1">
        <v>8.4050464805110664E-2</v>
      </c>
      <c r="G104">
        <v>30</v>
      </c>
      <c r="H104" s="6">
        <f t="shared" si="11"/>
        <v>-1448.1689745522599</v>
      </c>
      <c r="I104">
        <v>307</v>
      </c>
      <c r="J104" s="6">
        <f t="shared" si="12"/>
        <v>63932.703600784225</v>
      </c>
      <c r="K104" t="s">
        <v>12</v>
      </c>
      <c r="L104" s="11" t="str">
        <f t="shared" si="13"/>
        <v>GNMA</v>
      </c>
      <c r="M104">
        <v>0</v>
      </c>
      <c r="N104" s="11" t="str">
        <f t="shared" si="15"/>
        <v>Current</v>
      </c>
      <c r="O104" s="11" t="str">
        <f t="shared" si="15"/>
        <v>N</v>
      </c>
      <c r="P104" t="str">
        <f>IF(O104="Y","This Loan is in Step: Referral","This Loan is in Step: n/a")</f>
        <v>This Loan is in Step: n/a</v>
      </c>
      <c r="Q104" t="str">
        <f t="shared" si="14"/>
        <v>n/a</v>
      </c>
      <c r="R104" s="10"/>
      <c r="T104" s="10"/>
    </row>
    <row r="105" spans="2:20" x14ac:dyDescent="0.3">
      <c r="B105">
        <v>89</v>
      </c>
      <c r="C105">
        <v>42621092</v>
      </c>
      <c r="D105" t="s">
        <v>2</v>
      </c>
      <c r="E105" s="2">
        <v>270000</v>
      </c>
      <c r="F105" s="1">
        <v>4.3622348956864891E-2</v>
      </c>
      <c r="G105">
        <v>20</v>
      </c>
      <c r="H105" s="6">
        <f t="shared" si="11"/>
        <v>-1688.1403027146584</v>
      </c>
      <c r="I105">
        <v>171</v>
      </c>
      <c r="J105" s="6">
        <f t="shared" si="12"/>
        <v>102857.332590162</v>
      </c>
      <c r="K105" t="s">
        <v>10</v>
      </c>
      <c r="L105" s="11" t="str">
        <f t="shared" si="13"/>
        <v>FHLMC</v>
      </c>
      <c r="M105">
        <v>0</v>
      </c>
      <c r="N105" s="11" t="str">
        <f t="shared" si="15"/>
        <v>Current</v>
      </c>
      <c r="O105" s="11" t="str">
        <f t="shared" si="15"/>
        <v>N</v>
      </c>
      <c r="P105" t="str">
        <f>IF(O105="Y","This Loan is in Step: Service","This Loan is in Step: n/a")</f>
        <v>This Loan is in Step: n/a</v>
      </c>
      <c r="Q105" t="str">
        <f t="shared" si="14"/>
        <v>n/a</v>
      </c>
      <c r="R105" s="10"/>
      <c r="T105" s="10"/>
    </row>
    <row r="106" spans="2:20" x14ac:dyDescent="0.3">
      <c r="B106">
        <v>90</v>
      </c>
      <c r="C106">
        <v>88723122</v>
      </c>
      <c r="D106" t="s">
        <v>2</v>
      </c>
      <c r="E106" s="2">
        <v>160000</v>
      </c>
      <c r="F106" s="1">
        <v>2.3133587418061395E-2</v>
      </c>
      <c r="G106">
        <v>30</v>
      </c>
      <c r="H106" s="6">
        <f t="shared" si="11"/>
        <v>-616.77704074120834</v>
      </c>
      <c r="I106">
        <v>33</v>
      </c>
      <c r="J106" s="6">
        <f t="shared" si="12"/>
        <v>149504.95132874412</v>
      </c>
      <c r="K106" t="s">
        <v>10</v>
      </c>
      <c r="L106" s="11" t="str">
        <f t="shared" si="13"/>
        <v>FHLMC</v>
      </c>
      <c r="M106">
        <v>0</v>
      </c>
      <c r="N106" s="11" t="str">
        <f t="shared" si="15"/>
        <v>Current</v>
      </c>
      <c r="O106" s="11" t="str">
        <f t="shared" si="15"/>
        <v>N</v>
      </c>
      <c r="P106" t="str">
        <f>IF(O106="Y","This Loan is in Step: Referral","This Loan is in Step: n/a")</f>
        <v>This Loan is in Step: n/a</v>
      </c>
      <c r="Q106" t="str">
        <f t="shared" si="14"/>
        <v>n/a</v>
      </c>
      <c r="R106" s="10"/>
      <c r="T106" s="10"/>
    </row>
    <row r="107" spans="2:20" x14ac:dyDescent="0.3">
      <c r="B107">
        <v>91</v>
      </c>
      <c r="C107">
        <v>87714312</v>
      </c>
      <c r="D107" t="s">
        <v>2</v>
      </c>
      <c r="E107" s="2">
        <v>410000</v>
      </c>
      <c r="F107" s="1">
        <v>7.6002502678293865E-2</v>
      </c>
      <c r="G107">
        <v>15</v>
      </c>
      <c r="H107" s="6">
        <f t="shared" si="11"/>
        <v>-3824.1453134030444</v>
      </c>
      <c r="I107">
        <v>49</v>
      </c>
      <c r="J107" s="6">
        <f t="shared" si="12"/>
        <v>339738.68083478435</v>
      </c>
      <c r="K107" t="s">
        <v>10</v>
      </c>
      <c r="L107" s="11" t="str">
        <f t="shared" si="13"/>
        <v>FHLMC</v>
      </c>
      <c r="M107">
        <v>0</v>
      </c>
      <c r="N107" s="11" t="str">
        <f t="shared" si="15"/>
        <v>Current</v>
      </c>
      <c r="O107" s="11" t="str">
        <f t="shared" si="15"/>
        <v>N</v>
      </c>
      <c r="P107" t="str">
        <f>IF(O107="Y","This Loan is in Step: Judgment","This Loan is in Step: n/a")</f>
        <v>This Loan is in Step: n/a</v>
      </c>
      <c r="Q107" t="str">
        <f t="shared" si="14"/>
        <v>n/a</v>
      </c>
      <c r="R107" s="10"/>
      <c r="T107" s="10"/>
    </row>
    <row r="108" spans="2:20" x14ac:dyDescent="0.3">
      <c r="B108">
        <v>92</v>
      </c>
      <c r="C108">
        <v>37402885</v>
      </c>
      <c r="D108" t="s">
        <v>2</v>
      </c>
      <c r="E108" s="2">
        <v>100000</v>
      </c>
      <c r="F108" s="1">
        <v>8.0625304723364447E-2</v>
      </c>
      <c r="G108">
        <v>30</v>
      </c>
      <c r="H108" s="6">
        <f t="shared" si="11"/>
        <v>-738.12836595525948</v>
      </c>
      <c r="I108">
        <v>17</v>
      </c>
      <c r="J108" s="6">
        <f t="shared" si="12"/>
        <v>98811.116686448775</v>
      </c>
      <c r="K108" t="s">
        <v>9</v>
      </c>
      <c r="L108" s="11" t="str">
        <f t="shared" si="13"/>
        <v>GNMA</v>
      </c>
      <c r="M108">
        <v>0</v>
      </c>
      <c r="N108" s="11" t="str">
        <f t="shared" si="15"/>
        <v>Current</v>
      </c>
      <c r="O108" s="11" t="str">
        <f t="shared" si="15"/>
        <v>N</v>
      </c>
      <c r="P108" t="str">
        <f>IF(O108="Y","This Loan is in Step: Service","This Loan is in Step: n/a")</f>
        <v>This Loan is in Step: n/a</v>
      </c>
      <c r="Q108" t="str">
        <f t="shared" si="14"/>
        <v>n/a</v>
      </c>
      <c r="R108" s="10"/>
      <c r="T108" s="10"/>
    </row>
    <row r="109" spans="2:20" x14ac:dyDescent="0.3">
      <c r="B109">
        <v>93</v>
      </c>
      <c r="C109">
        <v>50004880</v>
      </c>
      <c r="D109" t="s">
        <v>2</v>
      </c>
      <c r="E109" s="2">
        <v>200000</v>
      </c>
      <c r="F109" s="1">
        <v>3.1586661242958225E-2</v>
      </c>
      <c r="G109">
        <v>15</v>
      </c>
      <c r="H109" s="6">
        <f t="shared" si="11"/>
        <v>-1396.4764067875863</v>
      </c>
      <c r="I109">
        <v>46</v>
      </c>
      <c r="J109" s="6">
        <f t="shared" si="12"/>
        <v>157514.10005123282</v>
      </c>
      <c r="K109" t="s">
        <v>13</v>
      </c>
      <c r="L109" s="11" t="str">
        <f t="shared" si="13"/>
        <v>GNMA</v>
      </c>
      <c r="M109">
        <v>0</v>
      </c>
      <c r="N109" s="11" t="str">
        <f t="shared" si="15"/>
        <v>Current</v>
      </c>
      <c r="O109" s="11" t="str">
        <f t="shared" si="15"/>
        <v>N</v>
      </c>
      <c r="P109" t="str">
        <f>IF(O109="Y","This Loan is in Step: Judgment","This Loan is in Step: n/a")</f>
        <v>This Loan is in Step: n/a</v>
      </c>
      <c r="Q109" t="str">
        <f t="shared" si="14"/>
        <v>n/a</v>
      </c>
      <c r="R109" s="10"/>
      <c r="T109" s="10"/>
    </row>
    <row r="110" spans="2:20" x14ac:dyDescent="0.3">
      <c r="B110">
        <v>94</v>
      </c>
      <c r="C110">
        <v>54104168</v>
      </c>
      <c r="D110" t="s">
        <v>2</v>
      </c>
      <c r="E110" s="2">
        <v>320000</v>
      </c>
      <c r="F110" s="1">
        <v>6.9094609118500627E-2</v>
      </c>
      <c r="G110">
        <v>30</v>
      </c>
      <c r="H110" s="6">
        <f t="shared" si="11"/>
        <v>-2109.5458171216096</v>
      </c>
      <c r="I110">
        <v>140</v>
      </c>
      <c r="J110" s="6">
        <f t="shared" si="12"/>
        <v>262773.21351286402</v>
      </c>
      <c r="K110" t="s">
        <v>12</v>
      </c>
      <c r="L110" s="11" t="str">
        <f t="shared" si="13"/>
        <v>GNMA</v>
      </c>
      <c r="M110">
        <v>4</v>
      </c>
      <c r="N110" s="11" t="str">
        <f t="shared" si="15"/>
        <v>90+</v>
      </c>
      <c r="O110" s="11" t="str">
        <f t="shared" si="15"/>
        <v>N</v>
      </c>
      <c r="P110" t="str">
        <f>IF(O110="Y","This Loan is in Step: Judgment","This Loan is in Step: n/a")</f>
        <v>This Loan is in Step: n/a</v>
      </c>
      <c r="Q110" t="str">
        <f t="shared" si="14"/>
        <v>n/a</v>
      </c>
      <c r="R110" s="10"/>
      <c r="T110" s="10"/>
    </row>
    <row r="111" spans="2:20" x14ac:dyDescent="0.3">
      <c r="B111">
        <v>95</v>
      </c>
      <c r="C111">
        <v>82658753</v>
      </c>
      <c r="D111" t="s">
        <v>2</v>
      </c>
      <c r="E111" s="2">
        <v>390000</v>
      </c>
      <c r="F111" s="1">
        <v>3.0758992929878257E-2</v>
      </c>
      <c r="G111">
        <v>30</v>
      </c>
      <c r="H111" s="6">
        <f t="shared" si="11"/>
        <v>-1660.2631024193468</v>
      </c>
      <c r="I111">
        <v>13</v>
      </c>
      <c r="J111" s="6">
        <f t="shared" si="12"/>
        <v>381278.92966405768</v>
      </c>
      <c r="K111" t="s">
        <v>11</v>
      </c>
      <c r="L111" s="11" t="str">
        <f t="shared" si="13"/>
        <v>FNMA</v>
      </c>
      <c r="M111">
        <v>2</v>
      </c>
      <c r="N111" s="11" t="str">
        <f t="shared" si="15"/>
        <v>30-60</v>
      </c>
      <c r="O111" s="11" t="str">
        <f t="shared" si="15"/>
        <v>N</v>
      </c>
      <c r="P111" t="str">
        <f>IF(O111="Y","This Loan is in Step: Judgment","This Loan is in Step: n/a")</f>
        <v>This Loan is in Step: n/a</v>
      </c>
      <c r="Q111" t="str">
        <f t="shared" si="14"/>
        <v>n/a</v>
      </c>
      <c r="R111" s="10"/>
      <c r="T111" s="10"/>
    </row>
    <row r="112" spans="2:20" x14ac:dyDescent="0.3">
      <c r="B112">
        <v>96</v>
      </c>
      <c r="C112">
        <v>10503800</v>
      </c>
      <c r="D112" t="s">
        <v>2</v>
      </c>
      <c r="E112" s="2">
        <v>260000</v>
      </c>
      <c r="F112" s="1">
        <v>8.3913752944148587E-2</v>
      </c>
      <c r="G112">
        <v>20</v>
      </c>
      <c r="H112" s="6">
        <f t="shared" si="11"/>
        <v>-2238.4973019559488</v>
      </c>
      <c r="I112">
        <v>90</v>
      </c>
      <c r="J112" s="6">
        <f t="shared" si="12"/>
        <v>207563.08641201249</v>
      </c>
      <c r="K112" t="s">
        <v>13</v>
      </c>
      <c r="L112" s="11" t="str">
        <f t="shared" si="13"/>
        <v>GNMA</v>
      </c>
      <c r="M112">
        <v>8</v>
      </c>
      <c r="N112" s="11" t="str">
        <f t="shared" si="15"/>
        <v>90+</v>
      </c>
      <c r="O112" s="11" t="str">
        <f t="shared" si="15"/>
        <v>Y</v>
      </c>
      <c r="P112" t="str">
        <f>IF(O112="Y","This Loan is in Step: Service","This Loan is in Step: n/a")</f>
        <v>This Loan is in Step: Service</v>
      </c>
      <c r="Q112" t="str">
        <f t="shared" si="14"/>
        <v>Service</v>
      </c>
      <c r="R112" s="10"/>
      <c r="T112" s="10"/>
    </row>
    <row r="113" spans="2:20" x14ac:dyDescent="0.3">
      <c r="B113">
        <v>97</v>
      </c>
      <c r="C113">
        <v>33072572</v>
      </c>
      <c r="D113" t="s">
        <v>2</v>
      </c>
      <c r="E113" s="2">
        <v>390000</v>
      </c>
      <c r="F113" s="1">
        <v>5.914795686569916E-2</v>
      </c>
      <c r="G113">
        <v>15</v>
      </c>
      <c r="H113" s="6">
        <f t="shared" ref="H113:H144" si="16">INDEX(MASTER_DATA,MATCH($C113,MASTER_ROWS,0),MATCH(H$16,MASTER_HEADERS,0))</f>
        <v>-3273.1159683163173</v>
      </c>
      <c r="I113">
        <v>30</v>
      </c>
      <c r="J113" s="6">
        <f t="shared" ref="J113:J144" si="17">INDEX(MASTER_DATA,MATCH($C113,MASTER_ROWS,0),MATCH(J$16,MASTER_HEADERS,0))</f>
        <v>346441.70509429998</v>
      </c>
      <c r="K113" t="s">
        <v>10</v>
      </c>
      <c r="L113" s="11" t="str">
        <f t="shared" ref="L113:L144" si="18">INDEX(MASTER_DATA,MATCH($C113,MASTER_ROWS,0),MATCH(L$16,MASTER_HEADERS,0))</f>
        <v>FHLMC</v>
      </c>
      <c r="M113">
        <v>5</v>
      </c>
      <c r="N113" s="11" t="str">
        <f t="shared" si="15"/>
        <v>90+</v>
      </c>
      <c r="O113" s="11" t="str">
        <f t="shared" si="15"/>
        <v>N</v>
      </c>
      <c r="P113" t="str">
        <f>IF(O113="Y","This Loan is in Step: Referral","This Loan is in Step: n/a")</f>
        <v>This Loan is in Step: n/a</v>
      </c>
      <c r="Q113" t="str">
        <f t="shared" si="14"/>
        <v>n/a</v>
      </c>
      <c r="R113" s="10"/>
      <c r="T113" s="10"/>
    </row>
    <row r="114" spans="2:20" x14ac:dyDescent="0.3">
      <c r="B114">
        <v>98</v>
      </c>
      <c r="C114">
        <v>13860670</v>
      </c>
      <c r="D114" t="s">
        <v>2</v>
      </c>
      <c r="E114" s="2">
        <v>160000</v>
      </c>
      <c r="F114" s="1">
        <v>3.401337062358261E-2</v>
      </c>
      <c r="G114">
        <v>20</v>
      </c>
      <c r="H114" s="6">
        <f t="shared" si="16"/>
        <v>-919.84426907277771</v>
      </c>
      <c r="I114">
        <v>66</v>
      </c>
      <c r="J114" s="6">
        <f t="shared" si="17"/>
        <v>126207.41994572611</v>
      </c>
      <c r="K114" t="s">
        <v>13</v>
      </c>
      <c r="L114" s="11" t="str">
        <f t="shared" si="18"/>
        <v>GNMA</v>
      </c>
      <c r="M114">
        <v>10</v>
      </c>
      <c r="N114" s="11" t="str">
        <f t="shared" si="15"/>
        <v>90+</v>
      </c>
      <c r="O114" s="11" t="str">
        <f t="shared" si="15"/>
        <v>Y</v>
      </c>
      <c r="P114" t="str">
        <f>IF(O114="Y","This Loan is in Step: Judgment","This Loan is in Step: n/a")</f>
        <v>This Loan is in Step: Judgment</v>
      </c>
      <c r="Q114" t="str">
        <f t="shared" si="14"/>
        <v>Judgment</v>
      </c>
      <c r="R114" s="10"/>
      <c r="T114" s="10"/>
    </row>
    <row r="115" spans="2:20" x14ac:dyDescent="0.3">
      <c r="B115">
        <v>99</v>
      </c>
      <c r="C115">
        <v>78628786</v>
      </c>
      <c r="D115" t="s">
        <v>2</v>
      </c>
      <c r="E115" s="2">
        <v>400000</v>
      </c>
      <c r="F115" s="1">
        <v>2.3051931389460947E-2</v>
      </c>
      <c r="G115">
        <v>30</v>
      </c>
      <c r="H115" s="6">
        <f t="shared" si="16"/>
        <v>-1540.2689912021608</v>
      </c>
      <c r="I115">
        <v>17</v>
      </c>
      <c r="J115" s="6">
        <f t="shared" si="17"/>
        <v>386674.58288546558</v>
      </c>
      <c r="K115" t="s">
        <v>9</v>
      </c>
      <c r="L115" s="11" t="str">
        <f t="shared" si="18"/>
        <v>GNMA</v>
      </c>
      <c r="M115">
        <v>9</v>
      </c>
      <c r="N115" s="11" t="str">
        <f t="shared" si="15"/>
        <v>90+</v>
      </c>
      <c r="O115" s="11" t="str">
        <f t="shared" si="15"/>
        <v>Y</v>
      </c>
      <c r="P115" t="str">
        <f>IF(O115="Y","This Loan is in Step: Sale","This Loan is in Step: n/a")</f>
        <v>This Loan is in Step: Sale</v>
      </c>
      <c r="Q115" t="str">
        <f t="shared" si="14"/>
        <v>Sale</v>
      </c>
      <c r="R115" s="10"/>
      <c r="T115" s="10"/>
    </row>
    <row r="116" spans="2:20" x14ac:dyDescent="0.3">
      <c r="B116">
        <v>100</v>
      </c>
      <c r="C116">
        <v>19293538</v>
      </c>
      <c r="D116" t="s">
        <v>2</v>
      </c>
      <c r="E116" s="2">
        <v>110000</v>
      </c>
      <c r="F116" s="1">
        <v>7.9989228013860547E-2</v>
      </c>
      <c r="G116">
        <v>20</v>
      </c>
      <c r="H116" s="6">
        <f t="shared" si="16"/>
        <v>-920.01033320253225</v>
      </c>
      <c r="I116">
        <v>200</v>
      </c>
      <c r="J116" s="6">
        <f t="shared" si="17"/>
        <v>32209.23467080425</v>
      </c>
      <c r="K116" t="s">
        <v>12</v>
      </c>
      <c r="L116" s="11" t="str">
        <f t="shared" si="18"/>
        <v>GNMA</v>
      </c>
      <c r="M116">
        <v>9</v>
      </c>
      <c r="N116" s="11" t="str">
        <f t="shared" si="15"/>
        <v>90+</v>
      </c>
      <c r="O116" s="11" t="str">
        <f t="shared" si="15"/>
        <v>Y</v>
      </c>
      <c r="P116" t="str">
        <f>IF(O116="Y","This Loan is in Step: Referral","This Loan is in Step: n/a")</f>
        <v>This Loan is in Step: Referral</v>
      </c>
      <c r="Q116" t="str">
        <f t="shared" si="14"/>
        <v>Referral</v>
      </c>
      <c r="R116" s="10"/>
      <c r="T116" s="10"/>
    </row>
    <row r="117" spans="2:20" x14ac:dyDescent="0.3">
      <c r="B117">
        <v>101</v>
      </c>
      <c r="C117">
        <v>74043188</v>
      </c>
      <c r="D117" t="s">
        <v>2</v>
      </c>
      <c r="E117" s="2">
        <v>270000</v>
      </c>
      <c r="F117" s="1">
        <v>4.318656729242594E-2</v>
      </c>
      <c r="G117">
        <v>20</v>
      </c>
      <c r="H117" s="6">
        <f t="shared" si="16"/>
        <v>-1681.8370465093874</v>
      </c>
      <c r="I117">
        <v>145</v>
      </c>
      <c r="J117" s="6">
        <f t="shared" si="17"/>
        <v>135121.60639166343</v>
      </c>
      <c r="K117" t="s">
        <v>12</v>
      </c>
      <c r="L117" s="11" t="str">
        <f t="shared" si="18"/>
        <v>GNMA</v>
      </c>
      <c r="M117">
        <v>9</v>
      </c>
      <c r="N117" s="11" t="str">
        <f t="shared" ref="N117:O136" si="19">INDEX(MASTER_DATA,MATCH($C117,MASTER_ROWS,0),MATCH(N$16,MASTER_HEADERS,0))</f>
        <v>90+</v>
      </c>
      <c r="O117" s="11" t="str">
        <f t="shared" si="19"/>
        <v>Y</v>
      </c>
      <c r="P117" t="str">
        <f>IF(O117="Y","This Loan is in Step: Service","This Loan is in Step: n/a")</f>
        <v>This Loan is in Step: Service</v>
      </c>
      <c r="Q117" t="str">
        <f t="shared" si="14"/>
        <v>Service</v>
      </c>
      <c r="R117" s="10"/>
      <c r="T117" s="10"/>
    </row>
    <row r="118" spans="2:20" x14ac:dyDescent="0.3">
      <c r="B118">
        <v>102</v>
      </c>
      <c r="C118">
        <v>85981412</v>
      </c>
      <c r="D118" t="s">
        <v>2</v>
      </c>
      <c r="E118" s="2">
        <v>100000</v>
      </c>
      <c r="F118" s="1">
        <v>4.9320800002458996E-2</v>
      </c>
      <c r="G118">
        <v>20</v>
      </c>
      <c r="H118" s="6">
        <f t="shared" si="16"/>
        <v>-656.20946828759884</v>
      </c>
      <c r="I118">
        <v>185</v>
      </c>
      <c r="J118" s="6">
        <f t="shared" si="17"/>
        <v>32243.961964010221</v>
      </c>
      <c r="K118" t="s">
        <v>10</v>
      </c>
      <c r="L118" s="11" t="str">
        <f t="shared" si="18"/>
        <v>FHLMC</v>
      </c>
      <c r="M118">
        <v>10</v>
      </c>
      <c r="N118" s="11" t="str">
        <f t="shared" si="19"/>
        <v>90+</v>
      </c>
      <c r="O118" s="11" t="str">
        <f t="shared" si="19"/>
        <v>Y</v>
      </c>
      <c r="P118" t="str">
        <f>IF(O118="Y","This Loan is in Step: Referral","This Loan is in Step: n/a")</f>
        <v>This Loan is in Step: Referral</v>
      </c>
      <c r="Q118" t="str">
        <f t="shared" si="14"/>
        <v>Referral</v>
      </c>
      <c r="R118" s="10"/>
      <c r="T118" s="10"/>
    </row>
    <row r="119" spans="2:20" x14ac:dyDescent="0.3">
      <c r="B119">
        <v>103</v>
      </c>
      <c r="C119">
        <v>28790211</v>
      </c>
      <c r="D119" t="s">
        <v>2</v>
      </c>
      <c r="E119" s="2">
        <v>280000</v>
      </c>
      <c r="F119" s="1">
        <v>8.5050217334716488E-2</v>
      </c>
      <c r="G119">
        <v>15</v>
      </c>
      <c r="H119" s="6">
        <f t="shared" si="16"/>
        <v>-2758.0950332798766</v>
      </c>
      <c r="I119">
        <v>118</v>
      </c>
      <c r="J119" s="6">
        <f t="shared" si="17"/>
        <v>137989.75301180655</v>
      </c>
      <c r="K119" t="s">
        <v>10</v>
      </c>
      <c r="L119" s="11" t="str">
        <f t="shared" si="18"/>
        <v>FHLMC</v>
      </c>
      <c r="M119">
        <v>3</v>
      </c>
      <c r="N119" s="11" t="str">
        <f t="shared" si="19"/>
        <v>90+</v>
      </c>
      <c r="O119" s="11" t="str">
        <f t="shared" si="19"/>
        <v>N</v>
      </c>
      <c r="P119" t="str">
        <f>IF(O119="Y","This Loan is in Step: Sale","This Loan is in Step: n/a")</f>
        <v>This Loan is in Step: n/a</v>
      </c>
      <c r="Q119" t="str">
        <f t="shared" si="14"/>
        <v>n/a</v>
      </c>
      <c r="R119" s="10"/>
      <c r="T119" s="10"/>
    </row>
    <row r="120" spans="2:20" x14ac:dyDescent="0.3">
      <c r="B120">
        <v>104</v>
      </c>
      <c r="C120">
        <v>74439129</v>
      </c>
      <c r="D120" t="s">
        <v>2</v>
      </c>
      <c r="E120" s="2">
        <v>360000</v>
      </c>
      <c r="F120" s="1">
        <v>6.172569651273551E-2</v>
      </c>
      <c r="G120">
        <v>15</v>
      </c>
      <c r="H120" s="6">
        <f t="shared" si="16"/>
        <v>-3071.5504974779028</v>
      </c>
      <c r="I120">
        <v>157</v>
      </c>
      <c r="J120" s="6">
        <f t="shared" si="17"/>
        <v>66465.848352409899</v>
      </c>
      <c r="K120" t="s">
        <v>13</v>
      </c>
      <c r="L120" s="11" t="str">
        <f t="shared" si="18"/>
        <v>GNMA</v>
      </c>
      <c r="M120">
        <v>5</v>
      </c>
      <c r="N120" s="11" t="str">
        <f t="shared" si="19"/>
        <v>90+</v>
      </c>
      <c r="O120" s="11" t="str">
        <f t="shared" si="19"/>
        <v>N</v>
      </c>
      <c r="P120" t="str">
        <f>IF(O120="Y","This Loan is in Step: Service","This Loan is in Step: n/a")</f>
        <v>This Loan is in Step: n/a</v>
      </c>
      <c r="Q120" t="str">
        <f t="shared" si="14"/>
        <v>n/a</v>
      </c>
      <c r="R120" s="10"/>
      <c r="T120" s="10"/>
    </row>
    <row r="121" spans="2:20" x14ac:dyDescent="0.3">
      <c r="B121">
        <v>105</v>
      </c>
      <c r="C121">
        <v>79146016</v>
      </c>
      <c r="D121" t="s">
        <v>2</v>
      </c>
      <c r="E121" s="2">
        <v>260000</v>
      </c>
      <c r="F121" s="1">
        <v>6.6777345462205137E-2</v>
      </c>
      <c r="G121">
        <v>15</v>
      </c>
      <c r="H121" s="6">
        <f t="shared" si="16"/>
        <v>-2290.360204717053</v>
      </c>
      <c r="I121">
        <v>15</v>
      </c>
      <c r="J121" s="6">
        <f t="shared" si="17"/>
        <v>246842.2793794398</v>
      </c>
      <c r="K121" t="s">
        <v>9</v>
      </c>
      <c r="L121" s="11" t="str">
        <f t="shared" si="18"/>
        <v>GNMA</v>
      </c>
      <c r="M121">
        <v>0</v>
      </c>
      <c r="N121" s="11" t="str">
        <f t="shared" si="19"/>
        <v>Current</v>
      </c>
      <c r="O121" s="11" t="str">
        <f t="shared" si="19"/>
        <v>N</v>
      </c>
      <c r="P121" t="str">
        <f>IF(O121="Y","This Loan is in Step: Referral","This Loan is in Step: n/a")</f>
        <v>This Loan is in Step: n/a</v>
      </c>
      <c r="Q121" t="str">
        <f t="shared" si="14"/>
        <v>n/a</v>
      </c>
      <c r="R121" s="10"/>
      <c r="T121" s="10"/>
    </row>
    <row r="122" spans="2:20" x14ac:dyDescent="0.3">
      <c r="B122">
        <v>106</v>
      </c>
      <c r="C122">
        <v>72685786</v>
      </c>
      <c r="D122" t="s">
        <v>2</v>
      </c>
      <c r="E122" s="2">
        <v>280000</v>
      </c>
      <c r="F122" s="1">
        <v>4.0406672002481922E-2</v>
      </c>
      <c r="G122">
        <v>15</v>
      </c>
      <c r="H122" s="6">
        <f t="shared" si="16"/>
        <v>-2076.8370206374502</v>
      </c>
      <c r="I122">
        <v>95</v>
      </c>
      <c r="J122" s="6">
        <f t="shared" si="17"/>
        <v>153292.67570242152</v>
      </c>
      <c r="K122" t="s">
        <v>9</v>
      </c>
      <c r="L122" s="11" t="str">
        <f t="shared" si="18"/>
        <v>GNMA</v>
      </c>
      <c r="M122">
        <v>3</v>
      </c>
      <c r="N122" s="11" t="str">
        <f t="shared" si="19"/>
        <v>90+</v>
      </c>
      <c r="O122" s="11" t="str">
        <f t="shared" si="19"/>
        <v>N</v>
      </c>
      <c r="P122" t="str">
        <f>IF(O122="Y","This Loan is in Step: Sale","This Loan is in Step: n/a")</f>
        <v>This Loan is in Step: n/a</v>
      </c>
      <c r="Q122" t="str">
        <f t="shared" si="14"/>
        <v>n/a</v>
      </c>
      <c r="R122" s="10"/>
      <c r="T122" s="10"/>
    </row>
    <row r="123" spans="2:20" x14ac:dyDescent="0.3">
      <c r="B123">
        <v>107</v>
      </c>
      <c r="C123">
        <v>66696062</v>
      </c>
      <c r="D123" t="s">
        <v>2</v>
      </c>
      <c r="E123" s="2">
        <v>130000</v>
      </c>
      <c r="F123" s="1">
        <v>6.9978729603616049E-2</v>
      </c>
      <c r="G123">
        <v>20</v>
      </c>
      <c r="H123" s="6">
        <f t="shared" si="16"/>
        <v>-1007.7226440856219</v>
      </c>
      <c r="I123">
        <v>62</v>
      </c>
      <c r="J123" s="6">
        <f t="shared" si="17"/>
        <v>111420.25929454762</v>
      </c>
      <c r="K123" t="s">
        <v>10</v>
      </c>
      <c r="L123" s="11" t="str">
        <f t="shared" si="18"/>
        <v>FHLMC</v>
      </c>
      <c r="M123">
        <v>0</v>
      </c>
      <c r="N123" s="11" t="str">
        <f t="shared" si="19"/>
        <v>Current</v>
      </c>
      <c r="O123" s="11" t="str">
        <f t="shared" si="19"/>
        <v>N</v>
      </c>
      <c r="P123" t="str">
        <f>IF(O123="Y","This Loan is in Step: Judgment","This Loan is in Step: n/a")</f>
        <v>This Loan is in Step: n/a</v>
      </c>
      <c r="Q123" t="str">
        <f t="shared" si="14"/>
        <v>n/a</v>
      </c>
      <c r="R123" s="10"/>
      <c r="T123" s="10"/>
    </row>
    <row r="124" spans="2:20" x14ac:dyDescent="0.3">
      <c r="B124">
        <v>108</v>
      </c>
      <c r="C124">
        <v>84759219</v>
      </c>
      <c r="D124" t="s">
        <v>2</v>
      </c>
      <c r="E124" s="2">
        <v>300000</v>
      </c>
      <c r="F124" s="1">
        <v>7.3541099206711563E-2</v>
      </c>
      <c r="G124">
        <v>15</v>
      </c>
      <c r="H124" s="6">
        <f t="shared" si="16"/>
        <v>-2756.2241468293892</v>
      </c>
      <c r="I124">
        <v>72</v>
      </c>
      <c r="J124" s="6">
        <f t="shared" si="17"/>
        <v>217258.49255830029</v>
      </c>
      <c r="K124" t="s">
        <v>13</v>
      </c>
      <c r="L124" s="11" t="str">
        <f t="shared" si="18"/>
        <v>GNMA</v>
      </c>
      <c r="M124">
        <v>5</v>
      </c>
      <c r="N124" s="11" t="str">
        <f t="shared" si="19"/>
        <v>90+</v>
      </c>
      <c r="O124" s="11" t="str">
        <f t="shared" si="19"/>
        <v>N</v>
      </c>
      <c r="P124" t="str">
        <f>IF(O124="Y","This Loan is in Step: Service","This Loan is in Step: n/a")</f>
        <v>This Loan is in Step: n/a</v>
      </c>
      <c r="Q124" t="str">
        <f t="shared" si="14"/>
        <v>n/a</v>
      </c>
      <c r="R124" s="10"/>
      <c r="T124" s="10"/>
    </row>
    <row r="125" spans="2:20" x14ac:dyDescent="0.3">
      <c r="B125">
        <v>109</v>
      </c>
      <c r="C125">
        <v>70637400</v>
      </c>
      <c r="D125" t="s">
        <v>2</v>
      </c>
      <c r="E125" s="2">
        <v>310000</v>
      </c>
      <c r="F125" s="1">
        <v>8.429193812760874E-2</v>
      </c>
      <c r="G125">
        <v>30</v>
      </c>
      <c r="H125" s="6">
        <f t="shared" si="16"/>
        <v>-2368.0931864350027</v>
      </c>
      <c r="I125">
        <v>242</v>
      </c>
      <c r="J125" s="6">
        <f t="shared" si="17"/>
        <v>189530.05682059354</v>
      </c>
      <c r="K125" t="s">
        <v>13</v>
      </c>
      <c r="L125" s="11" t="str">
        <f t="shared" si="18"/>
        <v>GNMA</v>
      </c>
      <c r="M125">
        <v>8</v>
      </c>
      <c r="N125" s="11" t="str">
        <f t="shared" si="19"/>
        <v>90+</v>
      </c>
      <c r="O125" s="11" t="str">
        <f t="shared" si="19"/>
        <v>Y</v>
      </c>
      <c r="P125" t="str">
        <f>IF(O125="Y","This Loan is in Step: Judgment","This Loan is in Step: n/a")</f>
        <v>This Loan is in Step: Judgment</v>
      </c>
      <c r="Q125" t="str">
        <f t="shared" si="14"/>
        <v>Judgment</v>
      </c>
      <c r="R125" s="10"/>
      <c r="T125" s="10"/>
    </row>
    <row r="126" spans="2:20" x14ac:dyDescent="0.3">
      <c r="B126">
        <v>110</v>
      </c>
      <c r="C126">
        <v>38798861</v>
      </c>
      <c r="D126" t="s">
        <v>2</v>
      </c>
      <c r="E126" s="2">
        <v>430000</v>
      </c>
      <c r="F126" s="1">
        <v>2.1001186674988234E-2</v>
      </c>
      <c r="G126">
        <v>15</v>
      </c>
      <c r="H126" s="6">
        <f t="shared" si="16"/>
        <v>-2786.9555157276159</v>
      </c>
      <c r="I126">
        <v>23</v>
      </c>
      <c r="J126" s="6">
        <f t="shared" si="17"/>
        <v>382296.58142740378</v>
      </c>
      <c r="K126" t="s">
        <v>10</v>
      </c>
      <c r="L126" s="11" t="str">
        <f t="shared" si="18"/>
        <v>FHLMC</v>
      </c>
      <c r="M126">
        <v>2</v>
      </c>
      <c r="N126" s="11" t="str">
        <f t="shared" si="19"/>
        <v>30-60</v>
      </c>
      <c r="O126" s="11" t="str">
        <f t="shared" si="19"/>
        <v>N</v>
      </c>
      <c r="P126" t="str">
        <f>IF(O126="Y","This Loan is in Step: Referral","This Loan is in Step: n/a")</f>
        <v>This Loan is in Step: n/a</v>
      </c>
      <c r="Q126" t="str">
        <f t="shared" si="14"/>
        <v>n/a</v>
      </c>
      <c r="R126" s="10"/>
      <c r="T126" s="10"/>
    </row>
    <row r="127" spans="2:20" x14ac:dyDescent="0.3">
      <c r="B127">
        <v>111</v>
      </c>
      <c r="C127">
        <v>76703611</v>
      </c>
      <c r="D127" t="s">
        <v>2</v>
      </c>
      <c r="E127" s="2">
        <v>140000</v>
      </c>
      <c r="F127" s="1">
        <v>7.4869625494172767E-2</v>
      </c>
      <c r="G127">
        <v>15</v>
      </c>
      <c r="H127" s="6">
        <f t="shared" si="16"/>
        <v>-1296.7803011909505</v>
      </c>
      <c r="I127">
        <v>108</v>
      </c>
      <c r="J127" s="6">
        <f t="shared" si="17"/>
        <v>75028.657941106503</v>
      </c>
      <c r="K127" t="s">
        <v>10</v>
      </c>
      <c r="L127" s="11" t="str">
        <f t="shared" si="18"/>
        <v>FHLMC</v>
      </c>
      <c r="M127">
        <v>5</v>
      </c>
      <c r="N127" s="11" t="str">
        <f t="shared" si="19"/>
        <v>90+</v>
      </c>
      <c r="O127" s="11" t="str">
        <f t="shared" si="19"/>
        <v>N</v>
      </c>
      <c r="P127" t="str">
        <f>IF(O127="Y","This Loan is in Step: Sale","This Loan is in Step: n/a")</f>
        <v>This Loan is in Step: n/a</v>
      </c>
      <c r="Q127" t="str">
        <f t="shared" si="14"/>
        <v>n/a</v>
      </c>
      <c r="R127" s="10"/>
      <c r="T127" s="10"/>
    </row>
    <row r="128" spans="2:20" x14ac:dyDescent="0.3">
      <c r="B128">
        <v>112</v>
      </c>
      <c r="C128">
        <v>70445419</v>
      </c>
      <c r="D128" t="s">
        <v>2</v>
      </c>
      <c r="E128" s="2">
        <v>110000</v>
      </c>
      <c r="F128" s="1">
        <v>4.0022588821897263E-2</v>
      </c>
      <c r="G128">
        <v>30</v>
      </c>
      <c r="H128" s="6">
        <f t="shared" si="16"/>
        <v>-525.30008525464871</v>
      </c>
      <c r="I128">
        <v>61</v>
      </c>
      <c r="J128" s="6">
        <f t="shared" si="17"/>
        <v>99302.433763665118</v>
      </c>
      <c r="K128" t="s">
        <v>13</v>
      </c>
      <c r="L128" s="11" t="str">
        <f t="shared" si="18"/>
        <v>GNMA</v>
      </c>
      <c r="M128">
        <v>6</v>
      </c>
      <c r="N128" s="11" t="str">
        <f t="shared" si="19"/>
        <v>90+</v>
      </c>
      <c r="O128" s="11" t="str">
        <f t="shared" si="19"/>
        <v>Y</v>
      </c>
      <c r="P128" t="str">
        <f>IF(O128="Y","This Loan is in Step: Judgment","This Loan is in Step: n/a")</f>
        <v>This Loan is in Step: Judgment</v>
      </c>
      <c r="Q128" t="str">
        <f t="shared" si="14"/>
        <v>Judgment</v>
      </c>
      <c r="R128" s="10"/>
      <c r="T128" s="10"/>
    </row>
    <row r="129" spans="2:20" x14ac:dyDescent="0.3">
      <c r="B129">
        <v>113</v>
      </c>
      <c r="C129">
        <v>44239553</v>
      </c>
      <c r="D129" t="s">
        <v>2</v>
      </c>
      <c r="E129" s="2">
        <v>240000</v>
      </c>
      <c r="F129" s="1">
        <v>5.5915919135758191E-2</v>
      </c>
      <c r="G129">
        <v>30</v>
      </c>
      <c r="H129" s="6">
        <f t="shared" si="16"/>
        <v>-1376.5173548341957</v>
      </c>
      <c r="I129">
        <v>309</v>
      </c>
      <c r="J129" s="6">
        <f t="shared" si="17"/>
        <v>62355.550259492658</v>
      </c>
      <c r="K129" t="s">
        <v>11</v>
      </c>
      <c r="L129" s="11" t="str">
        <f t="shared" si="18"/>
        <v>FNMA</v>
      </c>
      <c r="M129">
        <v>9</v>
      </c>
      <c r="N129" s="11" t="str">
        <f t="shared" si="19"/>
        <v>90+</v>
      </c>
      <c r="O129" s="11" t="str">
        <f t="shared" si="19"/>
        <v>Y</v>
      </c>
      <c r="P129" t="str">
        <f>IF(O129="Y","This Loan is in Step: Sale","This Loan is in Step: n/a")</f>
        <v>This Loan is in Step: Sale</v>
      </c>
      <c r="Q129" t="str">
        <f t="shared" si="14"/>
        <v>Sale</v>
      </c>
      <c r="R129" s="10"/>
      <c r="T129" s="10"/>
    </row>
    <row r="130" spans="2:20" x14ac:dyDescent="0.3">
      <c r="B130">
        <v>114</v>
      </c>
      <c r="C130">
        <v>41349397</v>
      </c>
      <c r="D130" t="s">
        <v>2</v>
      </c>
      <c r="E130" s="2">
        <v>270000</v>
      </c>
      <c r="F130" s="1">
        <v>6.2954123371356599E-2</v>
      </c>
      <c r="G130">
        <v>20</v>
      </c>
      <c r="H130" s="6">
        <f t="shared" si="16"/>
        <v>-1980.6592873396762</v>
      </c>
      <c r="I130">
        <v>211</v>
      </c>
      <c r="J130" s="6">
        <f t="shared" si="17"/>
        <v>53154.177861113814</v>
      </c>
      <c r="K130" t="s">
        <v>12</v>
      </c>
      <c r="L130" s="11" t="str">
        <f t="shared" si="18"/>
        <v>GNMA</v>
      </c>
      <c r="M130">
        <v>6</v>
      </c>
      <c r="N130" s="11" t="str">
        <f t="shared" si="19"/>
        <v>90+</v>
      </c>
      <c r="O130" s="11" t="str">
        <f t="shared" si="19"/>
        <v>Y</v>
      </c>
      <c r="P130" t="str">
        <f>IF(O130="Y","This Loan is in Step: Service","This Loan is in Step: n/a")</f>
        <v>This Loan is in Step: Service</v>
      </c>
      <c r="Q130" t="str">
        <f t="shared" si="14"/>
        <v>Service</v>
      </c>
      <c r="R130" s="10"/>
      <c r="T130" s="10"/>
    </row>
    <row r="131" spans="2:20" x14ac:dyDescent="0.3">
      <c r="B131">
        <v>115</v>
      </c>
      <c r="C131">
        <v>58908267</v>
      </c>
      <c r="D131" t="s">
        <v>2</v>
      </c>
      <c r="E131" s="2">
        <v>120000</v>
      </c>
      <c r="F131" s="1">
        <v>6.1454302986937014E-2</v>
      </c>
      <c r="G131">
        <v>15</v>
      </c>
      <c r="H131" s="6">
        <f t="shared" si="16"/>
        <v>-1022.0808233240052</v>
      </c>
      <c r="I131">
        <v>24</v>
      </c>
      <c r="J131" s="6">
        <f t="shared" si="17"/>
        <v>109620.83215053298</v>
      </c>
      <c r="K131" t="s">
        <v>12</v>
      </c>
      <c r="L131" s="11" t="str">
        <f t="shared" si="18"/>
        <v>GNMA</v>
      </c>
      <c r="M131">
        <v>9</v>
      </c>
      <c r="N131" s="11" t="str">
        <f t="shared" si="19"/>
        <v>90+</v>
      </c>
      <c r="O131" s="11" t="str">
        <f t="shared" si="19"/>
        <v>Y</v>
      </c>
      <c r="P131" t="str">
        <f>IF(O131="Y","This Loan is in Step: Referral","This Loan is in Step: n/a")</f>
        <v>This Loan is in Step: Referral</v>
      </c>
      <c r="Q131" t="str">
        <f t="shared" si="14"/>
        <v>Referral</v>
      </c>
      <c r="R131" s="10"/>
      <c r="T131" s="10"/>
    </row>
    <row r="132" spans="2:20" x14ac:dyDescent="0.3">
      <c r="B132">
        <v>116</v>
      </c>
      <c r="C132">
        <v>61089089</v>
      </c>
      <c r="D132" t="s">
        <v>2</v>
      </c>
      <c r="E132" s="2">
        <v>340000</v>
      </c>
      <c r="F132" s="1">
        <v>4.668521806741701E-2</v>
      </c>
      <c r="G132">
        <v>30</v>
      </c>
      <c r="H132" s="6">
        <f t="shared" si="16"/>
        <v>-1756.9414700267623</v>
      </c>
      <c r="I132">
        <v>67</v>
      </c>
      <c r="J132" s="6">
        <f t="shared" si="17"/>
        <v>306838.78568016167</v>
      </c>
      <c r="K132" t="s">
        <v>13</v>
      </c>
      <c r="L132" s="11" t="str">
        <f t="shared" si="18"/>
        <v>GNMA</v>
      </c>
      <c r="M132">
        <v>0</v>
      </c>
      <c r="N132" s="11" t="str">
        <f t="shared" si="19"/>
        <v>Current</v>
      </c>
      <c r="O132" s="11" t="str">
        <f t="shared" si="19"/>
        <v>N</v>
      </c>
      <c r="P132" t="str">
        <f>IF(O132="Y","This Loan is in Step: Judgment","This Loan is in Step: n/a")</f>
        <v>This Loan is in Step: n/a</v>
      </c>
      <c r="Q132" t="str">
        <f t="shared" si="14"/>
        <v>n/a</v>
      </c>
      <c r="R132" s="10"/>
      <c r="T132" s="10"/>
    </row>
    <row r="133" spans="2:20" x14ac:dyDescent="0.3">
      <c r="B133">
        <v>117</v>
      </c>
      <c r="C133">
        <v>26400832</v>
      </c>
      <c r="D133" t="s">
        <v>2</v>
      </c>
      <c r="E133" s="2">
        <v>380000</v>
      </c>
      <c r="F133" s="1">
        <v>4.9991672426802622E-2</v>
      </c>
      <c r="G133">
        <v>30</v>
      </c>
      <c r="H133" s="6">
        <f t="shared" si="16"/>
        <v>-2039.7287724035755</v>
      </c>
      <c r="I133">
        <v>284</v>
      </c>
      <c r="J133" s="6">
        <f t="shared" si="17"/>
        <v>132641.33289572553</v>
      </c>
      <c r="K133" t="s">
        <v>10</v>
      </c>
      <c r="L133" s="11" t="str">
        <f t="shared" si="18"/>
        <v>FHLMC</v>
      </c>
      <c r="M133">
        <v>0</v>
      </c>
      <c r="N133" s="11" t="str">
        <f t="shared" si="19"/>
        <v>Current</v>
      </c>
      <c r="O133" s="11" t="str">
        <f t="shared" si="19"/>
        <v>N</v>
      </c>
      <c r="P133" t="str">
        <f>IF(O133="Y","This Loan is in Step: Service","This Loan is in Step: n/a")</f>
        <v>This Loan is in Step: n/a</v>
      </c>
      <c r="Q133" t="str">
        <f t="shared" si="14"/>
        <v>n/a</v>
      </c>
      <c r="R133" s="10"/>
      <c r="T133" s="10"/>
    </row>
    <row r="134" spans="2:20" x14ac:dyDescent="0.3">
      <c r="B134">
        <v>118</v>
      </c>
      <c r="C134">
        <v>56764510</v>
      </c>
      <c r="D134" t="s">
        <v>2</v>
      </c>
      <c r="E134" s="2">
        <v>340000</v>
      </c>
      <c r="F134" s="1">
        <v>8.5340966360992601E-2</v>
      </c>
      <c r="G134">
        <v>15</v>
      </c>
      <c r="H134" s="6">
        <f t="shared" si="16"/>
        <v>-3354.913387689614</v>
      </c>
      <c r="I134">
        <v>17</v>
      </c>
      <c r="J134" s="6">
        <f t="shared" si="17"/>
        <v>323133.14511068602</v>
      </c>
      <c r="K134" t="s">
        <v>13</v>
      </c>
      <c r="L134" s="11" t="str">
        <f t="shared" si="18"/>
        <v>GNMA</v>
      </c>
      <c r="M134">
        <v>0</v>
      </c>
      <c r="N134" s="11" t="str">
        <f t="shared" si="19"/>
        <v>Current</v>
      </c>
      <c r="O134" s="11" t="str">
        <f t="shared" si="19"/>
        <v>N</v>
      </c>
      <c r="P134" t="str">
        <f>IF(O134="Y","This Loan is in Step: Judgment","This Loan is in Step: n/a")</f>
        <v>This Loan is in Step: n/a</v>
      </c>
      <c r="Q134" t="str">
        <f t="shared" si="14"/>
        <v>n/a</v>
      </c>
      <c r="R134" s="10"/>
      <c r="T134" s="10"/>
    </row>
    <row r="135" spans="2:20" x14ac:dyDescent="0.3">
      <c r="B135">
        <v>119</v>
      </c>
      <c r="C135">
        <v>36145045</v>
      </c>
      <c r="D135" t="s">
        <v>2</v>
      </c>
      <c r="E135" s="2">
        <v>410000</v>
      </c>
      <c r="F135" s="1">
        <v>7.5583847572718132E-2</v>
      </c>
      <c r="G135">
        <v>15</v>
      </c>
      <c r="H135" s="6">
        <f t="shared" si="16"/>
        <v>-3814.3663631752834</v>
      </c>
      <c r="I135">
        <v>42</v>
      </c>
      <c r="J135" s="6">
        <f t="shared" si="17"/>
        <v>350981.32259311236</v>
      </c>
      <c r="K135" t="s">
        <v>9</v>
      </c>
      <c r="L135" s="11" t="str">
        <f t="shared" si="18"/>
        <v>GNMA</v>
      </c>
      <c r="M135">
        <v>0</v>
      </c>
      <c r="N135" s="11" t="str">
        <f t="shared" si="19"/>
        <v>Current</v>
      </c>
      <c r="O135" s="11" t="str">
        <f t="shared" si="19"/>
        <v>N</v>
      </c>
      <c r="P135" t="str">
        <f>IF(O135="Y","This Loan is in Step: Service","This Loan is in Step: n/a")</f>
        <v>This Loan is in Step: n/a</v>
      </c>
      <c r="Q135" t="str">
        <f t="shared" si="14"/>
        <v>n/a</v>
      </c>
      <c r="R135" s="10"/>
      <c r="T135" s="10"/>
    </row>
    <row r="136" spans="2:20" x14ac:dyDescent="0.3">
      <c r="B136">
        <v>120</v>
      </c>
      <c r="C136">
        <v>29047113</v>
      </c>
      <c r="D136" t="s">
        <v>2</v>
      </c>
      <c r="E136" s="2">
        <v>270000</v>
      </c>
      <c r="F136" s="1">
        <v>7.7926012795862518E-2</v>
      </c>
      <c r="G136">
        <v>30</v>
      </c>
      <c r="H136" s="6">
        <f t="shared" si="16"/>
        <v>-1942.2676240636117</v>
      </c>
      <c r="I136">
        <v>330</v>
      </c>
      <c r="J136" s="6">
        <f t="shared" si="17"/>
        <v>52788.504493355722</v>
      </c>
      <c r="K136" t="s">
        <v>11</v>
      </c>
      <c r="L136" s="11" t="str">
        <f t="shared" si="18"/>
        <v>FNMA</v>
      </c>
      <c r="M136">
        <v>0</v>
      </c>
      <c r="N136" s="11" t="str">
        <f t="shared" si="19"/>
        <v>Current</v>
      </c>
      <c r="O136" s="11" t="str">
        <f t="shared" si="19"/>
        <v>N</v>
      </c>
      <c r="P136" t="str">
        <f>IF(O136="Y","This Loan is in Step: Sale","This Loan is in Step: n/a")</f>
        <v>This Loan is in Step: n/a</v>
      </c>
      <c r="Q136" t="str">
        <f t="shared" si="14"/>
        <v>n/a</v>
      </c>
      <c r="R136" s="10"/>
      <c r="T136" s="10"/>
    </row>
    <row r="137" spans="2:20" x14ac:dyDescent="0.3">
      <c r="B137">
        <v>121</v>
      </c>
      <c r="C137">
        <v>87579604</v>
      </c>
      <c r="D137" t="s">
        <v>2</v>
      </c>
      <c r="E137" s="2">
        <v>250000</v>
      </c>
      <c r="F137" s="1">
        <v>2.2360686555375126E-2</v>
      </c>
      <c r="G137">
        <v>15</v>
      </c>
      <c r="H137" s="6">
        <f t="shared" si="16"/>
        <v>-1636.0907706143087</v>
      </c>
      <c r="I137">
        <v>90</v>
      </c>
      <c r="J137" s="6">
        <f t="shared" si="17"/>
        <v>135447.38920004253</v>
      </c>
      <c r="K137" t="s">
        <v>11</v>
      </c>
      <c r="L137" s="11" t="str">
        <f t="shared" si="18"/>
        <v>FNMA</v>
      </c>
      <c r="M137">
        <v>0</v>
      </c>
      <c r="N137" s="11" t="str">
        <f t="shared" ref="N137:O156" si="20">INDEX(MASTER_DATA,MATCH($C137,MASTER_ROWS,0),MATCH(N$16,MASTER_HEADERS,0))</f>
        <v>Current</v>
      </c>
      <c r="O137" s="11" t="str">
        <f t="shared" si="20"/>
        <v>N</v>
      </c>
      <c r="P137" t="str">
        <f>IF(O137="Y","This Loan is in Step: Referral","This Loan is in Step: n/a")</f>
        <v>This Loan is in Step: n/a</v>
      </c>
      <c r="Q137" t="str">
        <f t="shared" si="14"/>
        <v>n/a</v>
      </c>
      <c r="R137" s="10"/>
      <c r="T137" s="10"/>
    </row>
    <row r="138" spans="2:20" x14ac:dyDescent="0.3">
      <c r="B138">
        <v>122</v>
      </c>
      <c r="C138">
        <v>19460471</v>
      </c>
      <c r="D138" t="s">
        <v>2</v>
      </c>
      <c r="E138" s="2">
        <v>190000</v>
      </c>
      <c r="F138" s="1">
        <v>3.7814520931784459E-2</v>
      </c>
      <c r="G138">
        <v>30</v>
      </c>
      <c r="H138" s="6">
        <f t="shared" si="16"/>
        <v>-883.31401145040593</v>
      </c>
      <c r="I138">
        <v>287</v>
      </c>
      <c r="J138" s="6">
        <f t="shared" si="17"/>
        <v>57522.14840909552</v>
      </c>
      <c r="K138" t="s">
        <v>10</v>
      </c>
      <c r="L138" s="11" t="str">
        <f t="shared" si="18"/>
        <v>FHLMC</v>
      </c>
      <c r="M138">
        <v>0</v>
      </c>
      <c r="N138" s="11" t="str">
        <f t="shared" si="20"/>
        <v>Current</v>
      </c>
      <c r="O138" s="11" t="str">
        <f t="shared" si="20"/>
        <v>N</v>
      </c>
      <c r="P138" t="str">
        <f>IF(O138="Y","This Loan is in Step: Service","This Loan is in Step: n/a")</f>
        <v>This Loan is in Step: n/a</v>
      </c>
      <c r="Q138" t="str">
        <f t="shared" si="14"/>
        <v>n/a</v>
      </c>
      <c r="R138" s="10"/>
      <c r="T138" s="10"/>
    </row>
    <row r="139" spans="2:20" x14ac:dyDescent="0.3">
      <c r="B139">
        <v>123</v>
      </c>
      <c r="C139">
        <v>49318803</v>
      </c>
      <c r="D139" t="s">
        <v>2</v>
      </c>
      <c r="E139" s="2">
        <v>300000</v>
      </c>
      <c r="F139" s="1">
        <v>6.2918411461241788E-2</v>
      </c>
      <c r="G139">
        <v>15</v>
      </c>
      <c r="H139" s="6">
        <f t="shared" si="16"/>
        <v>-2579.1148082440081</v>
      </c>
      <c r="I139">
        <v>53</v>
      </c>
      <c r="J139" s="6">
        <f t="shared" si="17"/>
        <v>238711.4957636068</v>
      </c>
      <c r="K139" t="s">
        <v>11</v>
      </c>
      <c r="L139" s="11" t="str">
        <f t="shared" si="18"/>
        <v>FNMA</v>
      </c>
      <c r="M139">
        <v>0</v>
      </c>
      <c r="N139" s="11" t="str">
        <f t="shared" si="20"/>
        <v>Current</v>
      </c>
      <c r="O139" s="11" t="str">
        <f t="shared" si="20"/>
        <v>N</v>
      </c>
      <c r="P139" t="str">
        <f>IF(O139="Y","This Loan is in Step: Judgment","This Loan is in Step: n/a")</f>
        <v>This Loan is in Step: n/a</v>
      </c>
      <c r="Q139" t="str">
        <f t="shared" si="14"/>
        <v>n/a</v>
      </c>
      <c r="R139" s="10"/>
      <c r="T139" s="10"/>
    </row>
    <row r="140" spans="2:20" x14ac:dyDescent="0.3">
      <c r="B140">
        <v>124</v>
      </c>
      <c r="C140">
        <v>30774746</v>
      </c>
      <c r="D140" t="s">
        <v>2</v>
      </c>
      <c r="E140" s="2">
        <v>130000</v>
      </c>
      <c r="F140" s="1">
        <v>3.4605535037912347E-2</v>
      </c>
      <c r="G140">
        <v>15</v>
      </c>
      <c r="H140" s="6">
        <f t="shared" si="16"/>
        <v>-926.83108054887657</v>
      </c>
      <c r="I140">
        <v>86</v>
      </c>
      <c r="J140" s="6">
        <f t="shared" si="17"/>
        <v>76216.538546413198</v>
      </c>
      <c r="K140" t="s">
        <v>9</v>
      </c>
      <c r="L140" s="11" t="str">
        <f t="shared" si="18"/>
        <v>GNMA</v>
      </c>
      <c r="M140">
        <v>0</v>
      </c>
      <c r="N140" s="11" t="str">
        <f t="shared" si="20"/>
        <v>Current</v>
      </c>
      <c r="O140" s="11" t="str">
        <f t="shared" si="20"/>
        <v>N</v>
      </c>
      <c r="P140" t="str">
        <f>IF(O140="Y","This Loan is in Step: Sale","This Loan is in Step: n/a")</f>
        <v>This Loan is in Step: n/a</v>
      </c>
      <c r="Q140" t="str">
        <f t="shared" si="14"/>
        <v>n/a</v>
      </c>
      <c r="R140" s="10"/>
      <c r="T140" s="10"/>
    </row>
    <row r="141" spans="2:20" x14ac:dyDescent="0.3">
      <c r="B141">
        <v>125</v>
      </c>
      <c r="C141">
        <v>53409938</v>
      </c>
      <c r="D141" t="s">
        <v>2</v>
      </c>
      <c r="E141" s="2">
        <v>110000</v>
      </c>
      <c r="F141" s="1">
        <v>3.4229733471017439E-2</v>
      </c>
      <c r="G141">
        <v>30</v>
      </c>
      <c r="H141" s="6">
        <f t="shared" si="16"/>
        <v>-489.23164472366238</v>
      </c>
      <c r="I141">
        <v>295</v>
      </c>
      <c r="J141" s="6">
        <f t="shared" si="17"/>
        <v>28988.461649952435</v>
      </c>
      <c r="K141" t="s">
        <v>12</v>
      </c>
      <c r="L141" s="11" t="str">
        <f t="shared" si="18"/>
        <v>GNMA</v>
      </c>
      <c r="M141">
        <v>0</v>
      </c>
      <c r="N141" s="11" t="str">
        <f t="shared" si="20"/>
        <v>Current</v>
      </c>
      <c r="O141" s="11" t="str">
        <f t="shared" si="20"/>
        <v>N</v>
      </c>
      <c r="P141" t="str">
        <f>IF(O141="Y","This Loan is in Step: Judgment","This Loan is in Step: n/a")</f>
        <v>This Loan is in Step: n/a</v>
      </c>
      <c r="Q141" t="str">
        <f t="shared" si="14"/>
        <v>n/a</v>
      </c>
      <c r="R141" s="10"/>
      <c r="T141" s="10"/>
    </row>
    <row r="142" spans="2:20" x14ac:dyDescent="0.3">
      <c r="B142">
        <v>126</v>
      </c>
      <c r="C142">
        <v>77171778</v>
      </c>
      <c r="D142" t="s">
        <v>2</v>
      </c>
      <c r="E142" s="2">
        <v>210000</v>
      </c>
      <c r="F142" s="1">
        <v>4.7007634568982694E-2</v>
      </c>
      <c r="G142">
        <v>20</v>
      </c>
      <c r="H142" s="6">
        <f t="shared" si="16"/>
        <v>-1351.4291694817948</v>
      </c>
      <c r="I142">
        <v>72</v>
      </c>
      <c r="J142" s="6">
        <f t="shared" si="17"/>
        <v>166113.61442796746</v>
      </c>
      <c r="K142" t="s">
        <v>12</v>
      </c>
      <c r="L142" s="11" t="str">
        <f t="shared" si="18"/>
        <v>GNMA</v>
      </c>
      <c r="M142">
        <v>0</v>
      </c>
      <c r="N142" s="11" t="str">
        <f t="shared" si="20"/>
        <v>Current</v>
      </c>
      <c r="O142" s="11" t="str">
        <f t="shared" si="20"/>
        <v>N</v>
      </c>
      <c r="P142" t="str">
        <f>IF(O142="Y","This Loan is in Step: Judgment","This Loan is in Step: n/a")</f>
        <v>This Loan is in Step: n/a</v>
      </c>
      <c r="Q142" t="str">
        <f t="shared" si="14"/>
        <v>n/a</v>
      </c>
      <c r="R142" s="10"/>
      <c r="T142" s="10"/>
    </row>
    <row r="143" spans="2:20" x14ac:dyDescent="0.3">
      <c r="B143">
        <v>127</v>
      </c>
      <c r="C143">
        <v>81971835</v>
      </c>
      <c r="D143" t="s">
        <v>2</v>
      </c>
      <c r="E143" s="2">
        <v>320000</v>
      </c>
      <c r="F143" s="1">
        <v>8.1868207234357213E-2</v>
      </c>
      <c r="G143">
        <v>15</v>
      </c>
      <c r="H143" s="6">
        <f t="shared" si="16"/>
        <v>-3092.6989074109324</v>
      </c>
      <c r="I143">
        <v>4</v>
      </c>
      <c r="J143" s="6">
        <f t="shared" si="17"/>
        <v>316324.41203627427</v>
      </c>
      <c r="K143" t="s">
        <v>9</v>
      </c>
      <c r="L143" s="11" t="str">
        <f t="shared" si="18"/>
        <v>GNMA</v>
      </c>
      <c r="M143">
        <v>1</v>
      </c>
      <c r="N143" s="11" t="str">
        <f t="shared" si="20"/>
        <v>30-60</v>
      </c>
      <c r="O143" s="11" t="str">
        <f t="shared" si="20"/>
        <v>N</v>
      </c>
      <c r="P143" t="str">
        <f>IF(O143="Y","This Loan is in Step: Referral","This Loan is in Step: n/a")</f>
        <v>This Loan is in Step: n/a</v>
      </c>
      <c r="Q143" t="str">
        <f t="shared" si="14"/>
        <v>n/a</v>
      </c>
      <c r="R143" s="10"/>
      <c r="T143" s="10"/>
    </row>
    <row r="144" spans="2:20" x14ac:dyDescent="0.3">
      <c r="B144">
        <v>128</v>
      </c>
      <c r="C144">
        <v>48132930</v>
      </c>
      <c r="D144" t="s">
        <v>2</v>
      </c>
      <c r="E144" s="2">
        <v>140000</v>
      </c>
      <c r="F144" s="1">
        <v>2.3522228194114383E-2</v>
      </c>
      <c r="G144">
        <v>20</v>
      </c>
      <c r="H144" s="6">
        <f t="shared" si="16"/>
        <v>-731.82649204647726</v>
      </c>
      <c r="I144">
        <v>100</v>
      </c>
      <c r="J144" s="6">
        <f t="shared" si="17"/>
        <v>89523.612178655414</v>
      </c>
      <c r="K144" t="s">
        <v>13</v>
      </c>
      <c r="L144" s="11" t="str">
        <f t="shared" si="18"/>
        <v>GNMA</v>
      </c>
      <c r="M144">
        <v>1</v>
      </c>
      <c r="N144" s="11" t="str">
        <f t="shared" si="20"/>
        <v>30-60</v>
      </c>
      <c r="O144" s="11" t="str">
        <f t="shared" si="20"/>
        <v>N</v>
      </c>
      <c r="P144" t="str">
        <f>IF(O144="Y","This Loan is in Step: Service","This Loan is in Step: n/a")</f>
        <v>This Loan is in Step: n/a</v>
      </c>
      <c r="Q144" t="str">
        <f t="shared" si="14"/>
        <v>n/a</v>
      </c>
      <c r="R144" s="10"/>
      <c r="T144" s="10"/>
    </row>
    <row r="145" spans="2:20" x14ac:dyDescent="0.3">
      <c r="B145">
        <v>129</v>
      </c>
      <c r="C145">
        <v>95454260</v>
      </c>
      <c r="D145" t="s">
        <v>2</v>
      </c>
      <c r="E145" s="2">
        <v>200000</v>
      </c>
      <c r="F145" s="1">
        <v>5.9759655653747787E-2</v>
      </c>
      <c r="G145">
        <v>30</v>
      </c>
      <c r="H145" s="6">
        <f t="shared" ref="H145:H176" si="21">INDEX(MASTER_DATA,MATCH($C145,MASTER_ROWS,0),MATCH(H$16,MASTER_HEADERS,0))</f>
        <v>-1196.0123591701058</v>
      </c>
      <c r="I145">
        <v>22</v>
      </c>
      <c r="J145" s="6">
        <f t="shared" ref="J145:J176" si="22">INDEX(MASTER_DATA,MATCH($C145,MASTER_ROWS,0),MATCH(J$16,MASTER_HEADERS,0))</f>
        <v>195361.68322919542</v>
      </c>
      <c r="K145" t="s">
        <v>13</v>
      </c>
      <c r="L145" s="11" t="str">
        <f t="shared" ref="L145:L176" si="23">INDEX(MASTER_DATA,MATCH($C145,MASTER_ROWS,0),MATCH(L$16,MASTER_HEADERS,0))</f>
        <v>GNMA</v>
      </c>
      <c r="M145">
        <v>3</v>
      </c>
      <c r="N145" s="11" t="str">
        <f t="shared" si="20"/>
        <v>90+</v>
      </c>
      <c r="O145" s="11" t="str">
        <f t="shared" si="20"/>
        <v>N</v>
      </c>
      <c r="P145" t="str">
        <f>IF(O145="Y","This Loan is in Step: Sale","This Loan is in Step: n/a")</f>
        <v>This Loan is in Step: n/a</v>
      </c>
      <c r="Q145" t="str">
        <f t="shared" si="14"/>
        <v>n/a</v>
      </c>
      <c r="R145" s="10"/>
      <c r="T145" s="10"/>
    </row>
    <row r="146" spans="2:20" x14ac:dyDescent="0.3">
      <c r="B146">
        <v>130</v>
      </c>
      <c r="C146">
        <v>59273999</v>
      </c>
      <c r="D146" t="s">
        <v>2</v>
      </c>
      <c r="E146" s="2">
        <v>360000</v>
      </c>
      <c r="F146" s="1">
        <v>5.3519955426174042E-2</v>
      </c>
      <c r="G146">
        <v>15</v>
      </c>
      <c r="H146" s="6">
        <f t="shared" si="21"/>
        <v>-2913.3027813134468</v>
      </c>
      <c r="I146">
        <v>179</v>
      </c>
      <c r="J146" s="6">
        <f t="shared" si="22"/>
        <v>2900.3671545774155</v>
      </c>
      <c r="K146" t="s">
        <v>13</v>
      </c>
      <c r="L146" s="11" t="str">
        <f t="shared" si="23"/>
        <v>GNMA</v>
      </c>
      <c r="M146">
        <v>3</v>
      </c>
      <c r="N146" s="11" t="str">
        <f t="shared" si="20"/>
        <v>90+</v>
      </c>
      <c r="O146" s="11" t="str">
        <f t="shared" si="20"/>
        <v>N</v>
      </c>
      <c r="P146" t="str">
        <f>IF(O146="Y","This Loan is in Step: Sale","This Loan is in Step: n/a")</f>
        <v>This Loan is in Step: n/a</v>
      </c>
      <c r="Q146" t="str">
        <f t="shared" ref="Q146:Q190" si="24">RIGHT(P146,LEN(P146)-FIND(":",P146)-1)</f>
        <v>n/a</v>
      </c>
      <c r="R146" s="10"/>
      <c r="T146" s="10"/>
    </row>
    <row r="147" spans="2:20" x14ac:dyDescent="0.3">
      <c r="B147">
        <v>131</v>
      </c>
      <c r="C147">
        <v>74183133</v>
      </c>
      <c r="D147" t="s">
        <v>2</v>
      </c>
      <c r="E147" s="2">
        <v>260000</v>
      </c>
      <c r="F147" s="1">
        <v>5.5635707435100275E-2</v>
      </c>
      <c r="G147">
        <v>30</v>
      </c>
      <c r="H147" s="6">
        <f t="shared" si="21"/>
        <v>-1486.6382135935514</v>
      </c>
      <c r="I147">
        <v>75</v>
      </c>
      <c r="J147" s="6">
        <f t="shared" si="22"/>
        <v>234847.75208026863</v>
      </c>
      <c r="K147" t="s">
        <v>11</v>
      </c>
      <c r="L147" s="11" t="str">
        <f t="shared" si="23"/>
        <v>FNMA</v>
      </c>
      <c r="M147">
        <v>6</v>
      </c>
      <c r="N147" s="11" t="str">
        <f t="shared" si="20"/>
        <v>90+</v>
      </c>
      <c r="O147" s="11" t="str">
        <f t="shared" si="20"/>
        <v>Y</v>
      </c>
      <c r="P147" t="str">
        <f>IF(O147="Y","This Loan is in Step: Service","This Loan is in Step: n/a")</f>
        <v>This Loan is in Step: Service</v>
      </c>
      <c r="Q147" t="str">
        <f t="shared" si="24"/>
        <v>Service</v>
      </c>
      <c r="R147" s="10"/>
      <c r="T147" s="10"/>
    </row>
    <row r="148" spans="2:20" x14ac:dyDescent="0.3">
      <c r="B148">
        <v>132</v>
      </c>
      <c r="C148">
        <v>46404591</v>
      </c>
      <c r="D148" t="s">
        <v>1</v>
      </c>
      <c r="E148" s="2">
        <v>440000</v>
      </c>
      <c r="F148" s="1">
        <v>3.4147634194001963E-2</v>
      </c>
      <c r="G148">
        <v>20</v>
      </c>
      <c r="H148" s="6">
        <f t="shared" si="21"/>
        <v>-2532.5930831414826</v>
      </c>
      <c r="I148">
        <v>212</v>
      </c>
      <c r="J148" s="6">
        <f t="shared" si="22"/>
        <v>68068.089213422427</v>
      </c>
      <c r="K148" t="s">
        <v>10</v>
      </c>
      <c r="L148" s="11" t="str">
        <f t="shared" si="23"/>
        <v>FHLMC</v>
      </c>
      <c r="M148">
        <v>7</v>
      </c>
      <c r="N148" s="11" t="str">
        <f t="shared" si="20"/>
        <v>90+</v>
      </c>
      <c r="O148" s="11" t="str">
        <f t="shared" si="20"/>
        <v>Y</v>
      </c>
      <c r="P148" t="str">
        <f>IF(O148="Y","This Loan is in Step: Service","This Loan is in Step: n/a")</f>
        <v>This Loan is in Step: Service</v>
      </c>
      <c r="Q148" t="str">
        <f t="shared" si="24"/>
        <v>Service</v>
      </c>
      <c r="R148" s="10"/>
      <c r="T148" s="10"/>
    </row>
    <row r="149" spans="2:20" x14ac:dyDescent="0.3">
      <c r="B149">
        <v>133</v>
      </c>
      <c r="C149">
        <v>58799609</v>
      </c>
      <c r="D149" t="s">
        <v>1</v>
      </c>
      <c r="E149" s="2">
        <v>360000</v>
      </c>
      <c r="F149" s="1">
        <v>5.1870351612887451E-2</v>
      </c>
      <c r="G149">
        <v>30</v>
      </c>
      <c r="H149" s="6">
        <f t="shared" si="21"/>
        <v>-1973.9169150348255</v>
      </c>
      <c r="I149">
        <v>249</v>
      </c>
      <c r="J149" s="6">
        <f t="shared" si="22"/>
        <v>173736.85878153448</v>
      </c>
      <c r="K149" t="s">
        <v>13</v>
      </c>
      <c r="L149" s="11" t="str">
        <f t="shared" si="23"/>
        <v>GNMA</v>
      </c>
      <c r="M149">
        <v>4</v>
      </c>
      <c r="N149" s="11" t="str">
        <f t="shared" si="20"/>
        <v>90+</v>
      </c>
      <c r="O149" s="11" t="str">
        <f t="shared" si="20"/>
        <v>N</v>
      </c>
      <c r="P149" t="str">
        <f>IF(O149="Y","This Loan is in Step: Referral","This Loan is in Step: n/a")</f>
        <v>This Loan is in Step: n/a</v>
      </c>
      <c r="Q149" t="str">
        <f t="shared" si="24"/>
        <v>n/a</v>
      </c>
      <c r="R149" s="10"/>
      <c r="T149" s="10"/>
    </row>
    <row r="150" spans="2:20" x14ac:dyDescent="0.3">
      <c r="B150">
        <v>134</v>
      </c>
      <c r="C150">
        <v>45991355</v>
      </c>
      <c r="D150" t="s">
        <v>1</v>
      </c>
      <c r="E150" s="2">
        <v>400000</v>
      </c>
      <c r="F150" s="1">
        <v>5.9758883555077774E-2</v>
      </c>
      <c r="G150">
        <v>20</v>
      </c>
      <c r="H150" s="6">
        <f t="shared" si="21"/>
        <v>-2860.1629593829925</v>
      </c>
      <c r="I150">
        <v>28</v>
      </c>
      <c r="J150" s="6">
        <f t="shared" si="22"/>
        <v>373983.30680385057</v>
      </c>
      <c r="K150" t="s">
        <v>9</v>
      </c>
      <c r="L150" s="11" t="str">
        <f t="shared" si="23"/>
        <v>GNMA</v>
      </c>
      <c r="M150">
        <v>6</v>
      </c>
      <c r="N150" s="11" t="str">
        <f t="shared" si="20"/>
        <v>90+</v>
      </c>
      <c r="O150" s="11" t="str">
        <f t="shared" si="20"/>
        <v>Y</v>
      </c>
      <c r="P150" t="str">
        <f>IF(O150="Y","This Loan is in Step: Sale","This Loan is in Step: n/a")</f>
        <v>This Loan is in Step: Sale</v>
      </c>
      <c r="Q150" t="str">
        <f t="shared" si="24"/>
        <v>Sale</v>
      </c>
      <c r="R150" s="10"/>
      <c r="T150" s="10"/>
    </row>
    <row r="151" spans="2:20" x14ac:dyDescent="0.3">
      <c r="B151">
        <v>135</v>
      </c>
      <c r="C151">
        <v>40766918</v>
      </c>
      <c r="D151" t="s">
        <v>1</v>
      </c>
      <c r="E151" s="2">
        <v>390000</v>
      </c>
      <c r="F151" s="1">
        <v>4.3504269841479912E-2</v>
      </c>
      <c r="G151">
        <v>15</v>
      </c>
      <c r="H151" s="6">
        <f t="shared" si="21"/>
        <v>-2953.747545750673</v>
      </c>
      <c r="I151">
        <v>49</v>
      </c>
      <c r="J151" s="6">
        <f t="shared" si="22"/>
        <v>307592.91336829832</v>
      </c>
      <c r="K151" t="s">
        <v>12</v>
      </c>
      <c r="L151" s="11" t="str">
        <f t="shared" si="23"/>
        <v>GNMA</v>
      </c>
      <c r="M151">
        <v>5</v>
      </c>
      <c r="N151" s="11" t="str">
        <f t="shared" si="20"/>
        <v>90+</v>
      </c>
      <c r="O151" s="11" t="str">
        <f t="shared" si="20"/>
        <v>N</v>
      </c>
      <c r="P151" t="str">
        <f>IF(O151="Y","This Loan is in Step: Referral","This Loan is in Step: n/a")</f>
        <v>This Loan is in Step: n/a</v>
      </c>
      <c r="Q151" t="str">
        <f t="shared" si="24"/>
        <v>n/a</v>
      </c>
      <c r="R151" s="10"/>
      <c r="T151" s="10"/>
    </row>
    <row r="152" spans="2:20" x14ac:dyDescent="0.3">
      <c r="B152">
        <v>136</v>
      </c>
      <c r="C152">
        <v>50543518</v>
      </c>
      <c r="D152" t="s">
        <v>1</v>
      </c>
      <c r="E152" s="2">
        <v>210000</v>
      </c>
      <c r="F152" s="1">
        <v>6.6997557171815436E-2</v>
      </c>
      <c r="G152">
        <v>30</v>
      </c>
      <c r="H152" s="6">
        <f t="shared" si="21"/>
        <v>-1355.0497259540837</v>
      </c>
      <c r="I152">
        <v>306</v>
      </c>
      <c r="J152" s="6">
        <f t="shared" si="22"/>
        <v>63021.459962368383</v>
      </c>
      <c r="K152" t="s">
        <v>12</v>
      </c>
      <c r="L152" s="11" t="str">
        <f t="shared" si="23"/>
        <v>GNMA</v>
      </c>
      <c r="M152">
        <v>0</v>
      </c>
      <c r="N152" s="11" t="str">
        <f t="shared" si="20"/>
        <v>Current</v>
      </c>
      <c r="O152" s="11" t="str">
        <f t="shared" si="20"/>
        <v>N</v>
      </c>
      <c r="P152" t="str">
        <f>IF(O152="Y","This Loan is in Step: Referral","This Loan is in Step: n/a")</f>
        <v>This Loan is in Step: n/a</v>
      </c>
      <c r="Q152" t="str">
        <f t="shared" si="24"/>
        <v>n/a</v>
      </c>
      <c r="R152" s="10"/>
      <c r="T152" s="10"/>
    </row>
    <row r="153" spans="2:20" x14ac:dyDescent="0.3">
      <c r="B153">
        <v>137</v>
      </c>
      <c r="C153">
        <v>28254071</v>
      </c>
      <c r="D153" t="s">
        <v>1</v>
      </c>
      <c r="E153" s="2">
        <v>290000</v>
      </c>
      <c r="F153" s="1">
        <v>2.4733212439948523E-2</v>
      </c>
      <c r="G153">
        <v>15</v>
      </c>
      <c r="H153" s="6">
        <f t="shared" si="21"/>
        <v>-1930.0487801292927</v>
      </c>
      <c r="I153">
        <v>53</v>
      </c>
      <c r="J153" s="6">
        <f t="shared" si="22"/>
        <v>215466.38368277025</v>
      </c>
      <c r="K153" t="s">
        <v>10</v>
      </c>
      <c r="L153" s="11" t="str">
        <f t="shared" si="23"/>
        <v>FHLMC</v>
      </c>
      <c r="M153">
        <v>0</v>
      </c>
      <c r="N153" s="11" t="str">
        <f t="shared" si="20"/>
        <v>Current</v>
      </c>
      <c r="O153" s="11" t="str">
        <f t="shared" si="20"/>
        <v>N</v>
      </c>
      <c r="P153" t="str">
        <f>IF(O153="Y","This Loan is in Step: Sale","This Loan is in Step: n/a")</f>
        <v>This Loan is in Step: n/a</v>
      </c>
      <c r="Q153" t="str">
        <f t="shared" si="24"/>
        <v>n/a</v>
      </c>
      <c r="R153" s="10"/>
      <c r="T153" s="10"/>
    </row>
    <row r="154" spans="2:20" x14ac:dyDescent="0.3">
      <c r="B154">
        <v>138</v>
      </c>
      <c r="C154">
        <v>66109061</v>
      </c>
      <c r="D154" t="s">
        <v>1</v>
      </c>
      <c r="E154" s="2">
        <v>380000</v>
      </c>
      <c r="F154" s="1">
        <v>6.5073173837024004E-2</v>
      </c>
      <c r="G154">
        <v>15</v>
      </c>
      <c r="H154" s="6">
        <f t="shared" si="21"/>
        <v>-3311.7367835051036</v>
      </c>
      <c r="I154">
        <v>177</v>
      </c>
      <c r="J154" s="6">
        <f t="shared" si="22"/>
        <v>9828.4237387075154</v>
      </c>
      <c r="K154" t="s">
        <v>10</v>
      </c>
      <c r="L154" s="11" t="str">
        <f t="shared" si="23"/>
        <v>FHLMC</v>
      </c>
      <c r="M154">
        <v>0</v>
      </c>
      <c r="N154" s="11" t="str">
        <f t="shared" si="20"/>
        <v>Current</v>
      </c>
      <c r="O154" s="11" t="str">
        <f t="shared" si="20"/>
        <v>N</v>
      </c>
      <c r="P154" t="str">
        <f>IF(O154="Y","This Loan is in Step: Sale","This Loan is in Step: n/a")</f>
        <v>This Loan is in Step: n/a</v>
      </c>
      <c r="Q154" t="str">
        <f t="shared" si="24"/>
        <v>n/a</v>
      </c>
      <c r="R154" s="10"/>
      <c r="T154" s="10"/>
    </row>
    <row r="155" spans="2:20" x14ac:dyDescent="0.3">
      <c r="B155">
        <v>139</v>
      </c>
      <c r="C155">
        <v>21617507</v>
      </c>
      <c r="D155" t="s">
        <v>1</v>
      </c>
      <c r="E155" s="2">
        <v>370000</v>
      </c>
      <c r="F155" s="1">
        <v>7.5409423490472402E-2</v>
      </c>
      <c r="G155">
        <v>20</v>
      </c>
      <c r="H155" s="6">
        <f t="shared" si="21"/>
        <v>-2989.9645471773642</v>
      </c>
      <c r="I155">
        <v>136</v>
      </c>
      <c r="J155" s="6">
        <f t="shared" si="22"/>
        <v>227782.3157421826</v>
      </c>
      <c r="K155" t="s">
        <v>12</v>
      </c>
      <c r="L155" s="11" t="str">
        <f t="shared" si="23"/>
        <v>GNMA</v>
      </c>
      <c r="M155">
        <v>0</v>
      </c>
      <c r="N155" s="11" t="str">
        <f t="shared" si="20"/>
        <v>Current</v>
      </c>
      <c r="O155" s="11" t="str">
        <f t="shared" si="20"/>
        <v>N</v>
      </c>
      <c r="P155" t="str">
        <f>IF(O155="Y","This Loan is in Step: Referral","This Loan is in Step: n/a")</f>
        <v>This Loan is in Step: n/a</v>
      </c>
      <c r="Q155" t="str">
        <f t="shared" si="24"/>
        <v>n/a</v>
      </c>
      <c r="R155" s="10"/>
      <c r="T155" s="10"/>
    </row>
    <row r="156" spans="2:20" x14ac:dyDescent="0.3">
      <c r="B156">
        <v>140</v>
      </c>
      <c r="C156">
        <v>97989606</v>
      </c>
      <c r="D156" t="s">
        <v>1</v>
      </c>
      <c r="E156" s="2">
        <v>190000</v>
      </c>
      <c r="F156" s="1">
        <v>3.9082079146889916E-2</v>
      </c>
      <c r="G156">
        <v>15</v>
      </c>
      <c r="H156" s="6">
        <f t="shared" si="21"/>
        <v>-1396.6832379755779</v>
      </c>
      <c r="I156">
        <v>74</v>
      </c>
      <c r="J156" s="6">
        <f t="shared" si="22"/>
        <v>125026.53335086055</v>
      </c>
      <c r="K156" t="s">
        <v>9</v>
      </c>
      <c r="L156" s="11" t="str">
        <f t="shared" si="23"/>
        <v>GNMA</v>
      </c>
      <c r="M156">
        <v>0</v>
      </c>
      <c r="N156" s="11" t="str">
        <f t="shared" si="20"/>
        <v>Current</v>
      </c>
      <c r="O156" s="11" t="str">
        <f t="shared" si="20"/>
        <v>N</v>
      </c>
      <c r="P156" t="str">
        <f>IF(O156="Y","This Loan is in Step: Referral","This Loan is in Step: n/a")</f>
        <v>This Loan is in Step: n/a</v>
      </c>
      <c r="Q156" t="str">
        <f t="shared" si="24"/>
        <v>n/a</v>
      </c>
      <c r="R156" s="10"/>
      <c r="T156" s="10"/>
    </row>
    <row r="157" spans="2:20" x14ac:dyDescent="0.3">
      <c r="B157">
        <v>141</v>
      </c>
      <c r="C157">
        <v>39361910</v>
      </c>
      <c r="D157" t="s">
        <v>1</v>
      </c>
      <c r="E157" s="2">
        <v>80000</v>
      </c>
      <c r="F157" s="1">
        <v>2.918801643188013E-2</v>
      </c>
      <c r="G157">
        <v>15</v>
      </c>
      <c r="H157" s="6">
        <f t="shared" si="21"/>
        <v>-549.34651843590734</v>
      </c>
      <c r="I157">
        <v>7</v>
      </c>
      <c r="J157" s="6">
        <f t="shared" si="22"/>
        <v>77498.487382740379</v>
      </c>
      <c r="K157" t="s">
        <v>13</v>
      </c>
      <c r="L157" s="11" t="str">
        <f t="shared" si="23"/>
        <v>GNMA</v>
      </c>
      <c r="M157">
        <v>0</v>
      </c>
      <c r="N157" s="11" t="str">
        <f t="shared" ref="N157:O176" si="25">INDEX(MASTER_DATA,MATCH($C157,MASTER_ROWS,0),MATCH(N$16,MASTER_HEADERS,0))</f>
        <v>Current</v>
      </c>
      <c r="O157" s="11" t="str">
        <f t="shared" si="25"/>
        <v>N</v>
      </c>
      <c r="P157" t="str">
        <f>IF(O157="Y","This Loan is in Step: Sale","This Loan is in Step: n/a")</f>
        <v>This Loan is in Step: n/a</v>
      </c>
      <c r="Q157" t="str">
        <f t="shared" si="24"/>
        <v>n/a</v>
      </c>
      <c r="R157" s="10"/>
      <c r="T157" s="10"/>
    </row>
    <row r="158" spans="2:20" x14ac:dyDescent="0.3">
      <c r="B158">
        <v>142</v>
      </c>
      <c r="C158">
        <v>92208306</v>
      </c>
      <c r="D158" t="s">
        <v>1</v>
      </c>
      <c r="E158" s="2">
        <v>200000</v>
      </c>
      <c r="F158" s="1">
        <v>2.7108181721399505E-2</v>
      </c>
      <c r="G158">
        <v>20</v>
      </c>
      <c r="H158" s="6">
        <f t="shared" si="21"/>
        <v>-1080.4663531994659</v>
      </c>
      <c r="I158">
        <v>90</v>
      </c>
      <c r="J158" s="6">
        <f t="shared" si="22"/>
        <v>137336.40374766377</v>
      </c>
      <c r="K158" t="s">
        <v>9</v>
      </c>
      <c r="L158" s="11" t="str">
        <f t="shared" si="23"/>
        <v>GNMA</v>
      </c>
      <c r="M158">
        <v>0</v>
      </c>
      <c r="N158" s="11" t="str">
        <f t="shared" si="25"/>
        <v>Current</v>
      </c>
      <c r="O158" s="11" t="str">
        <f t="shared" si="25"/>
        <v>N</v>
      </c>
      <c r="P158" t="str">
        <f>IF(O158="Y","This Loan is in Step: Referral","This Loan is in Step: n/a")</f>
        <v>This Loan is in Step: n/a</v>
      </c>
      <c r="Q158" t="str">
        <f t="shared" si="24"/>
        <v>n/a</v>
      </c>
      <c r="R158" s="10"/>
      <c r="T158" s="10"/>
    </row>
    <row r="159" spans="2:20" x14ac:dyDescent="0.3">
      <c r="B159">
        <v>143</v>
      </c>
      <c r="C159">
        <v>70859925</v>
      </c>
      <c r="D159" t="s">
        <v>1</v>
      </c>
      <c r="E159" s="2">
        <v>440000</v>
      </c>
      <c r="F159" s="1">
        <v>7.8279039349961069E-2</v>
      </c>
      <c r="G159">
        <v>30</v>
      </c>
      <c r="H159" s="6">
        <f t="shared" si="21"/>
        <v>-3175.9338745549298</v>
      </c>
      <c r="I159">
        <v>206</v>
      </c>
      <c r="J159" s="6">
        <f t="shared" si="22"/>
        <v>307992.44094564364</v>
      </c>
      <c r="K159" t="s">
        <v>9</v>
      </c>
      <c r="L159" s="11" t="str">
        <f t="shared" si="23"/>
        <v>GNMA</v>
      </c>
      <c r="M159">
        <v>0</v>
      </c>
      <c r="N159" s="11" t="str">
        <f t="shared" si="25"/>
        <v>Current</v>
      </c>
      <c r="O159" s="11" t="str">
        <f t="shared" si="25"/>
        <v>N</v>
      </c>
      <c r="P159" t="str">
        <f>IF(O159="Y","This Loan is in Step: Judgment","This Loan is in Step: n/a")</f>
        <v>This Loan is in Step: n/a</v>
      </c>
      <c r="Q159" t="str">
        <f t="shared" si="24"/>
        <v>n/a</v>
      </c>
      <c r="R159" s="10"/>
      <c r="T159" s="10"/>
    </row>
    <row r="160" spans="2:20" x14ac:dyDescent="0.3">
      <c r="B160">
        <v>144</v>
      </c>
      <c r="C160">
        <v>38351345</v>
      </c>
      <c r="D160" t="s">
        <v>1</v>
      </c>
      <c r="E160" s="2">
        <v>230000</v>
      </c>
      <c r="F160" s="1">
        <v>8.5661220417817804E-2</v>
      </c>
      <c r="G160">
        <v>30</v>
      </c>
      <c r="H160" s="6">
        <f t="shared" si="21"/>
        <v>-1779.2903232090136</v>
      </c>
      <c r="I160">
        <v>316</v>
      </c>
      <c r="J160" s="6">
        <f t="shared" si="22"/>
        <v>66982.805778146241</v>
      </c>
      <c r="K160" t="s">
        <v>9</v>
      </c>
      <c r="L160" s="11" t="str">
        <f t="shared" si="23"/>
        <v>GNMA</v>
      </c>
      <c r="M160">
        <v>7</v>
      </c>
      <c r="N160" s="11" t="str">
        <f t="shared" si="25"/>
        <v>90+</v>
      </c>
      <c r="O160" s="11" t="str">
        <f t="shared" si="25"/>
        <v>Y</v>
      </c>
      <c r="P160" t="str">
        <f>IF(O160="Y","This Loan is in Step: Referral","This Loan is in Step: n/a")</f>
        <v>This Loan is in Step: Referral</v>
      </c>
      <c r="Q160" t="str">
        <f t="shared" si="24"/>
        <v>Referral</v>
      </c>
      <c r="R160" s="10"/>
      <c r="T160" s="10"/>
    </row>
    <row r="161" spans="2:20" x14ac:dyDescent="0.3">
      <c r="B161">
        <v>145</v>
      </c>
      <c r="C161">
        <v>38803902</v>
      </c>
      <c r="D161" t="s">
        <v>1</v>
      </c>
      <c r="E161" s="2">
        <v>110000</v>
      </c>
      <c r="F161" s="1">
        <v>3.9948712579245552E-2</v>
      </c>
      <c r="G161">
        <v>15</v>
      </c>
      <c r="H161" s="6">
        <f t="shared" si="21"/>
        <v>-813.37403255032621</v>
      </c>
      <c r="I161">
        <v>13</v>
      </c>
      <c r="J161" s="6">
        <f t="shared" si="22"/>
        <v>104069.14616071964</v>
      </c>
      <c r="K161" t="s">
        <v>10</v>
      </c>
      <c r="L161" s="11" t="str">
        <f t="shared" si="23"/>
        <v>FHLMC</v>
      </c>
      <c r="M161">
        <v>9</v>
      </c>
      <c r="N161" s="11" t="str">
        <f t="shared" si="25"/>
        <v>90+</v>
      </c>
      <c r="O161" s="11" t="str">
        <f t="shared" si="25"/>
        <v>Y</v>
      </c>
      <c r="P161" t="str">
        <f>IF(O161="Y","This Loan is in Step: Referral","This Loan is in Step: n/a")</f>
        <v>This Loan is in Step: Referral</v>
      </c>
      <c r="Q161" t="str">
        <f t="shared" si="24"/>
        <v>Referral</v>
      </c>
      <c r="R161" s="10"/>
      <c r="T161" s="10"/>
    </row>
    <row r="162" spans="2:20" x14ac:dyDescent="0.3">
      <c r="B162">
        <v>146</v>
      </c>
      <c r="C162">
        <v>70936359</v>
      </c>
      <c r="D162" t="s">
        <v>1</v>
      </c>
      <c r="E162" s="2">
        <v>150000</v>
      </c>
      <c r="F162" s="1">
        <v>4.8616549792090978E-2</v>
      </c>
      <c r="G162">
        <v>15</v>
      </c>
      <c r="H162" s="6">
        <f t="shared" si="21"/>
        <v>-1175.4085597861902</v>
      </c>
      <c r="I162">
        <v>90</v>
      </c>
      <c r="J162" s="6">
        <f t="shared" si="22"/>
        <v>88497.174099021882</v>
      </c>
      <c r="K162" t="s">
        <v>13</v>
      </c>
      <c r="L162" s="11" t="str">
        <f t="shared" si="23"/>
        <v>GNMA</v>
      </c>
      <c r="M162">
        <v>8</v>
      </c>
      <c r="N162" s="11" t="str">
        <f t="shared" si="25"/>
        <v>90+</v>
      </c>
      <c r="O162" s="11" t="str">
        <f t="shared" si="25"/>
        <v>Y</v>
      </c>
      <c r="P162" t="str">
        <f>IF(O162="Y","This Loan is in Step: Referral","This Loan is in Step: n/a")</f>
        <v>This Loan is in Step: Referral</v>
      </c>
      <c r="Q162" t="str">
        <f t="shared" si="24"/>
        <v>Referral</v>
      </c>
      <c r="R162" s="10"/>
      <c r="T162" s="10"/>
    </row>
    <row r="163" spans="2:20" x14ac:dyDescent="0.3">
      <c r="B163">
        <v>147</v>
      </c>
      <c r="C163">
        <v>22527091</v>
      </c>
      <c r="D163" t="s">
        <v>1</v>
      </c>
      <c r="E163" s="2">
        <v>400000</v>
      </c>
      <c r="F163" s="1">
        <v>2.553940346467095E-2</v>
      </c>
      <c r="G163">
        <v>30</v>
      </c>
      <c r="H163" s="6">
        <f t="shared" si="21"/>
        <v>-1591.7243056429579</v>
      </c>
      <c r="I163">
        <v>276</v>
      </c>
      <c r="J163" s="6">
        <f t="shared" si="22"/>
        <v>122315.90578323975</v>
      </c>
      <c r="K163" t="s">
        <v>10</v>
      </c>
      <c r="L163" s="11" t="str">
        <f t="shared" si="23"/>
        <v>FHLMC</v>
      </c>
      <c r="M163">
        <v>1</v>
      </c>
      <c r="N163" s="11" t="str">
        <f t="shared" si="25"/>
        <v>30-60</v>
      </c>
      <c r="O163" s="11" t="str">
        <f t="shared" si="25"/>
        <v>N</v>
      </c>
      <c r="P163" t="str">
        <f>IF(O163="Y","This Loan is in Step: Judgment","This Loan is in Step: n/a")</f>
        <v>This Loan is in Step: n/a</v>
      </c>
      <c r="Q163" t="str">
        <f t="shared" si="24"/>
        <v>n/a</v>
      </c>
      <c r="R163" s="10"/>
      <c r="T163" s="10"/>
    </row>
    <row r="164" spans="2:20" x14ac:dyDescent="0.3">
      <c r="B164">
        <v>148</v>
      </c>
      <c r="C164">
        <v>85565195</v>
      </c>
      <c r="D164" t="s">
        <v>1</v>
      </c>
      <c r="E164" s="2">
        <v>350000</v>
      </c>
      <c r="F164" s="1">
        <v>3.759737492262525E-2</v>
      </c>
      <c r="G164">
        <v>15</v>
      </c>
      <c r="H164" s="6">
        <f t="shared" si="21"/>
        <v>-2546.9696911629712</v>
      </c>
      <c r="I164">
        <v>80</v>
      </c>
      <c r="J164" s="6">
        <f t="shared" si="22"/>
        <v>218366.14266245431</v>
      </c>
      <c r="K164" t="s">
        <v>9</v>
      </c>
      <c r="L164" s="11" t="str">
        <f t="shared" si="23"/>
        <v>GNMA</v>
      </c>
      <c r="M164">
        <v>3</v>
      </c>
      <c r="N164" s="11" t="str">
        <f t="shared" si="25"/>
        <v>90+</v>
      </c>
      <c r="O164" s="11" t="str">
        <f t="shared" si="25"/>
        <v>N</v>
      </c>
      <c r="P164" t="str">
        <f>IF(O164="Y","This Loan is in Step: Judgment","This Loan is in Step: n/a")</f>
        <v>This Loan is in Step: n/a</v>
      </c>
      <c r="Q164" t="str">
        <f t="shared" si="24"/>
        <v>n/a</v>
      </c>
      <c r="R164" s="10"/>
      <c r="T164" s="10"/>
    </row>
    <row r="165" spans="2:20" x14ac:dyDescent="0.3">
      <c r="B165">
        <v>149</v>
      </c>
      <c r="C165">
        <v>49758502</v>
      </c>
      <c r="D165" t="s">
        <v>1</v>
      </c>
      <c r="E165" s="2">
        <v>130000</v>
      </c>
      <c r="F165" s="1">
        <v>5.1929476788526233E-2</v>
      </c>
      <c r="G165">
        <v>15</v>
      </c>
      <c r="H165" s="6">
        <f t="shared" si="21"/>
        <v>-1041.1453845544738</v>
      </c>
      <c r="I165">
        <v>93</v>
      </c>
      <c r="J165" s="6">
        <f t="shared" si="22"/>
        <v>75347.07737762075</v>
      </c>
      <c r="K165" t="s">
        <v>10</v>
      </c>
      <c r="L165" s="11" t="str">
        <f t="shared" si="23"/>
        <v>FHLMC</v>
      </c>
      <c r="M165">
        <v>9</v>
      </c>
      <c r="N165" s="11" t="str">
        <f t="shared" si="25"/>
        <v>90+</v>
      </c>
      <c r="O165" s="11" t="str">
        <f t="shared" si="25"/>
        <v>Y</v>
      </c>
      <c r="P165" t="str">
        <f>IF(O165="Y","This Loan is in Step: Referral","This Loan is in Step: n/a")</f>
        <v>This Loan is in Step: Referral</v>
      </c>
      <c r="Q165" t="str">
        <f t="shared" si="24"/>
        <v>Referral</v>
      </c>
      <c r="R165" s="10"/>
      <c r="T165" s="10"/>
    </row>
    <row r="166" spans="2:20" x14ac:dyDescent="0.3">
      <c r="B166">
        <v>150</v>
      </c>
      <c r="C166">
        <v>44521885</v>
      </c>
      <c r="D166" t="s">
        <v>1</v>
      </c>
      <c r="E166" s="2">
        <v>190000</v>
      </c>
      <c r="F166" s="1">
        <v>4.9833531113900251E-2</v>
      </c>
      <c r="G166">
        <v>30</v>
      </c>
      <c r="H166" s="6">
        <f t="shared" si="21"/>
        <v>-1018.0289241065121</v>
      </c>
      <c r="I166">
        <v>174</v>
      </c>
      <c r="J166" s="6">
        <f t="shared" si="22"/>
        <v>131731.72010516841</v>
      </c>
      <c r="K166" t="s">
        <v>9</v>
      </c>
      <c r="L166" s="11" t="str">
        <f t="shared" si="23"/>
        <v>GNMA</v>
      </c>
      <c r="M166">
        <v>8</v>
      </c>
      <c r="N166" s="11" t="str">
        <f t="shared" si="25"/>
        <v>90+</v>
      </c>
      <c r="O166" s="11" t="str">
        <f t="shared" si="25"/>
        <v>Y</v>
      </c>
      <c r="P166" t="str">
        <f>IF(O166="Y","This Loan is in Step: Sale","This Loan is in Step: n/a")</f>
        <v>This Loan is in Step: Sale</v>
      </c>
      <c r="Q166" t="str">
        <f t="shared" si="24"/>
        <v>Sale</v>
      </c>
      <c r="R166" s="10"/>
      <c r="T166" s="10"/>
    </row>
    <row r="167" spans="2:20" x14ac:dyDescent="0.3">
      <c r="B167">
        <v>151</v>
      </c>
      <c r="C167">
        <v>81877816</v>
      </c>
      <c r="D167" t="s">
        <v>1</v>
      </c>
      <c r="E167" s="2">
        <v>120000</v>
      </c>
      <c r="F167" s="1">
        <v>4.8171984913974467E-2</v>
      </c>
      <c r="G167">
        <v>15</v>
      </c>
      <c r="H167" s="6">
        <f t="shared" si="21"/>
        <v>-937.56465618487778</v>
      </c>
      <c r="I167">
        <v>27</v>
      </c>
      <c r="J167" s="6">
        <f t="shared" si="22"/>
        <v>107027.87703160969</v>
      </c>
      <c r="K167" t="s">
        <v>9</v>
      </c>
      <c r="L167" s="11" t="str">
        <f t="shared" si="23"/>
        <v>GNMA</v>
      </c>
      <c r="M167">
        <v>7</v>
      </c>
      <c r="N167" s="11" t="str">
        <f t="shared" si="25"/>
        <v>90+</v>
      </c>
      <c r="O167" s="11" t="str">
        <f t="shared" si="25"/>
        <v>Y</v>
      </c>
      <c r="P167" t="str">
        <f>IF(O167="Y","This Loan is in Step: Referral","This Loan is in Step: n/a")</f>
        <v>This Loan is in Step: Referral</v>
      </c>
      <c r="Q167" t="str">
        <f t="shared" si="24"/>
        <v>Referral</v>
      </c>
      <c r="R167" s="10"/>
      <c r="T167" s="10"/>
    </row>
    <row r="168" spans="2:20" x14ac:dyDescent="0.3">
      <c r="B168">
        <v>152</v>
      </c>
      <c r="C168">
        <v>30045340</v>
      </c>
      <c r="D168" t="s">
        <v>1</v>
      </c>
      <c r="E168" s="2">
        <v>360000</v>
      </c>
      <c r="F168" s="1">
        <v>8.4051872918695605E-2</v>
      </c>
      <c r="G168">
        <v>20</v>
      </c>
      <c r="H168" s="6">
        <f t="shared" si="21"/>
        <v>-3102.5943125677773</v>
      </c>
      <c r="I168">
        <v>67</v>
      </c>
      <c r="J168" s="6">
        <f t="shared" si="22"/>
        <v>310538.99669582827</v>
      </c>
      <c r="K168" t="s">
        <v>13</v>
      </c>
      <c r="L168" s="11" t="str">
        <f t="shared" si="23"/>
        <v>GNMA</v>
      </c>
      <c r="M168">
        <v>7</v>
      </c>
      <c r="N168" s="11" t="str">
        <f t="shared" si="25"/>
        <v>90+</v>
      </c>
      <c r="O168" s="11" t="str">
        <f t="shared" si="25"/>
        <v>Y</v>
      </c>
      <c r="P168" t="str">
        <f>IF(O168="Y","This Loan is in Step: Service","This Loan is in Step: n/a")</f>
        <v>This Loan is in Step: Service</v>
      </c>
      <c r="Q168" t="str">
        <f t="shared" si="24"/>
        <v>Service</v>
      </c>
      <c r="R168" s="10"/>
      <c r="T168" s="10"/>
    </row>
    <row r="169" spans="2:20" x14ac:dyDescent="0.3">
      <c r="B169">
        <v>153</v>
      </c>
      <c r="C169">
        <v>50054768</v>
      </c>
      <c r="D169" t="s">
        <v>1</v>
      </c>
      <c r="E169" s="2">
        <v>140000</v>
      </c>
      <c r="F169" s="1">
        <v>4.7353760052952686E-2</v>
      </c>
      <c r="G169">
        <v>15</v>
      </c>
      <c r="H169" s="6">
        <f t="shared" si="21"/>
        <v>-1087.9085190630351</v>
      </c>
      <c r="I169">
        <v>20</v>
      </c>
      <c r="J169" s="6">
        <f t="shared" si="22"/>
        <v>128879.91179480437</v>
      </c>
      <c r="K169" t="s">
        <v>12</v>
      </c>
      <c r="L169" s="11" t="str">
        <f t="shared" si="23"/>
        <v>GNMA</v>
      </c>
      <c r="M169">
        <v>0</v>
      </c>
      <c r="N169" s="11" t="str">
        <f t="shared" si="25"/>
        <v>Current</v>
      </c>
      <c r="O169" s="11" t="str">
        <f t="shared" si="25"/>
        <v>N</v>
      </c>
      <c r="P169" t="str">
        <f>IF(O169="Y","This Loan is in Step: Service","This Loan is in Step: n/a")</f>
        <v>This Loan is in Step: n/a</v>
      </c>
      <c r="Q169" t="str">
        <f t="shared" si="24"/>
        <v>n/a</v>
      </c>
      <c r="R169" s="10"/>
      <c r="T169" s="10"/>
    </row>
    <row r="170" spans="2:20" x14ac:dyDescent="0.3">
      <c r="B170">
        <v>154</v>
      </c>
      <c r="C170">
        <v>63115595</v>
      </c>
      <c r="D170" t="s">
        <v>1</v>
      </c>
      <c r="E170" s="2">
        <v>420000</v>
      </c>
      <c r="F170" s="1">
        <v>3.1754491121864389E-2</v>
      </c>
      <c r="G170">
        <v>30</v>
      </c>
      <c r="H170" s="6">
        <f t="shared" si="21"/>
        <v>-1810.7258825168124</v>
      </c>
      <c r="I170">
        <v>40</v>
      </c>
      <c r="J170" s="6">
        <f t="shared" si="22"/>
        <v>390534.24043349538</v>
      </c>
      <c r="K170" t="s">
        <v>9</v>
      </c>
      <c r="L170" s="11" t="str">
        <f t="shared" si="23"/>
        <v>GNMA</v>
      </c>
      <c r="M170">
        <v>5</v>
      </c>
      <c r="N170" s="11" t="str">
        <f t="shared" si="25"/>
        <v>90+</v>
      </c>
      <c r="O170" s="11" t="str">
        <f t="shared" si="25"/>
        <v>N</v>
      </c>
      <c r="P170" t="str">
        <f>IF(O170="Y","This Loan is in Step: Referral","This Loan is in Step: n/a")</f>
        <v>This Loan is in Step: n/a</v>
      </c>
      <c r="Q170" t="str">
        <f t="shared" si="24"/>
        <v>n/a</v>
      </c>
      <c r="R170" s="10"/>
      <c r="T170" s="10"/>
    </row>
    <row r="171" spans="2:20" x14ac:dyDescent="0.3">
      <c r="B171">
        <v>155</v>
      </c>
      <c r="C171">
        <v>12815365</v>
      </c>
      <c r="D171" t="s">
        <v>1</v>
      </c>
      <c r="E171" s="2">
        <v>300000</v>
      </c>
      <c r="F171" s="1">
        <v>7.1192531516652197E-2</v>
      </c>
      <c r="G171">
        <v>15</v>
      </c>
      <c r="H171" s="6">
        <f t="shared" si="21"/>
        <v>-2716.5257069980771</v>
      </c>
      <c r="I171">
        <v>20</v>
      </c>
      <c r="J171" s="6">
        <f t="shared" si="22"/>
        <v>280171.32405919704</v>
      </c>
      <c r="K171" t="s">
        <v>9</v>
      </c>
      <c r="L171" s="11" t="str">
        <f t="shared" si="23"/>
        <v>GNMA</v>
      </c>
      <c r="M171">
        <v>5</v>
      </c>
      <c r="N171" s="11" t="str">
        <f t="shared" si="25"/>
        <v>90+</v>
      </c>
      <c r="O171" s="11" t="str">
        <f t="shared" si="25"/>
        <v>N</v>
      </c>
      <c r="P171" t="str">
        <f>IF(O171="Y","This Loan is in Step: Service","This Loan is in Step: n/a")</f>
        <v>This Loan is in Step: n/a</v>
      </c>
      <c r="Q171" t="str">
        <f t="shared" si="24"/>
        <v>n/a</v>
      </c>
      <c r="R171" s="10"/>
      <c r="T171" s="10"/>
    </row>
    <row r="172" spans="2:20" x14ac:dyDescent="0.3">
      <c r="B172">
        <v>156</v>
      </c>
      <c r="C172">
        <v>57963170</v>
      </c>
      <c r="D172" t="s">
        <v>1</v>
      </c>
      <c r="E172" s="2">
        <v>190000</v>
      </c>
      <c r="F172" s="1">
        <v>5.577789572375437E-2</v>
      </c>
      <c r="G172">
        <v>15</v>
      </c>
      <c r="H172" s="6">
        <f t="shared" si="21"/>
        <v>-1560.3127311548092</v>
      </c>
      <c r="I172">
        <v>134</v>
      </c>
      <c r="J172" s="6">
        <f t="shared" si="22"/>
        <v>64485.698829029498</v>
      </c>
      <c r="K172" t="s">
        <v>13</v>
      </c>
      <c r="L172" s="11" t="str">
        <f t="shared" si="23"/>
        <v>GNMA</v>
      </c>
      <c r="M172">
        <v>1</v>
      </c>
      <c r="N172" s="11" t="str">
        <f t="shared" si="25"/>
        <v>30-60</v>
      </c>
      <c r="O172" s="11" t="str">
        <f t="shared" si="25"/>
        <v>N</v>
      </c>
      <c r="P172" t="str">
        <f>IF(O172="Y","This Loan is in Step: Service","This Loan is in Step: n/a")</f>
        <v>This Loan is in Step: n/a</v>
      </c>
      <c r="Q172" t="str">
        <f t="shared" si="24"/>
        <v>n/a</v>
      </c>
      <c r="R172" s="10"/>
      <c r="T172" s="10"/>
    </row>
    <row r="173" spans="2:20" x14ac:dyDescent="0.3">
      <c r="B173">
        <v>157</v>
      </c>
      <c r="C173">
        <v>27425669</v>
      </c>
      <c r="D173" t="s">
        <v>1</v>
      </c>
      <c r="E173" s="2">
        <v>120000</v>
      </c>
      <c r="F173" s="1">
        <v>4.5537190045218612E-2</v>
      </c>
      <c r="G173">
        <v>15</v>
      </c>
      <c r="H173" s="6">
        <f t="shared" si="21"/>
        <v>-921.28990326889095</v>
      </c>
      <c r="I173">
        <v>10</v>
      </c>
      <c r="J173" s="6">
        <f t="shared" si="22"/>
        <v>115260.44724317468</v>
      </c>
      <c r="K173" t="s">
        <v>13</v>
      </c>
      <c r="L173" s="11" t="str">
        <f t="shared" si="23"/>
        <v>GNMA</v>
      </c>
      <c r="M173">
        <v>10</v>
      </c>
      <c r="N173" s="11" t="str">
        <f t="shared" si="25"/>
        <v>90+</v>
      </c>
      <c r="O173" s="11" t="str">
        <f t="shared" si="25"/>
        <v>Y</v>
      </c>
      <c r="P173" t="str">
        <f>IF(O173="Y","This Loan is in Step: Sale","This Loan is in Step: n/a")</f>
        <v>This Loan is in Step: Sale</v>
      </c>
      <c r="Q173" t="str">
        <f t="shared" si="24"/>
        <v>Sale</v>
      </c>
      <c r="R173" s="10"/>
      <c r="T173" s="10"/>
    </row>
    <row r="174" spans="2:20" x14ac:dyDescent="0.3">
      <c r="B174">
        <v>158</v>
      </c>
      <c r="C174">
        <v>42454326</v>
      </c>
      <c r="D174" t="s">
        <v>1</v>
      </c>
      <c r="E174" s="2">
        <v>230000</v>
      </c>
      <c r="F174" s="1">
        <v>5.0982489981923208E-2</v>
      </c>
      <c r="G174">
        <v>15</v>
      </c>
      <c r="H174" s="6">
        <f t="shared" si="21"/>
        <v>-1830.6184473844403</v>
      </c>
      <c r="I174">
        <v>81</v>
      </c>
      <c r="J174" s="6">
        <f t="shared" si="22"/>
        <v>147691.43016632533</v>
      </c>
      <c r="K174" t="s">
        <v>9</v>
      </c>
      <c r="L174" s="11" t="str">
        <f t="shared" si="23"/>
        <v>GNMA</v>
      </c>
      <c r="M174">
        <v>2</v>
      </c>
      <c r="N174" s="11" t="str">
        <f t="shared" si="25"/>
        <v>30-60</v>
      </c>
      <c r="O174" s="11" t="str">
        <f t="shared" si="25"/>
        <v>N</v>
      </c>
      <c r="P174" t="str">
        <f>IF(O174="Y","This Loan is in Step: Sale","This Loan is in Step: n/a")</f>
        <v>This Loan is in Step: n/a</v>
      </c>
      <c r="Q174" t="str">
        <f t="shared" si="24"/>
        <v>n/a</v>
      </c>
      <c r="R174" s="10"/>
      <c r="T174" s="10"/>
    </row>
    <row r="175" spans="2:20" x14ac:dyDescent="0.3">
      <c r="B175">
        <v>159</v>
      </c>
      <c r="C175">
        <v>43854478</v>
      </c>
      <c r="D175" t="s">
        <v>1</v>
      </c>
      <c r="E175" s="2">
        <v>180000</v>
      </c>
      <c r="F175" s="1">
        <v>3.2977812852717114E-2</v>
      </c>
      <c r="G175">
        <v>20</v>
      </c>
      <c r="H175" s="6">
        <f t="shared" si="21"/>
        <v>-1025.3204880582011</v>
      </c>
      <c r="I175">
        <v>55</v>
      </c>
      <c r="J175" s="6">
        <f t="shared" si="22"/>
        <v>148539.46508435311</v>
      </c>
      <c r="K175" t="s">
        <v>12</v>
      </c>
      <c r="L175" s="11" t="str">
        <f t="shared" si="23"/>
        <v>GNMA</v>
      </c>
      <c r="M175">
        <v>0</v>
      </c>
      <c r="N175" s="11" t="str">
        <f t="shared" si="25"/>
        <v>Current</v>
      </c>
      <c r="O175" s="11" t="str">
        <f t="shared" si="25"/>
        <v>N</v>
      </c>
      <c r="P175" t="str">
        <f>IF(O175="Y","This Loan is in Step: Service","This Loan is in Step: n/a")</f>
        <v>This Loan is in Step: n/a</v>
      </c>
      <c r="Q175" t="str">
        <f t="shared" si="24"/>
        <v>n/a</v>
      </c>
      <c r="R175" s="10"/>
      <c r="T175" s="10"/>
    </row>
    <row r="176" spans="2:20" x14ac:dyDescent="0.3">
      <c r="B176">
        <v>160</v>
      </c>
      <c r="C176">
        <v>28025475</v>
      </c>
      <c r="D176" t="s">
        <v>1</v>
      </c>
      <c r="E176" s="2">
        <v>430000</v>
      </c>
      <c r="F176" s="1">
        <v>5.2234852657205018E-2</v>
      </c>
      <c r="G176">
        <v>15</v>
      </c>
      <c r="H176" s="6">
        <f t="shared" si="21"/>
        <v>-3450.6822795469407</v>
      </c>
      <c r="I176">
        <v>128</v>
      </c>
      <c r="J176" s="6">
        <f t="shared" si="22"/>
        <v>160266.47460750217</v>
      </c>
      <c r="K176" t="s">
        <v>9</v>
      </c>
      <c r="L176" s="11" t="str">
        <f t="shared" si="23"/>
        <v>GNMA</v>
      </c>
      <c r="M176">
        <v>0</v>
      </c>
      <c r="N176" s="11" t="str">
        <f t="shared" si="25"/>
        <v>Current</v>
      </c>
      <c r="O176" s="11" t="str">
        <f t="shared" si="25"/>
        <v>N</v>
      </c>
      <c r="P176" t="str">
        <f>IF(O176="Y","This Loan is in Step: Sale","This Loan is in Step: n/a")</f>
        <v>This Loan is in Step: n/a</v>
      </c>
      <c r="Q176" t="str">
        <f t="shared" si="24"/>
        <v>n/a</v>
      </c>
      <c r="R176" s="10"/>
      <c r="T176" s="10"/>
    </row>
    <row r="177" spans="2:20" x14ac:dyDescent="0.3">
      <c r="B177">
        <v>161</v>
      </c>
      <c r="C177">
        <v>64176281</v>
      </c>
      <c r="D177" t="s">
        <v>1</v>
      </c>
      <c r="E177" s="2">
        <v>340000</v>
      </c>
      <c r="F177" s="1">
        <v>7.8054402152243199E-2</v>
      </c>
      <c r="G177">
        <v>20</v>
      </c>
      <c r="H177" s="6">
        <f t="shared" ref="H177:H190" si="26">INDEX(MASTER_DATA,MATCH($C177,MASTER_ROWS,0),MATCH(H$16,MASTER_HEADERS,0))</f>
        <v>-2802.8658140065268</v>
      </c>
      <c r="I177">
        <v>25</v>
      </c>
      <c r="J177" s="6">
        <f t="shared" ref="J177:J190" si="27">INDEX(MASTER_DATA,MATCH($C177,MASTER_ROWS,0),MATCH(J$16,MASTER_HEADERS,0))</f>
        <v>324003.34447729628</v>
      </c>
      <c r="K177" t="s">
        <v>10</v>
      </c>
      <c r="L177" s="11" t="str">
        <f t="shared" ref="L177:L190" si="28">INDEX(MASTER_DATA,MATCH($C177,MASTER_ROWS,0),MATCH(L$16,MASTER_HEADERS,0))</f>
        <v>FHLMC</v>
      </c>
      <c r="M177">
        <v>0</v>
      </c>
      <c r="N177" s="11" t="str">
        <f t="shared" ref="N177:O190" si="29">INDEX(MASTER_DATA,MATCH($C177,MASTER_ROWS,0),MATCH(N$16,MASTER_HEADERS,0))</f>
        <v>Current</v>
      </c>
      <c r="O177" s="11" t="str">
        <f t="shared" si="29"/>
        <v>N</v>
      </c>
      <c r="P177" t="str">
        <f>IF(O177="Y","This Loan is in Step: Sale","This Loan is in Step: n/a")</f>
        <v>This Loan is in Step: n/a</v>
      </c>
      <c r="Q177" t="str">
        <f t="shared" si="24"/>
        <v>n/a</v>
      </c>
      <c r="R177" s="10"/>
      <c r="T177" s="10"/>
    </row>
    <row r="178" spans="2:20" x14ac:dyDescent="0.3">
      <c r="B178">
        <v>162</v>
      </c>
      <c r="C178">
        <v>19068436</v>
      </c>
      <c r="D178" t="s">
        <v>1</v>
      </c>
      <c r="E178" s="2">
        <v>90000</v>
      </c>
      <c r="F178" s="1">
        <v>8.5197825606209504E-2</v>
      </c>
      <c r="G178">
        <v>20</v>
      </c>
      <c r="H178" s="6">
        <f t="shared" si="26"/>
        <v>-782.16813742200156</v>
      </c>
      <c r="I178">
        <v>214</v>
      </c>
      <c r="J178" s="6">
        <f t="shared" si="27"/>
        <v>18509.967884466841</v>
      </c>
      <c r="K178" t="s">
        <v>9</v>
      </c>
      <c r="L178" s="11" t="str">
        <f t="shared" si="28"/>
        <v>GNMA</v>
      </c>
      <c r="M178">
        <v>0</v>
      </c>
      <c r="N178" s="11" t="str">
        <f t="shared" si="29"/>
        <v>Current</v>
      </c>
      <c r="O178" s="11" t="str">
        <f t="shared" si="29"/>
        <v>N</v>
      </c>
      <c r="P178" t="str">
        <f>IF(O178="Y","This Loan is in Step: Service","This Loan is in Step: n/a")</f>
        <v>This Loan is in Step: n/a</v>
      </c>
      <c r="Q178" t="str">
        <f t="shared" si="24"/>
        <v>n/a</v>
      </c>
      <c r="R178" s="10"/>
      <c r="T178" s="10"/>
    </row>
    <row r="179" spans="2:20" x14ac:dyDescent="0.3">
      <c r="B179">
        <v>163</v>
      </c>
      <c r="C179">
        <v>55935051</v>
      </c>
      <c r="D179" t="s">
        <v>1</v>
      </c>
      <c r="E179" s="2">
        <v>310000</v>
      </c>
      <c r="F179" s="1">
        <v>6.5776912974517682E-2</v>
      </c>
      <c r="G179">
        <v>15</v>
      </c>
      <c r="H179" s="6">
        <f t="shared" si="26"/>
        <v>-2713.6904725412978</v>
      </c>
      <c r="I179">
        <v>171</v>
      </c>
      <c r="J179" s="6">
        <f t="shared" si="27"/>
        <v>23767.081251326628</v>
      </c>
      <c r="K179" t="s">
        <v>10</v>
      </c>
      <c r="L179" s="11" t="str">
        <f t="shared" si="28"/>
        <v>FHLMC</v>
      </c>
      <c r="M179">
        <v>0</v>
      </c>
      <c r="N179" s="11" t="str">
        <f t="shared" si="29"/>
        <v>Current</v>
      </c>
      <c r="O179" s="11" t="str">
        <f t="shared" si="29"/>
        <v>N</v>
      </c>
      <c r="P179" t="str">
        <f>IF(O179="Y","This Loan is in Step: Service","This Loan is in Step: n/a")</f>
        <v>This Loan is in Step: n/a</v>
      </c>
      <c r="Q179" t="str">
        <f t="shared" si="24"/>
        <v>n/a</v>
      </c>
      <c r="R179" s="10"/>
      <c r="T179" s="10"/>
    </row>
    <row r="180" spans="2:20" x14ac:dyDescent="0.3">
      <c r="B180">
        <v>164</v>
      </c>
      <c r="C180">
        <v>58190701</v>
      </c>
      <c r="D180" t="s">
        <v>1</v>
      </c>
      <c r="E180" s="2">
        <v>390000</v>
      </c>
      <c r="F180" s="1">
        <v>2.8968661386930758E-2</v>
      </c>
      <c r="G180">
        <v>30</v>
      </c>
      <c r="H180" s="6">
        <f t="shared" si="26"/>
        <v>-1622.6425259479668</v>
      </c>
      <c r="I180">
        <v>42</v>
      </c>
      <c r="J180" s="6">
        <f t="shared" si="27"/>
        <v>359928.7791981693</v>
      </c>
      <c r="K180" t="s">
        <v>10</v>
      </c>
      <c r="L180" s="11" t="str">
        <f t="shared" si="28"/>
        <v>FHLMC</v>
      </c>
      <c r="M180">
        <v>0</v>
      </c>
      <c r="N180" s="11" t="str">
        <f t="shared" si="29"/>
        <v>Current</v>
      </c>
      <c r="O180" s="11" t="str">
        <f t="shared" si="29"/>
        <v>N</v>
      </c>
      <c r="P180" t="str">
        <f>IF(O180="Y","This Loan is in Step: Service","This Loan is in Step: n/a")</f>
        <v>This Loan is in Step: n/a</v>
      </c>
      <c r="Q180" t="str">
        <f t="shared" si="24"/>
        <v>n/a</v>
      </c>
      <c r="R180" s="10"/>
      <c r="T180" s="10"/>
    </row>
    <row r="181" spans="2:20" x14ac:dyDescent="0.3">
      <c r="B181">
        <v>165</v>
      </c>
      <c r="C181">
        <v>22410771</v>
      </c>
      <c r="D181" t="s">
        <v>1</v>
      </c>
      <c r="E181" s="2">
        <v>280000</v>
      </c>
      <c r="F181" s="1">
        <v>2.7107655095394385E-2</v>
      </c>
      <c r="G181">
        <v>15</v>
      </c>
      <c r="H181" s="6">
        <f t="shared" si="26"/>
        <v>-1894.9174430384887</v>
      </c>
      <c r="I181">
        <v>122</v>
      </c>
      <c r="J181" s="6">
        <f t="shared" si="27"/>
        <v>102900.97550968033</v>
      </c>
      <c r="K181" t="s">
        <v>10</v>
      </c>
      <c r="L181" s="11" t="str">
        <f t="shared" si="28"/>
        <v>FHLMC</v>
      </c>
      <c r="M181">
        <v>0</v>
      </c>
      <c r="N181" s="11" t="str">
        <f t="shared" si="29"/>
        <v>Current</v>
      </c>
      <c r="O181" s="11" t="str">
        <f t="shared" si="29"/>
        <v>N</v>
      </c>
      <c r="P181" t="str">
        <f>IF(O181="Y","This Loan is in Step: Judgment","This Loan is in Step: n/a")</f>
        <v>This Loan is in Step: n/a</v>
      </c>
      <c r="Q181" t="str">
        <f t="shared" si="24"/>
        <v>n/a</v>
      </c>
      <c r="R181" s="10"/>
      <c r="T181" s="10"/>
    </row>
    <row r="182" spans="2:20" x14ac:dyDescent="0.3">
      <c r="B182">
        <v>166</v>
      </c>
      <c r="C182">
        <v>60128733</v>
      </c>
      <c r="D182" t="s">
        <v>1</v>
      </c>
      <c r="E182" s="2">
        <v>450000</v>
      </c>
      <c r="F182" s="1">
        <v>7.5354629162056694E-2</v>
      </c>
      <c r="G182">
        <v>15</v>
      </c>
      <c r="H182" s="6">
        <f t="shared" si="26"/>
        <v>-4180.6293078023364</v>
      </c>
      <c r="I182">
        <v>156</v>
      </c>
      <c r="J182" s="6">
        <f t="shared" si="27"/>
        <v>92870.431164271708</v>
      </c>
      <c r="K182" t="s">
        <v>11</v>
      </c>
      <c r="L182" s="11" t="str">
        <f t="shared" si="28"/>
        <v>FNMA</v>
      </c>
      <c r="M182">
        <v>0</v>
      </c>
      <c r="N182" s="11" t="str">
        <f t="shared" si="29"/>
        <v>Current</v>
      </c>
      <c r="O182" s="11" t="str">
        <f t="shared" si="29"/>
        <v>N</v>
      </c>
      <c r="P182" t="str">
        <f>IF(O182="Y","This Loan is in Step: Service","This Loan is in Step: n/a")</f>
        <v>This Loan is in Step: n/a</v>
      </c>
      <c r="Q182" t="str">
        <f t="shared" si="24"/>
        <v>n/a</v>
      </c>
      <c r="R182" s="10"/>
      <c r="T182" s="10"/>
    </row>
    <row r="183" spans="2:20" x14ac:dyDescent="0.3">
      <c r="B183">
        <v>167</v>
      </c>
      <c r="C183">
        <v>66609862</v>
      </c>
      <c r="D183" t="s">
        <v>1</v>
      </c>
      <c r="E183" s="2">
        <v>400000</v>
      </c>
      <c r="F183" s="1">
        <v>6.4130198135724042E-2</v>
      </c>
      <c r="G183">
        <v>15</v>
      </c>
      <c r="H183" s="6">
        <f t="shared" si="26"/>
        <v>-3465.3314397950089</v>
      </c>
      <c r="I183">
        <v>139</v>
      </c>
      <c r="J183" s="6">
        <f t="shared" si="27"/>
        <v>127286.33027175204</v>
      </c>
      <c r="K183" t="s">
        <v>10</v>
      </c>
      <c r="L183" s="11" t="str">
        <f t="shared" si="28"/>
        <v>FHLMC</v>
      </c>
      <c r="M183">
        <v>0</v>
      </c>
      <c r="N183" s="11" t="str">
        <f t="shared" si="29"/>
        <v>Current</v>
      </c>
      <c r="O183" s="11" t="str">
        <f t="shared" si="29"/>
        <v>N</v>
      </c>
      <c r="P183" t="str">
        <f>IF(O183="Y","This Loan is in Step: Service","This Loan is in Step: n/a")</f>
        <v>This Loan is in Step: n/a</v>
      </c>
      <c r="Q183" t="str">
        <f t="shared" si="24"/>
        <v>n/a</v>
      </c>
      <c r="R183" s="10"/>
      <c r="T183" s="10"/>
    </row>
    <row r="184" spans="2:20" x14ac:dyDescent="0.3">
      <c r="B184">
        <v>168</v>
      </c>
      <c r="C184">
        <v>64197854</v>
      </c>
      <c r="D184" t="s">
        <v>1</v>
      </c>
      <c r="E184" s="2">
        <v>90000</v>
      </c>
      <c r="F184" s="1">
        <v>8.500410975067306E-2</v>
      </c>
      <c r="G184">
        <v>20</v>
      </c>
      <c r="H184" s="6">
        <f t="shared" si="26"/>
        <v>-781.06432030082647</v>
      </c>
      <c r="I184">
        <v>144</v>
      </c>
      <c r="J184" s="6">
        <f t="shared" si="27"/>
        <v>54269.447517068336</v>
      </c>
      <c r="K184" t="s">
        <v>11</v>
      </c>
      <c r="L184" s="11" t="str">
        <f t="shared" si="28"/>
        <v>FNMA</v>
      </c>
      <c r="M184">
        <v>0</v>
      </c>
      <c r="N184" s="11" t="str">
        <f t="shared" si="29"/>
        <v>Current</v>
      </c>
      <c r="O184" s="11" t="str">
        <f t="shared" si="29"/>
        <v>N</v>
      </c>
      <c r="P184" t="str">
        <f>IF(O184="Y","This Loan is in Step: Sale","This Loan is in Step: n/a")</f>
        <v>This Loan is in Step: n/a</v>
      </c>
      <c r="Q184" t="str">
        <f t="shared" si="24"/>
        <v>n/a</v>
      </c>
      <c r="R184" s="10"/>
      <c r="T184" s="10"/>
    </row>
    <row r="185" spans="2:20" x14ac:dyDescent="0.3">
      <c r="B185">
        <v>169</v>
      </c>
      <c r="C185">
        <v>59656529</v>
      </c>
      <c r="D185" t="s">
        <v>1</v>
      </c>
      <c r="E185" s="2">
        <v>100000</v>
      </c>
      <c r="F185" s="1">
        <v>6.538733883278261E-2</v>
      </c>
      <c r="G185">
        <v>20</v>
      </c>
      <c r="H185" s="6">
        <f t="shared" si="26"/>
        <v>-747.85526058280811</v>
      </c>
      <c r="I185">
        <v>195</v>
      </c>
      <c r="J185" s="6">
        <f t="shared" si="27"/>
        <v>29773.545703494408</v>
      </c>
      <c r="K185" t="s">
        <v>13</v>
      </c>
      <c r="L185" s="11" t="str">
        <f t="shared" si="28"/>
        <v>GNMA</v>
      </c>
      <c r="M185">
        <v>0</v>
      </c>
      <c r="N185" s="11" t="str">
        <f t="shared" si="29"/>
        <v>Current</v>
      </c>
      <c r="O185" s="11" t="str">
        <f t="shared" si="29"/>
        <v>N</v>
      </c>
      <c r="P185" t="str">
        <f>IF(O185="Y","This Loan is in Step: Sale","This Loan is in Step: n/a")</f>
        <v>This Loan is in Step: n/a</v>
      </c>
      <c r="Q185" t="str">
        <f t="shared" si="24"/>
        <v>n/a</v>
      </c>
      <c r="R185" s="10"/>
      <c r="T185" s="10"/>
    </row>
    <row r="186" spans="2:20" x14ac:dyDescent="0.3">
      <c r="B186">
        <v>170</v>
      </c>
      <c r="C186">
        <v>27416011</v>
      </c>
      <c r="D186" t="s">
        <v>1</v>
      </c>
      <c r="E186" s="2">
        <v>320000</v>
      </c>
      <c r="F186" s="1">
        <v>4.5206795026638533E-2</v>
      </c>
      <c r="G186">
        <v>20</v>
      </c>
      <c r="H186" s="6">
        <f t="shared" si="26"/>
        <v>-2028.0517953301764</v>
      </c>
      <c r="I186">
        <v>120</v>
      </c>
      <c r="J186" s="6">
        <f t="shared" si="27"/>
        <v>195497.25390834792</v>
      </c>
      <c r="K186" t="s">
        <v>10</v>
      </c>
      <c r="L186" s="11" t="str">
        <f t="shared" si="28"/>
        <v>FHLMC</v>
      </c>
      <c r="M186">
        <v>6</v>
      </c>
      <c r="N186" s="11" t="str">
        <f t="shared" si="29"/>
        <v>90+</v>
      </c>
      <c r="O186" s="11" t="str">
        <f t="shared" si="29"/>
        <v>Y</v>
      </c>
      <c r="P186" t="str">
        <f>IF(O186="Y","This Loan is in Step: Service","This Loan is in Step: n/a")</f>
        <v>This Loan is in Step: Service</v>
      </c>
      <c r="Q186" t="str">
        <f t="shared" si="24"/>
        <v>Service</v>
      </c>
      <c r="R186" s="10"/>
      <c r="T186" s="10"/>
    </row>
    <row r="187" spans="2:20" x14ac:dyDescent="0.3">
      <c r="B187">
        <v>171</v>
      </c>
      <c r="C187">
        <v>48475995</v>
      </c>
      <c r="D187" t="s">
        <v>1</v>
      </c>
      <c r="E187" s="2">
        <v>270000</v>
      </c>
      <c r="F187" s="1">
        <v>8.0420328455112197E-2</v>
      </c>
      <c r="G187">
        <v>15</v>
      </c>
      <c r="H187" s="6">
        <f t="shared" si="26"/>
        <v>-2586.8165856002333</v>
      </c>
      <c r="I187">
        <v>47</v>
      </c>
      <c r="J187" s="6">
        <f t="shared" si="27"/>
        <v>227222.13938087691</v>
      </c>
      <c r="K187" t="s">
        <v>9</v>
      </c>
      <c r="L187" s="11" t="str">
        <f t="shared" si="28"/>
        <v>GNMA</v>
      </c>
      <c r="M187">
        <v>9</v>
      </c>
      <c r="N187" s="11" t="str">
        <f t="shared" si="29"/>
        <v>90+</v>
      </c>
      <c r="O187" s="11" t="str">
        <f t="shared" si="29"/>
        <v>Y</v>
      </c>
      <c r="P187" t="str">
        <f>IF(O187="Y","This Loan is in Step: Judgment","This Loan is in Step: n/a")</f>
        <v>This Loan is in Step: Judgment</v>
      </c>
      <c r="Q187" t="str">
        <f t="shared" si="24"/>
        <v>Judgment</v>
      </c>
      <c r="R187" s="10"/>
      <c r="T187" s="10"/>
    </row>
    <row r="188" spans="2:20" x14ac:dyDescent="0.3">
      <c r="B188">
        <v>172</v>
      </c>
      <c r="C188">
        <v>71360853</v>
      </c>
      <c r="D188" t="s">
        <v>1</v>
      </c>
      <c r="E188" s="2">
        <v>430000</v>
      </c>
      <c r="F188" s="1">
        <v>8.948433022180316E-2</v>
      </c>
      <c r="G188">
        <v>15</v>
      </c>
      <c r="H188" s="6">
        <f t="shared" si="26"/>
        <v>-4348.1654276527343</v>
      </c>
      <c r="I188">
        <v>164</v>
      </c>
      <c r="J188" s="6">
        <f t="shared" si="27"/>
        <v>65351.444777577453</v>
      </c>
      <c r="K188" t="s">
        <v>11</v>
      </c>
      <c r="L188" s="11" t="str">
        <f t="shared" si="28"/>
        <v>FNMA</v>
      </c>
      <c r="M188">
        <v>5</v>
      </c>
      <c r="N188" s="11" t="str">
        <f t="shared" si="29"/>
        <v>90+</v>
      </c>
      <c r="O188" s="11" t="str">
        <f t="shared" si="29"/>
        <v>N</v>
      </c>
      <c r="P188" t="str">
        <f>IF(O188="Y","This Loan is in Step: Judgment","This Loan is in Step: n/a")</f>
        <v>This Loan is in Step: n/a</v>
      </c>
      <c r="Q188" t="str">
        <f t="shared" si="24"/>
        <v>n/a</v>
      </c>
      <c r="R188" s="10"/>
      <c r="T188" s="10"/>
    </row>
    <row r="189" spans="2:20" x14ac:dyDescent="0.3">
      <c r="B189">
        <v>173</v>
      </c>
      <c r="C189">
        <v>35512275</v>
      </c>
      <c r="D189" t="s">
        <v>1</v>
      </c>
      <c r="E189" s="2">
        <v>380000</v>
      </c>
      <c r="F189" s="1">
        <v>6.1968837801717767E-2</v>
      </c>
      <c r="G189">
        <v>30</v>
      </c>
      <c r="H189" s="6">
        <f t="shared" si="26"/>
        <v>-2326.6137587718663</v>
      </c>
      <c r="I189">
        <v>62</v>
      </c>
      <c r="J189" s="6">
        <f t="shared" si="27"/>
        <v>353461.13425502449</v>
      </c>
      <c r="K189" t="s">
        <v>9</v>
      </c>
      <c r="L189" s="11" t="str">
        <f t="shared" si="28"/>
        <v>GNMA</v>
      </c>
      <c r="M189">
        <v>9</v>
      </c>
      <c r="N189" s="11" t="str">
        <f t="shared" si="29"/>
        <v>90+</v>
      </c>
      <c r="O189" s="11" t="str">
        <f t="shared" si="29"/>
        <v>Y</v>
      </c>
      <c r="P189" t="str">
        <f>IF(O189="Y","This Loan is in Step: Referral","This Loan is in Step: n/a")</f>
        <v>This Loan is in Step: Referral</v>
      </c>
      <c r="Q189" t="str">
        <f t="shared" si="24"/>
        <v>Referral</v>
      </c>
      <c r="R189" s="10"/>
      <c r="T189" s="10"/>
    </row>
    <row r="190" spans="2:20" x14ac:dyDescent="0.3">
      <c r="B190">
        <v>174</v>
      </c>
      <c r="C190">
        <v>38613129</v>
      </c>
      <c r="D190" t="s">
        <v>1</v>
      </c>
      <c r="E190" s="2">
        <v>370000</v>
      </c>
      <c r="F190" s="1">
        <v>5.8198216683628096E-2</v>
      </c>
      <c r="G190">
        <v>15</v>
      </c>
      <c r="H190" s="6">
        <f t="shared" si="26"/>
        <v>-3086.3680567423221</v>
      </c>
      <c r="I190">
        <v>28</v>
      </c>
      <c r="J190" s="6">
        <f t="shared" si="27"/>
        <v>331355.10669905931</v>
      </c>
      <c r="K190" t="s">
        <v>13</v>
      </c>
      <c r="L190" s="11" t="str">
        <f t="shared" si="28"/>
        <v>GNMA</v>
      </c>
      <c r="M190">
        <v>4</v>
      </c>
      <c r="N190" s="11" t="str">
        <f t="shared" si="29"/>
        <v>90+</v>
      </c>
      <c r="O190" s="11" t="str">
        <f t="shared" si="29"/>
        <v>N</v>
      </c>
      <c r="P190" t="str">
        <f>IF(O190="Y","This Loan is in Step: Service","This Loan is in Step: n/a")</f>
        <v>This Loan is in Step: n/a</v>
      </c>
      <c r="Q190" t="str">
        <f t="shared" si="24"/>
        <v>n/a</v>
      </c>
      <c r="R190" s="10"/>
      <c r="T190" s="10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F43"/>
  <sheetViews>
    <sheetView topLeftCell="A7" zoomScale="125" workbookViewId="0">
      <selection activeCell="E10" sqref="E10"/>
    </sheetView>
  </sheetViews>
  <sheetFormatPr defaultRowHeight="10.75" x14ac:dyDescent="0.3"/>
  <cols>
    <col min="1" max="1" width="2.5" customWidth="1"/>
    <col min="2" max="2" width="25.296875" bestFit="1" customWidth="1"/>
    <col min="3" max="3" width="15.5" bestFit="1" customWidth="1"/>
    <col min="4" max="4" width="12.796875" customWidth="1"/>
    <col min="5" max="5" width="15.69921875" customWidth="1"/>
    <col min="6" max="6" width="13.69921875" bestFit="1" customWidth="1"/>
  </cols>
  <sheetData>
    <row r="2" spans="2:6" x14ac:dyDescent="0.3">
      <c r="B2" s="18" t="s">
        <v>52</v>
      </c>
    </row>
    <row r="3" spans="2:6" x14ac:dyDescent="0.3">
      <c r="B3" s="18"/>
    </row>
    <row r="4" spans="2:6" x14ac:dyDescent="0.3">
      <c r="B4" s="21" t="s">
        <v>62</v>
      </c>
    </row>
    <row r="5" spans="2:6" x14ac:dyDescent="0.3">
      <c r="B5" s="21" t="s">
        <v>61</v>
      </c>
    </row>
    <row r="6" spans="2:6" x14ac:dyDescent="0.3">
      <c r="B6" s="18"/>
    </row>
    <row r="8" spans="2:6" x14ac:dyDescent="0.3">
      <c r="B8" s="18" t="s">
        <v>53</v>
      </c>
    </row>
    <row r="9" spans="2:6" ht="21.45" x14ac:dyDescent="0.3">
      <c r="B9" s="12" t="s">
        <v>41</v>
      </c>
      <c r="C9" s="13" t="s">
        <v>49</v>
      </c>
      <c r="D9" s="13" t="s">
        <v>42</v>
      </c>
      <c r="E9" s="13" t="s">
        <v>6</v>
      </c>
      <c r="F9" s="16" t="s">
        <v>47</v>
      </c>
    </row>
    <row r="10" spans="2:6" x14ac:dyDescent="0.3">
      <c r="B10" s="14" t="s">
        <v>2</v>
      </c>
      <c r="C10" s="17" t="s">
        <v>50</v>
      </c>
      <c r="D10" s="20">
        <f>COUNTIFS(Data!$C$2:$C$175,Sheet7!B10, Data!$E$2:$E$175,Sheet7!C10)</f>
        <v>38</v>
      </c>
      <c r="E10" s="20">
        <f>SUMIFS(Data!$I$2:$I$175, Data!$C$2:$C$175,Sheet7!B10, Data!$E$2:$E$175,Sheet7!C10)</f>
        <v>6588547.6858483786</v>
      </c>
      <c r="F10" s="32">
        <f>SUMPRODUCT(-- (Data!$C$2:$C$175=Sheet7!B10),-- (Data!$E$2:$E$175&gt;=5%), Data!$I$2:$I$175, Data!$E$2:$E$175 )/Sheet7!E10</f>
        <v>7.3796491826450802E-2</v>
      </c>
    </row>
    <row r="11" spans="2:6" x14ac:dyDescent="0.3">
      <c r="B11" s="14" t="s">
        <v>2</v>
      </c>
      <c r="C11" s="17" t="s">
        <v>51</v>
      </c>
      <c r="D11" s="20">
        <f>COUNTIFS(Data!$C$2:$C$175,Sheet7!B11, Data!$E$2:$E$175,Sheet7!C11)</f>
        <v>30</v>
      </c>
      <c r="E11" s="20">
        <f>SUMIFS(Data!$I$2:$I$175, Data!$C$2:$C$175,Sheet7!B11, Data!$E$2:$E$175,Sheet7!C11)</f>
        <v>4543193.2034762371</v>
      </c>
      <c r="F11" s="32">
        <f>SUMPRODUCT(-- (Data!$C$2:$C$175=Sheet7!B11),-- (Data!$E$2:$E$175&lt;5%), Data!$I$2:$I$175, Data!$E$2:$E$175 )/Sheet7!E11</f>
        <v>3.5012755776488463E-2</v>
      </c>
    </row>
    <row r="12" spans="2:6" x14ac:dyDescent="0.3">
      <c r="B12" s="14" t="s">
        <v>1</v>
      </c>
      <c r="C12" s="17" t="s">
        <v>50</v>
      </c>
      <c r="D12" s="20">
        <f>COUNTIFS(Data!$C$2:$C$175,Sheet7!B12, Data!$E$2:$E$175,Sheet7!C12)</f>
        <v>24</v>
      </c>
      <c r="E12" s="20">
        <f>SUMIFS(Data!$I$2:$I$175, Data!$C$2:$C$175,Sheet7!B12, Data!$E$2:$E$175,Sheet7!C12)</f>
        <v>3909698.5868701511</v>
      </c>
      <c r="F12" s="32">
        <f>SUMPRODUCT(-- (Data!$C$2:$C$175=Sheet7!B12),-- (Data!$E$2:$E$175&gt;=5%), Data!$I$2:$I$175, Data!$E$2:$E$175 )/Sheet7!E12</f>
        <v>6.8589735457906115E-2</v>
      </c>
    </row>
    <row r="13" spans="2:6" x14ac:dyDescent="0.3">
      <c r="B13" s="14" t="s">
        <v>1</v>
      </c>
      <c r="C13" s="17" t="s">
        <v>51</v>
      </c>
      <c r="D13" s="20">
        <f>COUNTIFS(Data!$C$2:$C$175,Sheet7!B13, Data!$E$2:$E$175,Sheet7!C13)</f>
        <v>19</v>
      </c>
      <c r="E13" s="20">
        <f>SUMIFS(Data!$I$2:$I$175, Data!$C$2:$C$175,Sheet7!B13, Data!$E$2:$E$175,Sheet7!C13)</f>
        <v>3144537.8497599941</v>
      </c>
      <c r="F13" s="32">
        <f>SUMPRODUCT(-- (Data!$C$2:$C$175=Sheet7!B13),-- (Data!$E$2:$E$175&lt;5%), Data!$I$2:$I$175, Data!$E$2:$E$175 )/Sheet7!E13</f>
        <v>3.6293316523947051E-2</v>
      </c>
    </row>
    <row r="14" spans="2:6" x14ac:dyDescent="0.3">
      <c r="B14" s="14" t="s">
        <v>3</v>
      </c>
      <c r="C14" s="17" t="s">
        <v>50</v>
      </c>
      <c r="D14" s="20">
        <f>COUNTIFS(Data!$C$2:$C$175,Sheet7!B14, Data!$E$2:$E$175,Sheet7!C14)</f>
        <v>32</v>
      </c>
      <c r="E14" s="20">
        <f>SUMIFS(Data!$I$2:$I$175, Data!$C$2:$C$175,Sheet7!B14, Data!$E$2:$E$175,Sheet7!C14)</f>
        <v>5501400.7409069994</v>
      </c>
      <c r="F14" s="32">
        <f>SUMPRODUCT(-- (Data!$C$2:$C$175=Sheet7!B14),-- (Data!$E$2:$E$175&gt;=5%), Data!$I$2:$I$175, Data!$E$2:$E$175 )/Sheet7!E14</f>
        <v>6.947180823773505E-2</v>
      </c>
    </row>
    <row r="15" spans="2:6" x14ac:dyDescent="0.3">
      <c r="B15" s="14" t="s">
        <v>3</v>
      </c>
      <c r="C15" s="17" t="s">
        <v>51</v>
      </c>
      <c r="D15" s="20">
        <f>COUNTIFS(Data!$C$2:$C$175,Sheet7!B15, Data!$E$2:$E$175,Sheet7!C15)</f>
        <v>31</v>
      </c>
      <c r="E15" s="20">
        <f>SUMIFS(Data!$I$2:$I$175, Data!$C$2:$C$175,Sheet7!B15, Data!$E$2:$E$175,Sheet7!C15)</f>
        <v>5006740.5180195114</v>
      </c>
      <c r="F15" s="32">
        <f>SUMPRODUCT(-- (Data!$C$2:$C$175=Sheet7!B15),-- (Data!$E$2:$E$175&lt;5%), Data!$I$2:$I$175, Data!$E$2:$E$175 )/Sheet7!E15</f>
        <v>3.2578554199824611E-2</v>
      </c>
    </row>
    <row r="16" spans="2:6" x14ac:dyDescent="0.3">
      <c r="B16" s="19" t="s">
        <v>48</v>
      </c>
      <c r="C16" s="30" t="s">
        <v>57</v>
      </c>
      <c r="D16" s="31">
        <f>SUM(D10:D15)</f>
        <v>174</v>
      </c>
      <c r="E16" s="31">
        <f>SUM(E10:E15)</f>
        <v>28694118.584881272</v>
      </c>
      <c r="F16" s="33">
        <f>SUMPRODUCT(E10:E15,F10:F15)/E16</f>
        <v>5.4815307841265079E-2</v>
      </c>
    </row>
    <row r="17" spans="2:6" x14ac:dyDescent="0.3">
      <c r="B17" s="19"/>
    </row>
    <row r="18" spans="2:6" x14ac:dyDescent="0.3">
      <c r="B18" s="19"/>
    </row>
    <row r="19" spans="2:6" x14ac:dyDescent="0.3">
      <c r="B19" s="18" t="s">
        <v>58</v>
      </c>
    </row>
    <row r="20" spans="2:6" ht="21.45" x14ac:dyDescent="0.3">
      <c r="B20" s="12" t="s">
        <v>14</v>
      </c>
      <c r="C20" s="13" t="s">
        <v>8</v>
      </c>
      <c r="D20" s="13" t="s">
        <v>42</v>
      </c>
      <c r="E20" s="13" t="s">
        <v>6</v>
      </c>
      <c r="F20" s="16" t="s">
        <v>47</v>
      </c>
    </row>
    <row r="21" spans="2:6" x14ac:dyDescent="0.3">
      <c r="B21" s="15" t="s">
        <v>16</v>
      </c>
      <c r="C21" s="17"/>
      <c r="D21" s="20">
        <f>COUNTIFS(Data!$K$2:$K$175,Sheet7!B21, Data!$J$2:$J$175, IF(Sheet7!C21&lt;&gt;"",Sheet7!C21,"*"))</f>
        <v>33</v>
      </c>
      <c r="E21" s="20">
        <f>SUMIFS(Data!$I$2:$I$175, Data!$K$2:$K$175,Sheet7!B21,Data!$J$2:$J$175, IF(Sheet7!C21&lt;&gt;"",Sheet7!C21,"*"))</f>
        <v>5068197.253365051</v>
      </c>
      <c r="F21" s="32">
        <f>SUMPRODUCT(--(Data!$K$2:$K$175=Sheet7!B21),--(Data!$J$2:$J$175=IF(Sheet7!C21&lt;&gt;"",Sheet7!C21,Data!$J$2:$J$175)), Data!$E$2:$E$175,Data!$I$2:$I$175)/Sheet7!E21</f>
        <v>4.9425934144901137E-2</v>
      </c>
    </row>
    <row r="22" spans="2:6" x14ac:dyDescent="0.3">
      <c r="B22" s="15" t="s">
        <v>17</v>
      </c>
      <c r="C22" s="17"/>
      <c r="D22" s="20">
        <f>COUNTIFS(Data!$K$2:$K$175,Sheet7!B22, Data!$J$2:$J$175, IF(Sheet7!C22&lt;&gt;"",Sheet7!C22,"*"))</f>
        <v>32</v>
      </c>
      <c r="E22" s="20">
        <f>SUMIFS(Data!$I$2:$I$175, Data!$K$2:$K$175,Sheet7!B22,Data!$J$2:$J$175, IF(Sheet7!C22&lt;&gt;"",Sheet7!C22,"*"))</f>
        <v>5240052.5588672301</v>
      </c>
      <c r="F22" s="32">
        <f>SUMPRODUCT(--(Data!$K$2:$K$175=Sheet7!B22),--(Data!$J$2:$J$175=IF(Sheet7!C22&lt;&gt;"",Sheet7!C22,Data!$J$2:$J$175)), Data!$E$2:$E$175,Data!$I$2:$I$175)/Sheet7!E22</f>
        <v>5.7362017033525267E-2</v>
      </c>
    </row>
    <row r="23" spans="2:6" x14ac:dyDescent="0.3">
      <c r="B23" s="15" t="s">
        <v>18</v>
      </c>
      <c r="C23" s="17" t="s">
        <v>9</v>
      </c>
      <c r="D23" s="20">
        <f>COUNTIFS(Data!$K$2:$K$175,Sheet7!B23, Data!$J$2:$J$175, IF(Sheet7!C23&lt;&gt;"",Sheet7!C23,"*"))</f>
        <v>38</v>
      </c>
      <c r="E23" s="20">
        <f>SUMIFS(Data!$I$2:$I$175, Data!$K$2:$K$175,Sheet7!B23,Data!$J$2:$J$175, IF(Sheet7!C23&lt;&gt;"",Sheet7!C23,"*"))</f>
        <v>7337179.1208675411</v>
      </c>
      <c r="F23" s="32">
        <f>SUMPRODUCT(--(Data!$K$2:$K$175=Sheet7!B23),--(Data!$J$2:$J$175=IF(Sheet7!C23&lt;&gt;"",Sheet7!C23,"*")), Data!$E$2:$E$175,Data!$I$2:$I$175)/Sheet7!E23</f>
        <v>5.2175563747437613E-2</v>
      </c>
    </row>
    <row r="24" spans="2:6" x14ac:dyDescent="0.3">
      <c r="B24" s="15" t="s">
        <v>18</v>
      </c>
      <c r="C24" s="17" t="s">
        <v>12</v>
      </c>
      <c r="D24" s="20">
        <f>COUNTIFS(Data!$K$2:$K$175,Sheet7!B24, Data!$J$2:$J$175, IF(Sheet7!C24&lt;&gt;"",Sheet7!C24,"*"))</f>
        <v>34</v>
      </c>
      <c r="E24" s="20">
        <f>SUMIFS(Data!$I$2:$I$175, Data!$K$2:$K$175,Sheet7!B24,Data!$J$2:$J$175, IF(Sheet7!C24&lt;&gt;"",Sheet7!C24,"*"))</f>
        <v>5142058.4858955797</v>
      </c>
      <c r="F24" s="32">
        <f>SUMPRODUCT(--(Data!$K$2:$K$175=Sheet7!B24),--(Data!$J$2:$J$175=IF(Sheet7!C24&lt;&gt;"",Sheet7!C24,"*")), Data!$E$2:$E$175,Data!$I$2:$I$175)/Sheet7!E24</f>
        <v>5.3430384928935981E-2</v>
      </c>
    </row>
    <row r="25" spans="2:6" x14ac:dyDescent="0.3">
      <c r="B25" s="15" t="s">
        <v>18</v>
      </c>
      <c r="C25" s="17" t="s">
        <v>13</v>
      </c>
      <c r="D25" s="20">
        <f>COUNTIFS(Data!$K$2:$K$175,Sheet7!B25, Data!$J$2:$J$175, IF(Sheet7!C25&lt;&gt;"",Sheet7!C25,"*"))</f>
        <v>37</v>
      </c>
      <c r="E25" s="20">
        <f>SUMIFS(Data!$I$2:$I$175, Data!$K$2:$K$175,Sheet7!B25,Data!$J$2:$J$175, IF(Sheet7!C25&lt;&gt;"",Sheet7!C25,"*"))</f>
        <v>5906631.1658858685</v>
      </c>
      <c r="F25" s="32">
        <f>SUMPRODUCT(--(Data!$K$2:$K$175=Sheet7!B25),--(Data!$J$2:$J$175=IF(Sheet7!C25&lt;&gt;"",Sheet7!C25,"*")), Data!$E$2:$E$175,Data!$I$2:$I$175)/Sheet7!E25</f>
        <v>6.1665092036809165E-2</v>
      </c>
    </row>
    <row r="26" spans="2:6" x14ac:dyDescent="0.3">
      <c r="B26" s="19" t="s">
        <v>48</v>
      </c>
      <c r="C26" s="30" t="s">
        <v>57</v>
      </c>
      <c r="D26" s="31">
        <f>SUM(D21:D25)</f>
        <v>174</v>
      </c>
      <c r="E26" s="31">
        <f>SUM(E21:E25)</f>
        <v>28694118.584881272</v>
      </c>
      <c r="F26" s="33">
        <f>SUMPRODUCT(Sheet7!E21:'Sheet7'!E25,Sheet7!F21:'Sheet7'!F25)/Sheet7!E26</f>
        <v>5.4815307841265072E-2</v>
      </c>
    </row>
    <row r="27" spans="2:6" x14ac:dyDescent="0.3">
      <c r="B27" s="19"/>
    </row>
    <row r="28" spans="2:6" x14ac:dyDescent="0.3">
      <c r="B28" s="19"/>
    </row>
    <row r="29" spans="2:6" x14ac:dyDescent="0.3">
      <c r="B29" s="18" t="s">
        <v>59</v>
      </c>
    </row>
    <row r="30" spans="2:6" ht="21.45" x14ac:dyDescent="0.3">
      <c r="B30" s="12" t="s">
        <v>36</v>
      </c>
      <c r="C30" s="13" t="s">
        <v>54</v>
      </c>
      <c r="D30" s="13" t="s">
        <v>42</v>
      </c>
      <c r="E30" s="13" t="s">
        <v>6</v>
      </c>
      <c r="F30" s="16" t="s">
        <v>47</v>
      </c>
    </row>
    <row r="31" spans="2:6" x14ac:dyDescent="0.3">
      <c r="B31" s="14" t="s">
        <v>44</v>
      </c>
      <c r="C31" s="17" t="s">
        <v>55</v>
      </c>
      <c r="D31" s="20">
        <f>COUNTIFS(Data!$P$2:$P$175, Sheet7!B31, Data!$E$2:$E$175, Sheet7!C31)</f>
        <v>5</v>
      </c>
      <c r="E31" s="20">
        <f>SUMIFS(Data!$I$2:$I$175, Data!$P$2:$P$175,Sheet7!B31,Data!$E$2:$E$175, Sheet7!C31)</f>
        <v>1074512.1915547294</v>
      </c>
      <c r="F31" s="32">
        <f>SUMPRODUCT(-- (Data!$P$2:$P$175=Sheet7!B31), --(Data!$E$2:$E$175&lt;4%), Data!$I$2:$I$175, Data!$E$2:$E$175)/E31</f>
        <v>2.9568243986871228E-2</v>
      </c>
    </row>
    <row r="32" spans="2:6" x14ac:dyDescent="0.3">
      <c r="B32" s="14" t="s">
        <v>44</v>
      </c>
      <c r="C32" s="17" t="s">
        <v>60</v>
      </c>
      <c r="D32" s="20">
        <f>COUNTIFS(Data!$P$2:$P$175, Sheet7!B32, Data!$E$2:$E$175, "&gt;=4.01%", Data!$E$2:$E$175, "&lt;=8.00%")</f>
        <v>12</v>
      </c>
      <c r="E32" s="20">
        <f>SUMIFS(Data!$I$2:$I$175, Data!$P$2:$P$175,Sheet7!B32,Data!$E$2:$E$175, "&gt;=4.01%", Data!$E$2:$E$175, "&lt;=8.00%")</f>
        <v>1234189.5335339073</v>
      </c>
      <c r="F32" s="32">
        <f>SUMPRODUCT(-- (Data!$P$2:$P$175=Sheet7!B32), --(Data!$E$2:$E$175&gt;=4.01%),--(Data!$E$2:$E$175&lt;=8%), Data!$I$2:$I$175, Data!$E$2:$E$175)/E32</f>
        <v>5.6630472399291087E-2</v>
      </c>
    </row>
    <row r="33" spans="2:6" x14ac:dyDescent="0.3">
      <c r="B33" s="14" t="s">
        <v>44</v>
      </c>
      <c r="C33" s="17" t="s">
        <v>56</v>
      </c>
      <c r="D33" s="20">
        <f>COUNTIFS(Data!$P$2:$P$175, Sheet7!B33, Data!$E$2:$E$175, Sheet7!C33)</f>
        <v>1</v>
      </c>
      <c r="E33" s="20">
        <f>SUMIFS(Data!$I$2:$I$175, Data!$P$2:$P$175,Sheet7!B33,Data!$E$2:$E$175, Sheet7!C33)</f>
        <v>66982.805778146241</v>
      </c>
      <c r="F33" s="32">
        <f>SUMPRODUCT(-- (Data!$P$2:$P$175=Sheet7!B33), --(Data!$E$2:$E$175&gt;8.01%), Data!$I$2:$I$175, Data!$E$2:$E$175)/E33</f>
        <v>8.5661220417817804E-2</v>
      </c>
    </row>
    <row r="34" spans="2:6" x14ac:dyDescent="0.3">
      <c r="B34" s="14" t="s">
        <v>46</v>
      </c>
      <c r="C34" s="17" t="s">
        <v>55</v>
      </c>
      <c r="D34" s="20">
        <f>COUNTIFS(Data!$P$2:$P$175, Sheet7!B34, Data!$E$2:$E$175, Sheet7!C34)</f>
        <v>4</v>
      </c>
      <c r="E34" s="20">
        <f>SUMIFS(Data!$I$2:$I$175, Data!$P$2:$P$175,Sheet7!B34,Data!$E$2:$E$175, Sheet7!C34)</f>
        <v>518885.92073187814</v>
      </c>
      <c r="F34" s="32">
        <f>SUMPRODUCT(-- (Data!$P$2:$P$175=Sheet7!B34), --(Data!$E$2:$E$175&lt;4%), Data!$I$2:$I$175, Data!$E$2:$E$175)/E34</f>
        <v>3.210113063155047E-2</v>
      </c>
    </row>
    <row r="35" spans="2:6" x14ac:dyDescent="0.3">
      <c r="B35" s="14" t="s">
        <v>46</v>
      </c>
      <c r="C35" s="17" t="s">
        <v>60</v>
      </c>
      <c r="D35" s="20">
        <f>COUNTIFS(Data!$P$2:$P$175,Sheet7!B35, Data!$E$2:$E$175, "&gt;=4.01%", Data!$E$2:$E$175, "&lt;=8%")</f>
        <v>9</v>
      </c>
      <c r="E35" s="20">
        <f>SUMIFS(Data!$I$2:$I$175, Data!$P$2:$P$175,Sheet7!B35,Data!$E$2:$E$175, "&gt;=4.01%", Data!$E$2:$E$175, "&lt;=8.00%")</f>
        <v>1759895.1314663817</v>
      </c>
      <c r="F35" s="32">
        <f>SUMPRODUCT(-- (Data!$P$2:$P$175=Sheet7!B35), --(Data!$E$2:$E$175&gt;=4.01%),--(Data!$E$2:$E$175&lt;=8%), Data!$I$2:$I$175, Data!$E$2:$E$175)/E35</f>
        <v>5.4395668239092906E-2</v>
      </c>
    </row>
    <row r="36" spans="2:6" x14ac:dyDescent="0.3">
      <c r="B36" s="14" t="s">
        <v>46</v>
      </c>
      <c r="C36" s="17" t="s">
        <v>56</v>
      </c>
      <c r="D36" s="20">
        <f>COUNTIFS(Data!$P$2:$P$175, Sheet7!B36, Data!$E$2:$E$175, Sheet7!C36)</f>
        <v>2</v>
      </c>
      <c r="E36" s="20">
        <f>SUMIFS(Data!$I$2:$I$175, Data!$P$2:$P$175,Sheet7!B36,Data!$E$2:$E$175, Sheet7!C36)</f>
        <v>518102.08310784074</v>
      </c>
      <c r="F36" s="32">
        <f>SUMPRODUCT(-- (Data!$P$2:$P$175=Sheet7!B36), --(Data!$E$2:$E$175&gt;8.01%), Data!$I$2:$I$175, Data!$E$2:$E$175)/E36</f>
        <v>8.3996539019939295E-2</v>
      </c>
    </row>
    <row r="37" spans="2:6" x14ac:dyDescent="0.3">
      <c r="B37" s="14" t="s">
        <v>43</v>
      </c>
      <c r="C37" s="17" t="s">
        <v>55</v>
      </c>
      <c r="D37" s="20">
        <f>COUNTIFS(Data!$P$2:$P$175, Sheet7!B37, Data!$E$2:$E$175, Sheet7!C37)</f>
        <v>3</v>
      </c>
      <c r="E37" s="20">
        <f>SUMIFS(Data!$I$2:$I$175, Data!$P$2:$P$175,Sheet7!B37,Data!$E$2:$E$175, Sheet7!C37)</f>
        <v>453536.98669570783</v>
      </c>
      <c r="F37" s="32">
        <f>SUMPRODUCT(-- (Data!$P$2:$P$175=Sheet7!B37), --(Data!$E$2:$E$175&lt;4%), Data!$I$2:$I$175, Data!$E$2:$E$175)/E37</f>
        <v>3.071771653999816E-2</v>
      </c>
    </row>
    <row r="38" spans="2:6" x14ac:dyDescent="0.3">
      <c r="B38" s="14" t="s">
        <v>43</v>
      </c>
      <c r="C38" s="17" t="s">
        <v>60</v>
      </c>
      <c r="D38" s="20">
        <f>COUNTIFS(Data!$P$2:$P$175,Sheet7!B38)-D37-D39</f>
        <v>4</v>
      </c>
      <c r="E38" s="20">
        <f>SUMIFS(Data!$I$2:$I$175, Data!$P$2:$P$175,Sheet7!B38,Data!$E$2:$E$175, "&gt;=4.01%", Data!$E$2:$E$175, "&lt;=8.00%")</f>
        <v>359169.75847502984</v>
      </c>
      <c r="F38" s="32">
        <f>SUMPRODUCT(-- (Data!$P$2:$P$175=Sheet7!B38), --(Data!$E$2:$E$175&gt;=4.01%),--(Data!$E$2:$E$175&lt;=8%), Data!$I$2:$I$175, Data!$E$2:$E$175)/E38</f>
        <v>6.600467050640986E-2</v>
      </c>
    </row>
    <row r="39" spans="2:6" x14ac:dyDescent="0.3">
      <c r="B39" s="14" t="s">
        <v>43</v>
      </c>
      <c r="C39" s="17" t="s">
        <v>56</v>
      </c>
      <c r="D39" s="20">
        <f>COUNTIFS(Data!$P$2:$P$175, Sheet7!B39, Data!$E$2:$E$175, Sheet7!C39)</f>
        <v>3</v>
      </c>
      <c r="E39" s="20">
        <f>SUMIFS(Data!$I$2:$I$175, Data!$P$2:$P$175,Sheet7!B39,Data!$E$2:$E$175, Sheet7!C39)</f>
        <v>619643.24509742088</v>
      </c>
      <c r="F39" s="32">
        <f>SUMPRODUCT(-- (Data!$P$2:$P$175=Sheet7!B39), --(Data!$E$2:$E$175&gt;8.01%), Data!$I$2:$I$175, Data!$E$2:$E$175)/E39</f>
        <v>8.2034007022738595E-2</v>
      </c>
    </row>
    <row r="40" spans="2:6" x14ac:dyDescent="0.3">
      <c r="B40" s="14" t="s">
        <v>45</v>
      </c>
      <c r="C40" s="17" t="s">
        <v>55</v>
      </c>
      <c r="D40" s="20">
        <f>COUNTIFS(Data!$P$2:$P$175, Sheet7!B40, Data!$E$2:$E$175, Sheet7!C40)</f>
        <v>4</v>
      </c>
      <c r="E40" s="20">
        <f>SUMIFS(Data!$I$2:$I$175, Data!$P$2:$P$175,Sheet7!B40,Data!$E$2:$E$175, Sheet7!C40)</f>
        <v>749209.24480211781</v>
      </c>
      <c r="F40" s="32">
        <f>SUMPRODUCT(-- (Data!$P$2:$P$175=Sheet7!B40), --(Data!$E$2:$E$175&lt;4%), Data!$I$2:$I$175, Data!$E$2:$E$175)/E40</f>
        <v>2.5613987777663164E-2</v>
      </c>
    </row>
    <row r="41" spans="2:6" x14ac:dyDescent="0.3">
      <c r="B41" s="14" t="s">
        <v>45</v>
      </c>
      <c r="C41" s="17" t="s">
        <v>60</v>
      </c>
      <c r="D41" s="20">
        <f>COUNTIFS(Data!$P$2:$P$175, Sheet7!B41, Data!$E$2:$E$175, "&gt;=4.01%", Data!$E$2:$E$175, "&lt;=8.00%")</f>
        <v>6</v>
      </c>
      <c r="E41" s="20">
        <f>SUMIFS(Data!$I$2:$I$175, Data!$P$2:$P$175,Sheet7!B41,Data!$E$2:$E$175, "&gt;=4.01%", Data!$E$2:$E$175, "&lt;=8.00%")</f>
        <v>1136110.6619496783</v>
      </c>
      <c r="F41" s="32">
        <f>SUMPRODUCT(-- (Data!$P$2:$P$175=Sheet7!B41), --(Data!$E$2:$E$175&gt;=4.01%),--(Data!$E$2:$E$175&lt;=8%), Data!$I$2:$I$175, Data!$E$2:$E$175)/E41</f>
        <v>6.3088716195541059E-2</v>
      </c>
    </row>
    <row r="42" spans="2:6" x14ac:dyDescent="0.3">
      <c r="B42" s="14" t="s">
        <v>45</v>
      </c>
      <c r="C42" s="17" t="s">
        <v>56</v>
      </c>
      <c r="D42" s="20">
        <f>COUNTIFS(Data!$P$2:$P$175, Sheet7!B42, Data!$E$2:$E$175, Sheet7!C42)</f>
        <v>1</v>
      </c>
      <c r="E42" s="20">
        <f>SUMIFS(Data!$I$2:$I$175, Data!$P$2:$P$175,Sheet7!B42,Data!$E$2:$E$175, Sheet7!C42)</f>
        <v>158640.11139969429</v>
      </c>
      <c r="F42" s="32">
        <f>SUMPRODUCT(-- (Data!$P$2:$P$175=Sheet7!B42), --(Data!$E$2:$E$175&gt;8.01%), Data!$I$2:$I$175, Data!$E$2:$E$175)/E42</f>
        <v>8.0913712050867476E-2</v>
      </c>
    </row>
    <row r="43" spans="2:6" x14ac:dyDescent="0.3">
      <c r="B43" s="19" t="s">
        <v>48</v>
      </c>
      <c r="C43" s="30" t="s">
        <v>57</v>
      </c>
      <c r="D43" s="20">
        <f>SUM(D31:D42)</f>
        <v>54</v>
      </c>
      <c r="E43" s="20">
        <f>SUM(E31:E42)</f>
        <v>8648877.6745925304</v>
      </c>
      <c r="F43" s="33">
        <f>SUMPRODUCT(E31:E42,F31:F42)/E43</f>
        <v>5.2663568568343887E-2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64FF-B62C-46FC-A9BC-49BFDC075EDE}">
  <sheetPr codeName="Sheet12"/>
  <dimension ref="A3:E26"/>
  <sheetViews>
    <sheetView topLeftCell="A9" zoomScale="78" zoomScaleNormal="78" workbookViewId="0">
      <selection activeCell="E3" sqref="E3"/>
    </sheetView>
  </sheetViews>
  <sheetFormatPr defaultRowHeight="15.9" x14ac:dyDescent="0.45"/>
  <cols>
    <col min="1" max="1" width="37.19921875" style="34" bestFit="1" customWidth="1"/>
    <col min="2" max="2" width="18.296875" style="34" bestFit="1" customWidth="1"/>
    <col min="3" max="3" width="17.296875" style="34" bestFit="1" customWidth="1"/>
    <col min="4" max="4" width="28.69921875" style="34" bestFit="1" customWidth="1"/>
    <col min="5" max="5" width="30.8984375" style="34" bestFit="1" customWidth="1"/>
    <col min="6" max="16384" width="8.796875" style="34"/>
  </cols>
  <sheetData>
    <row r="3" spans="1:5" x14ac:dyDescent="0.45">
      <c r="A3" s="36" t="s">
        <v>15</v>
      </c>
      <c r="B3" s="36" t="s">
        <v>21</v>
      </c>
      <c r="C3" s="34" t="s">
        <v>73</v>
      </c>
      <c r="D3" s="34" t="s">
        <v>72</v>
      </c>
      <c r="E3" s="38" t="s">
        <v>47</v>
      </c>
    </row>
    <row r="4" spans="1:5" x14ac:dyDescent="0.45">
      <c r="A4" s="34" t="s">
        <v>2</v>
      </c>
      <c r="C4" s="35">
        <v>68</v>
      </c>
      <c r="D4" s="35">
        <v>-7238259.1106754551</v>
      </c>
      <c r="E4" s="41"/>
    </row>
    <row r="5" spans="1:5" x14ac:dyDescent="0.45">
      <c r="A5" s="34" t="s">
        <v>2</v>
      </c>
      <c r="B5" s="34" t="s">
        <v>74</v>
      </c>
      <c r="C5" s="35">
        <v>38</v>
      </c>
      <c r="D5" s="35">
        <v>-4071452.3141516256</v>
      </c>
      <c r="E5" s="39">
        <f>SUMPRODUCT(-- (Data!$C$2:$C$175=Sheet7!B10),-- (Data!$E$2:$E$175&gt;=5%), Data!$I$2:$I$175, Data!$E$2:$E$175 )/Sheet7!E10</f>
        <v>7.3796491826450802E-2</v>
      </c>
    </row>
    <row r="6" spans="1:5" x14ac:dyDescent="0.45">
      <c r="A6" s="34" t="s">
        <v>2</v>
      </c>
      <c r="B6" s="34" t="s">
        <v>75</v>
      </c>
      <c r="C6" s="35">
        <v>30</v>
      </c>
      <c r="D6" s="35">
        <v>-3166806.7965238285</v>
      </c>
      <c r="E6" s="39">
        <f>SUMPRODUCT(-- (Data!$C$2:$C$175=Sheet7!B11),-- (Data!$E$2:$E$175&lt;5%), Data!$I$2:$I$175, Data!$E$2:$E$175 )/Sheet7!E11</f>
        <v>3.5012755776488463E-2</v>
      </c>
    </row>
    <row r="7" spans="1:5" x14ac:dyDescent="0.45">
      <c r="A7" s="34" t="s">
        <v>1</v>
      </c>
      <c r="C7" s="35">
        <v>43</v>
      </c>
      <c r="D7" s="35">
        <v>-4965763.563369873</v>
      </c>
      <c r="E7" s="41"/>
    </row>
    <row r="8" spans="1:5" x14ac:dyDescent="0.45">
      <c r="A8" s="34" t="s">
        <v>1</v>
      </c>
      <c r="B8" s="34" t="s">
        <v>74</v>
      </c>
      <c r="C8" s="35">
        <v>24</v>
      </c>
      <c r="D8" s="35">
        <v>-3350301.413129841</v>
      </c>
      <c r="E8" s="39">
        <f>SUMPRODUCT(-- (Data!$C$2:$C$175=Sheet7!B12),-- (Data!$E$2:$E$175&gt;=5%), Data!$I$2:$I$175, Data!$E$2:$E$175 )/Sheet7!E12</f>
        <v>6.8589735457906115E-2</v>
      </c>
    </row>
    <row r="9" spans="1:5" x14ac:dyDescent="0.45">
      <c r="A9" s="34" t="s">
        <v>1</v>
      </c>
      <c r="B9" s="34" t="s">
        <v>75</v>
      </c>
      <c r="C9" s="35">
        <v>19</v>
      </c>
      <c r="D9" s="35">
        <v>-1615462.1502400308</v>
      </c>
      <c r="E9" s="39">
        <f>SUMPRODUCT(-- (Data!$C$2:$C$175=Sheet7!B13),-- (Data!$E$2:$E$175&lt;5%), Data!$I$2:$I$175, Data!$E$2:$E$175 )/Sheet7!E13</f>
        <v>3.6293316523947051E-2</v>
      </c>
    </row>
    <row r="10" spans="1:5" x14ac:dyDescent="0.45">
      <c r="A10" s="34" t="s">
        <v>3</v>
      </c>
      <c r="C10" s="35">
        <v>63</v>
      </c>
      <c r="D10" s="35">
        <v>-4951858.7410734873</v>
      </c>
      <c r="E10" s="41"/>
    </row>
    <row r="11" spans="1:5" x14ac:dyDescent="0.45">
      <c r="A11" s="34" t="s">
        <v>3</v>
      </c>
      <c r="B11" s="34" t="s">
        <v>74</v>
      </c>
      <c r="C11" s="35">
        <v>32</v>
      </c>
      <c r="D11" s="35">
        <v>-2068599.2590929829</v>
      </c>
      <c r="E11" s="39">
        <f>SUMPRODUCT(-- (Data!$C$2:$C$175=Sheet7!B14),-- (Data!$E$2:$E$175&gt;=5%), Data!$I$2:$I$175, Data!$E$2:$E$175 )/Sheet7!E14</f>
        <v>6.947180823773505E-2</v>
      </c>
    </row>
    <row r="12" spans="1:5" x14ac:dyDescent="0.45">
      <c r="A12" s="34" t="s">
        <v>3</v>
      </c>
      <c r="B12" s="34" t="s">
        <v>75</v>
      </c>
      <c r="C12" s="35">
        <v>31</v>
      </c>
      <c r="D12" s="35">
        <v>-2883259.4819805068</v>
      </c>
      <c r="E12" s="39">
        <f>SUMPRODUCT(-- (Data!$C$2:$C$175=Sheet7!B15),-- (Data!$E$2:$E$175&lt;5%), Data!$I$2:$I$175, Data!$E$2:$E$175 )/Sheet7!E15</f>
        <v>3.2578554199824611E-2</v>
      </c>
    </row>
    <row r="13" spans="1:5" x14ac:dyDescent="0.45">
      <c r="A13" s="34" t="s">
        <v>71</v>
      </c>
      <c r="C13" s="35">
        <v>174</v>
      </c>
      <c r="D13" s="35">
        <v>-17155881.415118814</v>
      </c>
      <c r="E13" s="40">
        <f>SUMPRODUCT(Sheet7!E10:'Sheet7'!E15,Sheet7!F10:'Sheet7'!F15)/Sheet7!E16</f>
        <v>5.4815307841265079E-2</v>
      </c>
    </row>
    <row r="17" spans="1:5" x14ac:dyDescent="0.45">
      <c r="A17" s="36" t="s">
        <v>14</v>
      </c>
      <c r="B17" s="36" t="s">
        <v>8</v>
      </c>
      <c r="C17" s="36" t="s">
        <v>73</v>
      </c>
      <c r="D17" s="36" t="s">
        <v>72</v>
      </c>
      <c r="E17" s="38" t="s">
        <v>47</v>
      </c>
    </row>
    <row r="18" spans="1:5" x14ac:dyDescent="0.45">
      <c r="A18" s="34" t="s">
        <v>16</v>
      </c>
      <c r="C18" s="35">
        <v>33</v>
      </c>
      <c r="D18" s="35">
        <v>-3971802.7466349779</v>
      </c>
      <c r="E18" s="41"/>
    </row>
    <row r="19" spans="1:5" x14ac:dyDescent="0.45">
      <c r="A19" s="34" t="s">
        <v>16</v>
      </c>
      <c r="B19" s="34" t="s">
        <v>10</v>
      </c>
      <c r="C19" s="35">
        <v>33</v>
      </c>
      <c r="D19" s="35">
        <v>-3971802.7466349779</v>
      </c>
      <c r="E19" s="39">
        <f>SUMPRODUCT(--(Data!$K$2:$K$175=Sheet7!B21),--(Data!$J$2:$J$175=IF(Sheet7!C21&lt;&gt;"",Sheet7!C21,Data!$J$2:$J$175)), Data!$E$2:$E$175,Data!$I$2:$I$175)/Sheet7!E21</f>
        <v>4.9425934144901137E-2</v>
      </c>
    </row>
    <row r="20" spans="1:5" x14ac:dyDescent="0.45">
      <c r="A20" s="34" t="s">
        <v>17</v>
      </c>
      <c r="C20" s="35">
        <v>32</v>
      </c>
      <c r="D20" s="35">
        <v>-3669947.4411327969</v>
      </c>
      <c r="E20" s="41"/>
    </row>
    <row r="21" spans="1:5" x14ac:dyDescent="0.45">
      <c r="A21" s="34" t="s">
        <v>17</v>
      </c>
      <c r="B21" s="34" t="s">
        <v>11</v>
      </c>
      <c r="C21" s="35">
        <v>32</v>
      </c>
      <c r="D21" s="35">
        <v>-3669947.4411327969</v>
      </c>
      <c r="E21" s="39">
        <f>SUMPRODUCT(--(Data!$K$2:$K$175=Sheet7!B22),--(Data!$J$2:$J$175=IF(Sheet7!C22&lt;&gt;"",Sheet7!C22,Data!$J$2:$J$175)), Data!$E$2:$E$175,Data!$I$2:$I$175)/Sheet7!E22</f>
        <v>5.7362017033525267E-2</v>
      </c>
    </row>
    <row r="22" spans="1:5" x14ac:dyDescent="0.45">
      <c r="A22" s="34" t="s">
        <v>18</v>
      </c>
      <c r="C22" s="35">
        <v>109</v>
      </c>
      <c r="D22" s="35">
        <v>-9514131.2273510359</v>
      </c>
      <c r="E22" s="41"/>
    </row>
    <row r="23" spans="1:5" x14ac:dyDescent="0.45">
      <c r="A23" s="34" t="s">
        <v>18</v>
      </c>
      <c r="B23" s="34" t="s">
        <v>9</v>
      </c>
      <c r="C23" s="35">
        <v>38</v>
      </c>
      <c r="D23" s="35">
        <v>-2452820.8791324873</v>
      </c>
      <c r="E23" s="39">
        <f>SUMPRODUCT(--(Data!$K$2:$K$175=Sheet7!B23),--(Data!$J$2:$J$175=IF(Sheet7!C23&lt;&gt;"",Sheet7!C23,"*")), Data!$E$2:$E$175,Data!$I$2:$I$175)/Sheet7!E23</f>
        <v>5.2175563747437613E-2</v>
      </c>
    </row>
    <row r="24" spans="1:5" x14ac:dyDescent="0.45">
      <c r="A24" s="34" t="s">
        <v>18</v>
      </c>
      <c r="B24" s="34" t="s">
        <v>13</v>
      </c>
      <c r="C24" s="35">
        <v>37</v>
      </c>
      <c r="D24" s="35">
        <v>-3993368.8341141399</v>
      </c>
      <c r="E24" s="39">
        <f>SUMPRODUCT(--(Data!$K$2:$K$175=Sheet7!B24),--(Data!$J$2:$J$175=IF(Sheet7!C24&lt;&gt;"",Sheet7!C24,"*")), Data!$E$2:$E$175,Data!$I$2:$I$175)/Sheet7!E24</f>
        <v>5.3430384928935981E-2</v>
      </c>
    </row>
    <row r="25" spans="1:5" x14ac:dyDescent="0.45">
      <c r="A25" s="34" t="s">
        <v>18</v>
      </c>
      <c r="B25" s="34" t="s">
        <v>12</v>
      </c>
      <c r="C25" s="35">
        <v>34</v>
      </c>
      <c r="D25" s="35">
        <v>-3067941.5141044143</v>
      </c>
      <c r="E25" s="39">
        <f>SUMPRODUCT(--(Data!$K$2:$K$175=Sheet7!B25),--(Data!$J$2:$J$175=IF(Sheet7!C25&lt;&gt;"",Sheet7!C25,"*")), Data!$E$2:$E$175,Data!$I$2:$I$175)/Sheet7!E25</f>
        <v>6.1665092036809165E-2</v>
      </c>
    </row>
    <row r="26" spans="1:5" x14ac:dyDescent="0.45">
      <c r="A26" s="34" t="s">
        <v>71</v>
      </c>
      <c r="C26" s="35">
        <v>174</v>
      </c>
      <c r="D26" s="35">
        <v>-17155881.415118817</v>
      </c>
      <c r="E26" s="40">
        <f>SUMPRODUCT(Sheet7!E21:'Sheet7'!E25,Sheet7!F21:'Sheet7'!F25)/Sheet7!E26</f>
        <v>5.4815307841265072E-2</v>
      </c>
    </row>
  </sheetData>
  <pageMargins left="0.7" right="0.7" top="0.75" bottom="0.75" header="0.3" footer="0.3"/>
  <pageSetup paperSize="9" orientation="portrait" horizontalDpi="4294967295" verticalDpi="4294967295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249977111117893"/>
  </sheetPr>
  <dimension ref="A1:S175"/>
  <sheetViews>
    <sheetView topLeftCell="D1" zoomScale="130" workbookViewId="0">
      <selection activeCell="J13" sqref="J13"/>
    </sheetView>
  </sheetViews>
  <sheetFormatPr defaultRowHeight="10.75" x14ac:dyDescent="0.3"/>
  <cols>
    <col min="1" max="1" width="4.8984375" bestFit="1" customWidth="1"/>
    <col min="2" max="2" width="11.59765625" bestFit="1" customWidth="1"/>
    <col min="3" max="3" width="24.69921875" bestFit="1" customWidth="1"/>
    <col min="4" max="4" width="11.59765625" bestFit="1" customWidth="1"/>
    <col min="5" max="5" width="10.59765625" bestFit="1" customWidth="1"/>
    <col min="6" max="6" width="10.796875" bestFit="1" customWidth="1"/>
    <col min="7" max="7" width="13.09765625" bestFit="1" customWidth="1"/>
    <col min="8" max="8" width="13.796875" style="7" bestFit="1" customWidth="1"/>
    <col min="9" max="9" width="13.796875" bestFit="1" customWidth="1"/>
    <col min="12" max="12" width="18.796875" bestFit="1" customWidth="1"/>
    <col min="13" max="13" width="10.796875" customWidth="1"/>
    <col min="14" max="14" width="10.296875" bestFit="1" customWidth="1"/>
    <col min="15" max="15" width="28.19921875" customWidth="1"/>
    <col min="16" max="16" width="14.296875" bestFit="1" customWidth="1"/>
    <col min="20" max="20" width="26.19921875" bestFit="1" customWidth="1"/>
    <col min="21" max="21" width="25.796875" bestFit="1" customWidth="1"/>
    <col min="22" max="22" width="57.5" bestFit="1" customWidth="1"/>
  </cols>
  <sheetData>
    <row r="1" spans="1:19" x14ac:dyDescent="0.3">
      <c r="A1" s="23" t="s">
        <v>19</v>
      </c>
      <c r="B1" s="23" t="s">
        <v>0</v>
      </c>
      <c r="C1" s="24" t="s">
        <v>15</v>
      </c>
      <c r="D1" s="24" t="s">
        <v>5</v>
      </c>
      <c r="E1" s="24" t="s">
        <v>21</v>
      </c>
      <c r="F1" s="24" t="s">
        <v>20</v>
      </c>
      <c r="G1" s="24" t="s">
        <v>4</v>
      </c>
      <c r="H1" s="24" t="s">
        <v>7</v>
      </c>
      <c r="I1" s="24" t="s">
        <v>6</v>
      </c>
      <c r="J1" s="24" t="s">
        <v>8</v>
      </c>
      <c r="K1" s="24" t="s">
        <v>14</v>
      </c>
      <c r="L1" s="24" t="s">
        <v>24</v>
      </c>
      <c r="M1" s="23" t="s">
        <v>25</v>
      </c>
      <c r="N1" s="23" t="s">
        <v>32</v>
      </c>
      <c r="O1" s="23" t="s">
        <v>35</v>
      </c>
      <c r="P1" s="23" t="s">
        <v>36</v>
      </c>
    </row>
    <row r="2" spans="1:19" x14ac:dyDescent="0.3">
      <c r="A2" s="25">
        <v>1</v>
      </c>
      <c r="B2" s="25">
        <v>83449837</v>
      </c>
      <c r="C2" s="25" t="s">
        <v>3</v>
      </c>
      <c r="D2" s="26">
        <v>280000</v>
      </c>
      <c r="E2" s="27">
        <v>6.3422300277239399E-2</v>
      </c>
      <c r="F2" s="25">
        <v>30</v>
      </c>
      <c r="G2" s="28">
        <f>VLOOKUP(B2,Sheet2!$C$17:$H$190,6,FALSE)</f>
        <v>-1740.8388784193021</v>
      </c>
      <c r="H2" s="25">
        <v>191</v>
      </c>
      <c r="I2" s="29">
        <f>VLOOKUP($B2,Sheet3!$C$17:$J$190,8,FALSE)</f>
        <v>194232.77149761905</v>
      </c>
      <c r="J2" s="25" t="s">
        <v>12</v>
      </c>
      <c r="K2" s="25" t="str">
        <f>VLOOKUP(B2,Sheet4!$C$17:$L$190,10,FALSE)</f>
        <v>GNMA</v>
      </c>
      <c r="L2" s="25">
        <v>6</v>
      </c>
      <c r="M2" s="25" t="str">
        <f>VLOOKUP($B2,Sheet5!$C$17:$O$190,12,FALSE)</f>
        <v>90+</v>
      </c>
      <c r="N2" s="25" t="str">
        <f>VLOOKUP($B2,Sheet5!$C$17:$O$190,13,FALSE)</f>
        <v>Y</v>
      </c>
      <c r="O2" s="25" t="str">
        <f>IF(N2="Y","This Loan is in Step: Judgment","This Loan is in Step: n/a")</f>
        <v>This Loan is in Step: Judgment</v>
      </c>
      <c r="P2" s="25" t="str">
        <f>VLOOKUP($B2,Sheet6!$C$17:$Q$190,15,FALSE)</f>
        <v>Judgment</v>
      </c>
      <c r="Q2" s="10"/>
      <c r="S2" s="10"/>
    </row>
    <row r="3" spans="1:19" x14ac:dyDescent="0.3">
      <c r="A3" s="25">
        <v>2</v>
      </c>
      <c r="B3" s="25">
        <v>41209504</v>
      </c>
      <c r="C3" s="25" t="s">
        <v>3</v>
      </c>
      <c r="D3" s="26">
        <v>370000</v>
      </c>
      <c r="E3" s="27">
        <v>4.7923567837379721E-2</v>
      </c>
      <c r="F3" s="25">
        <v>30</v>
      </c>
      <c r="G3" s="28">
        <f>VLOOKUP(B3,Sheet2!$C$17:$H$190,6,FALSE)</f>
        <v>-1939.5527972832565</v>
      </c>
      <c r="H3" s="25">
        <v>322</v>
      </c>
      <c r="I3" s="29">
        <f>VLOOKUP($B3,Sheet3!$C$17:$J$190,8,FALSE)</f>
        <v>68256.85188202397</v>
      </c>
      <c r="J3" s="25" t="s">
        <v>11</v>
      </c>
      <c r="K3" s="25" t="str">
        <f>VLOOKUP(B3,Sheet4!$C$17:$L$190,10,FALSE)</f>
        <v>FNMA</v>
      </c>
      <c r="L3" s="25">
        <v>5</v>
      </c>
      <c r="M3" s="25" t="str">
        <f>VLOOKUP($B3,Sheet5!$C$17:$O$190,12,FALSE)</f>
        <v>90+</v>
      </c>
      <c r="N3" s="25" t="str">
        <f>VLOOKUP($B3,Sheet5!$C$17:$O$190,13,FALSE)</f>
        <v>N</v>
      </c>
      <c r="O3" s="25" t="str">
        <f>IF(N3="Y","This Loan is in Step: Service","This Loan is in Step: n/a")</f>
        <v>This Loan is in Step: n/a</v>
      </c>
      <c r="P3" s="25" t="str">
        <f>VLOOKUP($B3,Sheet6!$C$17:$Q$190,15,FALSE)</f>
        <v>n/a</v>
      </c>
      <c r="Q3" s="10"/>
      <c r="S3" s="10"/>
    </row>
    <row r="4" spans="1:19" x14ac:dyDescent="0.3">
      <c r="A4" s="25">
        <v>3</v>
      </c>
      <c r="B4" s="25">
        <v>25055860</v>
      </c>
      <c r="C4" s="25" t="s">
        <v>3</v>
      </c>
      <c r="D4" s="26">
        <v>210000</v>
      </c>
      <c r="E4" s="27">
        <v>6.1424733534152585E-2</v>
      </c>
      <c r="F4" s="25">
        <v>20</v>
      </c>
      <c r="G4" s="28">
        <f>VLOOKUP(B4,Sheet2!$C$17:$H$190,6,FALSE)</f>
        <v>-1521.8167990007571</v>
      </c>
      <c r="H4" s="25">
        <v>32</v>
      </c>
      <c r="I4" s="29">
        <f>VLOOKUP($B4,Sheet3!$C$17:$J$190,8,FALSE)</f>
        <v>194504.82943547497</v>
      </c>
      <c r="J4" s="25" t="s">
        <v>13</v>
      </c>
      <c r="K4" s="25" t="str">
        <f>VLOOKUP(B4,Sheet4!$C$17:$L$190,10,FALSE)</f>
        <v>GNMA</v>
      </c>
      <c r="L4" s="25">
        <v>0</v>
      </c>
      <c r="M4" s="25" t="str">
        <f>VLOOKUP($B4,Sheet5!$C$17:$O$190,12,FALSE)</f>
        <v>Current</v>
      </c>
      <c r="N4" s="25" t="str">
        <f>VLOOKUP($B4,Sheet5!$C$17:$O$190,13,FALSE)</f>
        <v>N</v>
      </c>
      <c r="O4" s="25" t="str">
        <f>IF(N4="Y","This Loan is in Step: Service","This Loan is in Step: n/a")</f>
        <v>This Loan is in Step: n/a</v>
      </c>
      <c r="P4" s="25" t="str">
        <f>VLOOKUP($B4,Sheet6!$C$17:$Q$190,15,FALSE)</f>
        <v>n/a</v>
      </c>
      <c r="Q4" s="10"/>
      <c r="S4" s="10"/>
    </row>
    <row r="5" spans="1:19" x14ac:dyDescent="0.3">
      <c r="A5" s="25">
        <v>4</v>
      </c>
      <c r="B5" s="25">
        <v>61173887</v>
      </c>
      <c r="C5" s="25" t="s">
        <v>3</v>
      </c>
      <c r="D5" s="26">
        <v>120000</v>
      </c>
      <c r="E5" s="27">
        <v>6.9916583821802616E-2</v>
      </c>
      <c r="F5" s="25">
        <v>30</v>
      </c>
      <c r="G5" s="28">
        <f>VLOOKUP(B5,Sheet2!$C$17:$H$190,6,FALSE)</f>
        <v>-797.69084311639654</v>
      </c>
      <c r="H5" s="25">
        <v>23</v>
      </c>
      <c r="I5" s="29">
        <f>VLOOKUP($B5,Sheet3!$C$17:$J$190,8,FALSE)</f>
        <v>117582.59194191683</v>
      </c>
      <c r="J5" s="25" t="s">
        <v>12</v>
      </c>
      <c r="K5" s="25" t="str">
        <f>VLOOKUP(B5,Sheet4!$C$17:$L$190,10,FALSE)</f>
        <v>GNMA</v>
      </c>
      <c r="L5" s="25">
        <v>0</v>
      </c>
      <c r="M5" s="25" t="str">
        <f>VLOOKUP($B5,Sheet5!$C$17:$O$190,12,FALSE)</f>
        <v>Current</v>
      </c>
      <c r="N5" s="25" t="str">
        <f>VLOOKUP($B5,Sheet5!$C$17:$O$190,13,FALSE)</f>
        <v>N</v>
      </c>
      <c r="O5" s="25" t="str">
        <f>IF(N5="Y","This Loan is in Step: Referral","This Loan is in Step: n/a")</f>
        <v>This Loan is in Step: n/a</v>
      </c>
      <c r="P5" s="25" t="str">
        <f>VLOOKUP($B5,Sheet6!$C$17:$Q$190,15,FALSE)</f>
        <v>n/a</v>
      </c>
      <c r="Q5" s="10"/>
      <c r="S5" s="10"/>
    </row>
    <row r="6" spans="1:19" x14ac:dyDescent="0.3">
      <c r="A6" s="25">
        <v>5</v>
      </c>
      <c r="B6" s="25">
        <v>51398733</v>
      </c>
      <c r="C6" s="25" t="s">
        <v>3</v>
      </c>
      <c r="D6" s="26">
        <v>350000</v>
      </c>
      <c r="E6" s="27">
        <v>5.0134005155326899E-2</v>
      </c>
      <c r="F6" s="25">
        <v>20</v>
      </c>
      <c r="G6" s="28">
        <f>VLOOKUP(B6,Sheet2!$C$17:$H$190,6,FALSE)</f>
        <v>-2312.4368284914549</v>
      </c>
      <c r="H6" s="25">
        <v>154</v>
      </c>
      <c r="I6" s="29">
        <f>VLOOKUP($B6,Sheet3!$C$17:$J$190,8,FALSE)</f>
        <v>166774.39516807985</v>
      </c>
      <c r="J6" s="25" t="s">
        <v>11</v>
      </c>
      <c r="K6" s="25" t="str">
        <f>VLOOKUP(B6,Sheet4!$C$17:$L$190,10,FALSE)</f>
        <v>FNMA</v>
      </c>
      <c r="L6" s="25">
        <v>0</v>
      </c>
      <c r="M6" s="25" t="str">
        <f>VLOOKUP($B6,Sheet5!$C$17:$O$190,12,FALSE)</f>
        <v>Current</v>
      </c>
      <c r="N6" s="25" t="str">
        <f>VLOOKUP($B6,Sheet5!$C$17:$O$190,13,FALSE)</f>
        <v>N</v>
      </c>
      <c r="O6" s="25" t="str">
        <f>IF(N6="Y","This Loan is in Step: Sale","This Loan is in Step: n/a")</f>
        <v>This Loan is in Step: n/a</v>
      </c>
      <c r="P6" s="25" t="str">
        <f>VLOOKUP($B6,Sheet6!$C$17:$Q$190,15,FALSE)</f>
        <v>n/a</v>
      </c>
      <c r="Q6" s="10"/>
      <c r="S6" s="10"/>
    </row>
    <row r="7" spans="1:19" x14ac:dyDescent="0.3">
      <c r="A7" s="25">
        <v>6</v>
      </c>
      <c r="B7" s="25">
        <v>76906141</v>
      </c>
      <c r="C7" s="25" t="s">
        <v>3</v>
      </c>
      <c r="D7" s="26">
        <v>220000</v>
      </c>
      <c r="E7" s="27">
        <v>4.2786225749490842E-2</v>
      </c>
      <c r="F7" s="25">
        <v>10</v>
      </c>
      <c r="G7" s="28">
        <f>VLOOKUP(B7,Sheet2!$C$17:$H$190,6,FALSE)</f>
        <v>-2256.6410339925496</v>
      </c>
      <c r="H7" s="25">
        <v>47</v>
      </c>
      <c r="I7" s="29">
        <f>VLOOKUP($B7,Sheet3!$C$17:$J$190,8,FALSE)</f>
        <v>144815.13162833391</v>
      </c>
      <c r="J7" s="25" t="s">
        <v>10</v>
      </c>
      <c r="K7" s="25" t="str">
        <f>VLOOKUP(B7,Sheet4!$C$17:$L$190,10,FALSE)</f>
        <v>FHLMC</v>
      </c>
      <c r="L7" s="25">
        <v>5</v>
      </c>
      <c r="M7" s="25" t="str">
        <f>VLOOKUP($B7,Sheet5!$C$17:$O$190,12,FALSE)</f>
        <v>90+</v>
      </c>
      <c r="N7" s="25" t="str">
        <f>VLOOKUP($B7,Sheet5!$C$17:$O$190,13,FALSE)</f>
        <v>N</v>
      </c>
      <c r="O7" s="25" t="str">
        <f>IF(N7="Y","This Loan is in Step: Service","This Loan is in Step: n/a")</f>
        <v>This Loan is in Step: n/a</v>
      </c>
      <c r="P7" s="25" t="str">
        <f>VLOOKUP($B7,Sheet6!$C$17:$Q$190,15,FALSE)</f>
        <v>n/a</v>
      </c>
      <c r="Q7" s="10"/>
      <c r="S7" s="10"/>
    </row>
    <row r="8" spans="1:19" x14ac:dyDescent="0.3">
      <c r="A8" s="25">
        <v>7</v>
      </c>
      <c r="B8" s="25">
        <v>49304139</v>
      </c>
      <c r="C8" s="25" t="s">
        <v>3</v>
      </c>
      <c r="D8" s="26">
        <v>330000</v>
      </c>
      <c r="E8" s="27">
        <v>7.9882925276980848E-2</v>
      </c>
      <c r="F8" s="25">
        <v>10</v>
      </c>
      <c r="G8" s="28">
        <f>VLOOKUP(B8,Sheet2!$C$17:$H$190,6,FALSE)</f>
        <v>-4001.7694462201434</v>
      </c>
      <c r="H8" s="25">
        <v>81</v>
      </c>
      <c r="I8" s="29">
        <f>VLOOKUP($B8,Sheet3!$C$17:$J$190,8,FALSE)</f>
        <v>137055.7403967772</v>
      </c>
      <c r="J8" s="25" t="s">
        <v>13</v>
      </c>
      <c r="K8" s="25" t="str">
        <f>VLOOKUP(B8,Sheet4!$C$17:$L$190,10,FALSE)</f>
        <v>GNMA</v>
      </c>
      <c r="L8" s="25">
        <v>5</v>
      </c>
      <c r="M8" s="25" t="str">
        <f>VLOOKUP($B8,Sheet5!$C$17:$O$190,12,FALSE)</f>
        <v>90+</v>
      </c>
      <c r="N8" s="25" t="str">
        <f>VLOOKUP($B8,Sheet5!$C$17:$O$190,13,FALSE)</f>
        <v>N</v>
      </c>
      <c r="O8" s="25" t="str">
        <f>IF(N8="Y","This Loan is in Step: Referral","This Loan is in Step: n/a")</f>
        <v>This Loan is in Step: n/a</v>
      </c>
      <c r="P8" s="25" t="str">
        <f>VLOOKUP($B8,Sheet6!$C$17:$Q$190,15,FALSE)</f>
        <v>n/a</v>
      </c>
      <c r="Q8" s="10"/>
      <c r="S8" s="10"/>
    </row>
    <row r="9" spans="1:19" x14ac:dyDescent="0.3">
      <c r="A9" s="25">
        <v>8</v>
      </c>
      <c r="B9" s="25">
        <v>23473039</v>
      </c>
      <c r="C9" s="25" t="s">
        <v>3</v>
      </c>
      <c r="D9" s="26">
        <v>160000</v>
      </c>
      <c r="E9" s="27">
        <v>3.7834646761219816E-2</v>
      </c>
      <c r="F9" s="25">
        <v>30</v>
      </c>
      <c r="G9" s="28">
        <f>VLOOKUP(B9,Sheet2!$C$17:$H$190,6,FALSE)</f>
        <v>-744.02648275288288</v>
      </c>
      <c r="H9" s="25">
        <v>317</v>
      </c>
      <c r="I9" s="29">
        <f>VLOOKUP($B9,Sheet3!$C$17:$J$190,8,FALSE)</f>
        <v>29875.237982358442</v>
      </c>
      <c r="J9" s="25" t="s">
        <v>13</v>
      </c>
      <c r="K9" s="25" t="str">
        <f>VLOOKUP(B9,Sheet4!$C$17:$L$190,10,FALSE)</f>
        <v>GNMA</v>
      </c>
      <c r="L9" s="25">
        <v>3</v>
      </c>
      <c r="M9" s="25" t="str">
        <f>VLOOKUP($B9,Sheet5!$C$17:$O$190,12,FALSE)</f>
        <v>90+</v>
      </c>
      <c r="N9" s="25" t="str">
        <f>VLOOKUP($B9,Sheet5!$C$17:$O$190,13,FALSE)</f>
        <v>N</v>
      </c>
      <c r="O9" s="25" t="str">
        <f>IF(N9="Y","This Loan is in Step: Judgment","This Loan is in Step: n/a")</f>
        <v>This Loan is in Step: n/a</v>
      </c>
      <c r="P9" s="25" t="str">
        <f>VLOOKUP($B9,Sheet6!$C$17:$Q$190,15,FALSE)</f>
        <v>n/a</v>
      </c>
      <c r="Q9" s="10"/>
      <c r="S9" s="10"/>
    </row>
    <row r="10" spans="1:19" x14ac:dyDescent="0.3">
      <c r="A10" s="25">
        <v>9</v>
      </c>
      <c r="B10" s="25">
        <v>53651842</v>
      </c>
      <c r="C10" s="25" t="s">
        <v>3</v>
      </c>
      <c r="D10" s="26">
        <v>370000</v>
      </c>
      <c r="E10" s="27">
        <v>5.6469996936378344E-2</v>
      </c>
      <c r="F10" s="25">
        <v>30</v>
      </c>
      <c r="G10" s="28">
        <f>VLOOKUP(B10,Sheet2!$C$17:$H$190,6,FALSE)</f>
        <v>-2135.0707200458078</v>
      </c>
      <c r="H10" s="25">
        <v>73</v>
      </c>
      <c r="I10" s="29">
        <f>VLOOKUP($B10,Sheet3!$C$17:$J$190,8,FALSE)</f>
        <v>335782.61355425371</v>
      </c>
      <c r="J10" s="25" t="s">
        <v>10</v>
      </c>
      <c r="K10" s="25" t="str">
        <f>VLOOKUP(B10,Sheet4!$C$17:$L$190,10,FALSE)</f>
        <v>FHLMC</v>
      </c>
      <c r="L10" s="25">
        <v>4</v>
      </c>
      <c r="M10" s="25" t="str">
        <f>VLOOKUP($B10,Sheet5!$C$17:$O$190,12,FALSE)</f>
        <v>90+</v>
      </c>
      <c r="N10" s="25" t="str">
        <f>VLOOKUP($B10,Sheet5!$C$17:$O$190,13,FALSE)</f>
        <v>N</v>
      </c>
      <c r="O10" s="25" t="str">
        <f>IF(N10="Y","This Loan is in Step: Sale","This Loan is in Step: n/a")</f>
        <v>This Loan is in Step: n/a</v>
      </c>
      <c r="P10" s="25" t="str">
        <f>VLOOKUP($B10,Sheet6!$C$17:$Q$190,15,FALSE)</f>
        <v>n/a</v>
      </c>
      <c r="Q10" s="10"/>
      <c r="S10" s="10"/>
    </row>
    <row r="11" spans="1:19" x14ac:dyDescent="0.3">
      <c r="A11" s="25">
        <v>10</v>
      </c>
      <c r="B11" s="25">
        <v>77159777</v>
      </c>
      <c r="C11" s="25" t="s">
        <v>3</v>
      </c>
      <c r="D11" s="26">
        <v>240000</v>
      </c>
      <c r="E11" s="27">
        <v>5.6715626593494835E-2</v>
      </c>
      <c r="F11" s="25">
        <v>30</v>
      </c>
      <c r="G11" s="28">
        <f>VLOOKUP(B11,Sheet2!$C$17:$H$190,6,FALSE)</f>
        <v>-1388.6390205991597</v>
      </c>
      <c r="H11" s="25">
        <v>174</v>
      </c>
      <c r="I11" s="29">
        <f>VLOOKUP($B11,Sheet3!$C$17:$J$190,8,FALSE)</f>
        <v>171579.60088119478</v>
      </c>
      <c r="J11" s="25" t="s">
        <v>12</v>
      </c>
      <c r="K11" s="25" t="str">
        <f>VLOOKUP(B11,Sheet4!$C$17:$L$190,10,FALSE)</f>
        <v>GNMA</v>
      </c>
      <c r="L11" s="25">
        <v>9</v>
      </c>
      <c r="M11" s="25" t="str">
        <f>VLOOKUP($B11,Sheet5!$C$17:$O$190,12,FALSE)</f>
        <v>90+</v>
      </c>
      <c r="N11" s="25" t="str">
        <f>VLOOKUP($B11,Sheet5!$C$17:$O$190,13,FALSE)</f>
        <v>Y</v>
      </c>
      <c r="O11" s="25" t="str">
        <f>IF(N11="Y","This Loan is in Step: Referral","This Loan is in Step: n/a")</f>
        <v>This Loan is in Step: Referral</v>
      </c>
      <c r="P11" s="25" t="str">
        <f>VLOOKUP($B11,Sheet6!$C$17:$Q$190,15,FALSE)</f>
        <v>Referral</v>
      </c>
      <c r="Q11" s="10"/>
      <c r="S11" s="10"/>
    </row>
    <row r="12" spans="1:19" x14ac:dyDescent="0.3">
      <c r="A12" s="25">
        <v>11</v>
      </c>
      <c r="B12" s="25">
        <v>66573753</v>
      </c>
      <c r="C12" s="25" t="s">
        <v>3</v>
      </c>
      <c r="D12" s="26">
        <v>240000</v>
      </c>
      <c r="E12" s="27">
        <v>4.0215407626109097E-2</v>
      </c>
      <c r="F12" s="25">
        <v>30</v>
      </c>
      <c r="G12" s="28">
        <f>VLOOKUP(B12,Sheet2!$C$17:$H$190,6,FALSE)</f>
        <v>-1148.7791567926149</v>
      </c>
      <c r="H12" s="25">
        <v>80</v>
      </c>
      <c r="I12" s="29">
        <f>VLOOKUP($B12,Sheet3!$C$17:$J$190,8,FALSE)</f>
        <v>208454.89645217644</v>
      </c>
      <c r="J12" s="25" t="s">
        <v>11</v>
      </c>
      <c r="K12" s="25" t="str">
        <f>VLOOKUP(B12,Sheet4!$C$17:$L$190,10,FALSE)</f>
        <v>FNMA</v>
      </c>
      <c r="L12" s="25">
        <v>2</v>
      </c>
      <c r="M12" s="25" t="str">
        <f>VLOOKUP($B12,Sheet5!$C$17:$O$190,12,FALSE)</f>
        <v>30-60</v>
      </c>
      <c r="N12" s="25" t="str">
        <f>VLOOKUP($B12,Sheet5!$C$17:$O$190,13,FALSE)</f>
        <v>N</v>
      </c>
      <c r="O12" s="25" t="str">
        <f>IF(N12="Y","This Loan is in Step: Sale","This Loan is in Step: n/a")</f>
        <v>This Loan is in Step: n/a</v>
      </c>
      <c r="P12" s="25" t="str">
        <f>VLOOKUP($B12,Sheet6!$C$17:$Q$190,15,FALSE)</f>
        <v>n/a</v>
      </c>
      <c r="Q12" s="10"/>
      <c r="S12" s="10"/>
    </row>
    <row r="13" spans="1:19" x14ac:dyDescent="0.3">
      <c r="A13" s="25">
        <v>12</v>
      </c>
      <c r="B13" s="25">
        <v>35312476</v>
      </c>
      <c r="C13" s="25" t="s">
        <v>3</v>
      </c>
      <c r="D13" s="26">
        <v>120000</v>
      </c>
      <c r="E13" s="27">
        <v>8.3860466435509498E-2</v>
      </c>
      <c r="F13" s="25">
        <v>10</v>
      </c>
      <c r="G13" s="28">
        <f>VLOOKUP(B13,Sheet2!$C$17:$H$190,6,FALSE)</f>
        <v>-1480.5247973648513</v>
      </c>
      <c r="H13" s="25">
        <v>103</v>
      </c>
      <c r="I13" s="29">
        <f>VLOOKUP($B13,Sheet3!$C$17:$J$190,8,FALSE)</f>
        <v>23653.598787943563</v>
      </c>
      <c r="J13" s="25" t="s">
        <v>9</v>
      </c>
      <c r="K13" s="25" t="str">
        <f>VLOOKUP(B13,Sheet4!$C$17:$L$190,10,FALSE)</f>
        <v>GNMA</v>
      </c>
      <c r="L13" s="25">
        <v>4</v>
      </c>
      <c r="M13" s="25" t="str">
        <f>VLOOKUP($B13,Sheet5!$C$17:$O$190,12,FALSE)</f>
        <v>90+</v>
      </c>
      <c r="N13" s="25" t="str">
        <f>VLOOKUP($B13,Sheet5!$C$17:$O$190,13,FALSE)</f>
        <v>N</v>
      </c>
      <c r="O13" s="25" t="str">
        <f>IF(N13="Y","This Loan is in Step: Sale","This Loan is in Step: n/a")</f>
        <v>This Loan is in Step: n/a</v>
      </c>
      <c r="P13" s="25" t="str">
        <f>VLOOKUP($B13,Sheet6!$C$17:$Q$190,15,FALSE)</f>
        <v>n/a</v>
      </c>
      <c r="Q13" s="10"/>
      <c r="S13" s="10"/>
    </row>
    <row r="14" spans="1:19" x14ac:dyDescent="0.3">
      <c r="A14" s="25">
        <v>13</v>
      </c>
      <c r="B14" s="25">
        <v>95991315</v>
      </c>
      <c r="C14" s="25" t="s">
        <v>3</v>
      </c>
      <c r="D14" s="26">
        <v>150000</v>
      </c>
      <c r="E14" s="27">
        <v>3.5523380678162242E-2</v>
      </c>
      <c r="F14" s="25">
        <v>20</v>
      </c>
      <c r="G14" s="28">
        <f>VLOOKUP(B14,Sheet2!$C$17:$H$190,6,FALSE)</f>
        <v>-873.97914438024759</v>
      </c>
      <c r="H14" s="25">
        <v>37</v>
      </c>
      <c r="I14" s="29">
        <f>VLOOKUP($B14,Sheet3!$C$17:$J$190,8,FALSE)</f>
        <v>133214.66827461461</v>
      </c>
      <c r="J14" s="25" t="s">
        <v>9</v>
      </c>
      <c r="K14" s="25" t="str">
        <f>VLOOKUP(B14,Sheet4!$C$17:$L$190,10,FALSE)</f>
        <v>GNMA</v>
      </c>
      <c r="L14" s="25">
        <v>9</v>
      </c>
      <c r="M14" s="25" t="str">
        <f>VLOOKUP($B14,Sheet5!$C$17:$O$190,12,FALSE)</f>
        <v>90+</v>
      </c>
      <c r="N14" s="25" t="str">
        <f>VLOOKUP($B14,Sheet5!$C$17:$O$190,13,FALSE)</f>
        <v>Y</v>
      </c>
      <c r="O14" s="25" t="str">
        <f>IF(N14="Y","This Loan is in Step: Judgment","This Loan is in Step: n/a")</f>
        <v>This Loan is in Step: Judgment</v>
      </c>
      <c r="P14" s="25" t="str">
        <f>VLOOKUP($B14,Sheet6!$C$17:$Q$190,15,FALSE)</f>
        <v>Judgment</v>
      </c>
      <c r="Q14" s="10"/>
      <c r="S14" s="10"/>
    </row>
    <row r="15" spans="1:19" x14ac:dyDescent="0.3">
      <c r="A15" s="25">
        <v>14</v>
      </c>
      <c r="B15" s="25">
        <v>30278425</v>
      </c>
      <c r="C15" s="25" t="s">
        <v>3</v>
      </c>
      <c r="D15" s="26">
        <v>100000</v>
      </c>
      <c r="E15" s="27">
        <v>3.6067921361398102E-2</v>
      </c>
      <c r="F15" s="25">
        <v>20</v>
      </c>
      <c r="G15" s="28">
        <f>VLOOKUP(B15,Sheet2!$C$17:$H$190,6,FALSE)</f>
        <v>-585.46233413051527</v>
      </c>
      <c r="H15" s="25">
        <v>238</v>
      </c>
      <c r="I15" s="29">
        <f>VLOOKUP($B15,Sheet3!$C$17:$J$190,8,FALSE)</f>
        <v>1165.6666429540903</v>
      </c>
      <c r="J15" s="25" t="s">
        <v>9</v>
      </c>
      <c r="K15" s="25" t="str">
        <f>VLOOKUP(B15,Sheet4!$C$17:$L$190,10,FALSE)</f>
        <v>GNMA</v>
      </c>
      <c r="L15" s="25">
        <v>8</v>
      </c>
      <c r="M15" s="25" t="str">
        <f>VLOOKUP($B15,Sheet5!$C$17:$O$190,12,FALSE)</f>
        <v>90+</v>
      </c>
      <c r="N15" s="25" t="str">
        <f>VLOOKUP($B15,Sheet5!$C$17:$O$190,13,FALSE)</f>
        <v>Y</v>
      </c>
      <c r="O15" s="25" t="str">
        <f>IF(N15="Y","This Loan is in Step: Sale","This Loan is in Step: n/a")</f>
        <v>This Loan is in Step: Sale</v>
      </c>
      <c r="P15" s="25" t="str">
        <f>VLOOKUP($B15,Sheet6!$C$17:$Q$190,15,FALSE)</f>
        <v>Sale</v>
      </c>
      <c r="Q15" s="10"/>
      <c r="S15" s="10"/>
    </row>
    <row r="16" spans="1:19" x14ac:dyDescent="0.3">
      <c r="A16" s="25">
        <v>15</v>
      </c>
      <c r="B16" s="25">
        <v>89078715</v>
      </c>
      <c r="C16" s="25" t="s">
        <v>3</v>
      </c>
      <c r="D16" s="26">
        <v>210000</v>
      </c>
      <c r="E16" s="27">
        <v>2.0976206387454444E-2</v>
      </c>
      <c r="F16" s="25">
        <v>10</v>
      </c>
      <c r="G16" s="28">
        <f>VLOOKUP(B16,Sheet2!$C$17:$H$190,6,FALSE)</f>
        <v>-1941.4772703169913</v>
      </c>
      <c r="H16" s="25">
        <v>29</v>
      </c>
      <c r="I16" s="29">
        <f>VLOOKUP($B16,Sheet3!$C$17:$J$190,8,FALSE)</f>
        <v>163207.46498471222</v>
      </c>
      <c r="J16" s="25" t="s">
        <v>9</v>
      </c>
      <c r="K16" s="25" t="str">
        <f>VLOOKUP(B16,Sheet4!$C$17:$L$190,10,FALSE)</f>
        <v>GNMA</v>
      </c>
      <c r="L16" s="25">
        <v>0</v>
      </c>
      <c r="M16" s="25" t="str">
        <f>VLOOKUP($B16,Sheet5!$C$17:$O$190,12,FALSE)</f>
        <v>Current</v>
      </c>
      <c r="N16" s="25" t="str">
        <f>VLOOKUP($B16,Sheet5!$C$17:$O$190,13,FALSE)</f>
        <v>N</v>
      </c>
      <c r="O16" s="25" t="str">
        <f>IF(N16="Y","This Loan is in Step: Service","This Loan is in Step: n/a")</f>
        <v>This Loan is in Step: n/a</v>
      </c>
      <c r="P16" s="25" t="str">
        <f>VLOOKUP($B16,Sheet6!$C$17:$Q$190,15,FALSE)</f>
        <v>n/a</v>
      </c>
      <c r="Q16" s="10"/>
      <c r="S16" s="10"/>
    </row>
    <row r="17" spans="1:19" x14ac:dyDescent="0.3">
      <c r="A17" s="25">
        <v>16</v>
      </c>
      <c r="B17" s="25">
        <v>66655583</v>
      </c>
      <c r="C17" s="25" t="s">
        <v>3</v>
      </c>
      <c r="D17" s="26">
        <v>390000</v>
      </c>
      <c r="E17" s="27">
        <v>7.3061166730698637E-2</v>
      </c>
      <c r="F17" s="25">
        <v>10</v>
      </c>
      <c r="G17" s="28">
        <f>VLOOKUP(B17,Sheet2!$C$17:$H$190,6,FALSE)</f>
        <v>-4589.999762786163</v>
      </c>
      <c r="H17" s="25">
        <v>23</v>
      </c>
      <c r="I17" s="29">
        <f>VLOOKUP($B17,Sheet3!$C$17:$J$190,8,FALSE)</f>
        <v>335480.53454250272</v>
      </c>
      <c r="J17" s="25" t="s">
        <v>11</v>
      </c>
      <c r="K17" s="25" t="str">
        <f>VLOOKUP(B17,Sheet4!$C$17:$L$190,10,FALSE)</f>
        <v>FNMA</v>
      </c>
      <c r="L17" s="25">
        <v>1</v>
      </c>
      <c r="M17" s="25" t="str">
        <f>VLOOKUP($B17,Sheet5!$C$17:$O$190,12,FALSE)</f>
        <v>30-60</v>
      </c>
      <c r="N17" s="25" t="str">
        <f>VLOOKUP($B17,Sheet5!$C$17:$O$190,13,FALSE)</f>
        <v>N</v>
      </c>
      <c r="O17" s="25" t="str">
        <f>IF(N17="Y","This Loan is in Step: Referral","This Loan is in Step: n/a")</f>
        <v>This Loan is in Step: n/a</v>
      </c>
      <c r="P17" s="25" t="str">
        <f>VLOOKUP($B17,Sheet6!$C$17:$Q$190,15,FALSE)</f>
        <v>n/a</v>
      </c>
      <c r="Q17" s="10"/>
      <c r="S17" s="10"/>
    </row>
    <row r="18" spans="1:19" x14ac:dyDescent="0.3">
      <c r="A18" s="25">
        <v>17</v>
      </c>
      <c r="B18" s="25">
        <v>23457613</v>
      </c>
      <c r="C18" s="25" t="s">
        <v>3</v>
      </c>
      <c r="D18" s="26">
        <v>240000</v>
      </c>
      <c r="E18" s="27">
        <v>2.7097694596205285E-2</v>
      </c>
      <c r="F18" s="25">
        <v>20</v>
      </c>
      <c r="G18" s="28">
        <f>VLOOKUP(B18,Sheet2!$C$17:$H$190,6,FALSE)</f>
        <v>-1296.4355820821277</v>
      </c>
      <c r="H18" s="25">
        <v>228</v>
      </c>
      <c r="I18" s="29">
        <f>VLOOKUP($B18,Sheet3!$C$17:$J$190,8,FALSE)</f>
        <v>15331.265380235949</v>
      </c>
      <c r="J18" s="25" t="s">
        <v>11</v>
      </c>
      <c r="K18" s="25" t="str">
        <f>VLOOKUP(B18,Sheet4!$C$17:$L$190,10,FALSE)</f>
        <v>FNMA</v>
      </c>
      <c r="L18" s="25">
        <v>4</v>
      </c>
      <c r="M18" s="25" t="str">
        <f>VLOOKUP($B18,Sheet5!$C$17:$O$190,12,FALSE)</f>
        <v>90+</v>
      </c>
      <c r="N18" s="25" t="str">
        <f>VLOOKUP($B18,Sheet5!$C$17:$O$190,13,FALSE)</f>
        <v>N</v>
      </c>
      <c r="O18" s="25" t="str">
        <f>IF(N18="Y","This Loan is in Step: Service","This Loan is in Step: n/a")</f>
        <v>This Loan is in Step: n/a</v>
      </c>
      <c r="P18" s="25" t="str">
        <f>VLOOKUP($B18,Sheet6!$C$17:$Q$190,15,FALSE)</f>
        <v>n/a</v>
      </c>
      <c r="Q18" s="10"/>
      <c r="S18" s="10"/>
    </row>
    <row r="19" spans="1:19" x14ac:dyDescent="0.3">
      <c r="A19" s="25">
        <v>18</v>
      </c>
      <c r="B19" s="25">
        <v>68418670</v>
      </c>
      <c r="C19" s="25" t="s">
        <v>3</v>
      </c>
      <c r="D19" s="26">
        <v>280000</v>
      </c>
      <c r="E19" s="27">
        <v>2.5842605502086724E-2</v>
      </c>
      <c r="F19" s="25">
        <v>20</v>
      </c>
      <c r="G19" s="28">
        <f>VLOOKUP(B19,Sheet2!$C$17:$H$190,6,FALSE)</f>
        <v>-1495.248625286298</v>
      </c>
      <c r="H19" s="25">
        <v>69</v>
      </c>
      <c r="I19" s="29">
        <f>VLOOKUP($B19,Sheet3!$C$17:$J$190,8,FALSE)</f>
        <v>213701.82999526226</v>
      </c>
      <c r="J19" s="25" t="s">
        <v>13</v>
      </c>
      <c r="K19" s="25" t="str">
        <f>VLOOKUP(B19,Sheet4!$C$17:$L$190,10,FALSE)</f>
        <v>GNMA</v>
      </c>
      <c r="L19" s="25">
        <v>0</v>
      </c>
      <c r="M19" s="25" t="str">
        <f>VLOOKUP($B19,Sheet5!$C$17:$O$190,12,FALSE)</f>
        <v>Current</v>
      </c>
      <c r="N19" s="25" t="str">
        <f>VLOOKUP($B19,Sheet5!$C$17:$O$190,13,FALSE)</f>
        <v>N</v>
      </c>
      <c r="O19" s="25" t="str">
        <f>IF(N19="Y","This Loan is in Step: Sale","This Loan is in Step: n/a")</f>
        <v>This Loan is in Step: n/a</v>
      </c>
      <c r="P19" s="25" t="str">
        <f>VLOOKUP($B19,Sheet6!$C$17:$Q$190,15,FALSE)</f>
        <v>n/a</v>
      </c>
      <c r="Q19" s="10"/>
      <c r="S19" s="10"/>
    </row>
    <row r="20" spans="1:19" x14ac:dyDescent="0.3">
      <c r="A20" s="25">
        <v>19</v>
      </c>
      <c r="B20" s="25">
        <v>77337678</v>
      </c>
      <c r="C20" s="25" t="s">
        <v>3</v>
      </c>
      <c r="D20" s="26">
        <v>310000</v>
      </c>
      <c r="E20" s="27">
        <v>2.7655486798436463E-2</v>
      </c>
      <c r="F20" s="25">
        <v>20</v>
      </c>
      <c r="G20" s="28">
        <f>VLOOKUP(B20,Sheet2!$C$17:$H$190,6,FALSE)</f>
        <v>-1683.0972026395843</v>
      </c>
      <c r="H20" s="25">
        <v>116</v>
      </c>
      <c r="I20" s="29">
        <f>VLOOKUP($B20,Sheet3!$C$17:$J$190,8,FALSE)</f>
        <v>181351.36327327162</v>
      </c>
      <c r="J20" s="25" t="s">
        <v>12</v>
      </c>
      <c r="K20" s="25" t="str">
        <f>VLOOKUP(B20,Sheet4!$C$17:$L$190,10,FALSE)</f>
        <v>GNMA</v>
      </c>
      <c r="L20" s="25">
        <v>10</v>
      </c>
      <c r="M20" s="25" t="str">
        <f>VLOOKUP($B20,Sheet5!$C$17:$O$190,12,FALSE)</f>
        <v>90+</v>
      </c>
      <c r="N20" s="25" t="str">
        <f>VLOOKUP($B20,Sheet5!$C$17:$O$190,13,FALSE)</f>
        <v>Y</v>
      </c>
      <c r="O20" s="25" t="str">
        <f>IF(N20="Y","This Loan is in Step: Referral","This Loan is in Step: n/a")</f>
        <v>This Loan is in Step: Referral</v>
      </c>
      <c r="P20" s="25" t="str">
        <f>VLOOKUP($B20,Sheet6!$C$17:$Q$190,15,FALSE)</f>
        <v>Referral</v>
      </c>
      <c r="Q20" s="10"/>
      <c r="S20" s="10"/>
    </row>
    <row r="21" spans="1:19" x14ac:dyDescent="0.3">
      <c r="A21" s="25">
        <v>20</v>
      </c>
      <c r="B21" s="25">
        <v>66901329</v>
      </c>
      <c r="C21" s="25" t="s">
        <v>3</v>
      </c>
      <c r="D21" s="26">
        <v>300000</v>
      </c>
      <c r="E21" s="27">
        <v>8.0418748029822365E-2</v>
      </c>
      <c r="F21" s="25">
        <v>20</v>
      </c>
      <c r="G21" s="28">
        <f>VLOOKUP(B21,Sheet2!$C$17:$H$190,6,FALSE)</f>
        <v>-2517.1441496255266</v>
      </c>
      <c r="H21" s="25">
        <v>64</v>
      </c>
      <c r="I21" s="29">
        <f>VLOOKUP($B21,Sheet3!$C$17:$J$190,8,FALSE)</f>
        <v>259674.1056688689</v>
      </c>
      <c r="J21" s="25" t="s">
        <v>13</v>
      </c>
      <c r="K21" s="25" t="str">
        <f>VLOOKUP(B21,Sheet4!$C$17:$L$190,10,FALSE)</f>
        <v>GNMA</v>
      </c>
      <c r="L21" s="25">
        <v>1</v>
      </c>
      <c r="M21" s="25" t="str">
        <f>VLOOKUP($B21,Sheet5!$C$17:$O$190,12,FALSE)</f>
        <v>30-60</v>
      </c>
      <c r="N21" s="25" t="str">
        <f>VLOOKUP($B21,Sheet5!$C$17:$O$190,13,FALSE)</f>
        <v>N</v>
      </c>
      <c r="O21" s="25" t="str">
        <f>IF(N21="Y","This Loan is in Step: Referral","This Loan is in Step: n/a")</f>
        <v>This Loan is in Step: n/a</v>
      </c>
      <c r="P21" s="25" t="str">
        <f>VLOOKUP($B21,Sheet6!$C$17:$Q$190,15,FALSE)</f>
        <v>n/a</v>
      </c>
      <c r="Q21" s="10"/>
      <c r="S21" s="10"/>
    </row>
    <row r="22" spans="1:19" x14ac:dyDescent="0.3">
      <c r="A22" s="25">
        <v>21</v>
      </c>
      <c r="B22" s="25">
        <v>14201616</v>
      </c>
      <c r="C22" s="25" t="s">
        <v>3</v>
      </c>
      <c r="D22" s="26">
        <v>200000</v>
      </c>
      <c r="E22" s="27">
        <v>3.8827805000615556E-2</v>
      </c>
      <c r="F22" s="25">
        <v>10</v>
      </c>
      <c r="G22" s="28">
        <f>VLOOKUP(B22,Sheet2!$C$17:$H$190,6,FALSE)</f>
        <v>-2013.7795253375859</v>
      </c>
      <c r="H22" s="25">
        <v>44</v>
      </c>
      <c r="I22" s="29">
        <f>VLOOKUP($B22,Sheet3!$C$17:$J$190,8,FALSE)</f>
        <v>135488.26608174641</v>
      </c>
      <c r="J22" s="25" t="s">
        <v>9</v>
      </c>
      <c r="K22" s="25" t="str">
        <f>VLOOKUP(B22,Sheet4!$C$17:$L$190,10,FALSE)</f>
        <v>GNMA</v>
      </c>
      <c r="L22" s="25">
        <v>5</v>
      </c>
      <c r="M22" s="25" t="str">
        <f>VLOOKUP($B22,Sheet5!$C$17:$O$190,12,FALSE)</f>
        <v>90+</v>
      </c>
      <c r="N22" s="25" t="str">
        <f>VLOOKUP($B22,Sheet5!$C$17:$O$190,13,FALSE)</f>
        <v>N</v>
      </c>
      <c r="O22" s="25" t="str">
        <f>IF(N22="Y","This Loan is in Step: Service","This Loan is in Step: n/a")</f>
        <v>This Loan is in Step: n/a</v>
      </c>
      <c r="P22" s="25" t="str">
        <f>VLOOKUP($B22,Sheet6!$C$17:$Q$190,15,FALSE)</f>
        <v>n/a</v>
      </c>
      <c r="Q22" s="10"/>
      <c r="S22" s="10"/>
    </row>
    <row r="23" spans="1:19" x14ac:dyDescent="0.3">
      <c r="A23" s="25">
        <v>22</v>
      </c>
      <c r="B23" s="25">
        <v>33480177</v>
      </c>
      <c r="C23" s="25" t="s">
        <v>3</v>
      </c>
      <c r="D23" s="26">
        <v>340000</v>
      </c>
      <c r="E23" s="27">
        <v>4.0557152115227098E-2</v>
      </c>
      <c r="F23" s="25">
        <v>20</v>
      </c>
      <c r="G23" s="28">
        <f>VLOOKUP(B23,Sheet2!$C$17:$H$190,6,FALSE)</f>
        <v>-2070.3285625997696</v>
      </c>
      <c r="H23" s="25">
        <v>195</v>
      </c>
      <c r="I23" s="29">
        <f>VLOOKUP($B23,Sheet3!$C$17:$J$190,8,FALSE)</f>
        <v>86291.079617235722</v>
      </c>
      <c r="J23" s="25" t="s">
        <v>12</v>
      </c>
      <c r="K23" s="25" t="str">
        <f>VLOOKUP(B23,Sheet4!$C$17:$L$190,10,FALSE)</f>
        <v>GNMA</v>
      </c>
      <c r="L23" s="25">
        <v>9</v>
      </c>
      <c r="M23" s="25" t="str">
        <f>VLOOKUP($B23,Sheet5!$C$17:$O$190,12,FALSE)</f>
        <v>90+</v>
      </c>
      <c r="N23" s="25" t="str">
        <f>VLOOKUP($B23,Sheet5!$C$17:$O$190,13,FALSE)</f>
        <v>Y</v>
      </c>
      <c r="O23" s="25" t="str">
        <f>IF(N23="Y","This Loan is in Step: Referral","This Loan is in Step: n/a")</f>
        <v>This Loan is in Step: Referral</v>
      </c>
      <c r="P23" s="25" t="str">
        <f>VLOOKUP($B23,Sheet6!$C$17:$Q$190,15,FALSE)</f>
        <v>Referral</v>
      </c>
      <c r="Q23" s="10"/>
      <c r="S23" s="10"/>
    </row>
    <row r="24" spans="1:19" x14ac:dyDescent="0.3">
      <c r="A24" s="25">
        <v>23</v>
      </c>
      <c r="B24" s="25">
        <v>29381592</v>
      </c>
      <c r="C24" s="25" t="s">
        <v>3</v>
      </c>
      <c r="D24" s="26">
        <v>360000</v>
      </c>
      <c r="E24" s="27">
        <v>7.5597074524101956E-2</v>
      </c>
      <c r="F24" s="25">
        <v>10</v>
      </c>
      <c r="G24" s="28">
        <f>VLOOKUP(B24,Sheet2!$C$17:$H$190,6,FALSE)</f>
        <v>-4284.4905459633765</v>
      </c>
      <c r="H24" s="25">
        <v>61</v>
      </c>
      <c r="I24" s="29">
        <f>VLOOKUP($B24,Sheet3!$C$17:$J$190,8,FALSE)</f>
        <v>210576.97345214253</v>
      </c>
      <c r="J24" s="25" t="s">
        <v>10</v>
      </c>
      <c r="K24" s="25" t="str">
        <f>VLOOKUP(B24,Sheet4!$C$17:$L$190,10,FALSE)</f>
        <v>FHLMC</v>
      </c>
      <c r="L24" s="25">
        <v>3</v>
      </c>
      <c r="M24" s="25" t="str">
        <f>VLOOKUP($B24,Sheet5!$C$17:$O$190,12,FALSE)</f>
        <v>90+</v>
      </c>
      <c r="N24" s="25" t="str">
        <f>VLOOKUP($B24,Sheet5!$C$17:$O$190,13,FALSE)</f>
        <v>N</v>
      </c>
      <c r="O24" s="25" t="str">
        <f>IF(N24="Y","This Loan is in Step: Referral","This Loan is in Step: n/a")</f>
        <v>This Loan is in Step: n/a</v>
      </c>
      <c r="P24" s="25" t="str">
        <f>VLOOKUP($B24,Sheet6!$C$17:$Q$190,15,FALSE)</f>
        <v>n/a</v>
      </c>
      <c r="Q24" s="10"/>
      <c r="S24" s="10"/>
    </row>
    <row r="25" spans="1:19" x14ac:dyDescent="0.3">
      <c r="A25" s="25">
        <v>24</v>
      </c>
      <c r="B25" s="25">
        <v>50137533</v>
      </c>
      <c r="C25" s="25" t="s">
        <v>3</v>
      </c>
      <c r="D25" s="26">
        <v>320000</v>
      </c>
      <c r="E25" s="27">
        <v>3.5673924310420199E-2</v>
      </c>
      <c r="F25" s="25">
        <v>30</v>
      </c>
      <c r="G25" s="28">
        <f>VLOOKUP(B25,Sheet2!$C$17:$H$190,6,FALSE)</f>
        <v>-1449.008116844846</v>
      </c>
      <c r="H25" s="25">
        <v>133</v>
      </c>
      <c r="I25" s="29">
        <f>VLOOKUP($B25,Sheet3!$C$17:$J$190,8,FALSE)</f>
        <v>238955.41133350937</v>
      </c>
      <c r="J25" s="25" t="s">
        <v>11</v>
      </c>
      <c r="K25" s="25" t="str">
        <f>VLOOKUP(B25,Sheet4!$C$17:$L$190,10,FALSE)</f>
        <v>FNMA</v>
      </c>
      <c r="L25" s="25">
        <v>10</v>
      </c>
      <c r="M25" s="25" t="str">
        <f>VLOOKUP($B25,Sheet5!$C$17:$O$190,12,FALSE)</f>
        <v>90+</v>
      </c>
      <c r="N25" s="25" t="str">
        <f>VLOOKUP($B25,Sheet5!$C$17:$O$190,13,FALSE)</f>
        <v>Y</v>
      </c>
      <c r="O25" s="25" t="str">
        <f>IF(N25="Y","This Loan is in Step: Service","This Loan is in Step: n/a")</f>
        <v>This Loan is in Step: Service</v>
      </c>
      <c r="P25" s="25" t="str">
        <f>VLOOKUP($B25,Sheet6!$C$17:$Q$190,15,FALSE)</f>
        <v>Service</v>
      </c>
      <c r="Q25" s="10"/>
      <c r="S25" s="10"/>
    </row>
    <row r="26" spans="1:19" x14ac:dyDescent="0.3">
      <c r="A26" s="25">
        <v>25</v>
      </c>
      <c r="B26" s="25">
        <v>52137527</v>
      </c>
      <c r="C26" s="25" t="s">
        <v>3</v>
      </c>
      <c r="D26" s="26">
        <v>350000</v>
      </c>
      <c r="E26" s="27">
        <v>6.0639301234321812E-2</v>
      </c>
      <c r="F26" s="25">
        <v>20</v>
      </c>
      <c r="G26" s="28">
        <f>VLOOKUP(B26,Sheet2!$C$17:$H$190,6,FALSE)</f>
        <v>-2520.4343866910913</v>
      </c>
      <c r="H26" s="25">
        <v>29</v>
      </c>
      <c r="I26" s="29">
        <f>VLOOKUP($B26,Sheet3!$C$17:$J$190,8,FALSE)</f>
        <v>326583.24368116446</v>
      </c>
      <c r="J26" s="25" t="s">
        <v>12</v>
      </c>
      <c r="K26" s="25" t="str">
        <f>VLOOKUP(B26,Sheet4!$C$17:$L$190,10,FALSE)</f>
        <v>GNMA</v>
      </c>
      <c r="L26" s="25">
        <v>9</v>
      </c>
      <c r="M26" s="25" t="str">
        <f>VLOOKUP($B26,Sheet5!$C$17:$O$190,12,FALSE)</f>
        <v>90+</v>
      </c>
      <c r="N26" s="25" t="str">
        <f>VLOOKUP($B26,Sheet5!$C$17:$O$190,13,FALSE)</f>
        <v>Y</v>
      </c>
      <c r="O26" s="25" t="str">
        <f>IF(N26="Y","This Loan is in Step: Service","This Loan is in Step: n/a")</f>
        <v>This Loan is in Step: Service</v>
      </c>
      <c r="P26" s="25" t="str">
        <f>VLOOKUP($B26,Sheet6!$C$17:$Q$190,15,FALSE)</f>
        <v>Service</v>
      </c>
      <c r="Q26" s="10"/>
      <c r="S26" s="10"/>
    </row>
    <row r="27" spans="1:19" x14ac:dyDescent="0.3">
      <c r="A27" s="25">
        <v>26</v>
      </c>
      <c r="B27" s="25">
        <v>49565781</v>
      </c>
      <c r="C27" s="25" t="s">
        <v>3</v>
      </c>
      <c r="D27" s="26">
        <v>170000</v>
      </c>
      <c r="E27" s="27">
        <v>3.5562170293429965E-2</v>
      </c>
      <c r="F27" s="25">
        <v>10</v>
      </c>
      <c r="G27" s="28">
        <f>VLOOKUP(B27,Sheet2!$C$17:$H$190,6,FALSE)</f>
        <v>-1685.5402859385708</v>
      </c>
      <c r="H27" s="25">
        <v>3</v>
      </c>
      <c r="I27" s="29">
        <f>VLOOKUP($B27,Sheet3!$C$17:$J$190,8,FALSE)</f>
        <v>166444.25466576836</v>
      </c>
      <c r="J27" s="25" t="s">
        <v>10</v>
      </c>
      <c r="K27" s="25" t="str">
        <f>VLOOKUP(B27,Sheet4!$C$17:$L$190,10,FALSE)</f>
        <v>FHLMC</v>
      </c>
      <c r="L27" s="25">
        <v>0</v>
      </c>
      <c r="M27" s="25" t="str">
        <f>VLOOKUP($B27,Sheet5!$C$17:$O$190,12,FALSE)</f>
        <v>Current</v>
      </c>
      <c r="N27" s="25" t="str">
        <f>VLOOKUP($B27,Sheet5!$C$17:$O$190,13,FALSE)</f>
        <v>N</v>
      </c>
      <c r="O27" s="25" t="str">
        <f>IF(N27="Y","This Loan is in Step: Judgment","This Loan is in Step: n/a")</f>
        <v>This Loan is in Step: n/a</v>
      </c>
      <c r="P27" s="25" t="str">
        <f>VLOOKUP($B27,Sheet6!$C$17:$Q$190,15,FALSE)</f>
        <v>n/a</v>
      </c>
      <c r="Q27" s="10"/>
      <c r="S27" s="10"/>
    </row>
    <row r="28" spans="1:19" x14ac:dyDescent="0.3">
      <c r="A28" s="25">
        <v>27</v>
      </c>
      <c r="B28" s="25">
        <v>49446589</v>
      </c>
      <c r="C28" s="25" t="s">
        <v>3</v>
      </c>
      <c r="D28" s="26">
        <v>380000</v>
      </c>
      <c r="E28" s="27">
        <v>4.3455090449965803E-2</v>
      </c>
      <c r="F28" s="25">
        <v>30</v>
      </c>
      <c r="G28" s="28">
        <f>VLOOKUP(B28,Sheet2!$C$17:$H$190,6,FALSE)</f>
        <v>-1890.6798699800634</v>
      </c>
      <c r="H28" s="25">
        <v>196</v>
      </c>
      <c r="I28" s="29">
        <f>VLOOKUP($B28,Sheet3!$C$17:$J$190,8,FALSE)</f>
        <v>233501.48415468709</v>
      </c>
      <c r="J28" s="25" t="s">
        <v>13</v>
      </c>
      <c r="K28" s="25" t="str">
        <f>VLOOKUP(B28,Sheet4!$C$17:$L$190,10,FALSE)</f>
        <v>GNMA</v>
      </c>
      <c r="L28" s="25">
        <v>4</v>
      </c>
      <c r="M28" s="25" t="str">
        <f>VLOOKUP($B28,Sheet5!$C$17:$O$190,12,FALSE)</f>
        <v>90+</v>
      </c>
      <c r="N28" s="25" t="str">
        <f>VLOOKUP($B28,Sheet5!$C$17:$O$190,13,FALSE)</f>
        <v>N</v>
      </c>
      <c r="O28" s="25" t="str">
        <f>IF(N28="Y","This Loan is in Step: Referral","This Loan is in Step: n/a")</f>
        <v>This Loan is in Step: n/a</v>
      </c>
      <c r="P28" s="25" t="str">
        <f>VLOOKUP($B28,Sheet6!$C$17:$Q$190,15,FALSE)</f>
        <v>n/a</v>
      </c>
      <c r="Q28" s="10"/>
      <c r="S28" s="10"/>
    </row>
    <row r="29" spans="1:19" x14ac:dyDescent="0.3">
      <c r="A29" s="25">
        <v>28</v>
      </c>
      <c r="B29" s="25">
        <v>67342178</v>
      </c>
      <c r="C29" s="25" t="s">
        <v>3</v>
      </c>
      <c r="D29" s="26">
        <v>350000</v>
      </c>
      <c r="E29" s="27">
        <v>3.2696780273888046E-2</v>
      </c>
      <c r="F29" s="25">
        <v>20</v>
      </c>
      <c r="G29" s="28">
        <f>VLOOKUP(B29,Sheet2!$C$17:$H$190,6,FALSE)</f>
        <v>-1988.6805492732656</v>
      </c>
      <c r="H29" s="25">
        <v>38</v>
      </c>
      <c r="I29" s="29">
        <f>VLOOKUP($B29,Sheet3!$C$17:$J$190,8,FALSE)</f>
        <v>308620.09696011798</v>
      </c>
      <c r="J29" s="25" t="s">
        <v>12</v>
      </c>
      <c r="K29" s="25" t="str">
        <f>VLOOKUP(B29,Sheet4!$C$17:$L$190,10,FALSE)</f>
        <v>GNMA</v>
      </c>
      <c r="L29" s="25">
        <v>0</v>
      </c>
      <c r="M29" s="25" t="str">
        <f>VLOOKUP($B29,Sheet5!$C$17:$O$190,12,FALSE)</f>
        <v>Current</v>
      </c>
      <c r="N29" s="25" t="str">
        <f>VLOOKUP($B29,Sheet5!$C$17:$O$190,13,FALSE)</f>
        <v>N</v>
      </c>
      <c r="O29" s="25" t="str">
        <f>IF(N29="Y","This Loan is in Step: Service","This Loan is in Step: n/a")</f>
        <v>This Loan is in Step: n/a</v>
      </c>
      <c r="P29" s="25" t="str">
        <f>VLOOKUP($B29,Sheet6!$C$17:$Q$190,15,FALSE)</f>
        <v>n/a</v>
      </c>
      <c r="Q29" s="10"/>
      <c r="S29" s="10"/>
    </row>
    <row r="30" spans="1:19" x14ac:dyDescent="0.3">
      <c r="A30" s="25">
        <v>29</v>
      </c>
      <c r="B30" s="25">
        <v>97679083</v>
      </c>
      <c r="C30" s="25" t="s">
        <v>3</v>
      </c>
      <c r="D30" s="26">
        <v>370000</v>
      </c>
      <c r="E30" s="27">
        <v>7.8578878041267147E-2</v>
      </c>
      <c r="F30" s="25">
        <v>10</v>
      </c>
      <c r="G30" s="28">
        <f>VLOOKUP(B30,Sheet2!$C$17:$H$190,6,FALSE)</f>
        <v>-4461.3851306356137</v>
      </c>
      <c r="H30" s="25">
        <v>48</v>
      </c>
      <c r="I30" s="29">
        <f>VLOOKUP($B30,Sheet3!$C$17:$J$190,8,FALSE)</f>
        <v>255462.80531041126</v>
      </c>
      <c r="J30" s="25" t="s">
        <v>11</v>
      </c>
      <c r="K30" s="25" t="str">
        <f>VLOOKUP(B30,Sheet4!$C$17:$L$190,10,FALSE)</f>
        <v>FNMA</v>
      </c>
      <c r="L30" s="25">
        <v>3</v>
      </c>
      <c r="M30" s="25" t="str">
        <f>VLOOKUP($B30,Sheet5!$C$17:$O$190,12,FALSE)</f>
        <v>90+</v>
      </c>
      <c r="N30" s="25" t="str">
        <f>VLOOKUP($B30,Sheet5!$C$17:$O$190,13,FALSE)</f>
        <v>N</v>
      </c>
      <c r="O30" s="25" t="str">
        <f>IF(N30="Y","This Loan is in Step: Sale","This Loan is in Step: n/a")</f>
        <v>This Loan is in Step: n/a</v>
      </c>
      <c r="P30" s="25" t="str">
        <f>VLOOKUP($B30,Sheet6!$C$17:$Q$190,15,FALSE)</f>
        <v>n/a</v>
      </c>
      <c r="Q30" s="10"/>
      <c r="S30" s="10"/>
    </row>
    <row r="31" spans="1:19" x14ac:dyDescent="0.3">
      <c r="A31" s="25">
        <v>30</v>
      </c>
      <c r="B31" s="25">
        <v>51105403</v>
      </c>
      <c r="C31" s="25" t="s">
        <v>3</v>
      </c>
      <c r="D31" s="26">
        <v>210000</v>
      </c>
      <c r="E31" s="27">
        <v>6.4614921853092214E-2</v>
      </c>
      <c r="F31" s="25">
        <v>20</v>
      </c>
      <c r="G31" s="28">
        <f>VLOOKUP(B31,Sheet2!$C$17:$H$190,6,FALSE)</f>
        <v>-1560.9463857623168</v>
      </c>
      <c r="H31" s="25">
        <v>163</v>
      </c>
      <c r="I31" s="29">
        <f>VLOOKUP($B31,Sheet3!$C$17:$J$190,8,FALSE)</f>
        <v>98177.347959744293</v>
      </c>
      <c r="J31" s="25" t="s">
        <v>11</v>
      </c>
      <c r="K31" s="25" t="str">
        <f>VLOOKUP(B31,Sheet4!$C$17:$L$190,10,FALSE)</f>
        <v>FNMA</v>
      </c>
      <c r="L31" s="25">
        <v>1</v>
      </c>
      <c r="M31" s="25" t="str">
        <f>VLOOKUP($B31,Sheet5!$C$17:$O$190,12,FALSE)</f>
        <v>30-60</v>
      </c>
      <c r="N31" s="25" t="str">
        <f>VLOOKUP($B31,Sheet5!$C$17:$O$190,13,FALSE)</f>
        <v>N</v>
      </c>
      <c r="O31" s="25" t="str">
        <f>IF(N31="Y","This Loan is in Step: Service","This Loan is in Step: n/a")</f>
        <v>This Loan is in Step: n/a</v>
      </c>
      <c r="P31" s="25" t="str">
        <f>VLOOKUP($B31,Sheet6!$C$17:$Q$190,15,FALSE)</f>
        <v>n/a</v>
      </c>
      <c r="Q31" s="10"/>
      <c r="S31" s="10"/>
    </row>
    <row r="32" spans="1:19" x14ac:dyDescent="0.3">
      <c r="A32" s="25">
        <v>31</v>
      </c>
      <c r="B32" s="25">
        <v>33064297</v>
      </c>
      <c r="C32" s="25" t="s">
        <v>3</v>
      </c>
      <c r="D32" s="26">
        <v>100000</v>
      </c>
      <c r="E32" s="27">
        <v>6.2879825673857012E-2</v>
      </c>
      <c r="F32" s="25">
        <v>10</v>
      </c>
      <c r="G32" s="28">
        <f>VLOOKUP(B32,Sheet2!$C$17:$H$190,6,FALSE)</f>
        <v>-1124.7219318772229</v>
      </c>
      <c r="H32" s="25">
        <v>32</v>
      </c>
      <c r="I32" s="29">
        <f>VLOOKUP($B32,Sheet3!$C$17:$J$190,8,FALSE)</f>
        <v>79130.538614991354</v>
      </c>
      <c r="J32" s="25" t="s">
        <v>12</v>
      </c>
      <c r="K32" s="25" t="str">
        <f>VLOOKUP(B32,Sheet4!$C$17:$L$190,10,FALSE)</f>
        <v>GNMA</v>
      </c>
      <c r="L32" s="25">
        <v>6</v>
      </c>
      <c r="M32" s="25" t="str">
        <f>VLOOKUP($B32,Sheet5!$C$17:$O$190,12,FALSE)</f>
        <v>90+</v>
      </c>
      <c r="N32" s="25" t="str">
        <f>VLOOKUP($B32,Sheet5!$C$17:$O$190,13,FALSE)</f>
        <v>Y</v>
      </c>
      <c r="O32" s="25" t="str">
        <f>IF(N32="Y","This Loan is in Step: Sale","This Loan is in Step: n/a")</f>
        <v>This Loan is in Step: Sale</v>
      </c>
      <c r="P32" s="25" t="str">
        <f>VLOOKUP($B32,Sheet6!$C$17:$Q$190,15,FALSE)</f>
        <v>Sale</v>
      </c>
      <c r="Q32" s="10"/>
      <c r="S32" s="10"/>
    </row>
    <row r="33" spans="1:19" x14ac:dyDescent="0.3">
      <c r="A33" s="25">
        <v>32</v>
      </c>
      <c r="B33" s="25">
        <v>91324062</v>
      </c>
      <c r="C33" s="25" t="s">
        <v>3</v>
      </c>
      <c r="D33" s="26">
        <v>250000</v>
      </c>
      <c r="E33" s="27">
        <v>5.8930108641721893E-2</v>
      </c>
      <c r="F33" s="25">
        <v>30</v>
      </c>
      <c r="G33" s="28">
        <f>VLOOKUP(B33,Sheet2!$C$17:$H$190,6,FALSE)</f>
        <v>-1481.7234013926939</v>
      </c>
      <c r="H33" s="25">
        <v>269</v>
      </c>
      <c r="I33" s="29">
        <f>VLOOKUP($B33,Sheet3!$C$17:$J$190,8,FALSE)</f>
        <v>108525.51400132656</v>
      </c>
      <c r="J33" s="25" t="s">
        <v>10</v>
      </c>
      <c r="K33" s="25" t="str">
        <f>VLOOKUP(B33,Sheet4!$C$17:$L$190,10,FALSE)</f>
        <v>FHLMC</v>
      </c>
      <c r="L33" s="25">
        <v>2</v>
      </c>
      <c r="M33" s="25" t="str">
        <f>VLOOKUP($B33,Sheet5!$C$17:$O$190,12,FALSE)</f>
        <v>30-60</v>
      </c>
      <c r="N33" s="25" t="str">
        <f>VLOOKUP($B33,Sheet5!$C$17:$O$190,13,FALSE)</f>
        <v>N</v>
      </c>
      <c r="O33" s="25" t="str">
        <f>IF(N33="Y","This Loan is in Step: Referral","This Loan is in Step: n/a")</f>
        <v>This Loan is in Step: n/a</v>
      </c>
      <c r="P33" s="25" t="str">
        <f>VLOOKUP($B33,Sheet6!$C$17:$Q$190,15,FALSE)</f>
        <v>n/a</v>
      </c>
      <c r="Q33" s="10"/>
      <c r="S33" s="10"/>
    </row>
    <row r="34" spans="1:19" x14ac:dyDescent="0.3">
      <c r="A34" s="25">
        <v>33</v>
      </c>
      <c r="B34" s="25">
        <v>65209293</v>
      </c>
      <c r="C34" s="25" t="s">
        <v>3</v>
      </c>
      <c r="D34" s="26">
        <v>450000</v>
      </c>
      <c r="E34" s="27">
        <v>2.7558682360886048E-2</v>
      </c>
      <c r="F34" s="25">
        <v>30</v>
      </c>
      <c r="G34" s="28">
        <f>VLOOKUP(B34,Sheet2!$C$17:$H$190,6,FALSE)</f>
        <v>-1838.4843521166476</v>
      </c>
      <c r="H34" s="25">
        <v>212</v>
      </c>
      <c r="I34" s="29">
        <f>VLOOKUP($B34,Sheet3!$C$17:$J$190,8,FALSE)</f>
        <v>230454.6663488154</v>
      </c>
      <c r="J34" s="25" t="s">
        <v>11</v>
      </c>
      <c r="K34" s="25" t="str">
        <f>VLOOKUP(B34,Sheet4!$C$17:$L$190,10,FALSE)</f>
        <v>FNMA</v>
      </c>
      <c r="L34" s="25">
        <v>6</v>
      </c>
      <c r="M34" s="25" t="str">
        <f>VLOOKUP($B34,Sheet5!$C$17:$O$190,12,FALSE)</f>
        <v>90+</v>
      </c>
      <c r="N34" s="25" t="str">
        <f>VLOOKUP($B34,Sheet5!$C$17:$O$190,13,FALSE)</f>
        <v>Y</v>
      </c>
      <c r="O34" s="25" t="str">
        <f>IF(N34="Y","This Loan is in Step: Sale","This Loan is in Step: n/a")</f>
        <v>This Loan is in Step: Sale</v>
      </c>
      <c r="P34" s="25" t="str">
        <f>VLOOKUP($B34,Sheet6!$C$17:$Q$190,15,FALSE)</f>
        <v>Sale</v>
      </c>
      <c r="Q34" s="10"/>
      <c r="S34" s="10"/>
    </row>
    <row r="35" spans="1:19" x14ac:dyDescent="0.3">
      <c r="A35" s="25">
        <v>34</v>
      </c>
      <c r="B35" s="25">
        <v>14033138</v>
      </c>
      <c r="C35" s="25" t="s">
        <v>3</v>
      </c>
      <c r="D35" s="26">
        <v>380000</v>
      </c>
      <c r="E35" s="27">
        <v>7.7750119768659212E-2</v>
      </c>
      <c r="F35" s="25">
        <v>10</v>
      </c>
      <c r="G35" s="28">
        <f>VLOOKUP(B35,Sheet2!$C$17:$H$190,6,FALSE)</f>
        <v>-4565.3970033060141</v>
      </c>
      <c r="H35" s="25">
        <v>3</v>
      </c>
      <c r="I35" s="29">
        <f>VLOOKUP($B35,Sheet3!$C$17:$J$190,8,FALSE)</f>
        <v>373649.09892300068</v>
      </c>
      <c r="J35" s="25" t="s">
        <v>12</v>
      </c>
      <c r="K35" s="25" t="str">
        <f>VLOOKUP(B35,Sheet4!$C$17:$L$190,10,FALSE)</f>
        <v>GNMA</v>
      </c>
      <c r="L35" s="25">
        <v>9</v>
      </c>
      <c r="M35" s="25" t="str">
        <f>VLOOKUP($B35,Sheet5!$C$17:$O$190,12,FALSE)</f>
        <v>90+</v>
      </c>
      <c r="N35" s="25" t="str">
        <f>VLOOKUP($B35,Sheet5!$C$17:$O$190,13,FALSE)</f>
        <v>Y</v>
      </c>
      <c r="O35" s="25" t="str">
        <f>IF(N35="Y","This Loan is in Step: Sale","This Loan is in Step: n/a")</f>
        <v>This Loan is in Step: Sale</v>
      </c>
      <c r="P35" s="25" t="str">
        <f>VLOOKUP($B35,Sheet6!$C$17:$Q$190,15,FALSE)</f>
        <v>Sale</v>
      </c>
      <c r="Q35" s="10"/>
      <c r="S35" s="10"/>
    </row>
    <row r="36" spans="1:19" x14ac:dyDescent="0.3">
      <c r="A36" s="25">
        <v>35</v>
      </c>
      <c r="B36" s="25">
        <v>88766432</v>
      </c>
      <c r="C36" s="25" t="s">
        <v>3</v>
      </c>
      <c r="D36" s="26">
        <v>360000</v>
      </c>
      <c r="E36" s="27">
        <v>3.8020196364644765E-2</v>
      </c>
      <c r="F36" s="25">
        <v>20</v>
      </c>
      <c r="G36" s="28">
        <f>VLOOKUP(B36,Sheet2!$C$17:$H$190,6,FALSE)</f>
        <v>-2144.156616038792</v>
      </c>
      <c r="H36" s="25">
        <v>65</v>
      </c>
      <c r="I36" s="29">
        <f>VLOOKUP($B36,Sheet3!$C$17:$J$190,8,FALSE)</f>
        <v>287693.12725008646</v>
      </c>
      <c r="J36" s="25" t="s">
        <v>10</v>
      </c>
      <c r="K36" s="25" t="str">
        <f>VLOOKUP(B36,Sheet4!$C$17:$L$190,10,FALSE)</f>
        <v>FHLMC</v>
      </c>
      <c r="L36" s="25">
        <v>1</v>
      </c>
      <c r="M36" s="25" t="str">
        <f>VLOOKUP($B36,Sheet5!$C$17:$O$190,12,FALSE)</f>
        <v>30-60</v>
      </c>
      <c r="N36" s="25" t="str">
        <f>VLOOKUP($B36,Sheet5!$C$17:$O$190,13,FALSE)</f>
        <v>N</v>
      </c>
      <c r="O36" s="25" t="str">
        <f>IF(N36="Y","This Loan is in Step: Judgment","This Loan is in Step: n/a")</f>
        <v>This Loan is in Step: n/a</v>
      </c>
      <c r="P36" s="25" t="str">
        <f>VLOOKUP($B36,Sheet6!$C$17:$Q$190,15,FALSE)</f>
        <v>n/a</v>
      </c>
      <c r="Q36" s="10"/>
      <c r="S36" s="10"/>
    </row>
    <row r="37" spans="1:19" x14ac:dyDescent="0.3">
      <c r="A37" s="25">
        <v>36</v>
      </c>
      <c r="B37" s="25">
        <v>95868629</v>
      </c>
      <c r="C37" s="25" t="s">
        <v>3</v>
      </c>
      <c r="D37" s="26">
        <v>320000</v>
      </c>
      <c r="E37" s="27">
        <v>6.5925739900995997E-2</v>
      </c>
      <c r="F37" s="25">
        <v>10</v>
      </c>
      <c r="G37" s="28">
        <f>VLOOKUP(B37,Sheet2!$C$17:$H$190,6,FALSE)</f>
        <v>-3648.6260665192822</v>
      </c>
      <c r="H37" s="25">
        <v>4</v>
      </c>
      <c r="I37" s="29">
        <f>VLOOKUP($B37,Sheet3!$C$17:$J$190,8,FALSE)</f>
        <v>312375.02628356131</v>
      </c>
      <c r="J37" s="25" t="s">
        <v>13</v>
      </c>
      <c r="K37" s="25" t="str">
        <f>VLOOKUP(B37,Sheet4!$C$17:$L$190,10,FALSE)</f>
        <v>GNMA</v>
      </c>
      <c r="L37" s="25">
        <v>9</v>
      </c>
      <c r="M37" s="25" t="str">
        <f>VLOOKUP($B37,Sheet5!$C$17:$O$190,12,FALSE)</f>
        <v>90+</v>
      </c>
      <c r="N37" s="25" t="str">
        <f>VLOOKUP($B37,Sheet5!$C$17:$O$190,13,FALSE)</f>
        <v>Y</v>
      </c>
      <c r="O37" s="25" t="str">
        <f>IF(N37="Y","This Loan is in Step: Service","This Loan is in Step: n/a")</f>
        <v>This Loan is in Step: Service</v>
      </c>
      <c r="P37" s="25" t="str">
        <f>VLOOKUP($B37,Sheet6!$C$17:$Q$190,15,FALSE)</f>
        <v>Service</v>
      </c>
      <c r="Q37" s="10"/>
      <c r="S37" s="10"/>
    </row>
    <row r="38" spans="1:19" x14ac:dyDescent="0.3">
      <c r="A38" s="25">
        <v>37</v>
      </c>
      <c r="B38" s="25">
        <v>58492506</v>
      </c>
      <c r="C38" s="25" t="s">
        <v>3</v>
      </c>
      <c r="D38" s="26">
        <v>160000</v>
      </c>
      <c r="E38" s="27">
        <v>4.1853063215998632E-2</v>
      </c>
      <c r="F38" s="25">
        <v>30</v>
      </c>
      <c r="G38" s="28">
        <f>VLOOKUP(B38,Sheet2!$C$17:$H$190,6,FALSE)</f>
        <v>-781.05591764247345</v>
      </c>
      <c r="H38" s="25">
        <v>85</v>
      </c>
      <c r="I38" s="29">
        <f>VLOOKUP($B38,Sheet3!$C$17:$J$190,8,FALSE)</f>
        <v>137978.65273628972</v>
      </c>
      <c r="J38" s="25" t="s">
        <v>9</v>
      </c>
      <c r="K38" s="25" t="str">
        <f>VLOOKUP(B38,Sheet4!$C$17:$L$190,10,FALSE)</f>
        <v>GNMA</v>
      </c>
      <c r="L38" s="25">
        <v>0</v>
      </c>
      <c r="M38" s="25" t="str">
        <f>VLOOKUP($B38,Sheet5!$C$17:$O$190,12,FALSE)</f>
        <v>Current</v>
      </c>
      <c r="N38" s="25" t="str">
        <f>VLOOKUP($B38,Sheet5!$C$17:$O$190,13,FALSE)</f>
        <v>N</v>
      </c>
      <c r="O38" s="25" t="str">
        <f>IF(N38="Y","This Loan is in Step: Judgment","This Loan is in Step: n/a")</f>
        <v>This Loan is in Step: n/a</v>
      </c>
      <c r="P38" s="25" t="str">
        <f>VLOOKUP($B38,Sheet6!$C$17:$Q$190,15,FALSE)</f>
        <v>n/a</v>
      </c>
      <c r="Q38" s="10"/>
      <c r="S38" s="10"/>
    </row>
    <row r="39" spans="1:19" x14ac:dyDescent="0.3">
      <c r="A39" s="25">
        <v>38</v>
      </c>
      <c r="B39" s="25">
        <v>13713998</v>
      </c>
      <c r="C39" s="25" t="s">
        <v>3</v>
      </c>
      <c r="D39" s="26">
        <v>140000</v>
      </c>
      <c r="E39" s="27">
        <v>2.966497552361293E-2</v>
      </c>
      <c r="F39" s="25">
        <v>30</v>
      </c>
      <c r="G39" s="28">
        <f>VLOOKUP(B39,Sheet2!$C$17:$H$190,6,FALSE)</f>
        <v>-587.71904292656291</v>
      </c>
      <c r="H39" s="25">
        <v>36</v>
      </c>
      <c r="I39" s="29">
        <f>VLOOKUP($B39,Sheet3!$C$17:$J$190,8,FALSE)</f>
        <v>130914.32892488279</v>
      </c>
      <c r="J39" s="25" t="s">
        <v>12</v>
      </c>
      <c r="K39" s="25" t="str">
        <f>VLOOKUP(B39,Sheet4!$C$17:$L$190,10,FALSE)</f>
        <v>GNMA</v>
      </c>
      <c r="L39" s="25">
        <v>8</v>
      </c>
      <c r="M39" s="25" t="str">
        <f>VLOOKUP($B39,Sheet5!$C$17:$O$190,12,FALSE)</f>
        <v>90+</v>
      </c>
      <c r="N39" s="25" t="str">
        <f>VLOOKUP($B39,Sheet5!$C$17:$O$190,13,FALSE)</f>
        <v>Y</v>
      </c>
      <c r="O39" s="25" t="str">
        <f>IF(N39="Y","This Loan is in Step: Sale","This Loan is in Step: n/a")</f>
        <v>This Loan is in Step: Sale</v>
      </c>
      <c r="P39" s="25" t="str">
        <f>VLOOKUP($B39,Sheet6!$C$17:$Q$190,15,FALSE)</f>
        <v>Sale</v>
      </c>
      <c r="Q39" s="10"/>
      <c r="S39" s="10"/>
    </row>
    <row r="40" spans="1:19" x14ac:dyDescent="0.3">
      <c r="A40" s="25">
        <v>39</v>
      </c>
      <c r="B40" s="25">
        <v>84177304</v>
      </c>
      <c r="C40" s="25" t="s">
        <v>3</v>
      </c>
      <c r="D40" s="26">
        <v>320000</v>
      </c>
      <c r="E40" s="27">
        <v>8.1731961592310012E-2</v>
      </c>
      <c r="F40" s="25">
        <v>20</v>
      </c>
      <c r="G40" s="28">
        <f>VLOOKUP(B40,Sheet2!$C$17:$H$190,6,FALSE)</f>
        <v>-2711.2034857582971</v>
      </c>
      <c r="H40" s="25">
        <v>135</v>
      </c>
      <c r="I40" s="29">
        <f>VLOOKUP($B40,Sheet3!$C$17:$J$190,8,FALSE)</f>
        <v>202891.04889595046</v>
      </c>
      <c r="J40" s="25" t="s">
        <v>11</v>
      </c>
      <c r="K40" s="25" t="str">
        <f>VLOOKUP(B40,Sheet4!$C$17:$L$190,10,FALSE)</f>
        <v>FNMA</v>
      </c>
      <c r="L40" s="25">
        <v>10</v>
      </c>
      <c r="M40" s="25" t="str">
        <f>VLOOKUP($B40,Sheet5!$C$17:$O$190,12,FALSE)</f>
        <v>90+</v>
      </c>
      <c r="N40" s="25" t="str">
        <f>VLOOKUP($B40,Sheet5!$C$17:$O$190,13,FALSE)</f>
        <v>Y</v>
      </c>
      <c r="O40" s="25" t="str">
        <f>IF(N40="Y","This Loan is in Step: Judgment","This Loan is in Step: n/a")</f>
        <v>This Loan is in Step: Judgment</v>
      </c>
      <c r="P40" s="25" t="str">
        <f>VLOOKUP($B40,Sheet6!$C$17:$Q$190,15,FALSE)</f>
        <v>Judgment</v>
      </c>
      <c r="Q40" s="10"/>
      <c r="S40" s="10"/>
    </row>
    <row r="41" spans="1:19" x14ac:dyDescent="0.3">
      <c r="A41" s="25">
        <v>40</v>
      </c>
      <c r="B41" s="25">
        <v>12588878</v>
      </c>
      <c r="C41" s="25" t="s">
        <v>3</v>
      </c>
      <c r="D41" s="26">
        <v>400000</v>
      </c>
      <c r="E41" s="27">
        <v>2.3124063876185742E-2</v>
      </c>
      <c r="F41" s="25">
        <v>30</v>
      </c>
      <c r="G41" s="28">
        <f>VLOOKUP(B41,Sheet2!$C$17:$H$190,6,FALSE)</f>
        <v>-1541.7473542373507</v>
      </c>
      <c r="H41" s="25">
        <v>152</v>
      </c>
      <c r="I41" s="29">
        <f>VLOOKUP($B41,Sheet3!$C$17:$J$190,8,FALSE)</f>
        <v>263999.76465804153</v>
      </c>
      <c r="J41" s="25" t="s">
        <v>12</v>
      </c>
      <c r="K41" s="25" t="str">
        <f>VLOOKUP(B41,Sheet4!$C$17:$L$190,10,FALSE)</f>
        <v>GNMA</v>
      </c>
      <c r="L41" s="25">
        <v>9</v>
      </c>
      <c r="M41" s="25" t="str">
        <f>VLOOKUP($B41,Sheet5!$C$17:$O$190,12,FALSE)</f>
        <v>90+</v>
      </c>
      <c r="N41" s="25" t="str">
        <f>VLOOKUP($B41,Sheet5!$C$17:$O$190,13,FALSE)</f>
        <v>Y</v>
      </c>
      <c r="O41" s="25" t="str">
        <f>IF(N41="Y","This Loan is in Step: Referral","This Loan is in Step: n/a")</f>
        <v>This Loan is in Step: Referral</v>
      </c>
      <c r="P41" s="25" t="str">
        <f>VLOOKUP($B41,Sheet6!$C$17:$Q$190,15,FALSE)</f>
        <v>Referral</v>
      </c>
      <c r="Q41" s="10"/>
      <c r="S41" s="10"/>
    </row>
    <row r="42" spans="1:19" x14ac:dyDescent="0.3">
      <c r="A42" s="25">
        <v>41</v>
      </c>
      <c r="B42" s="25">
        <v>59421574</v>
      </c>
      <c r="C42" s="25" t="s">
        <v>3</v>
      </c>
      <c r="D42" s="26">
        <v>100000</v>
      </c>
      <c r="E42" s="27">
        <v>6.2115111893552351E-2</v>
      </c>
      <c r="F42" s="25">
        <v>20</v>
      </c>
      <c r="G42" s="28">
        <f>VLOOKUP(B42,Sheet2!$C$17:$H$190,6,FALSE)</f>
        <v>-728.68662035775344</v>
      </c>
      <c r="H42" s="25">
        <v>52</v>
      </c>
      <c r="I42" s="29">
        <f>VLOOKUP($B42,Sheet3!$C$17:$J$190,8,FALSE)</f>
        <v>87442.870297965303</v>
      </c>
      <c r="J42" s="25" t="s">
        <v>11</v>
      </c>
      <c r="K42" s="25" t="str">
        <f>VLOOKUP(B42,Sheet4!$C$17:$L$190,10,FALSE)</f>
        <v>FNMA</v>
      </c>
      <c r="L42" s="25">
        <v>8</v>
      </c>
      <c r="M42" s="25" t="str">
        <f>VLOOKUP($B42,Sheet5!$C$17:$O$190,12,FALSE)</f>
        <v>90+</v>
      </c>
      <c r="N42" s="25" t="str">
        <f>VLOOKUP($B42,Sheet5!$C$17:$O$190,13,FALSE)</f>
        <v>Y</v>
      </c>
      <c r="O42" s="25" t="str">
        <f>IF(N42="Y","This Loan is in Step: Referral","This Loan is in Step: n/a")</f>
        <v>This Loan is in Step: Referral</v>
      </c>
      <c r="P42" s="25" t="str">
        <f>VLOOKUP($B42,Sheet6!$C$17:$Q$190,15,FALSE)</f>
        <v>Referral</v>
      </c>
      <c r="Q42" s="10"/>
      <c r="S42" s="10"/>
    </row>
    <row r="43" spans="1:19" x14ac:dyDescent="0.3">
      <c r="A43" s="25">
        <v>42</v>
      </c>
      <c r="B43" s="25">
        <v>79015075</v>
      </c>
      <c r="C43" s="25" t="s">
        <v>3</v>
      </c>
      <c r="D43" s="26">
        <v>260000</v>
      </c>
      <c r="E43" s="27">
        <v>2.4795470508067418E-2</v>
      </c>
      <c r="F43" s="25">
        <v>10</v>
      </c>
      <c r="G43" s="28">
        <f>VLOOKUP(B43,Sheet2!$C$17:$H$190,6,FALSE)</f>
        <v>-2448.6000303478299</v>
      </c>
      <c r="H43" s="25">
        <v>43</v>
      </c>
      <c r="I43" s="29">
        <f>VLOOKUP($B43,Sheet3!$C$17:$J$190,8,FALSE)</f>
        <v>174142.14868624872</v>
      </c>
      <c r="J43" s="25" t="s">
        <v>9</v>
      </c>
      <c r="K43" s="25" t="str">
        <f>VLOOKUP(B43,Sheet4!$C$17:$L$190,10,FALSE)</f>
        <v>GNMA</v>
      </c>
      <c r="L43" s="25">
        <v>9</v>
      </c>
      <c r="M43" s="25" t="str">
        <f>VLOOKUP($B43,Sheet5!$C$17:$O$190,12,FALSE)</f>
        <v>90+</v>
      </c>
      <c r="N43" s="25" t="str">
        <f>VLOOKUP($B43,Sheet5!$C$17:$O$190,13,FALSE)</f>
        <v>Y</v>
      </c>
      <c r="O43" s="25" t="str">
        <f>IF(N43="Y","This Loan is in Step: Service","This Loan is in Step: n/a")</f>
        <v>This Loan is in Step: Service</v>
      </c>
      <c r="P43" s="25" t="str">
        <f>VLOOKUP($B43,Sheet6!$C$17:$Q$190,15,FALSE)</f>
        <v>Service</v>
      </c>
      <c r="Q43" s="10"/>
      <c r="S43" s="10"/>
    </row>
    <row r="44" spans="1:19" x14ac:dyDescent="0.3">
      <c r="A44" s="25">
        <v>43</v>
      </c>
      <c r="B44" s="25">
        <v>19354278</v>
      </c>
      <c r="C44" s="25" t="s">
        <v>3</v>
      </c>
      <c r="D44" s="26">
        <v>180000</v>
      </c>
      <c r="E44" s="27">
        <v>6.2624385664536333E-2</v>
      </c>
      <c r="F44" s="25">
        <v>10</v>
      </c>
      <c r="G44" s="28">
        <f>VLOOKUP(B44,Sheet2!$C$17:$H$190,6,FALSE)</f>
        <v>-2022.1737064684473</v>
      </c>
      <c r="H44" s="25">
        <v>89</v>
      </c>
      <c r="I44" s="29">
        <f>VLOOKUP($B44,Sheet3!$C$17:$J$190,8,FALSE)</f>
        <v>57740.663854286882</v>
      </c>
      <c r="J44" s="25" t="s">
        <v>12</v>
      </c>
      <c r="K44" s="25" t="str">
        <f>VLOOKUP(B44,Sheet4!$C$17:$L$190,10,FALSE)</f>
        <v>GNMA</v>
      </c>
      <c r="L44" s="25">
        <v>7</v>
      </c>
      <c r="M44" s="25" t="str">
        <f>VLOOKUP($B44,Sheet5!$C$17:$O$190,12,FALSE)</f>
        <v>90+</v>
      </c>
      <c r="N44" s="25" t="str">
        <f>VLOOKUP($B44,Sheet5!$C$17:$O$190,13,FALSE)</f>
        <v>Y</v>
      </c>
      <c r="O44" s="25" t="str">
        <f>IF(N44="Y","This Loan is in Step: Judgment","This Loan is in Step: n/a")</f>
        <v>This Loan is in Step: Judgment</v>
      </c>
      <c r="P44" s="25" t="str">
        <f>VLOOKUP($B44,Sheet6!$C$17:$Q$190,15,FALSE)</f>
        <v>Judgment</v>
      </c>
      <c r="Q44" s="10"/>
      <c r="S44" s="10"/>
    </row>
    <row r="45" spans="1:19" x14ac:dyDescent="0.3">
      <c r="A45" s="25">
        <v>44</v>
      </c>
      <c r="B45" s="25">
        <v>19728173</v>
      </c>
      <c r="C45" s="25" t="s">
        <v>3</v>
      </c>
      <c r="D45" s="26">
        <v>240000</v>
      </c>
      <c r="E45" s="27">
        <v>8.8685443767959421E-2</v>
      </c>
      <c r="F45" s="25">
        <v>20</v>
      </c>
      <c r="G45" s="28">
        <f>VLOOKUP(B45,Sheet2!$C$17:$H$190,6,FALSE)</f>
        <v>-2139.0935536794937</v>
      </c>
      <c r="H45" s="25">
        <v>85</v>
      </c>
      <c r="I45" s="29">
        <f>VLOOKUP($B45,Sheet3!$C$17:$J$190,8,FALSE)</f>
        <v>196992.65164534209</v>
      </c>
      <c r="J45" s="25" t="s">
        <v>11</v>
      </c>
      <c r="K45" s="25" t="str">
        <f>VLOOKUP(B45,Sheet4!$C$17:$L$190,10,FALSE)</f>
        <v>FNMA</v>
      </c>
      <c r="L45" s="25">
        <v>5</v>
      </c>
      <c r="M45" s="25" t="str">
        <f>VLOOKUP($B45,Sheet5!$C$17:$O$190,12,FALSE)</f>
        <v>90+</v>
      </c>
      <c r="N45" s="25" t="str">
        <f>VLOOKUP($B45,Sheet5!$C$17:$O$190,13,FALSE)</f>
        <v>N</v>
      </c>
      <c r="O45" s="25" t="str">
        <f>IF(N45="Y","This Loan is in Step: Referral","This Loan is in Step: n/a")</f>
        <v>This Loan is in Step: n/a</v>
      </c>
      <c r="P45" s="25" t="str">
        <f>VLOOKUP($B45,Sheet6!$C$17:$Q$190,15,FALSE)</f>
        <v>n/a</v>
      </c>
      <c r="Q45" s="10"/>
      <c r="S45" s="10"/>
    </row>
    <row r="46" spans="1:19" x14ac:dyDescent="0.3">
      <c r="A46" s="25">
        <v>45</v>
      </c>
      <c r="B46" s="25">
        <v>71380476</v>
      </c>
      <c r="C46" s="25" t="s">
        <v>3</v>
      </c>
      <c r="D46" s="26">
        <v>400000</v>
      </c>
      <c r="E46" s="27">
        <v>2.8536155301216861E-2</v>
      </c>
      <c r="F46" s="25">
        <v>30</v>
      </c>
      <c r="G46" s="28">
        <f>VLOOKUP(B46,Sheet2!$C$17:$H$190,6,FALSE)</f>
        <v>-1655.0012718596352</v>
      </c>
      <c r="H46" s="25">
        <v>20</v>
      </c>
      <c r="I46" s="29">
        <f>VLOOKUP($B46,Sheet3!$C$17:$J$190,8,FALSE)</f>
        <v>385601.50389038748</v>
      </c>
      <c r="J46" s="25" t="s">
        <v>9</v>
      </c>
      <c r="K46" s="25" t="str">
        <f>VLOOKUP(B46,Sheet4!$C$17:$L$190,10,FALSE)</f>
        <v>GNMA</v>
      </c>
      <c r="L46" s="25">
        <v>7</v>
      </c>
      <c r="M46" s="25" t="str">
        <f>VLOOKUP($B46,Sheet5!$C$17:$O$190,12,FALSE)</f>
        <v>90+</v>
      </c>
      <c r="N46" s="25" t="str">
        <f>VLOOKUP($B46,Sheet5!$C$17:$O$190,13,FALSE)</f>
        <v>Y</v>
      </c>
      <c r="O46" s="25" t="str">
        <f>IF(N46="Y","This Loan is in Step: Referral","This Loan is in Step: n/a")</f>
        <v>This Loan is in Step: Referral</v>
      </c>
      <c r="P46" s="25" t="str">
        <f>VLOOKUP($B46,Sheet6!$C$17:$Q$190,15,FALSE)</f>
        <v>Referral</v>
      </c>
      <c r="Q46" s="10"/>
      <c r="S46" s="10"/>
    </row>
    <row r="47" spans="1:19" x14ac:dyDescent="0.3">
      <c r="A47" s="25">
        <v>46</v>
      </c>
      <c r="B47" s="25">
        <v>53758029</v>
      </c>
      <c r="C47" s="25" t="s">
        <v>3</v>
      </c>
      <c r="D47" s="26">
        <v>230000</v>
      </c>
      <c r="E47" s="27">
        <v>6.4588054143448148E-2</v>
      </c>
      <c r="F47" s="25">
        <v>20</v>
      </c>
      <c r="G47" s="28">
        <f>VLOOKUP(B47,Sheet2!$C$17:$H$190,6,FALSE)</f>
        <v>-1709.2447127954504</v>
      </c>
      <c r="H47" s="25">
        <v>153</v>
      </c>
      <c r="I47" s="29">
        <f>VLOOKUP($B47,Sheet3!$C$17:$J$190,8,FALSE)</f>
        <v>118491.54088897574</v>
      </c>
      <c r="J47" s="25" t="s">
        <v>13</v>
      </c>
      <c r="K47" s="25" t="str">
        <f>VLOOKUP(B47,Sheet4!$C$17:$L$190,10,FALSE)</f>
        <v>GNMA</v>
      </c>
      <c r="L47" s="25">
        <v>6</v>
      </c>
      <c r="M47" s="25" t="str">
        <f>VLOOKUP($B47,Sheet5!$C$17:$O$190,12,FALSE)</f>
        <v>90+</v>
      </c>
      <c r="N47" s="25" t="str">
        <f>VLOOKUP($B47,Sheet5!$C$17:$O$190,13,FALSE)</f>
        <v>Y</v>
      </c>
      <c r="O47" s="25" t="str">
        <f>IF(N47="Y","This Loan is in Step: Service","This Loan is in Step: n/a")</f>
        <v>This Loan is in Step: Service</v>
      </c>
      <c r="P47" s="25" t="str">
        <f>VLOOKUP($B47,Sheet6!$C$17:$Q$190,15,FALSE)</f>
        <v>Service</v>
      </c>
      <c r="Q47" s="10"/>
      <c r="S47" s="10"/>
    </row>
    <row r="48" spans="1:19" x14ac:dyDescent="0.3">
      <c r="A48" s="25">
        <v>47</v>
      </c>
      <c r="B48" s="25">
        <v>74930308</v>
      </c>
      <c r="C48" s="25" t="s">
        <v>3</v>
      </c>
      <c r="D48" s="26">
        <v>140000</v>
      </c>
      <c r="E48" s="27">
        <v>4.0821913483801812E-2</v>
      </c>
      <c r="F48" s="25">
        <v>30</v>
      </c>
      <c r="G48" s="28">
        <f>VLOOKUP(B48,Sheet2!$C$17:$H$190,6,FALSE)</f>
        <v>-675.03220560611874</v>
      </c>
      <c r="H48" s="25">
        <v>30</v>
      </c>
      <c r="I48" s="29">
        <f>VLOOKUP($B48,Sheet3!$C$17:$J$190,8,FALSE)</f>
        <v>133732.99751163588</v>
      </c>
      <c r="J48" s="25" t="s">
        <v>12</v>
      </c>
      <c r="K48" s="25" t="str">
        <f>VLOOKUP(B48,Sheet4!$C$17:$L$190,10,FALSE)</f>
        <v>GNMA</v>
      </c>
      <c r="L48" s="25">
        <v>9</v>
      </c>
      <c r="M48" s="25" t="str">
        <f>VLOOKUP($B48,Sheet5!$C$17:$O$190,12,FALSE)</f>
        <v>90+</v>
      </c>
      <c r="N48" s="25" t="str">
        <f>VLOOKUP($B48,Sheet5!$C$17:$O$190,13,FALSE)</f>
        <v>Y</v>
      </c>
      <c r="O48" s="25" t="str">
        <f>IF(N48="Y","This Loan is in Step: Service","This Loan is in Step: n/a")</f>
        <v>This Loan is in Step: Service</v>
      </c>
      <c r="P48" s="25" t="str">
        <f>VLOOKUP($B48,Sheet6!$C$17:$Q$190,15,FALSE)</f>
        <v>Service</v>
      </c>
      <c r="Q48" s="10"/>
      <c r="S48" s="10"/>
    </row>
    <row r="49" spans="1:19" x14ac:dyDescent="0.3">
      <c r="A49" s="25">
        <v>48</v>
      </c>
      <c r="B49" s="25">
        <v>82635844</v>
      </c>
      <c r="C49" s="25" t="s">
        <v>3</v>
      </c>
      <c r="D49" s="26">
        <v>90000</v>
      </c>
      <c r="E49" s="27">
        <v>8.0194103559907345E-2</v>
      </c>
      <c r="F49" s="25">
        <v>20</v>
      </c>
      <c r="G49" s="28">
        <f>VLOOKUP(B49,Sheet2!$C$17:$H$190,6,FALSE)</f>
        <v>-753.8836385245346</v>
      </c>
      <c r="H49" s="25">
        <v>8</v>
      </c>
      <c r="I49" s="29">
        <f>VLOOKUP($B49,Sheet3!$C$17:$J$190,8,FALSE)</f>
        <v>88751.670447861601</v>
      </c>
      <c r="J49" s="25" t="s">
        <v>11</v>
      </c>
      <c r="K49" s="25" t="str">
        <f>VLOOKUP(B49,Sheet4!$C$17:$L$190,10,FALSE)</f>
        <v>FNMA</v>
      </c>
      <c r="L49" s="25">
        <v>4</v>
      </c>
      <c r="M49" s="25" t="str">
        <f>VLOOKUP($B49,Sheet5!$C$17:$O$190,12,FALSE)</f>
        <v>90+</v>
      </c>
      <c r="N49" s="25" t="str">
        <f>VLOOKUP($B49,Sheet5!$C$17:$O$190,13,FALSE)</f>
        <v>N</v>
      </c>
      <c r="O49" s="25" t="str">
        <f>IF(N49="Y","This Loan is in Step: Sale","This Loan is in Step: n/a")</f>
        <v>This Loan is in Step: n/a</v>
      </c>
      <c r="P49" s="25" t="str">
        <f>VLOOKUP($B49,Sheet6!$C$17:$Q$190,15,FALSE)</f>
        <v>n/a</v>
      </c>
      <c r="Q49" s="10"/>
      <c r="S49" s="10"/>
    </row>
    <row r="50" spans="1:19" x14ac:dyDescent="0.3">
      <c r="A50" s="25">
        <v>49</v>
      </c>
      <c r="B50" s="25">
        <v>38909064</v>
      </c>
      <c r="C50" s="25" t="s">
        <v>3</v>
      </c>
      <c r="D50" s="26">
        <v>420000</v>
      </c>
      <c r="E50" s="27">
        <v>2.2996447985654003E-2</v>
      </c>
      <c r="F50" s="25">
        <v>10</v>
      </c>
      <c r="G50" s="28">
        <f>VLOOKUP(B50,Sheet2!$C$17:$H$190,6,FALSE)</f>
        <v>-3921.1865201602018</v>
      </c>
      <c r="H50" s="25">
        <v>36</v>
      </c>
      <c r="I50" s="29">
        <f>VLOOKUP($B50,Sheet3!$C$17:$J$190,8,FALSE)</f>
        <v>303967.42332739127</v>
      </c>
      <c r="J50" s="25" t="s">
        <v>11</v>
      </c>
      <c r="K50" s="25" t="str">
        <f>VLOOKUP(B50,Sheet4!$C$17:$L$190,10,FALSE)</f>
        <v>FNMA</v>
      </c>
      <c r="L50" s="25">
        <v>4</v>
      </c>
      <c r="M50" s="25" t="str">
        <f>VLOOKUP($B50,Sheet5!$C$17:$O$190,12,FALSE)</f>
        <v>90+</v>
      </c>
      <c r="N50" s="25" t="str">
        <f>VLOOKUP($B50,Sheet5!$C$17:$O$190,13,FALSE)</f>
        <v>N</v>
      </c>
      <c r="O50" s="25" t="str">
        <f>IF(N50="Y","This Loan is in Step: Referral","This Loan is in Step: n/a")</f>
        <v>This Loan is in Step: n/a</v>
      </c>
      <c r="P50" s="25" t="str">
        <f>VLOOKUP($B50,Sheet6!$C$17:$Q$190,15,FALSE)</f>
        <v>n/a</v>
      </c>
      <c r="Q50" s="10"/>
      <c r="S50" s="10"/>
    </row>
    <row r="51" spans="1:19" x14ac:dyDescent="0.3">
      <c r="A51" s="25">
        <v>50</v>
      </c>
      <c r="B51" s="25">
        <v>98808855</v>
      </c>
      <c r="C51" s="25" t="s">
        <v>3</v>
      </c>
      <c r="D51" s="26">
        <v>200000</v>
      </c>
      <c r="E51" s="27">
        <v>2.5277016412276896E-2</v>
      </c>
      <c r="F51" s="25">
        <v>10</v>
      </c>
      <c r="G51" s="28">
        <f>VLOOKUP(B51,Sheet2!$C$17:$H$190,6,FALSE)</f>
        <v>-1887.9184579969824</v>
      </c>
      <c r="H51" s="25">
        <v>4</v>
      </c>
      <c r="I51" s="29">
        <f>VLOOKUP($B51,Sheet3!$C$17:$J$190,8,FALSE)</f>
        <v>194114.89847536708</v>
      </c>
      <c r="J51" s="25" t="s">
        <v>9</v>
      </c>
      <c r="K51" s="25" t="str">
        <f>VLOOKUP(B51,Sheet4!$C$17:$L$190,10,FALSE)</f>
        <v>GNMA</v>
      </c>
      <c r="L51" s="25">
        <v>8</v>
      </c>
      <c r="M51" s="25" t="str">
        <f>VLOOKUP($B51,Sheet5!$C$17:$O$190,12,FALSE)</f>
        <v>90+</v>
      </c>
      <c r="N51" s="25" t="str">
        <f>VLOOKUP($B51,Sheet5!$C$17:$O$190,13,FALSE)</f>
        <v>Y</v>
      </c>
      <c r="O51" s="25" t="str">
        <f>IF(N51="Y","This Loan is in Step: Judgment","This Loan is in Step: n/a")</f>
        <v>This Loan is in Step: Judgment</v>
      </c>
      <c r="P51" s="25" t="str">
        <f>VLOOKUP($B51,Sheet6!$C$17:$Q$190,15,FALSE)</f>
        <v>Judgment</v>
      </c>
      <c r="Q51" s="10"/>
      <c r="S51" s="10"/>
    </row>
    <row r="52" spans="1:19" x14ac:dyDescent="0.3">
      <c r="A52" s="25">
        <v>51</v>
      </c>
      <c r="B52" s="25">
        <v>26667365</v>
      </c>
      <c r="C52" s="25" t="s">
        <v>3</v>
      </c>
      <c r="D52" s="26">
        <v>130000</v>
      </c>
      <c r="E52" s="27">
        <v>5.6232150677562931E-2</v>
      </c>
      <c r="F52" s="25">
        <v>10</v>
      </c>
      <c r="G52" s="28">
        <f>VLOOKUP(B52,Sheet2!$C$17:$H$190,6,FALSE)</f>
        <v>-1418.7918010041205</v>
      </c>
      <c r="H52" s="25">
        <v>4</v>
      </c>
      <c r="I52" s="29">
        <f>VLOOKUP($B52,Sheet3!$C$17:$J$190,8,FALSE)</f>
        <v>126738.72506954949</v>
      </c>
      <c r="J52" s="25" t="s">
        <v>9</v>
      </c>
      <c r="K52" s="25" t="str">
        <f>VLOOKUP(B52,Sheet4!$C$17:$L$190,10,FALSE)</f>
        <v>GNMA</v>
      </c>
      <c r="L52" s="25">
        <v>3</v>
      </c>
      <c r="M52" s="25" t="str">
        <f>VLOOKUP($B52,Sheet5!$C$17:$O$190,12,FALSE)</f>
        <v>90+</v>
      </c>
      <c r="N52" s="25" t="str">
        <f>VLOOKUP($B52,Sheet5!$C$17:$O$190,13,FALSE)</f>
        <v>N</v>
      </c>
      <c r="O52" s="25" t="str">
        <f>IF(N52="Y","This Loan is in Step: Referral","This Loan is in Step: n/a")</f>
        <v>This Loan is in Step: n/a</v>
      </c>
      <c r="P52" s="25" t="str">
        <f>VLOOKUP($B52,Sheet6!$C$17:$Q$190,15,FALSE)</f>
        <v>n/a</v>
      </c>
      <c r="Q52" s="10"/>
      <c r="S52" s="10"/>
    </row>
    <row r="53" spans="1:19" x14ac:dyDescent="0.3">
      <c r="A53" s="25">
        <v>52</v>
      </c>
      <c r="B53" s="25">
        <v>80880818</v>
      </c>
      <c r="C53" s="25" t="s">
        <v>3</v>
      </c>
      <c r="D53" s="26">
        <v>120000</v>
      </c>
      <c r="E53" s="27">
        <v>5.6587380060444684E-2</v>
      </c>
      <c r="F53" s="25">
        <v>10</v>
      </c>
      <c r="G53" s="28">
        <f>VLOOKUP(B53,Sheet2!$C$17:$H$190,6,FALSE)</f>
        <v>-1311.7742239228342</v>
      </c>
      <c r="H53" s="25">
        <v>77</v>
      </c>
      <c r="I53" s="29">
        <f>VLOOKUP($B53,Sheet3!$C$17:$J$190,8,FALSE)</f>
        <v>50946.937357005198</v>
      </c>
      <c r="J53" s="25" t="s">
        <v>12</v>
      </c>
      <c r="K53" s="25" t="str">
        <f>VLOOKUP(B53,Sheet4!$C$17:$L$190,10,FALSE)</f>
        <v>GNMA</v>
      </c>
      <c r="L53" s="25">
        <v>7</v>
      </c>
      <c r="M53" s="25" t="str">
        <f>VLOOKUP($B53,Sheet5!$C$17:$O$190,12,FALSE)</f>
        <v>90+</v>
      </c>
      <c r="N53" s="25" t="str">
        <f>VLOOKUP($B53,Sheet5!$C$17:$O$190,13,FALSE)</f>
        <v>Y</v>
      </c>
      <c r="O53" s="25" t="str">
        <f>IF(N53="Y","This Loan is in Step: Referral","This Loan is in Step: n/a")</f>
        <v>This Loan is in Step: Referral</v>
      </c>
      <c r="P53" s="25" t="str">
        <f>VLOOKUP($B53,Sheet6!$C$17:$Q$190,15,FALSE)</f>
        <v>Referral</v>
      </c>
      <c r="Q53" s="10"/>
      <c r="S53" s="10"/>
    </row>
    <row r="54" spans="1:19" x14ac:dyDescent="0.3">
      <c r="A54" s="25">
        <v>53</v>
      </c>
      <c r="B54" s="25">
        <v>81807183</v>
      </c>
      <c r="C54" s="25" t="s">
        <v>3</v>
      </c>
      <c r="D54" s="26">
        <v>120000</v>
      </c>
      <c r="E54" s="27">
        <v>7.250452793744129E-2</v>
      </c>
      <c r="F54" s="25">
        <v>30</v>
      </c>
      <c r="G54" s="28">
        <f>VLOOKUP(B54,Sheet2!$C$17:$H$190,6,FALSE)</f>
        <v>-818.64839053490459</v>
      </c>
      <c r="H54" s="25">
        <v>100</v>
      </c>
      <c r="I54" s="29">
        <f>VLOOKUP($B54,Sheet3!$C$17:$J$190,8,FALSE)</f>
        <v>107196.32312312393</v>
      </c>
      <c r="J54" s="25" t="s">
        <v>11</v>
      </c>
      <c r="K54" s="25" t="str">
        <f>VLOOKUP(B54,Sheet4!$C$17:$L$190,10,FALSE)</f>
        <v>FNMA</v>
      </c>
      <c r="L54" s="25">
        <v>9</v>
      </c>
      <c r="M54" s="25" t="str">
        <f>VLOOKUP($B54,Sheet5!$C$17:$O$190,12,FALSE)</f>
        <v>90+</v>
      </c>
      <c r="N54" s="25" t="str">
        <f>VLOOKUP($B54,Sheet5!$C$17:$O$190,13,FALSE)</f>
        <v>Y</v>
      </c>
      <c r="O54" s="25" t="str">
        <f>IF(N54="Y","This Loan is in Step: Judgment","This Loan is in Step: n/a")</f>
        <v>This Loan is in Step: Judgment</v>
      </c>
      <c r="P54" s="25" t="str">
        <f>VLOOKUP($B54,Sheet6!$C$17:$Q$190,15,FALSE)</f>
        <v>Judgment</v>
      </c>
      <c r="Q54" s="10"/>
      <c r="S54" s="10"/>
    </row>
    <row r="55" spans="1:19" x14ac:dyDescent="0.3">
      <c r="A55" s="25">
        <v>54</v>
      </c>
      <c r="B55" s="25">
        <v>14611483</v>
      </c>
      <c r="C55" s="25" t="s">
        <v>3</v>
      </c>
      <c r="D55" s="26">
        <v>150000</v>
      </c>
      <c r="E55" s="27">
        <v>7.2752652226458867E-2</v>
      </c>
      <c r="F55" s="25">
        <v>20</v>
      </c>
      <c r="G55" s="28">
        <f>VLOOKUP(B55,Sheet2!$C$17:$H$190,6,FALSE)</f>
        <v>-1187.8612740753533</v>
      </c>
      <c r="H55" s="25">
        <v>76</v>
      </c>
      <c r="I55" s="29">
        <f>VLOOKUP($B55,Sheet3!$C$17:$J$190,8,FALSE)</f>
        <v>123219.62822422951</v>
      </c>
      <c r="J55" s="25" t="s">
        <v>11</v>
      </c>
      <c r="K55" s="25" t="str">
        <f>VLOOKUP(B55,Sheet4!$C$17:$L$190,10,FALSE)</f>
        <v>FNMA</v>
      </c>
      <c r="L55" s="25">
        <v>2</v>
      </c>
      <c r="M55" s="25" t="str">
        <f>VLOOKUP($B55,Sheet5!$C$17:$O$190,12,FALSE)</f>
        <v>30-60</v>
      </c>
      <c r="N55" s="25" t="str">
        <f>VLOOKUP($B55,Sheet5!$C$17:$O$190,13,FALSE)</f>
        <v>N</v>
      </c>
      <c r="O55" s="25" t="str">
        <f>IF(N55="Y","This Loan is in Step: Judgment","This Loan is in Step: n/a")</f>
        <v>This Loan is in Step: n/a</v>
      </c>
      <c r="P55" s="25" t="str">
        <f>VLOOKUP($B55,Sheet6!$C$17:$Q$190,15,FALSE)</f>
        <v>n/a</v>
      </c>
      <c r="Q55" s="10"/>
      <c r="S55" s="10"/>
    </row>
    <row r="56" spans="1:19" x14ac:dyDescent="0.3">
      <c r="A56" s="25">
        <v>55</v>
      </c>
      <c r="B56" s="25">
        <v>97257211</v>
      </c>
      <c r="C56" s="25" t="s">
        <v>3</v>
      </c>
      <c r="D56" s="26">
        <v>90000</v>
      </c>
      <c r="E56" s="27">
        <v>4.7155846847419934E-2</v>
      </c>
      <c r="F56" s="25">
        <v>30</v>
      </c>
      <c r="G56" s="28">
        <f>VLOOKUP(B56,Sheet2!$C$17:$H$190,6,FALSE)</f>
        <v>-467.61745240145035</v>
      </c>
      <c r="H56" s="25">
        <v>156</v>
      </c>
      <c r="I56" s="29">
        <f>VLOOKUP($B56,Sheet3!$C$17:$J$190,8,FALSE)</f>
        <v>65532.453303987968</v>
      </c>
      <c r="J56" s="25" t="s">
        <v>10</v>
      </c>
      <c r="K56" s="25" t="str">
        <f>VLOOKUP(B56,Sheet4!$C$17:$L$190,10,FALSE)</f>
        <v>FHLMC</v>
      </c>
      <c r="L56" s="25">
        <v>5</v>
      </c>
      <c r="M56" s="25" t="str">
        <f>VLOOKUP($B56,Sheet5!$C$17:$O$190,12,FALSE)</f>
        <v>90+</v>
      </c>
      <c r="N56" s="25" t="str">
        <f>VLOOKUP($B56,Sheet5!$C$17:$O$190,13,FALSE)</f>
        <v>N</v>
      </c>
      <c r="O56" s="25" t="str">
        <f>IF(N56="Y","This Loan is in Step: Sale","This Loan is in Step: n/a")</f>
        <v>This Loan is in Step: n/a</v>
      </c>
      <c r="P56" s="25" t="str">
        <f>VLOOKUP($B56,Sheet6!$C$17:$Q$190,15,FALSE)</f>
        <v>n/a</v>
      </c>
      <c r="Q56" s="10"/>
      <c r="S56" s="10"/>
    </row>
    <row r="57" spans="1:19" x14ac:dyDescent="0.3">
      <c r="A57" s="25">
        <v>56</v>
      </c>
      <c r="B57" s="25">
        <v>94915980</v>
      </c>
      <c r="C57" s="25" t="s">
        <v>3</v>
      </c>
      <c r="D57" s="26">
        <v>310000</v>
      </c>
      <c r="E57" s="27">
        <v>3.5647185007364517E-2</v>
      </c>
      <c r="F57" s="25">
        <v>10</v>
      </c>
      <c r="G57" s="28">
        <f>VLOOKUP(B57,Sheet2!$C$17:$H$190,6,FALSE)</f>
        <v>-3074.8690260412382</v>
      </c>
      <c r="H57" s="25">
        <v>36</v>
      </c>
      <c r="I57" s="29">
        <f>VLOOKUP($B57,Sheet3!$C$17:$J$190,8,FALSE)</f>
        <v>228286.36077492562</v>
      </c>
      <c r="J57" s="25" t="s">
        <v>13</v>
      </c>
      <c r="K57" s="25" t="str">
        <f>VLOOKUP(B57,Sheet4!$C$17:$L$190,10,FALSE)</f>
        <v>GNMA</v>
      </c>
      <c r="L57" s="25">
        <v>0</v>
      </c>
      <c r="M57" s="25" t="str">
        <f>VLOOKUP($B57,Sheet5!$C$17:$O$190,12,FALSE)</f>
        <v>Current</v>
      </c>
      <c r="N57" s="25" t="str">
        <f>VLOOKUP($B57,Sheet5!$C$17:$O$190,13,FALSE)</f>
        <v>N</v>
      </c>
      <c r="O57" s="25" t="str">
        <f>IF(N57="Y","This Loan is in Step: Judgment","This Loan is in Step: n/a")</f>
        <v>This Loan is in Step: n/a</v>
      </c>
      <c r="P57" s="25" t="str">
        <f>VLOOKUP($B57,Sheet6!$C$17:$Q$190,15,FALSE)</f>
        <v>n/a</v>
      </c>
      <c r="Q57" s="10"/>
      <c r="S57" s="10"/>
    </row>
    <row r="58" spans="1:19" x14ac:dyDescent="0.3">
      <c r="A58" s="25">
        <v>57</v>
      </c>
      <c r="B58" s="25">
        <v>16798870</v>
      </c>
      <c r="C58" s="25" t="s">
        <v>3</v>
      </c>
      <c r="D58" s="26">
        <v>270000</v>
      </c>
      <c r="E58" s="27">
        <v>3.8124204390776455E-2</v>
      </c>
      <c r="F58" s="25">
        <v>30</v>
      </c>
      <c r="G58" s="28">
        <f>VLOOKUP(B58,Sheet2!$C$17:$H$190,6,FALSE)</f>
        <v>-1259.9946484214199</v>
      </c>
      <c r="H58" s="25">
        <v>327</v>
      </c>
      <c r="I58" s="29">
        <f>VLOOKUP($B58,Sheet3!$C$17:$J$190,8,FALSE)</f>
        <v>39415.038705480743</v>
      </c>
      <c r="J58" s="25" t="s">
        <v>13</v>
      </c>
      <c r="K58" s="25" t="str">
        <f>VLOOKUP(B58,Sheet4!$C$17:$L$190,10,FALSE)</f>
        <v>GNMA</v>
      </c>
      <c r="L58" s="25">
        <v>3</v>
      </c>
      <c r="M58" s="25" t="str">
        <f>VLOOKUP($B58,Sheet5!$C$17:$O$190,12,FALSE)</f>
        <v>90+</v>
      </c>
      <c r="N58" s="25" t="str">
        <f>VLOOKUP($B58,Sheet5!$C$17:$O$190,13,FALSE)</f>
        <v>N</v>
      </c>
      <c r="O58" s="25" t="str">
        <f>IF(N58="Y","This Loan is in Step: Service","This Loan is in Step: n/a")</f>
        <v>This Loan is in Step: n/a</v>
      </c>
      <c r="P58" s="25" t="str">
        <f>VLOOKUP($B58,Sheet6!$C$17:$Q$190,15,FALSE)</f>
        <v>n/a</v>
      </c>
      <c r="Q58" s="10"/>
      <c r="S58" s="10"/>
    </row>
    <row r="59" spans="1:19" x14ac:dyDescent="0.3">
      <c r="A59" s="25">
        <v>58</v>
      </c>
      <c r="B59" s="25">
        <v>78996690</v>
      </c>
      <c r="C59" s="25" t="s">
        <v>3</v>
      </c>
      <c r="D59" s="26">
        <v>280000</v>
      </c>
      <c r="E59" s="27">
        <v>8.3762295006845983E-2</v>
      </c>
      <c r="F59" s="25">
        <v>30</v>
      </c>
      <c r="G59" s="28">
        <f>VLOOKUP(B59,Sheet2!$C$17:$H$190,6,FALSE)</f>
        <v>-2128.4452821872769</v>
      </c>
      <c r="H59" s="25">
        <v>187</v>
      </c>
      <c r="I59" s="29">
        <f>VLOOKUP($B59,Sheet3!$C$17:$J$190,8,FALSE)</f>
        <v>213394.12647606496</v>
      </c>
      <c r="J59" s="25" t="s">
        <v>13</v>
      </c>
      <c r="K59" s="25" t="str">
        <f>VLOOKUP(B59,Sheet4!$C$17:$L$190,10,FALSE)</f>
        <v>GNMA</v>
      </c>
      <c r="L59" s="25">
        <v>0</v>
      </c>
      <c r="M59" s="25" t="str">
        <f>VLOOKUP($B59,Sheet5!$C$17:$O$190,12,FALSE)</f>
        <v>Current</v>
      </c>
      <c r="N59" s="25" t="str">
        <f>VLOOKUP($B59,Sheet5!$C$17:$O$190,13,FALSE)</f>
        <v>N</v>
      </c>
      <c r="O59" s="25" t="str">
        <f>IF(N59="Y","This Loan is in Step: Judgment","This Loan is in Step: n/a")</f>
        <v>This Loan is in Step: n/a</v>
      </c>
      <c r="P59" s="25" t="str">
        <f>VLOOKUP($B59,Sheet6!$C$17:$Q$190,15,FALSE)</f>
        <v>n/a</v>
      </c>
      <c r="Q59" s="10"/>
      <c r="S59" s="10"/>
    </row>
    <row r="60" spans="1:19" x14ac:dyDescent="0.3">
      <c r="A60" s="25">
        <v>59</v>
      </c>
      <c r="B60" s="25">
        <v>12860906</v>
      </c>
      <c r="C60" s="25" t="s">
        <v>3</v>
      </c>
      <c r="D60" s="26">
        <v>80000</v>
      </c>
      <c r="E60" s="27">
        <v>8.3028447544266887E-2</v>
      </c>
      <c r="F60" s="25">
        <v>10</v>
      </c>
      <c r="G60" s="28">
        <f>VLOOKUP(B60,Sheet2!$C$17:$H$190,6,FALSE)</f>
        <v>-983.46990744473135</v>
      </c>
      <c r="H60" s="25">
        <v>57</v>
      </c>
      <c r="I60" s="29">
        <f>VLOOKUP($B60,Sheet3!$C$17:$J$190,8,FALSE)</f>
        <v>50082.318285723595</v>
      </c>
      <c r="J60" s="25" t="s">
        <v>9</v>
      </c>
      <c r="K60" s="25" t="str">
        <f>VLOOKUP(B60,Sheet4!$C$17:$L$190,10,FALSE)</f>
        <v>GNMA</v>
      </c>
      <c r="L60" s="25">
        <v>1</v>
      </c>
      <c r="M60" s="25" t="str">
        <f>VLOOKUP($B60,Sheet5!$C$17:$O$190,12,FALSE)</f>
        <v>30-60</v>
      </c>
      <c r="N60" s="25" t="str">
        <f>VLOOKUP($B60,Sheet5!$C$17:$O$190,13,FALSE)</f>
        <v>N</v>
      </c>
      <c r="O60" s="25" t="str">
        <f>IF(N60="Y","This Loan is in Step: Referral","This Loan is in Step: n/a")</f>
        <v>This Loan is in Step: n/a</v>
      </c>
      <c r="P60" s="25" t="str">
        <f>VLOOKUP($B60,Sheet6!$C$17:$Q$190,15,FALSE)</f>
        <v>n/a</v>
      </c>
      <c r="Q60" s="10"/>
      <c r="S60" s="10"/>
    </row>
    <row r="61" spans="1:19" x14ac:dyDescent="0.3">
      <c r="A61" s="25">
        <v>60</v>
      </c>
      <c r="B61" s="25">
        <v>24261168</v>
      </c>
      <c r="C61" s="25" t="s">
        <v>3</v>
      </c>
      <c r="D61" s="26">
        <v>100000</v>
      </c>
      <c r="E61" s="27">
        <v>3.2246080585092513E-2</v>
      </c>
      <c r="F61" s="25">
        <v>10</v>
      </c>
      <c r="G61" s="28">
        <f>VLOOKUP(B61,Sheet2!$C$17:$H$190,6,FALSE)</f>
        <v>-976.00994049914834</v>
      </c>
      <c r="H61" s="25">
        <v>33</v>
      </c>
      <c r="I61" s="29">
        <f>VLOOKUP($B61,Sheet3!$C$17:$J$190,8,FALSE)</f>
        <v>75627.382067917511</v>
      </c>
      <c r="J61" s="25" t="s">
        <v>12</v>
      </c>
      <c r="K61" s="25" t="str">
        <f>VLOOKUP(B61,Sheet4!$C$17:$L$190,10,FALSE)</f>
        <v>GNMA</v>
      </c>
      <c r="L61" s="25">
        <v>0</v>
      </c>
      <c r="M61" s="25" t="str">
        <f>VLOOKUP($B61,Sheet5!$C$17:$O$190,12,FALSE)</f>
        <v>Current</v>
      </c>
      <c r="N61" s="25" t="str">
        <f>VLOOKUP($B61,Sheet5!$C$17:$O$190,13,FALSE)</f>
        <v>N</v>
      </c>
      <c r="O61" s="25" t="str">
        <f>IF(N61="Y","This Loan is in Step: Sale","This Loan is in Step: n/a")</f>
        <v>This Loan is in Step: n/a</v>
      </c>
      <c r="P61" s="25" t="str">
        <f>VLOOKUP($B61,Sheet6!$C$17:$Q$190,15,FALSE)</f>
        <v>n/a</v>
      </c>
      <c r="Q61" s="10"/>
      <c r="S61" s="10"/>
    </row>
    <row r="62" spans="1:19" x14ac:dyDescent="0.3">
      <c r="A62" s="25">
        <v>61</v>
      </c>
      <c r="B62" s="25">
        <v>61297822</v>
      </c>
      <c r="C62" s="25" t="s">
        <v>3</v>
      </c>
      <c r="D62" s="26">
        <v>100000</v>
      </c>
      <c r="E62" s="27">
        <v>5.3983098508402307E-2</v>
      </c>
      <c r="F62" s="25">
        <v>30</v>
      </c>
      <c r="G62" s="28">
        <f>VLOOKUP(B62,Sheet2!$C$17:$H$190,6,FALSE)</f>
        <v>-561.42529354833619</v>
      </c>
      <c r="H62" s="25">
        <v>238</v>
      </c>
      <c r="I62" s="29">
        <f>VLOOKUP($B62,Sheet3!$C$17:$J$190,8,FALSE)</f>
        <v>52623.559305270435</v>
      </c>
      <c r="J62" s="25" t="s">
        <v>10</v>
      </c>
      <c r="K62" s="25" t="str">
        <f>VLOOKUP(B62,Sheet4!$C$17:$L$190,10,FALSE)</f>
        <v>FHLMC</v>
      </c>
      <c r="L62" s="25">
        <v>0</v>
      </c>
      <c r="M62" s="25" t="str">
        <f>VLOOKUP($B62,Sheet5!$C$17:$O$190,12,FALSE)</f>
        <v>Current</v>
      </c>
      <c r="N62" s="25" t="str">
        <f>VLOOKUP($B62,Sheet5!$C$17:$O$190,13,FALSE)</f>
        <v>N</v>
      </c>
      <c r="O62" s="25" t="str">
        <f>IF(N62="Y","This Loan is in Step: Judgment","This Loan is in Step: n/a")</f>
        <v>This Loan is in Step: n/a</v>
      </c>
      <c r="P62" s="25" t="str">
        <f>VLOOKUP($B62,Sheet6!$C$17:$Q$190,15,FALSE)</f>
        <v>n/a</v>
      </c>
      <c r="Q62" s="10"/>
      <c r="S62" s="10"/>
    </row>
    <row r="63" spans="1:19" x14ac:dyDescent="0.3">
      <c r="A63" s="25">
        <v>62</v>
      </c>
      <c r="B63" s="25">
        <v>25037514</v>
      </c>
      <c r="C63" s="25" t="s">
        <v>3</v>
      </c>
      <c r="D63" s="26">
        <v>380000</v>
      </c>
      <c r="E63" s="27">
        <v>6.6890959133402261E-2</v>
      </c>
      <c r="F63" s="25">
        <v>20</v>
      </c>
      <c r="G63" s="28">
        <f>VLOOKUP(B63,Sheet2!$C$17:$H$190,6,FALSE)</f>
        <v>-2875.6399914511162</v>
      </c>
      <c r="H63" s="25">
        <v>62</v>
      </c>
      <c r="I63" s="29">
        <f>VLOOKUP($B63,Sheet3!$C$17:$J$190,8,FALSE)</f>
        <v>324087.34693467576</v>
      </c>
      <c r="J63" s="25" t="s">
        <v>11</v>
      </c>
      <c r="K63" s="25" t="str">
        <f>VLOOKUP(B63,Sheet4!$C$17:$L$190,10,FALSE)</f>
        <v>FNMA</v>
      </c>
      <c r="L63" s="25">
        <v>0</v>
      </c>
      <c r="M63" s="25" t="str">
        <f>VLOOKUP($B63,Sheet5!$C$17:$O$190,12,FALSE)</f>
        <v>Current</v>
      </c>
      <c r="N63" s="25" t="str">
        <f>VLOOKUP($B63,Sheet5!$C$17:$O$190,13,FALSE)</f>
        <v>N</v>
      </c>
      <c r="O63" s="25" t="str">
        <f>IF(N63="Y","This Loan is in Step: Judgment","This Loan is in Step: n/a")</f>
        <v>This Loan is in Step: n/a</v>
      </c>
      <c r="P63" s="25" t="str">
        <f>VLOOKUP($B63,Sheet6!$C$17:$Q$190,15,FALSE)</f>
        <v>n/a</v>
      </c>
      <c r="Q63" s="10"/>
      <c r="S63" s="10"/>
    </row>
    <row r="64" spans="1:19" x14ac:dyDescent="0.3">
      <c r="A64" s="25">
        <v>63</v>
      </c>
      <c r="B64" s="25">
        <v>64266143</v>
      </c>
      <c r="C64" s="25" t="s">
        <v>3</v>
      </c>
      <c r="D64" s="26">
        <v>150000</v>
      </c>
      <c r="E64" s="27">
        <v>2.4040124038044522E-2</v>
      </c>
      <c r="F64" s="25">
        <v>20</v>
      </c>
      <c r="G64" s="28">
        <f>VLOOKUP(B64,Sheet2!$C$17:$H$190,6,FALSE)</f>
        <v>-787.85872743274172</v>
      </c>
      <c r="H64" s="25">
        <v>205</v>
      </c>
      <c r="I64" s="29">
        <f>VLOOKUP($B64,Sheet3!$C$17:$J$190,8,FALSE)</f>
        <v>26604.80204904468</v>
      </c>
      <c r="J64" s="25" t="s">
        <v>11</v>
      </c>
      <c r="K64" s="25" t="str">
        <f>VLOOKUP(B64,Sheet4!$C$17:$L$190,10,FALSE)</f>
        <v>FNMA</v>
      </c>
      <c r="L64" s="25">
        <v>0</v>
      </c>
      <c r="M64" s="25" t="str">
        <f>VLOOKUP($B64,Sheet5!$C$17:$O$190,12,FALSE)</f>
        <v>Current</v>
      </c>
      <c r="N64" s="25" t="str">
        <f>VLOOKUP($B64,Sheet5!$C$17:$O$190,13,FALSE)</f>
        <v>N</v>
      </c>
      <c r="O64" s="25" t="str">
        <f>IF(N64="Y","This Loan is in Step: Referral","This Loan is in Step: n/a")</f>
        <v>This Loan is in Step: n/a</v>
      </c>
      <c r="P64" s="25" t="str">
        <f>VLOOKUP($B64,Sheet6!$C$17:$Q$190,15,FALSE)</f>
        <v>n/a</v>
      </c>
      <c r="Q64" s="10"/>
      <c r="S64" s="10"/>
    </row>
    <row r="65" spans="1:19" x14ac:dyDescent="0.3">
      <c r="A65" s="25">
        <v>64</v>
      </c>
      <c r="B65" s="25">
        <v>75089533</v>
      </c>
      <c r="C65" s="25" t="s">
        <v>2</v>
      </c>
      <c r="D65" s="26">
        <v>100000</v>
      </c>
      <c r="E65" s="27">
        <v>2.3500078758323658E-2</v>
      </c>
      <c r="F65" s="25">
        <v>30</v>
      </c>
      <c r="G65" s="28">
        <f>VLOOKUP(B65,Sheet2!$C$17:$H$190,6,FALSE)</f>
        <v>-387.36679047648778</v>
      </c>
      <c r="H65" s="25">
        <v>315</v>
      </c>
      <c r="I65" s="29">
        <f>VLOOKUP($B65,Sheet3!$C$17:$J$190,8,FALSE)</f>
        <v>16669.892294490219</v>
      </c>
      <c r="J65" s="25" t="s">
        <v>11</v>
      </c>
      <c r="K65" s="25" t="str">
        <f>VLOOKUP(B65,Sheet4!$C$17:$L$190,10,FALSE)</f>
        <v>FNMA</v>
      </c>
      <c r="L65" s="25">
        <v>0</v>
      </c>
      <c r="M65" s="25" t="str">
        <f>VLOOKUP($B65,Sheet5!$C$17:$O$190,12,FALSE)</f>
        <v>Current</v>
      </c>
      <c r="N65" s="25" t="str">
        <f>VLOOKUP($B65,Sheet5!$C$17:$O$190,13,FALSE)</f>
        <v>N</v>
      </c>
      <c r="O65" s="25" t="str">
        <f>IF(N65="Y","This Loan is in Step: Judgment","This Loan is in Step: n/a")</f>
        <v>This Loan is in Step: n/a</v>
      </c>
      <c r="P65" s="25" t="str">
        <f>VLOOKUP($B65,Sheet6!$C$17:$Q$190,15,FALSE)</f>
        <v>n/a</v>
      </c>
      <c r="Q65" s="10"/>
      <c r="S65" s="10"/>
    </row>
    <row r="66" spans="1:19" x14ac:dyDescent="0.3">
      <c r="A66" s="25">
        <v>65</v>
      </c>
      <c r="B66" s="25">
        <v>91788629</v>
      </c>
      <c r="C66" s="25" t="s">
        <v>2</v>
      </c>
      <c r="D66" s="26">
        <v>390000</v>
      </c>
      <c r="E66" s="27">
        <v>6.6238204969847433E-2</v>
      </c>
      <c r="F66" s="25">
        <v>30</v>
      </c>
      <c r="G66" s="28">
        <f>VLOOKUP(B66,Sheet2!$C$17:$H$190,6,FALSE)</f>
        <v>-2496.9085946625487</v>
      </c>
      <c r="H66" s="25">
        <v>317</v>
      </c>
      <c r="I66" s="29">
        <f>VLOOKUP($B66,Sheet3!$C$17:$J$190,8,FALSE)</f>
        <v>95343.185278616031</v>
      </c>
      <c r="J66" s="25" t="s">
        <v>13</v>
      </c>
      <c r="K66" s="25" t="str">
        <f>VLOOKUP(B66,Sheet4!$C$17:$L$190,10,FALSE)</f>
        <v>GNMA</v>
      </c>
      <c r="L66" s="25">
        <v>0</v>
      </c>
      <c r="M66" s="25" t="str">
        <f>VLOOKUP($B66,Sheet5!$C$17:$O$190,12,FALSE)</f>
        <v>Current</v>
      </c>
      <c r="N66" s="25" t="str">
        <f>VLOOKUP($B66,Sheet5!$C$17:$O$190,13,FALSE)</f>
        <v>N</v>
      </c>
      <c r="O66" s="25" t="str">
        <f>IF(N66="Y","This Loan is in Step: Service","This Loan is in Step: n/a")</f>
        <v>This Loan is in Step: n/a</v>
      </c>
      <c r="P66" s="25" t="str">
        <f>VLOOKUP($B66,Sheet6!$C$17:$Q$190,15,FALSE)</f>
        <v>n/a</v>
      </c>
      <c r="Q66" s="10"/>
      <c r="S66" s="10"/>
    </row>
    <row r="67" spans="1:19" x14ac:dyDescent="0.3">
      <c r="A67" s="25">
        <v>66</v>
      </c>
      <c r="B67" s="25">
        <v>93924899</v>
      </c>
      <c r="C67" s="25" t="s">
        <v>2</v>
      </c>
      <c r="D67" s="26">
        <v>260000</v>
      </c>
      <c r="E67" s="27">
        <v>8.8488321849944707E-2</v>
      </c>
      <c r="F67" s="25">
        <v>30</v>
      </c>
      <c r="G67" s="28">
        <f>VLOOKUP(B67,Sheet2!$C$17:$H$190,6,FALSE)</f>
        <v>-2063.8011239785942</v>
      </c>
      <c r="H67" s="25">
        <v>204</v>
      </c>
      <c r="I67" s="29">
        <f>VLOOKUP($B67,Sheet3!$C$17:$J$190,8,FALSE)</f>
        <v>190912.02062684187</v>
      </c>
      <c r="J67" s="25" t="s">
        <v>13</v>
      </c>
      <c r="K67" s="25" t="str">
        <f>VLOOKUP(B67,Sheet4!$C$17:$L$190,10,FALSE)</f>
        <v>GNMA</v>
      </c>
      <c r="L67" s="25">
        <v>0</v>
      </c>
      <c r="M67" s="25" t="str">
        <f>VLOOKUP($B67,Sheet5!$C$17:$O$190,12,FALSE)</f>
        <v>Current</v>
      </c>
      <c r="N67" s="25" t="str">
        <f>VLOOKUP($B67,Sheet5!$C$17:$O$190,13,FALSE)</f>
        <v>N</v>
      </c>
      <c r="O67" s="25" t="str">
        <f>IF(N67="Y","This Loan is in Step: Judgment","This Loan is in Step: n/a")</f>
        <v>This Loan is in Step: n/a</v>
      </c>
      <c r="P67" s="25" t="str">
        <f>VLOOKUP($B67,Sheet6!$C$17:$Q$190,15,FALSE)</f>
        <v>n/a</v>
      </c>
      <c r="Q67" s="10"/>
      <c r="S67" s="10"/>
    </row>
    <row r="68" spans="1:19" x14ac:dyDescent="0.3">
      <c r="A68" s="25">
        <v>67</v>
      </c>
      <c r="B68" s="25">
        <v>14685343</v>
      </c>
      <c r="C68" s="25" t="s">
        <v>2</v>
      </c>
      <c r="D68" s="26">
        <v>230000</v>
      </c>
      <c r="E68" s="27">
        <v>7.0071082298951745E-2</v>
      </c>
      <c r="F68" s="25">
        <v>30</v>
      </c>
      <c r="G68" s="28">
        <f>VLOOKUP(B68,Sheet2!$C$17:$H$190,6,FALSE)</f>
        <v>-1531.293884883142</v>
      </c>
      <c r="H68" s="25">
        <v>237</v>
      </c>
      <c r="I68" s="29">
        <f>VLOOKUP($B68,Sheet3!$C$17:$J$190,8,FALSE)</f>
        <v>134101.01991193905</v>
      </c>
      <c r="J68" s="25" t="s">
        <v>11</v>
      </c>
      <c r="K68" s="25" t="str">
        <f>VLOOKUP(B68,Sheet4!$C$17:$L$190,10,FALSE)</f>
        <v>FNMA</v>
      </c>
      <c r="L68" s="25">
        <v>0</v>
      </c>
      <c r="M68" s="25" t="str">
        <f>VLOOKUP($B68,Sheet5!$C$17:$O$190,12,FALSE)</f>
        <v>Current</v>
      </c>
      <c r="N68" s="25" t="str">
        <f>VLOOKUP($B68,Sheet5!$C$17:$O$190,13,FALSE)</f>
        <v>N</v>
      </c>
      <c r="O68" s="25" t="str">
        <f>IF(N68="Y","This Loan is in Step: Judgment","This Loan is in Step: n/a")</f>
        <v>This Loan is in Step: n/a</v>
      </c>
      <c r="P68" s="25" t="str">
        <f>VLOOKUP($B68,Sheet6!$C$17:$Q$190,15,FALSE)</f>
        <v>n/a</v>
      </c>
      <c r="Q68" s="10"/>
      <c r="S68" s="10"/>
    </row>
    <row r="69" spans="1:19" x14ac:dyDescent="0.3">
      <c r="A69" s="25">
        <v>68</v>
      </c>
      <c r="B69" s="25">
        <v>46047163</v>
      </c>
      <c r="C69" s="25" t="s">
        <v>2</v>
      </c>
      <c r="D69" s="26">
        <v>180000</v>
      </c>
      <c r="E69" s="27">
        <v>6.9073868790080276E-2</v>
      </c>
      <c r="F69" s="25">
        <v>10</v>
      </c>
      <c r="G69" s="28">
        <f>VLOOKUP(B69,Sheet2!$C$17:$H$190,6,FALSE)</f>
        <v>-2081.3710610219168</v>
      </c>
      <c r="H69" s="25">
        <v>74</v>
      </c>
      <c r="I69" s="29">
        <f>VLOOKUP($B69,Sheet3!$C$17:$J$190,8,FALSE)</f>
        <v>83905.224032455211</v>
      </c>
      <c r="J69" s="25" t="s">
        <v>11</v>
      </c>
      <c r="K69" s="25" t="str">
        <f>VLOOKUP(B69,Sheet4!$C$17:$L$190,10,FALSE)</f>
        <v>FNMA</v>
      </c>
      <c r="L69" s="25">
        <v>0</v>
      </c>
      <c r="M69" s="25" t="str">
        <f>VLOOKUP($B69,Sheet5!$C$17:$O$190,12,FALSE)</f>
        <v>Current</v>
      </c>
      <c r="N69" s="25" t="str">
        <f>VLOOKUP($B69,Sheet5!$C$17:$O$190,13,FALSE)</f>
        <v>N</v>
      </c>
      <c r="O69" s="25" t="str">
        <f>IF(N69="Y","This Loan is in Step: Judgment","This Loan is in Step: n/a")</f>
        <v>This Loan is in Step: n/a</v>
      </c>
      <c r="P69" s="25" t="str">
        <f>VLOOKUP($B69,Sheet6!$C$17:$Q$190,15,FALSE)</f>
        <v>n/a</v>
      </c>
      <c r="Q69" s="10"/>
      <c r="S69" s="10"/>
    </row>
    <row r="70" spans="1:19" x14ac:dyDescent="0.3">
      <c r="A70" s="25">
        <v>69</v>
      </c>
      <c r="B70" s="25">
        <v>21390949</v>
      </c>
      <c r="C70" s="25" t="s">
        <v>2</v>
      </c>
      <c r="D70" s="26">
        <v>420000</v>
      </c>
      <c r="E70" s="27">
        <v>8.6516783487079515E-2</v>
      </c>
      <c r="F70" s="25">
        <v>30</v>
      </c>
      <c r="G70" s="28">
        <f>VLOOKUP(B70,Sheet2!$C$17:$H$190,6,FALSE)</f>
        <v>-3274.6923069116292</v>
      </c>
      <c r="H70" s="25">
        <v>237</v>
      </c>
      <c r="I70" s="29">
        <f>VLOOKUP($B70,Sheet3!$C$17:$J$190,8,FALSE)</f>
        <v>266488.12538013776</v>
      </c>
      <c r="J70" s="25" t="s">
        <v>13</v>
      </c>
      <c r="K70" s="25" t="str">
        <f>VLOOKUP(B70,Sheet4!$C$17:$L$190,10,FALSE)</f>
        <v>GNMA</v>
      </c>
      <c r="L70" s="25">
        <v>0</v>
      </c>
      <c r="M70" s="25" t="str">
        <f>VLOOKUP($B70,Sheet5!$C$17:$O$190,12,FALSE)</f>
        <v>Current</v>
      </c>
      <c r="N70" s="25" t="str">
        <f>VLOOKUP($B70,Sheet5!$C$17:$O$190,13,FALSE)</f>
        <v>N</v>
      </c>
      <c r="O70" s="25" t="str">
        <f>IF(N70="Y","This Loan is in Step: Judgment","This Loan is in Step: n/a")</f>
        <v>This Loan is in Step: n/a</v>
      </c>
      <c r="P70" s="25" t="str">
        <f>VLOOKUP($B70,Sheet6!$C$17:$Q$190,15,FALSE)</f>
        <v>n/a</v>
      </c>
      <c r="Q70" s="10"/>
      <c r="S70" s="10"/>
    </row>
    <row r="71" spans="1:19" x14ac:dyDescent="0.3">
      <c r="A71" s="25">
        <v>70</v>
      </c>
      <c r="B71" s="25">
        <v>86868306</v>
      </c>
      <c r="C71" s="25" t="s">
        <v>2</v>
      </c>
      <c r="D71" s="26">
        <v>220000</v>
      </c>
      <c r="E71" s="27">
        <v>5.9538523786275999E-2</v>
      </c>
      <c r="F71" s="25">
        <v>10</v>
      </c>
      <c r="G71" s="28">
        <f>VLOOKUP(B71,Sheet2!$C$17:$H$190,6,FALSE)</f>
        <v>-2437.3558171598584</v>
      </c>
      <c r="H71" s="25">
        <v>118</v>
      </c>
      <c r="I71" s="29">
        <f>VLOOKUP($B71,Sheet3!$C$17:$J$190,8,FALSE)</f>
        <v>4838.6710135669418</v>
      </c>
      <c r="J71" s="25" t="s">
        <v>9</v>
      </c>
      <c r="K71" s="25" t="str">
        <f>VLOOKUP(B71,Sheet4!$C$17:$L$190,10,FALSE)</f>
        <v>GNMA</v>
      </c>
      <c r="L71" s="25">
        <v>0</v>
      </c>
      <c r="M71" s="25" t="str">
        <f>VLOOKUP($B71,Sheet5!$C$17:$O$190,12,FALSE)</f>
        <v>Current</v>
      </c>
      <c r="N71" s="25" t="str">
        <f>VLOOKUP($B71,Sheet5!$C$17:$O$190,13,FALSE)</f>
        <v>N</v>
      </c>
      <c r="O71" s="25" t="str">
        <f>IF(N71="Y","This Loan is in Step: Sale","This Loan is in Step: n/a")</f>
        <v>This Loan is in Step: n/a</v>
      </c>
      <c r="P71" s="25" t="str">
        <f>VLOOKUP($B71,Sheet6!$C$17:$Q$190,15,FALSE)</f>
        <v>n/a</v>
      </c>
      <c r="Q71" s="10"/>
      <c r="S71" s="10"/>
    </row>
    <row r="72" spans="1:19" x14ac:dyDescent="0.3">
      <c r="A72" s="25">
        <v>71</v>
      </c>
      <c r="B72" s="25">
        <v>16735695</v>
      </c>
      <c r="C72" s="25" t="s">
        <v>2</v>
      </c>
      <c r="D72" s="26">
        <v>290000</v>
      </c>
      <c r="E72" s="27">
        <v>3.7419614625481337E-2</v>
      </c>
      <c r="F72" s="25">
        <v>10</v>
      </c>
      <c r="G72" s="28">
        <f>VLOOKUP(B72,Sheet2!$C$17:$H$190,6,FALSE)</f>
        <v>-2900.6762025728844</v>
      </c>
      <c r="H72" s="25">
        <v>28</v>
      </c>
      <c r="I72" s="29">
        <f>VLOOKUP($B72,Sheet3!$C$17:$J$190,8,FALSE)</f>
        <v>231683.66372603667</v>
      </c>
      <c r="J72" s="25" t="s">
        <v>9</v>
      </c>
      <c r="K72" s="25" t="str">
        <f>VLOOKUP(B72,Sheet4!$C$17:$L$190,10,FALSE)</f>
        <v>GNMA</v>
      </c>
      <c r="L72" s="25">
        <v>1</v>
      </c>
      <c r="M72" s="25" t="str">
        <f>VLOOKUP($B72,Sheet5!$C$17:$O$190,12,FALSE)</f>
        <v>30-60</v>
      </c>
      <c r="N72" s="25" t="str">
        <f>VLOOKUP($B72,Sheet5!$C$17:$O$190,13,FALSE)</f>
        <v>N</v>
      </c>
      <c r="O72" s="25" t="str">
        <f>IF(N72="Y","This Loan is in Step: Judgment","This Loan is in Step: n/a")</f>
        <v>This Loan is in Step: n/a</v>
      </c>
      <c r="P72" s="25" t="str">
        <f>VLOOKUP($B72,Sheet6!$C$17:$Q$190,15,FALSE)</f>
        <v>n/a</v>
      </c>
      <c r="Q72" s="10"/>
      <c r="S72" s="10"/>
    </row>
    <row r="73" spans="1:19" x14ac:dyDescent="0.3">
      <c r="A73" s="25">
        <v>72</v>
      </c>
      <c r="B73" s="25">
        <v>46796012</v>
      </c>
      <c r="C73" s="25" t="s">
        <v>2</v>
      </c>
      <c r="D73" s="26">
        <v>90000</v>
      </c>
      <c r="E73" s="27">
        <v>3.9502545578306847E-2</v>
      </c>
      <c r="F73" s="25">
        <v>20</v>
      </c>
      <c r="G73" s="28">
        <f>VLOOKUP(B73,Sheet2!$C$17:$H$190,6,FALSE)</f>
        <v>-543.02606512443833</v>
      </c>
      <c r="H73" s="25">
        <v>161</v>
      </c>
      <c r="I73" s="29">
        <f>VLOOKUP($B73,Sheet3!$C$17:$J$190,8,FALSE)</f>
        <v>37720.271498697657</v>
      </c>
      <c r="J73" s="25" t="s">
        <v>10</v>
      </c>
      <c r="K73" s="25" t="str">
        <f>VLOOKUP(B73,Sheet4!$C$17:$L$190,10,FALSE)</f>
        <v>FHLMC</v>
      </c>
      <c r="L73" s="25">
        <v>10</v>
      </c>
      <c r="M73" s="25" t="str">
        <f>VLOOKUP($B73,Sheet5!$C$17:$O$190,12,FALSE)</f>
        <v>90+</v>
      </c>
      <c r="N73" s="25" t="str">
        <f>VLOOKUP($B73,Sheet5!$C$17:$O$190,13,FALSE)</f>
        <v>Y</v>
      </c>
      <c r="O73" s="25" t="str">
        <f>IF(N73="Y","This Loan is in Step: Service","This Loan is in Step: n/a")</f>
        <v>This Loan is in Step: Service</v>
      </c>
      <c r="P73" s="25" t="str">
        <f>VLOOKUP($B73,Sheet6!$C$17:$Q$190,15,FALSE)</f>
        <v>Service</v>
      </c>
      <c r="Q73" s="10"/>
      <c r="S73" s="10"/>
    </row>
    <row r="74" spans="1:19" x14ac:dyDescent="0.3">
      <c r="A74" s="25">
        <v>73</v>
      </c>
      <c r="B74" s="25">
        <v>18909077</v>
      </c>
      <c r="C74" s="25" t="s">
        <v>2</v>
      </c>
      <c r="D74" s="26">
        <v>280000</v>
      </c>
      <c r="E74" s="27">
        <v>8.0913712050867476E-2</v>
      </c>
      <c r="F74" s="25">
        <v>10</v>
      </c>
      <c r="G74" s="28">
        <f>VLOOKUP(B74,Sheet2!$C$17:$H$190,6,FALSE)</f>
        <v>-3410.7063010811376</v>
      </c>
      <c r="H74" s="25">
        <v>64</v>
      </c>
      <c r="I74" s="29">
        <f>VLOOKUP($B74,Sheet3!$C$17:$J$190,8,FALSE)</f>
        <v>158640.11139969429</v>
      </c>
      <c r="J74" s="25" t="s">
        <v>12</v>
      </c>
      <c r="K74" s="25" t="str">
        <f>VLOOKUP(B74,Sheet4!$C$17:$L$190,10,FALSE)</f>
        <v>GNMA</v>
      </c>
      <c r="L74" s="25">
        <v>9</v>
      </c>
      <c r="M74" s="25" t="str">
        <f>VLOOKUP($B74,Sheet5!$C$17:$O$190,12,FALSE)</f>
        <v>90+</v>
      </c>
      <c r="N74" s="25" t="str">
        <f>VLOOKUP($B74,Sheet5!$C$17:$O$190,13,FALSE)</f>
        <v>Y</v>
      </c>
      <c r="O74" s="25" t="str">
        <f>IF(N74="Y","This Loan is in Step: Sale","This Loan is in Step: n/a")</f>
        <v>This Loan is in Step: Sale</v>
      </c>
      <c r="P74" s="25" t="str">
        <f>VLOOKUP($B74,Sheet6!$C$17:$Q$190,15,FALSE)</f>
        <v>Sale</v>
      </c>
      <c r="Q74" s="10"/>
      <c r="S74" s="10"/>
    </row>
    <row r="75" spans="1:19" x14ac:dyDescent="0.3">
      <c r="A75" s="25">
        <v>74</v>
      </c>
      <c r="B75" s="25">
        <v>87247227</v>
      </c>
      <c r="C75" s="25" t="s">
        <v>2</v>
      </c>
      <c r="D75" s="26">
        <v>350000</v>
      </c>
      <c r="E75" s="27">
        <v>3.5787945697589502E-2</v>
      </c>
      <c r="F75" s="25">
        <v>30</v>
      </c>
      <c r="G75" s="28">
        <f>VLOOKUP(B75,Sheet2!$C$17:$H$190,6,FALSE)</f>
        <v>-1587.0911310039264</v>
      </c>
      <c r="H75" s="25">
        <v>293</v>
      </c>
      <c r="I75" s="29">
        <f>VLOOKUP($B75,Sheet3!$C$17:$J$190,8,FALSE)</f>
        <v>96255.38703589837</v>
      </c>
      <c r="J75" s="25" t="s">
        <v>12</v>
      </c>
      <c r="K75" s="25" t="str">
        <f>VLOOKUP(B75,Sheet4!$C$17:$L$190,10,FALSE)</f>
        <v>GNMA</v>
      </c>
      <c r="L75" s="25">
        <v>4</v>
      </c>
      <c r="M75" s="25" t="str">
        <f>VLOOKUP($B75,Sheet5!$C$17:$O$190,12,FALSE)</f>
        <v>90+</v>
      </c>
      <c r="N75" s="25" t="str">
        <f>VLOOKUP($B75,Sheet5!$C$17:$O$190,13,FALSE)</f>
        <v>N</v>
      </c>
      <c r="O75" s="25" t="str">
        <f>IF(N75="Y","This Loan is in Step: Service","This Loan is in Step: n/a")</f>
        <v>This Loan is in Step: n/a</v>
      </c>
      <c r="P75" s="25" t="str">
        <f>VLOOKUP($B75,Sheet6!$C$17:$Q$190,15,FALSE)</f>
        <v>n/a</v>
      </c>
      <c r="Q75" s="10"/>
      <c r="S75" s="10"/>
    </row>
    <row r="76" spans="1:19" x14ac:dyDescent="0.3">
      <c r="A76" s="25">
        <v>75</v>
      </c>
      <c r="B76" s="25">
        <v>75779854</v>
      </c>
      <c r="C76" s="25" t="s">
        <v>2</v>
      </c>
      <c r="D76" s="26">
        <v>440000</v>
      </c>
      <c r="E76" s="27">
        <v>7.5454290205374391E-2</v>
      </c>
      <c r="F76" s="25">
        <v>30</v>
      </c>
      <c r="G76" s="28">
        <f>VLOOKUP(B76,Sheet2!$C$17:$H$190,6,FALSE)</f>
        <v>-3090.2427562976304</v>
      </c>
      <c r="H76" s="25">
        <v>151</v>
      </c>
      <c r="I76" s="29">
        <f>VLOOKUP($B76,Sheet3!$C$17:$J$190,8,FALSE)</f>
        <v>358862.00552587159</v>
      </c>
      <c r="J76" s="25" t="s">
        <v>11</v>
      </c>
      <c r="K76" s="25" t="str">
        <f>VLOOKUP(B76,Sheet4!$C$17:$L$190,10,FALSE)</f>
        <v>FNMA</v>
      </c>
      <c r="L76" s="25">
        <v>1</v>
      </c>
      <c r="M76" s="25" t="str">
        <f>VLOOKUP($B76,Sheet5!$C$17:$O$190,12,FALSE)</f>
        <v>30-60</v>
      </c>
      <c r="N76" s="25" t="str">
        <f>VLOOKUP($B76,Sheet5!$C$17:$O$190,13,FALSE)</f>
        <v>N</v>
      </c>
      <c r="O76" s="25" t="str">
        <f>IF(N76="Y","This Loan is in Step: Sale","This Loan is in Step: n/a")</f>
        <v>This Loan is in Step: n/a</v>
      </c>
      <c r="P76" s="25" t="str">
        <f>VLOOKUP($B76,Sheet6!$C$17:$Q$190,15,FALSE)</f>
        <v>n/a</v>
      </c>
      <c r="Q76" s="10"/>
      <c r="S76" s="10"/>
    </row>
    <row r="77" spans="1:19" x14ac:dyDescent="0.3">
      <c r="A77" s="25">
        <v>76</v>
      </c>
      <c r="B77" s="25">
        <v>28343036</v>
      </c>
      <c r="C77" s="25" t="s">
        <v>2</v>
      </c>
      <c r="D77" s="26">
        <v>390000</v>
      </c>
      <c r="E77" s="27">
        <v>3.3529466107279624E-2</v>
      </c>
      <c r="F77" s="25">
        <v>20</v>
      </c>
      <c r="G77" s="28">
        <f>VLOOKUP(B77,Sheet2!$C$17:$H$190,6,FALSE)</f>
        <v>-2232.4839059240298</v>
      </c>
      <c r="H77" s="25">
        <v>75</v>
      </c>
      <c r="I77" s="29">
        <f>VLOOKUP($B77,Sheet3!$C$17:$J$190,8,FALSE)</f>
        <v>294797.06318568881</v>
      </c>
      <c r="J77" s="25" t="s">
        <v>9</v>
      </c>
      <c r="K77" s="25" t="str">
        <f>VLOOKUP(B77,Sheet4!$C$17:$L$190,10,FALSE)</f>
        <v>GNMA</v>
      </c>
      <c r="L77" s="25">
        <v>5</v>
      </c>
      <c r="M77" s="25" t="str">
        <f>VLOOKUP($B77,Sheet5!$C$17:$O$190,12,FALSE)</f>
        <v>90+</v>
      </c>
      <c r="N77" s="25" t="str">
        <f>VLOOKUP($B77,Sheet5!$C$17:$O$190,13,FALSE)</f>
        <v>N</v>
      </c>
      <c r="O77" s="25" t="str">
        <f>IF(N77="Y","This Loan is in Step: Referral","This Loan is in Step: n/a")</f>
        <v>This Loan is in Step: n/a</v>
      </c>
      <c r="P77" s="25" t="str">
        <f>VLOOKUP($B77,Sheet6!$C$17:$Q$190,15,FALSE)</f>
        <v>n/a</v>
      </c>
      <c r="Q77" s="10"/>
      <c r="S77" s="10"/>
    </row>
    <row r="78" spans="1:19" x14ac:dyDescent="0.3">
      <c r="A78" s="25">
        <v>77</v>
      </c>
      <c r="B78" s="25">
        <v>39275659</v>
      </c>
      <c r="C78" s="25" t="s">
        <v>2</v>
      </c>
      <c r="D78" s="26">
        <v>280000</v>
      </c>
      <c r="E78" s="27">
        <v>3.8174534059814809E-2</v>
      </c>
      <c r="F78" s="25">
        <v>20</v>
      </c>
      <c r="G78" s="28">
        <f>VLOOKUP(B78,Sheet2!$C$17:$H$190,6,FALSE)</f>
        <v>-1669.9330862531151</v>
      </c>
      <c r="H78" s="25">
        <v>229</v>
      </c>
      <c r="I78" s="29">
        <f>VLOOKUP($B78,Sheet3!$C$17:$J$190,8,FALSE)</f>
        <v>18023.424966670162</v>
      </c>
      <c r="J78" s="25" t="s">
        <v>13</v>
      </c>
      <c r="K78" s="25" t="str">
        <f>VLOOKUP(B78,Sheet4!$C$17:$L$190,10,FALSE)</f>
        <v>GNMA</v>
      </c>
      <c r="L78" s="25">
        <v>4</v>
      </c>
      <c r="M78" s="25" t="str">
        <f>VLOOKUP($B78,Sheet5!$C$17:$O$190,12,FALSE)</f>
        <v>90+</v>
      </c>
      <c r="N78" s="25" t="str">
        <f>VLOOKUP($B78,Sheet5!$C$17:$O$190,13,FALSE)</f>
        <v>N</v>
      </c>
      <c r="O78" s="25" t="str">
        <f>IF(N78="Y","This Loan is in Step: Service","This Loan is in Step: n/a")</f>
        <v>This Loan is in Step: n/a</v>
      </c>
      <c r="P78" s="25" t="str">
        <f>VLOOKUP($B78,Sheet6!$C$17:$Q$190,15,FALSE)</f>
        <v>n/a</v>
      </c>
      <c r="Q78" s="10"/>
      <c r="S78" s="10"/>
    </row>
    <row r="79" spans="1:19" x14ac:dyDescent="0.3">
      <c r="A79" s="25">
        <v>78</v>
      </c>
      <c r="B79" s="25">
        <v>86619026</v>
      </c>
      <c r="C79" s="25" t="s">
        <v>2</v>
      </c>
      <c r="D79" s="26">
        <v>380000</v>
      </c>
      <c r="E79" s="27">
        <v>8.8639262942166508E-2</v>
      </c>
      <c r="F79" s="25">
        <v>30</v>
      </c>
      <c r="G79" s="28">
        <f>VLOOKUP(B79,Sheet2!$C$17:$H$190,6,FALSE)</f>
        <v>-3020.4343909700733</v>
      </c>
      <c r="H79" s="25">
        <v>57</v>
      </c>
      <c r="I79" s="29">
        <f>VLOOKUP($B79,Sheet3!$C$17:$J$190,8,FALSE)</f>
        <v>364934.14294332487</v>
      </c>
      <c r="J79" s="25" t="s">
        <v>9</v>
      </c>
      <c r="K79" s="25" t="str">
        <f>VLOOKUP(B79,Sheet4!$C$17:$L$190,10,FALSE)</f>
        <v>GNMA</v>
      </c>
      <c r="L79" s="25">
        <v>4</v>
      </c>
      <c r="M79" s="25" t="str">
        <f>VLOOKUP($B79,Sheet5!$C$17:$O$190,12,FALSE)</f>
        <v>90+</v>
      </c>
      <c r="N79" s="25" t="str">
        <f>VLOOKUP($B79,Sheet5!$C$17:$O$190,13,FALSE)</f>
        <v>N</v>
      </c>
      <c r="O79" s="25" t="str">
        <f>IF(N79="Y","This Loan is in Step: Sale","This Loan is in Step: n/a")</f>
        <v>This Loan is in Step: n/a</v>
      </c>
      <c r="P79" s="25" t="str">
        <f>VLOOKUP($B79,Sheet6!$C$17:$Q$190,15,FALSE)</f>
        <v>n/a</v>
      </c>
      <c r="Q79" s="10"/>
      <c r="S79" s="10"/>
    </row>
    <row r="80" spans="1:19" x14ac:dyDescent="0.3">
      <c r="A80" s="25">
        <v>79</v>
      </c>
      <c r="B80" s="25">
        <v>31354657</v>
      </c>
      <c r="C80" s="25" t="s">
        <v>2</v>
      </c>
      <c r="D80" s="26">
        <v>110000</v>
      </c>
      <c r="E80" s="27">
        <v>5.489254667303671E-2</v>
      </c>
      <c r="F80" s="25">
        <v>10</v>
      </c>
      <c r="G80" s="28">
        <f>VLOOKUP(B80,Sheet2!$C$17:$H$190,6,FALSE)</f>
        <v>-1193.2034618023984</v>
      </c>
      <c r="H80" s="25">
        <v>84</v>
      </c>
      <c r="I80" s="29">
        <f>VLOOKUP($B80,Sheet3!$C$17:$J$190,8,FALSE)</f>
        <v>39521.753831882197</v>
      </c>
      <c r="J80" s="25" t="s">
        <v>12</v>
      </c>
      <c r="K80" s="25" t="str">
        <f>VLOOKUP(B80,Sheet4!$C$17:$L$190,10,FALSE)</f>
        <v>GNMA</v>
      </c>
      <c r="L80" s="25">
        <v>8</v>
      </c>
      <c r="M80" s="25" t="str">
        <f>VLOOKUP($B80,Sheet5!$C$17:$O$190,12,FALSE)</f>
        <v>90+</v>
      </c>
      <c r="N80" s="25" t="str">
        <f>VLOOKUP($B80,Sheet5!$C$17:$O$190,13,FALSE)</f>
        <v>Y</v>
      </c>
      <c r="O80" s="25" t="str">
        <f>IF(N80="Y","This Loan is in Step: Referral","This Loan is in Step: n/a")</f>
        <v>This Loan is in Step: Referral</v>
      </c>
      <c r="P80" s="25" t="str">
        <f>VLOOKUP($B80,Sheet6!$C$17:$Q$190,15,FALSE)</f>
        <v>Referral</v>
      </c>
      <c r="Q80" s="10"/>
      <c r="S80" s="10"/>
    </row>
    <row r="81" spans="1:19" x14ac:dyDescent="0.3">
      <c r="A81" s="25">
        <v>80</v>
      </c>
      <c r="B81" s="25">
        <v>87048847</v>
      </c>
      <c r="C81" s="25" t="s">
        <v>2</v>
      </c>
      <c r="D81" s="26">
        <v>380000</v>
      </c>
      <c r="E81" s="27">
        <v>7.5436353811503654E-2</v>
      </c>
      <c r="F81" s="25">
        <v>20</v>
      </c>
      <c r="G81" s="28">
        <f>VLOOKUP(B81,Sheet2!$C$17:$H$190,6,FALSE)</f>
        <v>-3071.4010993646089</v>
      </c>
      <c r="H81" s="25">
        <v>124</v>
      </c>
      <c r="I81" s="29">
        <f>VLOOKUP($B81,Sheet3!$C$17:$J$190,8,FALSE)</f>
        <v>252407.09661965974</v>
      </c>
      <c r="J81" s="25" t="s">
        <v>12</v>
      </c>
      <c r="K81" s="25" t="str">
        <f>VLOOKUP(B81,Sheet4!$C$17:$L$190,10,FALSE)</f>
        <v>GNMA</v>
      </c>
      <c r="L81" s="25">
        <v>3</v>
      </c>
      <c r="M81" s="25" t="str">
        <f>VLOOKUP($B81,Sheet5!$C$17:$O$190,12,FALSE)</f>
        <v>90+</v>
      </c>
      <c r="N81" s="25" t="str">
        <f>VLOOKUP($B81,Sheet5!$C$17:$O$190,13,FALSE)</f>
        <v>N</v>
      </c>
      <c r="O81" s="25" t="str">
        <f>IF(N81="Y","This Loan is in Step: Service","This Loan is in Step: n/a")</f>
        <v>This Loan is in Step: n/a</v>
      </c>
      <c r="P81" s="25" t="str">
        <f>VLOOKUP($B81,Sheet6!$C$17:$Q$190,15,FALSE)</f>
        <v>n/a</v>
      </c>
      <c r="Q81" s="10"/>
      <c r="S81" s="10"/>
    </row>
    <row r="82" spans="1:19" x14ac:dyDescent="0.3">
      <c r="A82" s="25">
        <v>81</v>
      </c>
      <c r="B82" s="25">
        <v>35342493</v>
      </c>
      <c r="C82" s="25" t="s">
        <v>2</v>
      </c>
      <c r="D82" s="26">
        <v>370000</v>
      </c>
      <c r="E82" s="27">
        <v>4.4525794658394374E-2</v>
      </c>
      <c r="F82" s="25">
        <v>10</v>
      </c>
      <c r="G82" s="28">
        <f>VLOOKUP(B82,Sheet2!$C$17:$H$190,6,FALSE)</f>
        <v>-3826.169015377312</v>
      </c>
      <c r="H82" s="25">
        <v>45</v>
      </c>
      <c r="I82" s="29">
        <f>VLOOKUP($B82,Sheet3!$C$17:$J$190,8,FALSE)</f>
        <v>250091.53285965056</v>
      </c>
      <c r="J82" s="25" t="s">
        <v>11</v>
      </c>
      <c r="K82" s="25" t="str">
        <f>VLOOKUP(B82,Sheet4!$C$17:$L$190,10,FALSE)</f>
        <v>FNMA</v>
      </c>
      <c r="L82" s="25">
        <v>6</v>
      </c>
      <c r="M82" s="25" t="str">
        <f>VLOOKUP($B82,Sheet5!$C$17:$O$190,12,FALSE)</f>
        <v>90+</v>
      </c>
      <c r="N82" s="25" t="str">
        <f>VLOOKUP($B82,Sheet5!$C$17:$O$190,13,FALSE)</f>
        <v>Y</v>
      </c>
      <c r="O82" s="25" t="str">
        <f>IF(N82="Y","This Loan is in Step: Service","This Loan is in Step: n/a")</f>
        <v>This Loan is in Step: Service</v>
      </c>
      <c r="P82" s="25" t="str">
        <f>VLOOKUP($B82,Sheet6!$C$17:$Q$190,15,FALSE)</f>
        <v>Service</v>
      </c>
      <c r="Q82" s="10"/>
      <c r="S82" s="10"/>
    </row>
    <row r="83" spans="1:19" x14ac:dyDescent="0.3">
      <c r="A83" s="25">
        <v>82</v>
      </c>
      <c r="B83" s="25">
        <v>75556629</v>
      </c>
      <c r="C83" s="25" t="s">
        <v>2</v>
      </c>
      <c r="D83" s="26">
        <v>310000</v>
      </c>
      <c r="E83" s="27">
        <v>3.9359824408563691E-2</v>
      </c>
      <c r="F83" s="25">
        <v>30</v>
      </c>
      <c r="G83" s="28">
        <f>VLOOKUP(B83,Sheet2!$C$17:$H$190,6,FALSE)</f>
        <v>-1468.5691609622631</v>
      </c>
      <c r="H83" s="25">
        <v>246</v>
      </c>
      <c r="I83" s="29">
        <f>VLOOKUP($B83,Sheet3!$C$17:$J$190,8,FALSE)</f>
        <v>139490.4135723091</v>
      </c>
      <c r="J83" s="25" t="s">
        <v>13</v>
      </c>
      <c r="K83" s="25" t="str">
        <f>VLOOKUP(B83,Sheet4!$C$17:$L$190,10,FALSE)</f>
        <v>GNMA</v>
      </c>
      <c r="L83" s="25">
        <v>9</v>
      </c>
      <c r="M83" s="25" t="str">
        <f>VLOOKUP($B83,Sheet5!$C$17:$O$190,12,FALSE)</f>
        <v>90+</v>
      </c>
      <c r="N83" s="25" t="str">
        <f>VLOOKUP($B83,Sheet5!$C$17:$O$190,13,FALSE)</f>
        <v>Y</v>
      </c>
      <c r="O83" s="25" t="str">
        <f>IF(N83="Y","This Loan is in Step: Referral","This Loan is in Step: n/a")</f>
        <v>This Loan is in Step: Referral</v>
      </c>
      <c r="P83" s="25" t="str">
        <f>VLOOKUP($B83,Sheet6!$C$17:$Q$190,15,FALSE)</f>
        <v>Referral</v>
      </c>
      <c r="Q83" s="10"/>
      <c r="S83" s="10"/>
    </row>
    <row r="84" spans="1:19" x14ac:dyDescent="0.3">
      <c r="A84" s="25">
        <v>83</v>
      </c>
      <c r="B84" s="25">
        <v>87177391</v>
      </c>
      <c r="C84" s="25" t="s">
        <v>2</v>
      </c>
      <c r="D84" s="26">
        <v>360000</v>
      </c>
      <c r="E84" s="27">
        <v>6.9952886514902876E-2</v>
      </c>
      <c r="F84" s="25">
        <v>20</v>
      </c>
      <c r="G84" s="28">
        <f>VLOOKUP(B84,Sheet2!$C$17:$H$190,6,FALSE)</f>
        <v>-2790.058179585259</v>
      </c>
      <c r="H84" s="25">
        <v>216</v>
      </c>
      <c r="I84" s="29">
        <f>VLOOKUP($B84,Sheet3!$C$17:$J$190,8,FALSE)</f>
        <v>62319.199340444364</v>
      </c>
      <c r="J84" s="25" t="s">
        <v>10</v>
      </c>
      <c r="K84" s="25" t="str">
        <f>VLOOKUP(B84,Sheet4!$C$17:$L$190,10,FALSE)</f>
        <v>FHLMC</v>
      </c>
      <c r="L84" s="25">
        <v>1</v>
      </c>
      <c r="M84" s="25" t="str">
        <f>VLOOKUP($B84,Sheet5!$C$17:$O$190,12,FALSE)</f>
        <v>30-60</v>
      </c>
      <c r="N84" s="25" t="str">
        <f>VLOOKUP($B84,Sheet5!$C$17:$O$190,13,FALSE)</f>
        <v>N</v>
      </c>
      <c r="O84" s="25" t="str">
        <f>IF(N84="Y","This Loan is in Step: Service","This Loan is in Step: n/a")</f>
        <v>This Loan is in Step: n/a</v>
      </c>
      <c r="P84" s="25" t="str">
        <f>VLOOKUP($B84,Sheet6!$C$17:$Q$190,15,FALSE)</f>
        <v>n/a</v>
      </c>
      <c r="Q84" s="10"/>
      <c r="S84" s="10"/>
    </row>
    <row r="85" spans="1:19" x14ac:dyDescent="0.3">
      <c r="A85" s="25">
        <v>84</v>
      </c>
      <c r="B85" s="25">
        <v>70455980</v>
      </c>
      <c r="C85" s="25" t="s">
        <v>2</v>
      </c>
      <c r="D85" s="26">
        <v>360000</v>
      </c>
      <c r="E85" s="27">
        <v>2.6369708310845265E-2</v>
      </c>
      <c r="F85" s="25">
        <v>30</v>
      </c>
      <c r="G85" s="28">
        <f>VLOOKUP(B85,Sheet2!$C$17:$H$190,6,FALSE)</f>
        <v>-1448.2046136394538</v>
      </c>
      <c r="H85" s="25">
        <v>329</v>
      </c>
      <c r="I85" s="29">
        <f>VLOOKUP($B85,Sheet3!$C$17:$J$190,8,FALSE)</f>
        <v>43353.328607756092</v>
      </c>
      <c r="J85" s="25" t="s">
        <v>13</v>
      </c>
      <c r="K85" s="25" t="str">
        <f>VLOOKUP(B85,Sheet4!$C$17:$L$190,10,FALSE)</f>
        <v>GNMA</v>
      </c>
      <c r="L85" s="25">
        <v>4</v>
      </c>
      <c r="M85" s="25" t="str">
        <f>VLOOKUP($B85,Sheet5!$C$17:$O$190,12,FALSE)</f>
        <v>90+</v>
      </c>
      <c r="N85" s="25" t="str">
        <f>VLOOKUP($B85,Sheet5!$C$17:$O$190,13,FALSE)</f>
        <v>N</v>
      </c>
      <c r="O85" s="25" t="str">
        <f>IF(N85="Y","This Loan is in Step: Service","This Loan is in Step: n/a")</f>
        <v>This Loan is in Step: n/a</v>
      </c>
      <c r="P85" s="25" t="str">
        <f>VLOOKUP($B85,Sheet6!$C$17:$Q$190,15,FALSE)</f>
        <v>n/a</v>
      </c>
      <c r="Q85" s="10"/>
      <c r="S85" s="10"/>
    </row>
    <row r="86" spans="1:19" x14ac:dyDescent="0.3">
      <c r="A86" s="25">
        <v>85</v>
      </c>
      <c r="B86" s="25">
        <v>75392997</v>
      </c>
      <c r="C86" s="25" t="s">
        <v>2</v>
      </c>
      <c r="D86" s="26">
        <v>440000</v>
      </c>
      <c r="E86" s="27">
        <v>4.3556765273894182E-2</v>
      </c>
      <c r="F86" s="25">
        <v>30</v>
      </c>
      <c r="G86" s="28">
        <f>VLOOKUP(B86,Sheet2!$C$17:$H$190,6,FALSE)</f>
        <v>-2191.8431353548999</v>
      </c>
      <c r="H86" s="25">
        <v>164</v>
      </c>
      <c r="I86" s="29">
        <f>VLOOKUP($B86,Sheet3!$C$17:$J$190,8,FALSE)</f>
        <v>307016.215082879</v>
      </c>
      <c r="J86" s="25" t="s">
        <v>12</v>
      </c>
      <c r="K86" s="25" t="str">
        <f>VLOOKUP(B86,Sheet4!$C$17:$L$190,10,FALSE)</f>
        <v>GNMA</v>
      </c>
      <c r="L86" s="25">
        <v>5</v>
      </c>
      <c r="M86" s="25" t="str">
        <f>VLOOKUP($B86,Sheet5!$C$17:$O$190,12,FALSE)</f>
        <v>90+</v>
      </c>
      <c r="N86" s="25" t="str">
        <f>VLOOKUP($B86,Sheet5!$C$17:$O$190,13,FALSE)</f>
        <v>N</v>
      </c>
      <c r="O86" s="25" t="str">
        <f>IF(N86="Y","This Loan is in Step: Referral","This Loan is in Step: n/a")</f>
        <v>This Loan is in Step: n/a</v>
      </c>
      <c r="P86" s="25" t="str">
        <f>VLOOKUP($B86,Sheet6!$C$17:$Q$190,15,FALSE)</f>
        <v>n/a</v>
      </c>
      <c r="Q86" s="10"/>
      <c r="S86" s="10"/>
    </row>
    <row r="87" spans="1:19" x14ac:dyDescent="0.3">
      <c r="A87" s="25">
        <v>86</v>
      </c>
      <c r="B87" s="25">
        <v>19338298</v>
      </c>
      <c r="C87" s="25" t="s">
        <v>2</v>
      </c>
      <c r="D87" s="26">
        <v>210000</v>
      </c>
      <c r="E87" s="27">
        <v>2.092235791221576E-2</v>
      </c>
      <c r="F87" s="25">
        <v>20</v>
      </c>
      <c r="G87" s="28">
        <f>VLOOKUP(B87,Sheet2!$C$17:$H$190,6,FALSE)</f>
        <v>-1071.5526430845575</v>
      </c>
      <c r="H87" s="25">
        <v>232</v>
      </c>
      <c r="I87" s="29">
        <f>VLOOKUP($B87,Sheet3!$C$17:$J$190,8,FALSE)</f>
        <v>8505.5519435938586</v>
      </c>
      <c r="J87" s="25" t="s">
        <v>12</v>
      </c>
      <c r="K87" s="25" t="str">
        <f>VLOOKUP(B87,Sheet4!$C$17:$L$190,10,FALSE)</f>
        <v>GNMA</v>
      </c>
      <c r="L87" s="25">
        <v>0</v>
      </c>
      <c r="M87" s="25" t="str">
        <f>VLOOKUP($B87,Sheet5!$C$17:$O$190,12,FALSE)</f>
        <v>Current</v>
      </c>
      <c r="N87" s="25" t="str">
        <f>VLOOKUP($B87,Sheet5!$C$17:$O$190,13,FALSE)</f>
        <v>N</v>
      </c>
      <c r="O87" s="25" t="str">
        <f>IF(N87="Y","This Loan is in Step: Judgment","This Loan is in Step: n/a")</f>
        <v>This Loan is in Step: n/a</v>
      </c>
      <c r="P87" s="25" t="str">
        <f>VLOOKUP($B87,Sheet6!$C$17:$Q$190,15,FALSE)</f>
        <v>n/a</v>
      </c>
      <c r="Q87" s="10"/>
      <c r="S87" s="10"/>
    </row>
    <row r="88" spans="1:19" x14ac:dyDescent="0.3">
      <c r="A88" s="25">
        <v>87</v>
      </c>
      <c r="B88" s="25">
        <v>46089585</v>
      </c>
      <c r="C88" s="25" t="s">
        <v>2</v>
      </c>
      <c r="D88" s="26">
        <v>360000</v>
      </c>
      <c r="E88" s="27">
        <v>5.6408371052604878E-2</v>
      </c>
      <c r="F88" s="25">
        <v>15</v>
      </c>
      <c r="G88" s="28">
        <f>VLOOKUP(B88,Sheet2!$C$17:$H$190,6,FALSE)</f>
        <v>-2968.4742211011367</v>
      </c>
      <c r="H88" s="25">
        <v>78</v>
      </c>
      <c r="I88" s="29">
        <f>VLOOKUP($B88,Sheet3!$C$17:$J$190,8,FALSE)</f>
        <v>240090.79904152575</v>
      </c>
      <c r="J88" s="25" t="s">
        <v>9</v>
      </c>
      <c r="K88" s="25" t="str">
        <f>VLOOKUP(B88,Sheet4!$C$17:$L$190,10,FALSE)</f>
        <v>GNMA</v>
      </c>
      <c r="L88" s="25">
        <v>0</v>
      </c>
      <c r="M88" s="25" t="str">
        <f>VLOOKUP($B88,Sheet5!$C$17:$O$190,12,FALSE)</f>
        <v>Current</v>
      </c>
      <c r="N88" s="25" t="str">
        <f>VLOOKUP($B88,Sheet5!$C$17:$O$190,13,FALSE)</f>
        <v>N</v>
      </c>
      <c r="O88" s="25" t="str">
        <f>IF(N88="Y","This Loan is in Step: Judgment","This Loan is in Step: n/a")</f>
        <v>This Loan is in Step: n/a</v>
      </c>
      <c r="P88" s="25" t="str">
        <f>VLOOKUP($B88,Sheet6!$C$17:$Q$190,15,FALSE)</f>
        <v>n/a</v>
      </c>
      <c r="Q88" s="10"/>
      <c r="S88" s="10"/>
    </row>
    <row r="89" spans="1:19" x14ac:dyDescent="0.3">
      <c r="A89" s="25">
        <v>88</v>
      </c>
      <c r="B89" s="25">
        <v>82517417</v>
      </c>
      <c r="C89" s="25" t="s">
        <v>2</v>
      </c>
      <c r="D89" s="26">
        <v>190000</v>
      </c>
      <c r="E89" s="27">
        <v>8.4050464805110664E-2</v>
      </c>
      <c r="F89" s="25">
        <v>30</v>
      </c>
      <c r="G89" s="28">
        <f>VLOOKUP(B89,Sheet2!$C$17:$H$190,6,FALSE)</f>
        <v>-1448.1689745522599</v>
      </c>
      <c r="H89" s="25">
        <v>307</v>
      </c>
      <c r="I89" s="29">
        <f>VLOOKUP($B89,Sheet3!$C$17:$J$190,8,FALSE)</f>
        <v>63932.703600784225</v>
      </c>
      <c r="J89" s="25" t="s">
        <v>12</v>
      </c>
      <c r="K89" s="25" t="str">
        <f>VLOOKUP(B89,Sheet4!$C$17:$L$190,10,FALSE)</f>
        <v>GNMA</v>
      </c>
      <c r="L89" s="25">
        <v>0</v>
      </c>
      <c r="M89" s="25" t="str">
        <f>VLOOKUP($B89,Sheet5!$C$17:$O$190,12,FALSE)</f>
        <v>Current</v>
      </c>
      <c r="N89" s="25" t="str">
        <f>VLOOKUP($B89,Sheet5!$C$17:$O$190,13,FALSE)</f>
        <v>N</v>
      </c>
      <c r="O89" s="25" t="str">
        <f>IF(N89="Y","This Loan is in Step: Referral","This Loan is in Step: n/a")</f>
        <v>This Loan is in Step: n/a</v>
      </c>
      <c r="P89" s="25" t="str">
        <f>VLOOKUP($B89,Sheet6!$C$17:$Q$190,15,FALSE)</f>
        <v>n/a</v>
      </c>
      <c r="Q89" s="10"/>
      <c r="S89" s="10"/>
    </row>
    <row r="90" spans="1:19" x14ac:dyDescent="0.3">
      <c r="A90" s="25">
        <v>89</v>
      </c>
      <c r="B90" s="25">
        <v>42621092</v>
      </c>
      <c r="C90" s="25" t="s">
        <v>2</v>
      </c>
      <c r="D90" s="26">
        <v>270000</v>
      </c>
      <c r="E90" s="27">
        <v>4.3622348956864891E-2</v>
      </c>
      <c r="F90" s="25">
        <v>20</v>
      </c>
      <c r="G90" s="28">
        <f>VLOOKUP(B90,Sheet2!$C$17:$H$190,6,FALSE)</f>
        <v>-1688.1403027146584</v>
      </c>
      <c r="H90" s="25">
        <v>171</v>
      </c>
      <c r="I90" s="29">
        <f>VLOOKUP($B90,Sheet3!$C$17:$J$190,8,FALSE)</f>
        <v>102857.332590162</v>
      </c>
      <c r="J90" s="25" t="s">
        <v>10</v>
      </c>
      <c r="K90" s="25" t="str">
        <f>VLOOKUP(B90,Sheet4!$C$17:$L$190,10,FALSE)</f>
        <v>FHLMC</v>
      </c>
      <c r="L90" s="25">
        <v>0</v>
      </c>
      <c r="M90" s="25" t="str">
        <f>VLOOKUP($B90,Sheet5!$C$17:$O$190,12,FALSE)</f>
        <v>Current</v>
      </c>
      <c r="N90" s="25" t="str">
        <f>VLOOKUP($B90,Sheet5!$C$17:$O$190,13,FALSE)</f>
        <v>N</v>
      </c>
      <c r="O90" s="25" t="str">
        <f>IF(N90="Y","This Loan is in Step: Service","This Loan is in Step: n/a")</f>
        <v>This Loan is in Step: n/a</v>
      </c>
      <c r="P90" s="25" t="str">
        <f>VLOOKUP($B90,Sheet6!$C$17:$Q$190,15,FALSE)</f>
        <v>n/a</v>
      </c>
      <c r="Q90" s="10"/>
      <c r="S90" s="10"/>
    </row>
    <row r="91" spans="1:19" x14ac:dyDescent="0.3">
      <c r="A91" s="25">
        <v>90</v>
      </c>
      <c r="B91" s="25">
        <v>88723122</v>
      </c>
      <c r="C91" s="25" t="s">
        <v>2</v>
      </c>
      <c r="D91" s="26">
        <v>160000</v>
      </c>
      <c r="E91" s="27">
        <v>2.3133587418061395E-2</v>
      </c>
      <c r="F91" s="25">
        <v>30</v>
      </c>
      <c r="G91" s="28">
        <f>VLOOKUP(B91,Sheet2!$C$17:$H$190,6,FALSE)</f>
        <v>-616.77704074120834</v>
      </c>
      <c r="H91" s="25">
        <v>33</v>
      </c>
      <c r="I91" s="29">
        <f>VLOOKUP($B91,Sheet3!$C$17:$J$190,8,FALSE)</f>
        <v>149504.95132874412</v>
      </c>
      <c r="J91" s="25" t="s">
        <v>10</v>
      </c>
      <c r="K91" s="25" t="str">
        <f>VLOOKUP(B91,Sheet4!$C$17:$L$190,10,FALSE)</f>
        <v>FHLMC</v>
      </c>
      <c r="L91" s="25">
        <v>0</v>
      </c>
      <c r="M91" s="25" t="str">
        <f>VLOOKUP($B91,Sheet5!$C$17:$O$190,12,FALSE)</f>
        <v>Current</v>
      </c>
      <c r="N91" s="25" t="str">
        <f>VLOOKUP($B91,Sheet5!$C$17:$O$190,13,FALSE)</f>
        <v>N</v>
      </c>
      <c r="O91" s="25" t="str">
        <f>IF(N91="Y","This Loan is in Step: Referral","This Loan is in Step: n/a")</f>
        <v>This Loan is in Step: n/a</v>
      </c>
      <c r="P91" s="25" t="str">
        <f>VLOOKUP($B91,Sheet6!$C$17:$Q$190,15,FALSE)</f>
        <v>n/a</v>
      </c>
      <c r="Q91" s="10"/>
      <c r="S91" s="10"/>
    </row>
    <row r="92" spans="1:19" x14ac:dyDescent="0.3">
      <c r="A92" s="25">
        <v>91</v>
      </c>
      <c r="B92" s="25">
        <v>87714312</v>
      </c>
      <c r="C92" s="25" t="s">
        <v>2</v>
      </c>
      <c r="D92" s="26">
        <v>410000</v>
      </c>
      <c r="E92" s="27">
        <v>7.6002502678293865E-2</v>
      </c>
      <c r="F92" s="25">
        <v>15</v>
      </c>
      <c r="G92" s="28">
        <f>VLOOKUP(B92,Sheet2!$C$17:$H$190,6,FALSE)</f>
        <v>-3824.1453134030444</v>
      </c>
      <c r="H92" s="25">
        <v>49</v>
      </c>
      <c r="I92" s="29">
        <f>VLOOKUP($B92,Sheet3!$C$17:$J$190,8,FALSE)</f>
        <v>339738.68083478435</v>
      </c>
      <c r="J92" s="25" t="s">
        <v>10</v>
      </c>
      <c r="K92" s="25" t="str">
        <f>VLOOKUP(B92,Sheet4!$C$17:$L$190,10,FALSE)</f>
        <v>FHLMC</v>
      </c>
      <c r="L92" s="25">
        <v>0</v>
      </c>
      <c r="M92" s="25" t="str">
        <f>VLOOKUP($B92,Sheet5!$C$17:$O$190,12,FALSE)</f>
        <v>Current</v>
      </c>
      <c r="N92" s="25" t="str">
        <f>VLOOKUP($B92,Sheet5!$C$17:$O$190,13,FALSE)</f>
        <v>N</v>
      </c>
      <c r="O92" s="25" t="str">
        <f>IF(N92="Y","This Loan is in Step: Judgment","This Loan is in Step: n/a")</f>
        <v>This Loan is in Step: n/a</v>
      </c>
      <c r="P92" s="25" t="str">
        <f>VLOOKUP($B92,Sheet6!$C$17:$Q$190,15,FALSE)</f>
        <v>n/a</v>
      </c>
      <c r="Q92" s="10"/>
      <c r="S92" s="10"/>
    </row>
    <row r="93" spans="1:19" x14ac:dyDescent="0.3">
      <c r="A93" s="25">
        <v>92</v>
      </c>
      <c r="B93" s="25">
        <v>37402885</v>
      </c>
      <c r="C93" s="25" t="s">
        <v>2</v>
      </c>
      <c r="D93" s="26">
        <v>100000</v>
      </c>
      <c r="E93" s="27">
        <v>8.0625304723364447E-2</v>
      </c>
      <c r="F93" s="25">
        <v>30</v>
      </c>
      <c r="G93" s="28">
        <f>VLOOKUP(B93,Sheet2!$C$17:$H$190,6,FALSE)</f>
        <v>-738.12836595525948</v>
      </c>
      <c r="H93" s="25">
        <v>17</v>
      </c>
      <c r="I93" s="29">
        <f>VLOOKUP($B93,Sheet3!$C$17:$J$190,8,FALSE)</f>
        <v>98811.116686448775</v>
      </c>
      <c r="J93" s="25" t="s">
        <v>9</v>
      </c>
      <c r="K93" s="25" t="str">
        <f>VLOOKUP(B93,Sheet4!$C$17:$L$190,10,FALSE)</f>
        <v>GNMA</v>
      </c>
      <c r="L93" s="25">
        <v>0</v>
      </c>
      <c r="M93" s="25" t="str">
        <f>VLOOKUP($B93,Sheet5!$C$17:$O$190,12,FALSE)</f>
        <v>Current</v>
      </c>
      <c r="N93" s="25" t="str">
        <f>VLOOKUP($B93,Sheet5!$C$17:$O$190,13,FALSE)</f>
        <v>N</v>
      </c>
      <c r="O93" s="25" t="str">
        <f>IF(N93="Y","This Loan is in Step: Service","This Loan is in Step: n/a")</f>
        <v>This Loan is in Step: n/a</v>
      </c>
      <c r="P93" s="25" t="str">
        <f>VLOOKUP($B93,Sheet6!$C$17:$Q$190,15,FALSE)</f>
        <v>n/a</v>
      </c>
      <c r="Q93" s="10"/>
      <c r="S93" s="10"/>
    </row>
    <row r="94" spans="1:19" x14ac:dyDescent="0.3">
      <c r="A94" s="25">
        <v>93</v>
      </c>
      <c r="B94" s="25">
        <v>50004880</v>
      </c>
      <c r="C94" s="25" t="s">
        <v>2</v>
      </c>
      <c r="D94" s="26">
        <v>200000</v>
      </c>
      <c r="E94" s="27">
        <v>3.1586661242958225E-2</v>
      </c>
      <c r="F94" s="25">
        <v>15</v>
      </c>
      <c r="G94" s="28">
        <f>VLOOKUP(B94,Sheet2!$C$17:$H$190,6,FALSE)</f>
        <v>-1396.4764067875863</v>
      </c>
      <c r="H94" s="25">
        <v>46</v>
      </c>
      <c r="I94" s="29">
        <f>VLOOKUP($B94,Sheet3!$C$17:$J$190,8,FALSE)</f>
        <v>157514.10005123282</v>
      </c>
      <c r="J94" s="25" t="s">
        <v>13</v>
      </c>
      <c r="K94" s="25" t="str">
        <f>VLOOKUP(B94,Sheet4!$C$17:$L$190,10,FALSE)</f>
        <v>GNMA</v>
      </c>
      <c r="L94" s="25">
        <v>0</v>
      </c>
      <c r="M94" s="25" t="str">
        <f>VLOOKUP($B94,Sheet5!$C$17:$O$190,12,FALSE)</f>
        <v>Current</v>
      </c>
      <c r="N94" s="25" t="str">
        <f>VLOOKUP($B94,Sheet5!$C$17:$O$190,13,FALSE)</f>
        <v>N</v>
      </c>
      <c r="O94" s="25" t="str">
        <f>IF(N94="Y","This Loan is in Step: Judgment","This Loan is in Step: n/a")</f>
        <v>This Loan is in Step: n/a</v>
      </c>
      <c r="P94" s="25" t="str">
        <f>VLOOKUP($B94,Sheet6!$C$17:$Q$190,15,FALSE)</f>
        <v>n/a</v>
      </c>
      <c r="Q94" s="10"/>
      <c r="S94" s="10"/>
    </row>
    <row r="95" spans="1:19" x14ac:dyDescent="0.3">
      <c r="A95" s="25">
        <v>94</v>
      </c>
      <c r="B95" s="25">
        <v>54104168</v>
      </c>
      <c r="C95" s="25" t="s">
        <v>2</v>
      </c>
      <c r="D95" s="26">
        <v>320000</v>
      </c>
      <c r="E95" s="27">
        <v>6.9094609118500627E-2</v>
      </c>
      <c r="F95" s="25">
        <v>30</v>
      </c>
      <c r="G95" s="28">
        <f>VLOOKUP(B95,Sheet2!$C$17:$H$190,6,FALSE)</f>
        <v>-2109.5458171216096</v>
      </c>
      <c r="H95" s="25">
        <v>140</v>
      </c>
      <c r="I95" s="29">
        <f>VLOOKUP($B95,Sheet3!$C$17:$J$190,8,FALSE)</f>
        <v>262773.21351286402</v>
      </c>
      <c r="J95" s="25" t="s">
        <v>12</v>
      </c>
      <c r="K95" s="25" t="str">
        <f>VLOOKUP(B95,Sheet4!$C$17:$L$190,10,FALSE)</f>
        <v>GNMA</v>
      </c>
      <c r="L95" s="25">
        <v>4</v>
      </c>
      <c r="M95" s="25" t="str">
        <f>VLOOKUP($B95,Sheet5!$C$17:$O$190,12,FALSE)</f>
        <v>90+</v>
      </c>
      <c r="N95" s="25" t="str">
        <f>VLOOKUP($B95,Sheet5!$C$17:$O$190,13,FALSE)</f>
        <v>N</v>
      </c>
      <c r="O95" s="25" t="str">
        <f>IF(N95="Y","This Loan is in Step: Judgment","This Loan is in Step: n/a")</f>
        <v>This Loan is in Step: n/a</v>
      </c>
      <c r="P95" s="25" t="str">
        <f>VLOOKUP($B95,Sheet6!$C$17:$Q$190,15,FALSE)</f>
        <v>n/a</v>
      </c>
      <c r="Q95" s="10"/>
      <c r="S95" s="10"/>
    </row>
    <row r="96" spans="1:19" x14ac:dyDescent="0.3">
      <c r="A96" s="25">
        <v>95</v>
      </c>
      <c r="B96" s="25">
        <v>82658753</v>
      </c>
      <c r="C96" s="25" t="s">
        <v>2</v>
      </c>
      <c r="D96" s="26">
        <v>390000</v>
      </c>
      <c r="E96" s="27">
        <v>3.0758992929878257E-2</v>
      </c>
      <c r="F96" s="25">
        <v>30</v>
      </c>
      <c r="G96" s="28">
        <f>VLOOKUP(B96,Sheet2!$C$17:$H$190,6,FALSE)</f>
        <v>-1660.2631024193468</v>
      </c>
      <c r="H96" s="25">
        <v>13</v>
      </c>
      <c r="I96" s="29">
        <f>VLOOKUP($B96,Sheet3!$C$17:$J$190,8,FALSE)</f>
        <v>381278.92966405768</v>
      </c>
      <c r="J96" s="25" t="s">
        <v>11</v>
      </c>
      <c r="K96" s="25" t="str">
        <f>VLOOKUP(B96,Sheet4!$C$17:$L$190,10,FALSE)</f>
        <v>FNMA</v>
      </c>
      <c r="L96" s="25">
        <v>2</v>
      </c>
      <c r="M96" s="25" t="str">
        <f>VLOOKUP($B96,Sheet5!$C$17:$O$190,12,FALSE)</f>
        <v>30-60</v>
      </c>
      <c r="N96" s="25" t="str">
        <f>VLOOKUP($B96,Sheet5!$C$17:$O$190,13,FALSE)</f>
        <v>N</v>
      </c>
      <c r="O96" s="25" t="str">
        <f>IF(N96="Y","This Loan is in Step: Judgment","This Loan is in Step: n/a")</f>
        <v>This Loan is in Step: n/a</v>
      </c>
      <c r="P96" s="25" t="str">
        <f>VLOOKUP($B96,Sheet6!$C$17:$Q$190,15,FALSE)</f>
        <v>n/a</v>
      </c>
      <c r="Q96" s="10"/>
      <c r="S96" s="10"/>
    </row>
    <row r="97" spans="1:19" x14ac:dyDescent="0.3">
      <c r="A97" s="25">
        <v>96</v>
      </c>
      <c r="B97" s="25">
        <v>10503800</v>
      </c>
      <c r="C97" s="25" t="s">
        <v>2</v>
      </c>
      <c r="D97" s="26">
        <v>260000</v>
      </c>
      <c r="E97" s="27">
        <v>8.3913752944148587E-2</v>
      </c>
      <c r="F97" s="25">
        <v>20</v>
      </c>
      <c r="G97" s="28">
        <f>VLOOKUP(B97,Sheet2!$C$17:$H$190,6,FALSE)</f>
        <v>-2238.4973019559488</v>
      </c>
      <c r="H97" s="25">
        <v>90</v>
      </c>
      <c r="I97" s="29">
        <f>VLOOKUP($B97,Sheet3!$C$17:$J$190,8,FALSE)</f>
        <v>207563.08641201249</v>
      </c>
      <c r="J97" s="25" t="s">
        <v>13</v>
      </c>
      <c r="K97" s="25" t="str">
        <f>VLOOKUP(B97,Sheet4!$C$17:$L$190,10,FALSE)</f>
        <v>GNMA</v>
      </c>
      <c r="L97" s="25">
        <v>8</v>
      </c>
      <c r="M97" s="25" t="str">
        <f>VLOOKUP($B97,Sheet5!$C$17:$O$190,12,FALSE)</f>
        <v>90+</v>
      </c>
      <c r="N97" s="25" t="str">
        <f>VLOOKUP($B97,Sheet5!$C$17:$O$190,13,FALSE)</f>
        <v>Y</v>
      </c>
      <c r="O97" s="25" t="str">
        <f>IF(N97="Y","This Loan is in Step: Service","This Loan is in Step: n/a")</f>
        <v>This Loan is in Step: Service</v>
      </c>
      <c r="P97" s="25" t="str">
        <f>VLOOKUP($B97,Sheet6!$C$17:$Q$190,15,FALSE)</f>
        <v>Service</v>
      </c>
      <c r="Q97" s="10"/>
      <c r="S97" s="10"/>
    </row>
    <row r="98" spans="1:19" x14ac:dyDescent="0.3">
      <c r="A98" s="25">
        <v>97</v>
      </c>
      <c r="B98" s="25">
        <v>33072572</v>
      </c>
      <c r="C98" s="25" t="s">
        <v>2</v>
      </c>
      <c r="D98" s="26">
        <v>390000</v>
      </c>
      <c r="E98" s="27">
        <v>5.914795686569916E-2</v>
      </c>
      <c r="F98" s="25">
        <v>15</v>
      </c>
      <c r="G98" s="28">
        <f>VLOOKUP(B98,Sheet2!$C$17:$H$190,6,FALSE)</f>
        <v>-3273.1159683163173</v>
      </c>
      <c r="H98" s="25">
        <v>30</v>
      </c>
      <c r="I98" s="29">
        <f>VLOOKUP($B98,Sheet3!$C$17:$J$190,8,FALSE)</f>
        <v>346441.70509429998</v>
      </c>
      <c r="J98" s="25" t="s">
        <v>10</v>
      </c>
      <c r="K98" s="25" t="str">
        <f>VLOOKUP(B98,Sheet4!$C$17:$L$190,10,FALSE)</f>
        <v>FHLMC</v>
      </c>
      <c r="L98" s="25">
        <v>5</v>
      </c>
      <c r="M98" s="25" t="str">
        <f>VLOOKUP($B98,Sheet5!$C$17:$O$190,12,FALSE)</f>
        <v>90+</v>
      </c>
      <c r="N98" s="25" t="str">
        <f>VLOOKUP($B98,Sheet5!$C$17:$O$190,13,FALSE)</f>
        <v>N</v>
      </c>
      <c r="O98" s="25" t="str">
        <f>IF(N98="Y","This Loan is in Step: Referral","This Loan is in Step: n/a")</f>
        <v>This Loan is in Step: n/a</v>
      </c>
      <c r="P98" s="25" t="str">
        <f>VLOOKUP($B98,Sheet6!$C$17:$Q$190,15,FALSE)</f>
        <v>n/a</v>
      </c>
      <c r="Q98" s="10"/>
      <c r="S98" s="10"/>
    </row>
    <row r="99" spans="1:19" x14ac:dyDescent="0.3">
      <c r="A99" s="25">
        <v>98</v>
      </c>
      <c r="B99" s="25">
        <v>13860670</v>
      </c>
      <c r="C99" s="25" t="s">
        <v>2</v>
      </c>
      <c r="D99" s="26">
        <v>160000</v>
      </c>
      <c r="E99" s="27">
        <v>3.401337062358261E-2</v>
      </c>
      <c r="F99" s="25">
        <v>20</v>
      </c>
      <c r="G99" s="28">
        <f>VLOOKUP(B99,Sheet2!$C$17:$H$190,6,FALSE)</f>
        <v>-919.84426907277771</v>
      </c>
      <c r="H99" s="25">
        <v>66</v>
      </c>
      <c r="I99" s="29">
        <f>VLOOKUP($B99,Sheet3!$C$17:$J$190,8,FALSE)</f>
        <v>126207.41994572611</v>
      </c>
      <c r="J99" s="25" t="s">
        <v>13</v>
      </c>
      <c r="K99" s="25" t="str">
        <f>VLOOKUP(B99,Sheet4!$C$17:$L$190,10,FALSE)</f>
        <v>GNMA</v>
      </c>
      <c r="L99" s="25">
        <v>10</v>
      </c>
      <c r="M99" s="25" t="str">
        <f>VLOOKUP($B99,Sheet5!$C$17:$O$190,12,FALSE)</f>
        <v>90+</v>
      </c>
      <c r="N99" s="25" t="str">
        <f>VLOOKUP($B99,Sheet5!$C$17:$O$190,13,FALSE)</f>
        <v>Y</v>
      </c>
      <c r="O99" s="25" t="str">
        <f>IF(N99="Y","This Loan is in Step: Judgment","This Loan is in Step: n/a")</f>
        <v>This Loan is in Step: Judgment</v>
      </c>
      <c r="P99" s="25" t="str">
        <f>VLOOKUP($B99,Sheet6!$C$17:$Q$190,15,FALSE)</f>
        <v>Judgment</v>
      </c>
      <c r="Q99" s="10"/>
      <c r="S99" s="10"/>
    </row>
    <row r="100" spans="1:19" x14ac:dyDescent="0.3">
      <c r="A100" s="25">
        <v>99</v>
      </c>
      <c r="B100" s="25">
        <v>78628786</v>
      </c>
      <c r="C100" s="25" t="s">
        <v>2</v>
      </c>
      <c r="D100" s="26">
        <v>400000</v>
      </c>
      <c r="E100" s="27">
        <v>2.3051931389460947E-2</v>
      </c>
      <c r="F100" s="25">
        <v>30</v>
      </c>
      <c r="G100" s="28">
        <f>VLOOKUP(B100,Sheet2!$C$17:$H$190,6,FALSE)</f>
        <v>-1540.2689912021608</v>
      </c>
      <c r="H100" s="25">
        <v>17</v>
      </c>
      <c r="I100" s="29">
        <f>VLOOKUP($B100,Sheet3!$C$17:$J$190,8,FALSE)</f>
        <v>386674.58288546558</v>
      </c>
      <c r="J100" s="25" t="s">
        <v>9</v>
      </c>
      <c r="K100" s="25" t="str">
        <f>VLOOKUP(B100,Sheet4!$C$17:$L$190,10,FALSE)</f>
        <v>GNMA</v>
      </c>
      <c r="L100" s="25">
        <v>9</v>
      </c>
      <c r="M100" s="25" t="str">
        <f>VLOOKUP($B100,Sheet5!$C$17:$O$190,12,FALSE)</f>
        <v>90+</v>
      </c>
      <c r="N100" s="25" t="str">
        <f>VLOOKUP($B100,Sheet5!$C$17:$O$190,13,FALSE)</f>
        <v>Y</v>
      </c>
      <c r="O100" s="25" t="str">
        <f>IF(N100="Y","This Loan is in Step: Sale","This Loan is in Step: n/a")</f>
        <v>This Loan is in Step: Sale</v>
      </c>
      <c r="P100" s="25" t="str">
        <f>VLOOKUP($B100,Sheet6!$C$17:$Q$190,15,FALSE)</f>
        <v>Sale</v>
      </c>
      <c r="Q100" s="10"/>
      <c r="S100" s="10"/>
    </row>
    <row r="101" spans="1:19" x14ac:dyDescent="0.3">
      <c r="A101" s="25">
        <v>100</v>
      </c>
      <c r="B101" s="25">
        <v>19293538</v>
      </c>
      <c r="C101" s="25" t="s">
        <v>2</v>
      </c>
      <c r="D101" s="26">
        <v>110000</v>
      </c>
      <c r="E101" s="27">
        <v>7.9989228013860547E-2</v>
      </c>
      <c r="F101" s="25">
        <v>20</v>
      </c>
      <c r="G101" s="28">
        <f>VLOOKUP(B101,Sheet2!$C$17:$H$190,6,FALSE)</f>
        <v>-920.01033320253225</v>
      </c>
      <c r="H101" s="25">
        <v>200</v>
      </c>
      <c r="I101" s="29">
        <f>VLOOKUP($B101,Sheet3!$C$17:$J$190,8,FALSE)</f>
        <v>32209.23467080425</v>
      </c>
      <c r="J101" s="25" t="s">
        <v>12</v>
      </c>
      <c r="K101" s="25" t="str">
        <f>VLOOKUP(B101,Sheet4!$C$17:$L$190,10,FALSE)</f>
        <v>GNMA</v>
      </c>
      <c r="L101" s="25">
        <v>9</v>
      </c>
      <c r="M101" s="25" t="str">
        <f>VLOOKUP($B101,Sheet5!$C$17:$O$190,12,FALSE)</f>
        <v>90+</v>
      </c>
      <c r="N101" s="25" t="str">
        <f>VLOOKUP($B101,Sheet5!$C$17:$O$190,13,FALSE)</f>
        <v>Y</v>
      </c>
      <c r="O101" s="25" t="str">
        <f>IF(N101="Y","This Loan is in Step: Referral","This Loan is in Step: n/a")</f>
        <v>This Loan is in Step: Referral</v>
      </c>
      <c r="P101" s="25" t="str">
        <f>VLOOKUP($B101,Sheet6!$C$17:$Q$190,15,FALSE)</f>
        <v>Referral</v>
      </c>
      <c r="Q101" s="10"/>
      <c r="S101" s="10"/>
    </row>
    <row r="102" spans="1:19" x14ac:dyDescent="0.3">
      <c r="A102" s="25">
        <v>101</v>
      </c>
      <c r="B102" s="25">
        <v>74043188</v>
      </c>
      <c r="C102" s="25" t="s">
        <v>2</v>
      </c>
      <c r="D102" s="26">
        <v>270000</v>
      </c>
      <c r="E102" s="27">
        <v>4.318656729242594E-2</v>
      </c>
      <c r="F102" s="25">
        <v>20</v>
      </c>
      <c r="G102" s="28">
        <f>VLOOKUP(B102,Sheet2!$C$17:$H$190,6,FALSE)</f>
        <v>-1681.8370465093874</v>
      </c>
      <c r="H102" s="25">
        <v>145</v>
      </c>
      <c r="I102" s="29">
        <f>VLOOKUP($B102,Sheet3!$C$17:$J$190,8,FALSE)</f>
        <v>135121.60639166343</v>
      </c>
      <c r="J102" s="25" t="s">
        <v>12</v>
      </c>
      <c r="K102" s="25" t="str">
        <f>VLOOKUP(B102,Sheet4!$C$17:$L$190,10,FALSE)</f>
        <v>GNMA</v>
      </c>
      <c r="L102" s="25">
        <v>9</v>
      </c>
      <c r="M102" s="25" t="str">
        <f>VLOOKUP($B102,Sheet5!$C$17:$O$190,12,FALSE)</f>
        <v>90+</v>
      </c>
      <c r="N102" s="25" t="str">
        <f>VLOOKUP($B102,Sheet5!$C$17:$O$190,13,FALSE)</f>
        <v>Y</v>
      </c>
      <c r="O102" s="25" t="str">
        <f>IF(N102="Y","This Loan is in Step: Service","This Loan is in Step: n/a")</f>
        <v>This Loan is in Step: Service</v>
      </c>
      <c r="P102" s="25" t="str">
        <f>VLOOKUP($B102,Sheet6!$C$17:$Q$190,15,FALSE)</f>
        <v>Service</v>
      </c>
      <c r="Q102" s="10"/>
      <c r="S102" s="10"/>
    </row>
    <row r="103" spans="1:19" x14ac:dyDescent="0.3">
      <c r="A103" s="25">
        <v>102</v>
      </c>
      <c r="B103" s="25">
        <v>85981412</v>
      </c>
      <c r="C103" s="25" t="s">
        <v>2</v>
      </c>
      <c r="D103" s="26">
        <v>100000</v>
      </c>
      <c r="E103" s="27">
        <v>4.9320800002458996E-2</v>
      </c>
      <c r="F103" s="25">
        <v>20</v>
      </c>
      <c r="G103" s="28">
        <f>VLOOKUP(B103,Sheet2!$C$17:$H$190,6,FALSE)</f>
        <v>-656.20946828759884</v>
      </c>
      <c r="H103" s="25">
        <v>185</v>
      </c>
      <c r="I103" s="29">
        <f>VLOOKUP($B103,Sheet3!$C$17:$J$190,8,FALSE)</f>
        <v>32243.961964010221</v>
      </c>
      <c r="J103" s="25" t="s">
        <v>10</v>
      </c>
      <c r="K103" s="25" t="str">
        <f>VLOOKUP(B103,Sheet4!$C$17:$L$190,10,FALSE)</f>
        <v>FHLMC</v>
      </c>
      <c r="L103" s="25">
        <v>10</v>
      </c>
      <c r="M103" s="25" t="str">
        <f>VLOOKUP($B103,Sheet5!$C$17:$O$190,12,FALSE)</f>
        <v>90+</v>
      </c>
      <c r="N103" s="25" t="str">
        <f>VLOOKUP($B103,Sheet5!$C$17:$O$190,13,FALSE)</f>
        <v>Y</v>
      </c>
      <c r="O103" s="25" t="str">
        <f>IF(N103="Y","This Loan is in Step: Referral","This Loan is in Step: n/a")</f>
        <v>This Loan is in Step: Referral</v>
      </c>
      <c r="P103" s="25" t="str">
        <f>VLOOKUP($B103,Sheet6!$C$17:$Q$190,15,FALSE)</f>
        <v>Referral</v>
      </c>
      <c r="Q103" s="10"/>
      <c r="S103" s="10"/>
    </row>
    <row r="104" spans="1:19" x14ac:dyDescent="0.3">
      <c r="A104" s="25">
        <v>103</v>
      </c>
      <c r="B104" s="25">
        <v>28790211</v>
      </c>
      <c r="C104" s="25" t="s">
        <v>2</v>
      </c>
      <c r="D104" s="26">
        <v>280000</v>
      </c>
      <c r="E104" s="27">
        <v>8.5050217334716488E-2</v>
      </c>
      <c r="F104" s="25">
        <v>15</v>
      </c>
      <c r="G104" s="28">
        <f>VLOOKUP(B104,Sheet2!$C$17:$H$190,6,FALSE)</f>
        <v>-2758.0950332798766</v>
      </c>
      <c r="H104" s="25">
        <v>118</v>
      </c>
      <c r="I104" s="29">
        <f>VLOOKUP($B104,Sheet3!$C$17:$J$190,8,FALSE)</f>
        <v>137989.75301180655</v>
      </c>
      <c r="J104" s="25" t="s">
        <v>10</v>
      </c>
      <c r="K104" s="25" t="str">
        <f>VLOOKUP(B104,Sheet4!$C$17:$L$190,10,FALSE)</f>
        <v>FHLMC</v>
      </c>
      <c r="L104" s="25">
        <v>3</v>
      </c>
      <c r="M104" s="25" t="str">
        <f>VLOOKUP($B104,Sheet5!$C$17:$O$190,12,FALSE)</f>
        <v>90+</v>
      </c>
      <c r="N104" s="25" t="str">
        <f>VLOOKUP($B104,Sheet5!$C$17:$O$190,13,FALSE)</f>
        <v>N</v>
      </c>
      <c r="O104" s="25" t="str">
        <f>IF(N104="Y","This Loan is in Step: Sale","This Loan is in Step: n/a")</f>
        <v>This Loan is in Step: n/a</v>
      </c>
      <c r="P104" s="25" t="str">
        <f>VLOOKUP($B104,Sheet6!$C$17:$Q$190,15,FALSE)</f>
        <v>n/a</v>
      </c>
      <c r="Q104" s="10"/>
      <c r="S104" s="10"/>
    </row>
    <row r="105" spans="1:19" x14ac:dyDescent="0.3">
      <c r="A105" s="25">
        <v>104</v>
      </c>
      <c r="B105" s="25">
        <v>74439129</v>
      </c>
      <c r="C105" s="25" t="s">
        <v>2</v>
      </c>
      <c r="D105" s="26">
        <v>360000</v>
      </c>
      <c r="E105" s="27">
        <v>6.172569651273551E-2</v>
      </c>
      <c r="F105" s="25">
        <v>15</v>
      </c>
      <c r="G105" s="28">
        <f>VLOOKUP(B105,Sheet2!$C$17:$H$190,6,FALSE)</f>
        <v>-3071.5504974779028</v>
      </c>
      <c r="H105" s="25">
        <v>157</v>
      </c>
      <c r="I105" s="29">
        <f>VLOOKUP($B105,Sheet3!$C$17:$J$190,8,FALSE)</f>
        <v>66465.848352409899</v>
      </c>
      <c r="J105" s="25" t="s">
        <v>13</v>
      </c>
      <c r="K105" s="25" t="str">
        <f>VLOOKUP(B105,Sheet4!$C$17:$L$190,10,FALSE)</f>
        <v>GNMA</v>
      </c>
      <c r="L105" s="25">
        <v>5</v>
      </c>
      <c r="M105" s="25" t="str">
        <f>VLOOKUP($B105,Sheet5!$C$17:$O$190,12,FALSE)</f>
        <v>90+</v>
      </c>
      <c r="N105" s="25" t="str">
        <f>VLOOKUP($B105,Sheet5!$C$17:$O$190,13,FALSE)</f>
        <v>N</v>
      </c>
      <c r="O105" s="25" t="str">
        <f>IF(N105="Y","This Loan is in Step: Service","This Loan is in Step: n/a")</f>
        <v>This Loan is in Step: n/a</v>
      </c>
      <c r="P105" s="25" t="str">
        <f>VLOOKUP($B105,Sheet6!$C$17:$Q$190,15,FALSE)</f>
        <v>n/a</v>
      </c>
      <c r="Q105" s="10"/>
      <c r="S105" s="10"/>
    </row>
    <row r="106" spans="1:19" x14ac:dyDescent="0.3">
      <c r="A106" s="25">
        <v>105</v>
      </c>
      <c r="B106" s="25">
        <v>79146016</v>
      </c>
      <c r="C106" s="25" t="s">
        <v>2</v>
      </c>
      <c r="D106" s="26">
        <v>260000</v>
      </c>
      <c r="E106" s="27">
        <v>6.6777345462205137E-2</v>
      </c>
      <c r="F106" s="25">
        <v>15</v>
      </c>
      <c r="G106" s="28">
        <f>VLOOKUP(B106,Sheet2!$C$17:$H$190,6,FALSE)</f>
        <v>-2290.360204717053</v>
      </c>
      <c r="H106" s="25">
        <v>15</v>
      </c>
      <c r="I106" s="29">
        <f>VLOOKUP($B106,Sheet3!$C$17:$J$190,8,FALSE)</f>
        <v>246842.2793794398</v>
      </c>
      <c r="J106" s="25" t="s">
        <v>9</v>
      </c>
      <c r="K106" s="25" t="str">
        <f>VLOOKUP(B106,Sheet4!$C$17:$L$190,10,FALSE)</f>
        <v>GNMA</v>
      </c>
      <c r="L106" s="25">
        <v>0</v>
      </c>
      <c r="M106" s="25" t="str">
        <f>VLOOKUP($B106,Sheet5!$C$17:$O$190,12,FALSE)</f>
        <v>Current</v>
      </c>
      <c r="N106" s="25" t="str">
        <f>VLOOKUP($B106,Sheet5!$C$17:$O$190,13,FALSE)</f>
        <v>N</v>
      </c>
      <c r="O106" s="25" t="str">
        <f>IF(N106="Y","This Loan is in Step: Referral","This Loan is in Step: n/a")</f>
        <v>This Loan is in Step: n/a</v>
      </c>
      <c r="P106" s="25" t="str">
        <f>VLOOKUP($B106,Sheet6!$C$17:$Q$190,15,FALSE)</f>
        <v>n/a</v>
      </c>
      <c r="Q106" s="10"/>
      <c r="S106" s="10"/>
    </row>
    <row r="107" spans="1:19" x14ac:dyDescent="0.3">
      <c r="A107" s="25">
        <v>106</v>
      </c>
      <c r="B107" s="25">
        <v>72685786</v>
      </c>
      <c r="C107" s="25" t="s">
        <v>2</v>
      </c>
      <c r="D107" s="26">
        <v>280000</v>
      </c>
      <c r="E107" s="27">
        <v>4.0406672002481922E-2</v>
      </c>
      <c r="F107" s="25">
        <v>15</v>
      </c>
      <c r="G107" s="28">
        <f>VLOOKUP(B107,Sheet2!$C$17:$H$190,6,FALSE)</f>
        <v>-2076.8370206374502</v>
      </c>
      <c r="H107" s="25">
        <v>95</v>
      </c>
      <c r="I107" s="29">
        <f>VLOOKUP($B107,Sheet3!$C$17:$J$190,8,FALSE)</f>
        <v>153292.67570242152</v>
      </c>
      <c r="J107" s="25" t="s">
        <v>9</v>
      </c>
      <c r="K107" s="25" t="str">
        <f>VLOOKUP(B107,Sheet4!$C$17:$L$190,10,FALSE)</f>
        <v>GNMA</v>
      </c>
      <c r="L107" s="25">
        <v>3</v>
      </c>
      <c r="M107" s="25" t="str">
        <f>VLOOKUP($B107,Sheet5!$C$17:$O$190,12,FALSE)</f>
        <v>90+</v>
      </c>
      <c r="N107" s="25" t="str">
        <f>VLOOKUP($B107,Sheet5!$C$17:$O$190,13,FALSE)</f>
        <v>N</v>
      </c>
      <c r="O107" s="25" t="str">
        <f>IF(N107="Y","This Loan is in Step: Sale","This Loan is in Step: n/a")</f>
        <v>This Loan is in Step: n/a</v>
      </c>
      <c r="P107" s="25" t="str">
        <f>VLOOKUP($B107,Sheet6!$C$17:$Q$190,15,FALSE)</f>
        <v>n/a</v>
      </c>
      <c r="Q107" s="10"/>
      <c r="S107" s="10"/>
    </row>
    <row r="108" spans="1:19" x14ac:dyDescent="0.3">
      <c r="A108" s="25">
        <v>107</v>
      </c>
      <c r="B108" s="25">
        <v>66696062</v>
      </c>
      <c r="C108" s="25" t="s">
        <v>2</v>
      </c>
      <c r="D108" s="26">
        <v>130000</v>
      </c>
      <c r="E108" s="27">
        <v>6.9978729603616049E-2</v>
      </c>
      <c r="F108" s="25">
        <v>20</v>
      </c>
      <c r="G108" s="28">
        <f>VLOOKUP(B108,Sheet2!$C$17:$H$190,6,FALSE)</f>
        <v>-1007.7226440856219</v>
      </c>
      <c r="H108" s="25">
        <v>62</v>
      </c>
      <c r="I108" s="29">
        <f>VLOOKUP($B108,Sheet3!$C$17:$J$190,8,FALSE)</f>
        <v>111420.25929454762</v>
      </c>
      <c r="J108" s="25" t="s">
        <v>10</v>
      </c>
      <c r="K108" s="25" t="str">
        <f>VLOOKUP(B108,Sheet4!$C$17:$L$190,10,FALSE)</f>
        <v>FHLMC</v>
      </c>
      <c r="L108" s="25">
        <v>0</v>
      </c>
      <c r="M108" s="25" t="str">
        <f>VLOOKUP($B108,Sheet5!$C$17:$O$190,12,FALSE)</f>
        <v>Current</v>
      </c>
      <c r="N108" s="25" t="str">
        <f>VLOOKUP($B108,Sheet5!$C$17:$O$190,13,FALSE)</f>
        <v>N</v>
      </c>
      <c r="O108" s="25" t="str">
        <f>IF(N108="Y","This Loan is in Step: Judgment","This Loan is in Step: n/a")</f>
        <v>This Loan is in Step: n/a</v>
      </c>
      <c r="P108" s="25" t="str">
        <f>VLOOKUP($B108,Sheet6!$C$17:$Q$190,15,FALSE)</f>
        <v>n/a</v>
      </c>
      <c r="Q108" s="10"/>
      <c r="S108" s="10"/>
    </row>
    <row r="109" spans="1:19" x14ac:dyDescent="0.3">
      <c r="A109" s="25">
        <v>108</v>
      </c>
      <c r="B109" s="25">
        <v>84759219</v>
      </c>
      <c r="C109" s="25" t="s">
        <v>2</v>
      </c>
      <c r="D109" s="26">
        <v>300000</v>
      </c>
      <c r="E109" s="27">
        <v>7.3541099206711563E-2</v>
      </c>
      <c r="F109" s="25">
        <v>15</v>
      </c>
      <c r="G109" s="28">
        <f>VLOOKUP(B109,Sheet2!$C$17:$H$190,6,FALSE)</f>
        <v>-2756.2241468293892</v>
      </c>
      <c r="H109" s="25">
        <v>72</v>
      </c>
      <c r="I109" s="29">
        <f>VLOOKUP($B109,Sheet3!$C$17:$J$190,8,FALSE)</f>
        <v>217258.49255830029</v>
      </c>
      <c r="J109" s="25" t="s">
        <v>13</v>
      </c>
      <c r="K109" s="25" t="str">
        <f>VLOOKUP(B109,Sheet4!$C$17:$L$190,10,FALSE)</f>
        <v>GNMA</v>
      </c>
      <c r="L109" s="25">
        <v>5</v>
      </c>
      <c r="M109" s="25" t="str">
        <f>VLOOKUP($B109,Sheet5!$C$17:$O$190,12,FALSE)</f>
        <v>90+</v>
      </c>
      <c r="N109" s="25" t="str">
        <f>VLOOKUP($B109,Sheet5!$C$17:$O$190,13,FALSE)</f>
        <v>N</v>
      </c>
      <c r="O109" s="25" t="str">
        <f>IF(N109="Y","This Loan is in Step: Service","This Loan is in Step: n/a")</f>
        <v>This Loan is in Step: n/a</v>
      </c>
      <c r="P109" s="25" t="str">
        <f>VLOOKUP($B109,Sheet6!$C$17:$Q$190,15,FALSE)</f>
        <v>n/a</v>
      </c>
      <c r="Q109" s="10"/>
      <c r="S109" s="10"/>
    </row>
    <row r="110" spans="1:19" x14ac:dyDescent="0.3">
      <c r="A110" s="25">
        <v>109</v>
      </c>
      <c r="B110" s="25">
        <v>70637400</v>
      </c>
      <c r="C110" s="25" t="s">
        <v>2</v>
      </c>
      <c r="D110" s="26">
        <v>310000</v>
      </c>
      <c r="E110" s="27">
        <v>8.429193812760874E-2</v>
      </c>
      <c r="F110" s="25">
        <v>30</v>
      </c>
      <c r="G110" s="28">
        <f>VLOOKUP(B110,Sheet2!$C$17:$H$190,6,FALSE)</f>
        <v>-2368.0931864350027</v>
      </c>
      <c r="H110" s="25">
        <v>242</v>
      </c>
      <c r="I110" s="29">
        <f>VLOOKUP($B110,Sheet3!$C$17:$J$190,8,FALSE)</f>
        <v>189530.05682059354</v>
      </c>
      <c r="J110" s="25" t="s">
        <v>13</v>
      </c>
      <c r="K110" s="25" t="str">
        <f>VLOOKUP(B110,Sheet4!$C$17:$L$190,10,FALSE)</f>
        <v>GNMA</v>
      </c>
      <c r="L110" s="25">
        <v>8</v>
      </c>
      <c r="M110" s="25" t="str">
        <f>VLOOKUP($B110,Sheet5!$C$17:$O$190,12,FALSE)</f>
        <v>90+</v>
      </c>
      <c r="N110" s="25" t="str">
        <f>VLOOKUP($B110,Sheet5!$C$17:$O$190,13,FALSE)</f>
        <v>Y</v>
      </c>
      <c r="O110" s="25" t="str">
        <f>IF(N110="Y","This Loan is in Step: Judgment","This Loan is in Step: n/a")</f>
        <v>This Loan is in Step: Judgment</v>
      </c>
      <c r="P110" s="25" t="str">
        <f>VLOOKUP($B110,Sheet6!$C$17:$Q$190,15,FALSE)</f>
        <v>Judgment</v>
      </c>
      <c r="Q110" s="10"/>
      <c r="S110" s="10"/>
    </row>
    <row r="111" spans="1:19" x14ac:dyDescent="0.3">
      <c r="A111" s="25">
        <v>110</v>
      </c>
      <c r="B111" s="25">
        <v>38798861</v>
      </c>
      <c r="C111" s="25" t="s">
        <v>2</v>
      </c>
      <c r="D111" s="26">
        <v>430000</v>
      </c>
      <c r="E111" s="27">
        <v>2.1001186674988234E-2</v>
      </c>
      <c r="F111" s="25">
        <v>15</v>
      </c>
      <c r="G111" s="28">
        <f>VLOOKUP(B111,Sheet2!$C$17:$H$190,6,FALSE)</f>
        <v>-2786.9555157276159</v>
      </c>
      <c r="H111" s="25">
        <v>23</v>
      </c>
      <c r="I111" s="29">
        <f>VLOOKUP($B111,Sheet3!$C$17:$J$190,8,FALSE)</f>
        <v>382296.58142740378</v>
      </c>
      <c r="J111" s="25" t="s">
        <v>10</v>
      </c>
      <c r="K111" s="25" t="str">
        <f>VLOOKUP(B111,Sheet4!$C$17:$L$190,10,FALSE)</f>
        <v>FHLMC</v>
      </c>
      <c r="L111" s="25">
        <v>2</v>
      </c>
      <c r="M111" s="25" t="str">
        <f>VLOOKUP($B111,Sheet5!$C$17:$O$190,12,FALSE)</f>
        <v>30-60</v>
      </c>
      <c r="N111" s="25" t="str">
        <f>VLOOKUP($B111,Sheet5!$C$17:$O$190,13,FALSE)</f>
        <v>N</v>
      </c>
      <c r="O111" s="25" t="str">
        <f>IF(N111="Y","This Loan is in Step: Referral","This Loan is in Step: n/a")</f>
        <v>This Loan is in Step: n/a</v>
      </c>
      <c r="P111" s="25" t="str">
        <f>VLOOKUP($B111,Sheet6!$C$17:$Q$190,15,FALSE)</f>
        <v>n/a</v>
      </c>
      <c r="Q111" s="10"/>
      <c r="S111" s="10"/>
    </row>
    <row r="112" spans="1:19" x14ac:dyDescent="0.3">
      <c r="A112" s="25">
        <v>111</v>
      </c>
      <c r="B112" s="25">
        <v>76703611</v>
      </c>
      <c r="C112" s="25" t="s">
        <v>2</v>
      </c>
      <c r="D112" s="26">
        <v>140000</v>
      </c>
      <c r="E112" s="27">
        <v>7.4869625494172767E-2</v>
      </c>
      <c r="F112" s="25">
        <v>15</v>
      </c>
      <c r="G112" s="28">
        <f>VLOOKUP(B112,Sheet2!$C$17:$H$190,6,FALSE)</f>
        <v>-1296.7803011909505</v>
      </c>
      <c r="H112" s="25">
        <v>108</v>
      </c>
      <c r="I112" s="29">
        <f>VLOOKUP($B112,Sheet3!$C$17:$J$190,8,FALSE)</f>
        <v>75028.657941106503</v>
      </c>
      <c r="J112" s="25" t="s">
        <v>10</v>
      </c>
      <c r="K112" s="25" t="str">
        <f>VLOOKUP(B112,Sheet4!$C$17:$L$190,10,FALSE)</f>
        <v>FHLMC</v>
      </c>
      <c r="L112" s="25">
        <v>5</v>
      </c>
      <c r="M112" s="25" t="str">
        <f>VLOOKUP($B112,Sheet5!$C$17:$O$190,12,FALSE)</f>
        <v>90+</v>
      </c>
      <c r="N112" s="25" t="str">
        <f>VLOOKUP($B112,Sheet5!$C$17:$O$190,13,FALSE)</f>
        <v>N</v>
      </c>
      <c r="O112" s="25" t="str">
        <f>IF(N112="Y","This Loan is in Step: Sale","This Loan is in Step: n/a")</f>
        <v>This Loan is in Step: n/a</v>
      </c>
      <c r="P112" s="25" t="str">
        <f>VLOOKUP($B112,Sheet6!$C$17:$Q$190,15,FALSE)</f>
        <v>n/a</v>
      </c>
      <c r="Q112" s="10"/>
      <c r="S112" s="10"/>
    </row>
    <row r="113" spans="1:19" x14ac:dyDescent="0.3">
      <c r="A113" s="25">
        <v>112</v>
      </c>
      <c r="B113" s="25">
        <v>70445419</v>
      </c>
      <c r="C113" s="25" t="s">
        <v>2</v>
      </c>
      <c r="D113" s="26">
        <v>110000</v>
      </c>
      <c r="E113" s="27">
        <v>4.0022588821897263E-2</v>
      </c>
      <c r="F113" s="25">
        <v>30</v>
      </c>
      <c r="G113" s="28">
        <f>VLOOKUP(B113,Sheet2!$C$17:$H$190,6,FALSE)</f>
        <v>-525.30008525464871</v>
      </c>
      <c r="H113" s="25">
        <v>61</v>
      </c>
      <c r="I113" s="29">
        <f>VLOOKUP($B113,Sheet3!$C$17:$J$190,8,FALSE)</f>
        <v>99302.433763665118</v>
      </c>
      <c r="J113" s="25" t="s">
        <v>13</v>
      </c>
      <c r="K113" s="25" t="str">
        <f>VLOOKUP(B113,Sheet4!$C$17:$L$190,10,FALSE)</f>
        <v>GNMA</v>
      </c>
      <c r="L113" s="25">
        <v>6</v>
      </c>
      <c r="M113" s="25" t="str">
        <f>VLOOKUP($B113,Sheet5!$C$17:$O$190,12,FALSE)</f>
        <v>90+</v>
      </c>
      <c r="N113" s="25" t="str">
        <f>VLOOKUP($B113,Sheet5!$C$17:$O$190,13,FALSE)</f>
        <v>Y</v>
      </c>
      <c r="O113" s="25" t="str">
        <f>IF(N113="Y","This Loan is in Step: Judgment","This Loan is in Step: n/a")</f>
        <v>This Loan is in Step: Judgment</v>
      </c>
      <c r="P113" s="25" t="str">
        <f>VLOOKUP($B113,Sheet6!$C$17:$Q$190,15,FALSE)</f>
        <v>Judgment</v>
      </c>
      <c r="Q113" s="10"/>
      <c r="S113" s="10"/>
    </row>
    <row r="114" spans="1:19" x14ac:dyDescent="0.3">
      <c r="A114" s="25">
        <v>113</v>
      </c>
      <c r="B114" s="25">
        <v>44239553</v>
      </c>
      <c r="C114" s="25" t="s">
        <v>2</v>
      </c>
      <c r="D114" s="26">
        <v>240000</v>
      </c>
      <c r="E114" s="27">
        <v>5.5915919135758191E-2</v>
      </c>
      <c r="F114" s="25">
        <v>30</v>
      </c>
      <c r="G114" s="28">
        <f>VLOOKUP(B114,Sheet2!$C$17:$H$190,6,FALSE)</f>
        <v>-1376.5173548341957</v>
      </c>
      <c r="H114" s="25">
        <v>309</v>
      </c>
      <c r="I114" s="29">
        <f>VLOOKUP($B114,Sheet3!$C$17:$J$190,8,FALSE)</f>
        <v>62355.550259492658</v>
      </c>
      <c r="J114" s="25" t="s">
        <v>11</v>
      </c>
      <c r="K114" s="25" t="str">
        <f>VLOOKUP(B114,Sheet4!$C$17:$L$190,10,FALSE)</f>
        <v>FNMA</v>
      </c>
      <c r="L114" s="25">
        <v>9</v>
      </c>
      <c r="M114" s="25" t="str">
        <f>VLOOKUP($B114,Sheet5!$C$17:$O$190,12,FALSE)</f>
        <v>90+</v>
      </c>
      <c r="N114" s="25" t="str">
        <f>VLOOKUP($B114,Sheet5!$C$17:$O$190,13,FALSE)</f>
        <v>Y</v>
      </c>
      <c r="O114" s="25" t="str">
        <f>IF(N114="Y","This Loan is in Step: Sale","This Loan is in Step: n/a")</f>
        <v>This Loan is in Step: Sale</v>
      </c>
      <c r="P114" s="25" t="str">
        <f>VLOOKUP($B114,Sheet6!$C$17:$Q$190,15,FALSE)</f>
        <v>Sale</v>
      </c>
      <c r="Q114" s="10"/>
      <c r="S114" s="10"/>
    </row>
    <row r="115" spans="1:19" x14ac:dyDescent="0.3">
      <c r="A115" s="25">
        <v>114</v>
      </c>
      <c r="B115" s="25">
        <v>41349397</v>
      </c>
      <c r="C115" s="25" t="s">
        <v>2</v>
      </c>
      <c r="D115" s="26">
        <v>270000</v>
      </c>
      <c r="E115" s="27">
        <v>6.2954123371356599E-2</v>
      </c>
      <c r="F115" s="25">
        <v>20</v>
      </c>
      <c r="G115" s="28">
        <f>VLOOKUP(B115,Sheet2!$C$17:$H$190,6,FALSE)</f>
        <v>-1980.6592873396762</v>
      </c>
      <c r="H115" s="25">
        <v>211</v>
      </c>
      <c r="I115" s="29">
        <f>VLOOKUP($B115,Sheet3!$C$17:$J$190,8,FALSE)</f>
        <v>53154.177861113814</v>
      </c>
      <c r="J115" s="25" t="s">
        <v>12</v>
      </c>
      <c r="K115" s="25" t="str">
        <f>VLOOKUP(B115,Sheet4!$C$17:$L$190,10,FALSE)</f>
        <v>GNMA</v>
      </c>
      <c r="L115" s="25">
        <v>6</v>
      </c>
      <c r="M115" s="25" t="str">
        <f>VLOOKUP($B115,Sheet5!$C$17:$O$190,12,FALSE)</f>
        <v>90+</v>
      </c>
      <c r="N115" s="25" t="str">
        <f>VLOOKUP($B115,Sheet5!$C$17:$O$190,13,FALSE)</f>
        <v>Y</v>
      </c>
      <c r="O115" s="25" t="str">
        <f>IF(N115="Y","This Loan is in Step: Service","This Loan is in Step: n/a")</f>
        <v>This Loan is in Step: Service</v>
      </c>
      <c r="P115" s="25" t="str">
        <f>VLOOKUP($B115,Sheet6!$C$17:$Q$190,15,FALSE)</f>
        <v>Service</v>
      </c>
      <c r="Q115" s="10"/>
      <c r="S115" s="10"/>
    </row>
    <row r="116" spans="1:19" x14ac:dyDescent="0.3">
      <c r="A116" s="25">
        <v>115</v>
      </c>
      <c r="B116" s="25">
        <v>58908267</v>
      </c>
      <c r="C116" s="25" t="s">
        <v>2</v>
      </c>
      <c r="D116" s="26">
        <v>120000</v>
      </c>
      <c r="E116" s="27">
        <v>6.1454302986937014E-2</v>
      </c>
      <c r="F116" s="25">
        <v>15</v>
      </c>
      <c r="G116" s="28">
        <f>VLOOKUP(B116,Sheet2!$C$17:$H$190,6,FALSE)</f>
        <v>-1022.0808233240052</v>
      </c>
      <c r="H116" s="25">
        <v>24</v>
      </c>
      <c r="I116" s="29">
        <f>VLOOKUP($B116,Sheet3!$C$17:$J$190,8,FALSE)</f>
        <v>109620.83215053298</v>
      </c>
      <c r="J116" s="25" t="s">
        <v>12</v>
      </c>
      <c r="K116" s="25" t="str">
        <f>VLOOKUP(B116,Sheet4!$C$17:$L$190,10,FALSE)</f>
        <v>GNMA</v>
      </c>
      <c r="L116" s="25">
        <v>9</v>
      </c>
      <c r="M116" s="25" t="str">
        <f>VLOOKUP($B116,Sheet5!$C$17:$O$190,12,FALSE)</f>
        <v>90+</v>
      </c>
      <c r="N116" s="25" t="str">
        <f>VLOOKUP($B116,Sheet5!$C$17:$O$190,13,FALSE)</f>
        <v>Y</v>
      </c>
      <c r="O116" s="25" t="str">
        <f>IF(N116="Y","This Loan is in Step: Referral","This Loan is in Step: n/a")</f>
        <v>This Loan is in Step: Referral</v>
      </c>
      <c r="P116" s="25" t="str">
        <f>VLOOKUP($B116,Sheet6!$C$17:$Q$190,15,FALSE)</f>
        <v>Referral</v>
      </c>
      <c r="Q116" s="10"/>
      <c r="S116" s="10"/>
    </row>
    <row r="117" spans="1:19" x14ac:dyDescent="0.3">
      <c r="A117" s="25">
        <v>116</v>
      </c>
      <c r="B117" s="25">
        <v>61089089</v>
      </c>
      <c r="C117" s="25" t="s">
        <v>2</v>
      </c>
      <c r="D117" s="26">
        <v>340000</v>
      </c>
      <c r="E117" s="27">
        <v>4.668521806741701E-2</v>
      </c>
      <c r="F117" s="25">
        <v>30</v>
      </c>
      <c r="G117" s="28">
        <f>VLOOKUP(B117,Sheet2!$C$17:$H$190,6,FALSE)</f>
        <v>-1756.9414700267623</v>
      </c>
      <c r="H117" s="25">
        <v>67</v>
      </c>
      <c r="I117" s="29">
        <f>VLOOKUP($B117,Sheet3!$C$17:$J$190,8,FALSE)</f>
        <v>306838.78568016167</v>
      </c>
      <c r="J117" s="25" t="s">
        <v>13</v>
      </c>
      <c r="K117" s="25" t="str">
        <f>VLOOKUP(B117,Sheet4!$C$17:$L$190,10,FALSE)</f>
        <v>GNMA</v>
      </c>
      <c r="L117" s="25">
        <v>0</v>
      </c>
      <c r="M117" s="25" t="str">
        <f>VLOOKUP($B117,Sheet5!$C$17:$O$190,12,FALSE)</f>
        <v>Current</v>
      </c>
      <c r="N117" s="25" t="str">
        <f>VLOOKUP($B117,Sheet5!$C$17:$O$190,13,FALSE)</f>
        <v>N</v>
      </c>
      <c r="O117" s="25" t="str">
        <f>IF(N117="Y","This Loan is in Step: Judgment","This Loan is in Step: n/a")</f>
        <v>This Loan is in Step: n/a</v>
      </c>
      <c r="P117" s="25" t="str">
        <f>VLOOKUP($B117,Sheet6!$C$17:$Q$190,15,FALSE)</f>
        <v>n/a</v>
      </c>
      <c r="Q117" s="10"/>
      <c r="S117" s="10"/>
    </row>
    <row r="118" spans="1:19" x14ac:dyDescent="0.3">
      <c r="A118" s="25">
        <v>117</v>
      </c>
      <c r="B118" s="25">
        <v>26400832</v>
      </c>
      <c r="C118" s="25" t="s">
        <v>2</v>
      </c>
      <c r="D118" s="26">
        <v>380000</v>
      </c>
      <c r="E118" s="27">
        <v>4.9991672426802622E-2</v>
      </c>
      <c r="F118" s="25">
        <v>30</v>
      </c>
      <c r="G118" s="28">
        <f>VLOOKUP(B118,Sheet2!$C$17:$H$190,6,FALSE)</f>
        <v>-2039.7287724035755</v>
      </c>
      <c r="H118" s="25">
        <v>284</v>
      </c>
      <c r="I118" s="29">
        <f>VLOOKUP($B118,Sheet3!$C$17:$J$190,8,FALSE)</f>
        <v>132641.33289572553</v>
      </c>
      <c r="J118" s="25" t="s">
        <v>10</v>
      </c>
      <c r="K118" s="25" t="str">
        <f>VLOOKUP(B118,Sheet4!$C$17:$L$190,10,FALSE)</f>
        <v>FHLMC</v>
      </c>
      <c r="L118" s="25">
        <v>0</v>
      </c>
      <c r="M118" s="25" t="str">
        <f>VLOOKUP($B118,Sheet5!$C$17:$O$190,12,FALSE)</f>
        <v>Current</v>
      </c>
      <c r="N118" s="25" t="str">
        <f>VLOOKUP($B118,Sheet5!$C$17:$O$190,13,FALSE)</f>
        <v>N</v>
      </c>
      <c r="O118" s="25" t="str">
        <f>IF(N118="Y","This Loan is in Step: Service","This Loan is in Step: n/a")</f>
        <v>This Loan is in Step: n/a</v>
      </c>
      <c r="P118" s="25" t="str">
        <f>VLOOKUP($B118,Sheet6!$C$17:$Q$190,15,FALSE)</f>
        <v>n/a</v>
      </c>
      <c r="Q118" s="10"/>
      <c r="S118" s="10"/>
    </row>
    <row r="119" spans="1:19" x14ac:dyDescent="0.3">
      <c r="A119" s="25">
        <v>118</v>
      </c>
      <c r="B119" s="25">
        <v>56764510</v>
      </c>
      <c r="C119" s="25" t="s">
        <v>2</v>
      </c>
      <c r="D119" s="26">
        <v>340000</v>
      </c>
      <c r="E119" s="27">
        <v>8.5340966360992601E-2</v>
      </c>
      <c r="F119" s="25">
        <v>15</v>
      </c>
      <c r="G119" s="28">
        <f>VLOOKUP(B119,Sheet2!$C$17:$H$190,6,FALSE)</f>
        <v>-3354.913387689614</v>
      </c>
      <c r="H119" s="25">
        <v>17</v>
      </c>
      <c r="I119" s="29">
        <f>VLOOKUP($B119,Sheet3!$C$17:$J$190,8,FALSE)</f>
        <v>323133.14511068602</v>
      </c>
      <c r="J119" s="25" t="s">
        <v>13</v>
      </c>
      <c r="K119" s="25" t="str">
        <f>VLOOKUP(B119,Sheet4!$C$17:$L$190,10,FALSE)</f>
        <v>GNMA</v>
      </c>
      <c r="L119" s="25">
        <v>0</v>
      </c>
      <c r="M119" s="25" t="str">
        <f>VLOOKUP($B119,Sheet5!$C$17:$O$190,12,FALSE)</f>
        <v>Current</v>
      </c>
      <c r="N119" s="25" t="str">
        <f>VLOOKUP($B119,Sheet5!$C$17:$O$190,13,FALSE)</f>
        <v>N</v>
      </c>
      <c r="O119" s="25" t="str">
        <f>IF(N119="Y","This Loan is in Step: Judgment","This Loan is in Step: n/a")</f>
        <v>This Loan is in Step: n/a</v>
      </c>
      <c r="P119" s="25" t="str">
        <f>VLOOKUP($B119,Sheet6!$C$17:$Q$190,15,FALSE)</f>
        <v>n/a</v>
      </c>
      <c r="Q119" s="10"/>
      <c r="S119" s="10"/>
    </row>
    <row r="120" spans="1:19" x14ac:dyDescent="0.3">
      <c r="A120" s="25">
        <v>119</v>
      </c>
      <c r="B120" s="25">
        <v>36145045</v>
      </c>
      <c r="C120" s="25" t="s">
        <v>2</v>
      </c>
      <c r="D120" s="26">
        <v>410000</v>
      </c>
      <c r="E120" s="27">
        <v>7.5583847572718132E-2</v>
      </c>
      <c r="F120" s="25">
        <v>15</v>
      </c>
      <c r="G120" s="28">
        <f>VLOOKUP(B120,Sheet2!$C$17:$H$190,6,FALSE)</f>
        <v>-3814.3663631752834</v>
      </c>
      <c r="H120" s="25">
        <v>42</v>
      </c>
      <c r="I120" s="29">
        <f>VLOOKUP($B120,Sheet3!$C$17:$J$190,8,FALSE)</f>
        <v>350981.32259311236</v>
      </c>
      <c r="J120" s="25" t="s">
        <v>9</v>
      </c>
      <c r="K120" s="25" t="str">
        <f>VLOOKUP(B120,Sheet4!$C$17:$L$190,10,FALSE)</f>
        <v>GNMA</v>
      </c>
      <c r="L120" s="25">
        <v>0</v>
      </c>
      <c r="M120" s="25" t="str">
        <f>VLOOKUP($B120,Sheet5!$C$17:$O$190,12,FALSE)</f>
        <v>Current</v>
      </c>
      <c r="N120" s="25" t="str">
        <f>VLOOKUP($B120,Sheet5!$C$17:$O$190,13,FALSE)</f>
        <v>N</v>
      </c>
      <c r="O120" s="25" t="str">
        <f>IF(N120="Y","This Loan is in Step: Service","This Loan is in Step: n/a")</f>
        <v>This Loan is in Step: n/a</v>
      </c>
      <c r="P120" s="25" t="str">
        <f>VLOOKUP($B120,Sheet6!$C$17:$Q$190,15,FALSE)</f>
        <v>n/a</v>
      </c>
      <c r="Q120" s="10"/>
      <c r="S120" s="10"/>
    </row>
    <row r="121" spans="1:19" x14ac:dyDescent="0.3">
      <c r="A121" s="25">
        <v>120</v>
      </c>
      <c r="B121" s="25">
        <v>29047113</v>
      </c>
      <c r="C121" s="25" t="s">
        <v>2</v>
      </c>
      <c r="D121" s="26">
        <v>270000</v>
      </c>
      <c r="E121" s="27">
        <v>7.7926012795862518E-2</v>
      </c>
      <c r="F121" s="25">
        <v>30</v>
      </c>
      <c r="G121" s="28">
        <f>VLOOKUP(B121,Sheet2!$C$17:$H$190,6,FALSE)</f>
        <v>-1942.2676240636117</v>
      </c>
      <c r="H121" s="25">
        <v>330</v>
      </c>
      <c r="I121" s="29">
        <f>VLOOKUP($B121,Sheet3!$C$17:$J$190,8,FALSE)</f>
        <v>52788.504493355722</v>
      </c>
      <c r="J121" s="25" t="s">
        <v>11</v>
      </c>
      <c r="K121" s="25" t="str">
        <f>VLOOKUP(B121,Sheet4!$C$17:$L$190,10,FALSE)</f>
        <v>FNMA</v>
      </c>
      <c r="L121" s="25">
        <v>0</v>
      </c>
      <c r="M121" s="25" t="str">
        <f>VLOOKUP($B121,Sheet5!$C$17:$O$190,12,FALSE)</f>
        <v>Current</v>
      </c>
      <c r="N121" s="25" t="str">
        <f>VLOOKUP($B121,Sheet5!$C$17:$O$190,13,FALSE)</f>
        <v>N</v>
      </c>
      <c r="O121" s="25" t="str">
        <f>IF(N121="Y","This Loan is in Step: Sale","This Loan is in Step: n/a")</f>
        <v>This Loan is in Step: n/a</v>
      </c>
      <c r="P121" s="25" t="str">
        <f>VLOOKUP($B121,Sheet6!$C$17:$Q$190,15,FALSE)</f>
        <v>n/a</v>
      </c>
      <c r="Q121" s="10"/>
      <c r="S121" s="10"/>
    </row>
    <row r="122" spans="1:19" x14ac:dyDescent="0.3">
      <c r="A122" s="25">
        <v>121</v>
      </c>
      <c r="B122" s="25">
        <v>87579604</v>
      </c>
      <c r="C122" s="25" t="s">
        <v>2</v>
      </c>
      <c r="D122" s="26">
        <v>250000</v>
      </c>
      <c r="E122" s="27">
        <v>2.2360686555375126E-2</v>
      </c>
      <c r="F122" s="25">
        <v>15</v>
      </c>
      <c r="G122" s="28">
        <f>VLOOKUP(B122,Sheet2!$C$17:$H$190,6,FALSE)</f>
        <v>-1636.0907706143087</v>
      </c>
      <c r="H122" s="25">
        <v>90</v>
      </c>
      <c r="I122" s="29">
        <f>VLOOKUP($B122,Sheet3!$C$17:$J$190,8,FALSE)</f>
        <v>135447.38920004253</v>
      </c>
      <c r="J122" s="25" t="s">
        <v>11</v>
      </c>
      <c r="K122" s="25" t="str">
        <f>VLOOKUP(B122,Sheet4!$C$17:$L$190,10,FALSE)</f>
        <v>FNMA</v>
      </c>
      <c r="L122" s="25">
        <v>0</v>
      </c>
      <c r="M122" s="25" t="str">
        <f>VLOOKUP($B122,Sheet5!$C$17:$O$190,12,FALSE)</f>
        <v>Current</v>
      </c>
      <c r="N122" s="25" t="str">
        <f>VLOOKUP($B122,Sheet5!$C$17:$O$190,13,FALSE)</f>
        <v>N</v>
      </c>
      <c r="O122" s="25" t="str">
        <f>IF(N122="Y","This Loan is in Step: Referral","This Loan is in Step: n/a")</f>
        <v>This Loan is in Step: n/a</v>
      </c>
      <c r="P122" s="25" t="str">
        <f>VLOOKUP($B122,Sheet6!$C$17:$Q$190,15,FALSE)</f>
        <v>n/a</v>
      </c>
      <c r="Q122" s="10"/>
      <c r="S122" s="10"/>
    </row>
    <row r="123" spans="1:19" x14ac:dyDescent="0.3">
      <c r="A123" s="25">
        <v>122</v>
      </c>
      <c r="B123" s="25">
        <v>19460471</v>
      </c>
      <c r="C123" s="25" t="s">
        <v>2</v>
      </c>
      <c r="D123" s="26">
        <v>190000</v>
      </c>
      <c r="E123" s="27">
        <v>3.7814520931784459E-2</v>
      </c>
      <c r="F123" s="25">
        <v>30</v>
      </c>
      <c r="G123" s="28">
        <f>VLOOKUP(B123,Sheet2!$C$17:$H$190,6,FALSE)</f>
        <v>-883.31401145040593</v>
      </c>
      <c r="H123" s="25">
        <v>287</v>
      </c>
      <c r="I123" s="29">
        <f>VLOOKUP($B123,Sheet3!$C$17:$J$190,8,FALSE)</f>
        <v>57522.14840909552</v>
      </c>
      <c r="J123" s="25" t="s">
        <v>10</v>
      </c>
      <c r="K123" s="25" t="str">
        <f>VLOOKUP(B123,Sheet4!$C$17:$L$190,10,FALSE)</f>
        <v>FHLMC</v>
      </c>
      <c r="L123" s="25">
        <v>0</v>
      </c>
      <c r="M123" s="25" t="str">
        <f>VLOOKUP($B123,Sheet5!$C$17:$O$190,12,FALSE)</f>
        <v>Current</v>
      </c>
      <c r="N123" s="25" t="str">
        <f>VLOOKUP($B123,Sheet5!$C$17:$O$190,13,FALSE)</f>
        <v>N</v>
      </c>
      <c r="O123" s="25" t="str">
        <f>IF(N123="Y","This Loan is in Step: Service","This Loan is in Step: n/a")</f>
        <v>This Loan is in Step: n/a</v>
      </c>
      <c r="P123" s="25" t="str">
        <f>VLOOKUP($B123,Sheet6!$C$17:$Q$190,15,FALSE)</f>
        <v>n/a</v>
      </c>
      <c r="Q123" s="10"/>
      <c r="S123" s="10"/>
    </row>
    <row r="124" spans="1:19" x14ac:dyDescent="0.3">
      <c r="A124" s="25">
        <v>123</v>
      </c>
      <c r="B124" s="25">
        <v>49318803</v>
      </c>
      <c r="C124" s="25" t="s">
        <v>2</v>
      </c>
      <c r="D124" s="26">
        <v>300000</v>
      </c>
      <c r="E124" s="27">
        <v>6.2918411461241788E-2</v>
      </c>
      <c r="F124" s="25">
        <v>15</v>
      </c>
      <c r="G124" s="28">
        <f>VLOOKUP(B124,Sheet2!$C$17:$H$190,6,FALSE)</f>
        <v>-2579.1148082440081</v>
      </c>
      <c r="H124" s="25">
        <v>53</v>
      </c>
      <c r="I124" s="29">
        <f>VLOOKUP($B124,Sheet3!$C$17:$J$190,8,FALSE)</f>
        <v>238711.4957636068</v>
      </c>
      <c r="J124" s="25" t="s">
        <v>11</v>
      </c>
      <c r="K124" s="25" t="str">
        <f>VLOOKUP(B124,Sheet4!$C$17:$L$190,10,FALSE)</f>
        <v>FNMA</v>
      </c>
      <c r="L124" s="25">
        <v>0</v>
      </c>
      <c r="M124" s="25" t="str">
        <f>VLOOKUP($B124,Sheet5!$C$17:$O$190,12,FALSE)</f>
        <v>Current</v>
      </c>
      <c r="N124" s="25" t="str">
        <f>VLOOKUP($B124,Sheet5!$C$17:$O$190,13,FALSE)</f>
        <v>N</v>
      </c>
      <c r="O124" s="25" t="str">
        <f>IF(N124="Y","This Loan is in Step: Judgment","This Loan is in Step: n/a")</f>
        <v>This Loan is in Step: n/a</v>
      </c>
      <c r="P124" s="25" t="str">
        <f>VLOOKUP($B124,Sheet6!$C$17:$Q$190,15,FALSE)</f>
        <v>n/a</v>
      </c>
      <c r="Q124" s="10"/>
      <c r="S124" s="10"/>
    </row>
    <row r="125" spans="1:19" x14ac:dyDescent="0.3">
      <c r="A125" s="25">
        <v>124</v>
      </c>
      <c r="B125" s="25">
        <v>30774746</v>
      </c>
      <c r="C125" s="25" t="s">
        <v>2</v>
      </c>
      <c r="D125" s="26">
        <v>130000</v>
      </c>
      <c r="E125" s="27">
        <v>3.4605535037912347E-2</v>
      </c>
      <c r="F125" s="25">
        <v>15</v>
      </c>
      <c r="G125" s="28">
        <f>VLOOKUP(B125,Sheet2!$C$17:$H$190,6,FALSE)</f>
        <v>-926.83108054887657</v>
      </c>
      <c r="H125" s="25">
        <v>86</v>
      </c>
      <c r="I125" s="29">
        <f>VLOOKUP($B125,Sheet3!$C$17:$J$190,8,FALSE)</f>
        <v>76216.538546413198</v>
      </c>
      <c r="J125" s="25" t="s">
        <v>9</v>
      </c>
      <c r="K125" s="25" t="str">
        <f>VLOOKUP(B125,Sheet4!$C$17:$L$190,10,FALSE)</f>
        <v>GNMA</v>
      </c>
      <c r="L125" s="25">
        <v>0</v>
      </c>
      <c r="M125" s="25" t="str">
        <f>VLOOKUP($B125,Sheet5!$C$17:$O$190,12,FALSE)</f>
        <v>Current</v>
      </c>
      <c r="N125" s="25" t="str">
        <f>VLOOKUP($B125,Sheet5!$C$17:$O$190,13,FALSE)</f>
        <v>N</v>
      </c>
      <c r="O125" s="25" t="str">
        <f>IF(N125="Y","This Loan is in Step: Sale","This Loan is in Step: n/a")</f>
        <v>This Loan is in Step: n/a</v>
      </c>
      <c r="P125" s="25" t="str">
        <f>VLOOKUP($B125,Sheet6!$C$17:$Q$190,15,FALSE)</f>
        <v>n/a</v>
      </c>
      <c r="Q125" s="10"/>
      <c r="S125" s="10"/>
    </row>
    <row r="126" spans="1:19" x14ac:dyDescent="0.3">
      <c r="A126" s="25">
        <v>125</v>
      </c>
      <c r="B126" s="25">
        <v>53409938</v>
      </c>
      <c r="C126" s="25" t="s">
        <v>2</v>
      </c>
      <c r="D126" s="26">
        <v>110000</v>
      </c>
      <c r="E126" s="27">
        <v>3.4229733471017439E-2</v>
      </c>
      <c r="F126" s="25">
        <v>30</v>
      </c>
      <c r="G126" s="28">
        <f>VLOOKUP(B126,Sheet2!$C$17:$H$190,6,FALSE)</f>
        <v>-489.23164472366238</v>
      </c>
      <c r="H126" s="25">
        <v>295</v>
      </c>
      <c r="I126" s="29">
        <f>VLOOKUP($B126,Sheet3!$C$17:$J$190,8,FALSE)</f>
        <v>28988.461649952435</v>
      </c>
      <c r="J126" s="25" t="s">
        <v>12</v>
      </c>
      <c r="K126" s="25" t="str">
        <f>VLOOKUP(B126,Sheet4!$C$17:$L$190,10,FALSE)</f>
        <v>GNMA</v>
      </c>
      <c r="L126" s="25">
        <v>0</v>
      </c>
      <c r="M126" s="25" t="str">
        <f>VLOOKUP($B126,Sheet5!$C$17:$O$190,12,FALSE)</f>
        <v>Current</v>
      </c>
      <c r="N126" s="25" t="str">
        <f>VLOOKUP($B126,Sheet5!$C$17:$O$190,13,FALSE)</f>
        <v>N</v>
      </c>
      <c r="O126" s="25" t="str">
        <f>IF(N126="Y","This Loan is in Step: Judgment","This Loan is in Step: n/a")</f>
        <v>This Loan is in Step: n/a</v>
      </c>
      <c r="P126" s="25" t="str">
        <f>VLOOKUP($B126,Sheet6!$C$17:$Q$190,15,FALSE)</f>
        <v>n/a</v>
      </c>
      <c r="Q126" s="10"/>
      <c r="S126" s="10"/>
    </row>
    <row r="127" spans="1:19" x14ac:dyDescent="0.3">
      <c r="A127" s="25">
        <v>126</v>
      </c>
      <c r="B127" s="25">
        <v>77171778</v>
      </c>
      <c r="C127" s="25" t="s">
        <v>2</v>
      </c>
      <c r="D127" s="26">
        <v>210000</v>
      </c>
      <c r="E127" s="27">
        <v>4.7007634568982694E-2</v>
      </c>
      <c r="F127" s="25">
        <v>20</v>
      </c>
      <c r="G127" s="28">
        <f>VLOOKUP(B127,Sheet2!$C$17:$H$190,6,FALSE)</f>
        <v>-1351.4291694817948</v>
      </c>
      <c r="H127" s="25">
        <v>72</v>
      </c>
      <c r="I127" s="29">
        <f>VLOOKUP($B127,Sheet3!$C$17:$J$190,8,FALSE)</f>
        <v>166113.61442796746</v>
      </c>
      <c r="J127" s="25" t="s">
        <v>12</v>
      </c>
      <c r="K127" s="25" t="str">
        <f>VLOOKUP(B127,Sheet4!$C$17:$L$190,10,FALSE)</f>
        <v>GNMA</v>
      </c>
      <c r="L127" s="25">
        <v>0</v>
      </c>
      <c r="M127" s="25" t="str">
        <f>VLOOKUP($B127,Sheet5!$C$17:$O$190,12,FALSE)</f>
        <v>Current</v>
      </c>
      <c r="N127" s="25" t="str">
        <f>VLOOKUP($B127,Sheet5!$C$17:$O$190,13,FALSE)</f>
        <v>N</v>
      </c>
      <c r="O127" s="25" t="str">
        <f>IF(N127="Y","This Loan is in Step: Judgment","This Loan is in Step: n/a")</f>
        <v>This Loan is in Step: n/a</v>
      </c>
      <c r="P127" s="25" t="str">
        <f>VLOOKUP($B127,Sheet6!$C$17:$Q$190,15,FALSE)</f>
        <v>n/a</v>
      </c>
      <c r="Q127" s="10"/>
      <c r="S127" s="10"/>
    </row>
    <row r="128" spans="1:19" x14ac:dyDescent="0.3">
      <c r="A128" s="25">
        <v>127</v>
      </c>
      <c r="B128" s="25">
        <v>81971835</v>
      </c>
      <c r="C128" s="25" t="s">
        <v>2</v>
      </c>
      <c r="D128" s="26">
        <v>320000</v>
      </c>
      <c r="E128" s="27">
        <v>8.1868207234357213E-2</v>
      </c>
      <c r="F128" s="25">
        <v>15</v>
      </c>
      <c r="G128" s="28">
        <f>VLOOKUP(B128,Sheet2!$C$17:$H$190,6,FALSE)</f>
        <v>-3092.6989074109324</v>
      </c>
      <c r="H128" s="25">
        <v>4</v>
      </c>
      <c r="I128" s="29">
        <f>VLOOKUP($B128,Sheet3!$C$17:$J$190,8,FALSE)</f>
        <v>316324.41203627427</v>
      </c>
      <c r="J128" s="25" t="s">
        <v>9</v>
      </c>
      <c r="K128" s="25" t="str">
        <f>VLOOKUP(B128,Sheet4!$C$17:$L$190,10,FALSE)</f>
        <v>GNMA</v>
      </c>
      <c r="L128" s="25">
        <v>1</v>
      </c>
      <c r="M128" s="25" t="str">
        <f>VLOOKUP($B128,Sheet5!$C$17:$O$190,12,FALSE)</f>
        <v>30-60</v>
      </c>
      <c r="N128" s="25" t="str">
        <f>VLOOKUP($B128,Sheet5!$C$17:$O$190,13,FALSE)</f>
        <v>N</v>
      </c>
      <c r="O128" s="25" t="str">
        <f>IF(N128="Y","This Loan is in Step: Referral","This Loan is in Step: n/a")</f>
        <v>This Loan is in Step: n/a</v>
      </c>
      <c r="P128" s="25" t="str">
        <f>VLOOKUP($B128,Sheet6!$C$17:$Q$190,15,FALSE)</f>
        <v>n/a</v>
      </c>
      <c r="Q128" s="10"/>
      <c r="S128" s="10"/>
    </row>
    <row r="129" spans="1:19" x14ac:dyDescent="0.3">
      <c r="A129" s="25">
        <v>128</v>
      </c>
      <c r="B129" s="25">
        <v>48132930</v>
      </c>
      <c r="C129" s="25" t="s">
        <v>2</v>
      </c>
      <c r="D129" s="26">
        <v>140000</v>
      </c>
      <c r="E129" s="27">
        <v>2.3522228194114383E-2</v>
      </c>
      <c r="F129" s="25">
        <v>20</v>
      </c>
      <c r="G129" s="28">
        <f>VLOOKUP(B129,Sheet2!$C$17:$H$190,6,FALSE)</f>
        <v>-731.82649204647726</v>
      </c>
      <c r="H129" s="25">
        <v>100</v>
      </c>
      <c r="I129" s="29">
        <f>VLOOKUP($B129,Sheet3!$C$17:$J$190,8,FALSE)</f>
        <v>89523.612178655414</v>
      </c>
      <c r="J129" s="25" t="s">
        <v>13</v>
      </c>
      <c r="K129" s="25" t="str">
        <f>VLOOKUP(B129,Sheet4!$C$17:$L$190,10,FALSE)</f>
        <v>GNMA</v>
      </c>
      <c r="L129" s="25">
        <v>1</v>
      </c>
      <c r="M129" s="25" t="str">
        <f>VLOOKUP($B129,Sheet5!$C$17:$O$190,12,FALSE)</f>
        <v>30-60</v>
      </c>
      <c r="N129" s="25" t="str">
        <f>VLOOKUP($B129,Sheet5!$C$17:$O$190,13,FALSE)</f>
        <v>N</v>
      </c>
      <c r="O129" s="25" t="str">
        <f>IF(N129="Y","This Loan is in Step: Service","This Loan is in Step: n/a")</f>
        <v>This Loan is in Step: n/a</v>
      </c>
      <c r="P129" s="25" t="str">
        <f>VLOOKUP($B129,Sheet6!$C$17:$Q$190,15,FALSE)</f>
        <v>n/a</v>
      </c>
      <c r="Q129" s="10"/>
      <c r="S129" s="10"/>
    </row>
    <row r="130" spans="1:19" x14ac:dyDescent="0.3">
      <c r="A130" s="25">
        <v>129</v>
      </c>
      <c r="B130" s="25">
        <v>95454260</v>
      </c>
      <c r="C130" s="25" t="s">
        <v>2</v>
      </c>
      <c r="D130" s="26">
        <v>200000</v>
      </c>
      <c r="E130" s="27">
        <v>5.9759655653747787E-2</v>
      </c>
      <c r="F130" s="25">
        <v>30</v>
      </c>
      <c r="G130" s="28">
        <f>VLOOKUP(B130,Sheet2!$C$17:$H$190,6,FALSE)</f>
        <v>-1196.0123591701058</v>
      </c>
      <c r="H130" s="25">
        <v>22</v>
      </c>
      <c r="I130" s="29">
        <f>VLOOKUP($B130,Sheet3!$C$17:$J$190,8,FALSE)</f>
        <v>195361.68322919542</v>
      </c>
      <c r="J130" s="25" t="s">
        <v>13</v>
      </c>
      <c r="K130" s="25" t="str">
        <f>VLOOKUP(B130,Sheet4!$C$17:$L$190,10,FALSE)</f>
        <v>GNMA</v>
      </c>
      <c r="L130" s="25">
        <v>3</v>
      </c>
      <c r="M130" s="25" t="str">
        <f>VLOOKUP($B130,Sheet5!$C$17:$O$190,12,FALSE)</f>
        <v>90+</v>
      </c>
      <c r="N130" s="25" t="str">
        <f>VLOOKUP($B130,Sheet5!$C$17:$O$190,13,FALSE)</f>
        <v>N</v>
      </c>
      <c r="O130" s="25" t="str">
        <f>IF(N130="Y","This Loan is in Step: Sale","This Loan is in Step: n/a")</f>
        <v>This Loan is in Step: n/a</v>
      </c>
      <c r="P130" s="25" t="str">
        <f>VLOOKUP($B130,Sheet6!$C$17:$Q$190,15,FALSE)</f>
        <v>n/a</v>
      </c>
      <c r="Q130" s="10"/>
      <c r="S130" s="10"/>
    </row>
    <row r="131" spans="1:19" x14ac:dyDescent="0.3">
      <c r="A131" s="25">
        <v>130</v>
      </c>
      <c r="B131" s="25">
        <v>59273999</v>
      </c>
      <c r="C131" s="25" t="s">
        <v>2</v>
      </c>
      <c r="D131" s="26">
        <v>360000</v>
      </c>
      <c r="E131" s="27">
        <v>5.3519955426174042E-2</v>
      </c>
      <c r="F131" s="25">
        <v>15</v>
      </c>
      <c r="G131" s="28">
        <f>VLOOKUP(B131,Sheet2!$C$17:$H$190,6,FALSE)</f>
        <v>-2913.3027813134468</v>
      </c>
      <c r="H131" s="25">
        <v>179</v>
      </c>
      <c r="I131" s="29">
        <f>VLOOKUP($B131,Sheet3!$C$17:$J$190,8,FALSE)</f>
        <v>2900.3671545774155</v>
      </c>
      <c r="J131" s="25" t="s">
        <v>13</v>
      </c>
      <c r="K131" s="25" t="str">
        <f>VLOOKUP(B131,Sheet4!$C$17:$L$190,10,FALSE)</f>
        <v>GNMA</v>
      </c>
      <c r="L131" s="25">
        <v>3</v>
      </c>
      <c r="M131" s="25" t="str">
        <f>VLOOKUP($B131,Sheet5!$C$17:$O$190,12,FALSE)</f>
        <v>90+</v>
      </c>
      <c r="N131" s="25" t="str">
        <f>VLOOKUP($B131,Sheet5!$C$17:$O$190,13,FALSE)</f>
        <v>N</v>
      </c>
      <c r="O131" s="25" t="str">
        <f>IF(N131="Y","This Loan is in Step: Sale","This Loan is in Step: n/a")</f>
        <v>This Loan is in Step: n/a</v>
      </c>
      <c r="P131" s="25" t="str">
        <f>VLOOKUP($B131,Sheet6!$C$17:$Q$190,15,FALSE)</f>
        <v>n/a</v>
      </c>
      <c r="Q131" s="10"/>
      <c r="S131" s="10"/>
    </row>
    <row r="132" spans="1:19" x14ac:dyDescent="0.3">
      <c r="A132" s="25">
        <v>131</v>
      </c>
      <c r="B132" s="25">
        <v>74183133</v>
      </c>
      <c r="C132" s="25" t="s">
        <v>2</v>
      </c>
      <c r="D132" s="26">
        <v>260000</v>
      </c>
      <c r="E132" s="27">
        <v>5.5635707435100275E-2</v>
      </c>
      <c r="F132" s="25">
        <v>30</v>
      </c>
      <c r="G132" s="28">
        <f>VLOOKUP(B132,Sheet2!$C$17:$H$190,6,FALSE)</f>
        <v>-1486.6382135935514</v>
      </c>
      <c r="H132" s="25">
        <v>75</v>
      </c>
      <c r="I132" s="29">
        <f>VLOOKUP($B132,Sheet3!$C$17:$J$190,8,FALSE)</f>
        <v>234847.75208026863</v>
      </c>
      <c r="J132" s="25" t="s">
        <v>11</v>
      </c>
      <c r="K132" s="25" t="str">
        <f>VLOOKUP(B132,Sheet4!$C$17:$L$190,10,FALSE)</f>
        <v>FNMA</v>
      </c>
      <c r="L132" s="25">
        <v>6</v>
      </c>
      <c r="M132" s="25" t="str">
        <f>VLOOKUP($B132,Sheet5!$C$17:$O$190,12,FALSE)</f>
        <v>90+</v>
      </c>
      <c r="N132" s="25" t="str">
        <f>VLOOKUP($B132,Sheet5!$C$17:$O$190,13,FALSE)</f>
        <v>Y</v>
      </c>
      <c r="O132" s="25" t="str">
        <f>IF(N132="Y","This Loan is in Step: Service","This Loan is in Step: n/a")</f>
        <v>This Loan is in Step: Service</v>
      </c>
      <c r="P132" s="25" t="str">
        <f>VLOOKUP($B132,Sheet6!$C$17:$Q$190,15,FALSE)</f>
        <v>Service</v>
      </c>
      <c r="Q132" s="10"/>
      <c r="S132" s="10"/>
    </row>
    <row r="133" spans="1:19" x14ac:dyDescent="0.3">
      <c r="A133" s="25">
        <v>132</v>
      </c>
      <c r="B133" s="25">
        <v>46404591</v>
      </c>
      <c r="C133" s="25" t="s">
        <v>1</v>
      </c>
      <c r="D133" s="26">
        <v>440000</v>
      </c>
      <c r="E133" s="27">
        <v>3.4147634194001963E-2</v>
      </c>
      <c r="F133" s="25">
        <v>20</v>
      </c>
      <c r="G133" s="28">
        <f>VLOOKUP(B133,Sheet2!$C$17:$H$190,6,FALSE)</f>
        <v>-2532.5930831414826</v>
      </c>
      <c r="H133" s="25">
        <v>212</v>
      </c>
      <c r="I133" s="29">
        <f>VLOOKUP($B133,Sheet3!$C$17:$J$190,8,FALSE)</f>
        <v>68068.089213422427</v>
      </c>
      <c r="J133" s="25" t="s">
        <v>10</v>
      </c>
      <c r="K133" s="25" t="str">
        <f>VLOOKUP(B133,Sheet4!$C$17:$L$190,10,FALSE)</f>
        <v>FHLMC</v>
      </c>
      <c r="L133" s="25">
        <v>7</v>
      </c>
      <c r="M133" s="25" t="str">
        <f>VLOOKUP($B133,Sheet5!$C$17:$O$190,12,FALSE)</f>
        <v>90+</v>
      </c>
      <c r="N133" s="25" t="str">
        <f>VLOOKUP($B133,Sheet5!$C$17:$O$190,13,FALSE)</f>
        <v>Y</v>
      </c>
      <c r="O133" s="25" t="str">
        <f>IF(N133="Y","This Loan is in Step: Service","This Loan is in Step: n/a")</f>
        <v>This Loan is in Step: Service</v>
      </c>
      <c r="P133" s="25" t="str">
        <f>VLOOKUP($B133,Sheet6!$C$17:$Q$190,15,FALSE)</f>
        <v>Service</v>
      </c>
      <c r="Q133" s="10"/>
      <c r="S133" s="10"/>
    </row>
    <row r="134" spans="1:19" x14ac:dyDescent="0.3">
      <c r="A134" s="25">
        <v>133</v>
      </c>
      <c r="B134" s="25">
        <v>58799609</v>
      </c>
      <c r="C134" s="25" t="s">
        <v>1</v>
      </c>
      <c r="D134" s="26">
        <v>360000</v>
      </c>
      <c r="E134" s="27">
        <v>5.1870351612887451E-2</v>
      </c>
      <c r="F134" s="25">
        <v>30</v>
      </c>
      <c r="G134" s="28">
        <f>VLOOKUP(B134,Sheet2!$C$17:$H$190,6,FALSE)</f>
        <v>-1973.9169150348255</v>
      </c>
      <c r="H134" s="25">
        <v>249</v>
      </c>
      <c r="I134" s="29">
        <f>VLOOKUP($B134,Sheet3!$C$17:$J$190,8,FALSE)</f>
        <v>173736.85878153448</v>
      </c>
      <c r="J134" s="25" t="s">
        <v>13</v>
      </c>
      <c r="K134" s="25" t="str">
        <f>VLOOKUP(B134,Sheet4!$C$17:$L$190,10,FALSE)</f>
        <v>GNMA</v>
      </c>
      <c r="L134" s="25">
        <v>4</v>
      </c>
      <c r="M134" s="25" t="str">
        <f>VLOOKUP($B134,Sheet5!$C$17:$O$190,12,FALSE)</f>
        <v>90+</v>
      </c>
      <c r="N134" s="25" t="str">
        <f>VLOOKUP($B134,Sheet5!$C$17:$O$190,13,FALSE)</f>
        <v>N</v>
      </c>
      <c r="O134" s="25" t="str">
        <f>IF(N134="Y","This Loan is in Step: Referral","This Loan is in Step: n/a")</f>
        <v>This Loan is in Step: n/a</v>
      </c>
      <c r="P134" s="25" t="str">
        <f>VLOOKUP($B134,Sheet6!$C$17:$Q$190,15,FALSE)</f>
        <v>n/a</v>
      </c>
      <c r="Q134" s="10"/>
      <c r="S134" s="10"/>
    </row>
    <row r="135" spans="1:19" x14ac:dyDescent="0.3">
      <c r="A135" s="25">
        <v>134</v>
      </c>
      <c r="B135" s="25">
        <v>45991355</v>
      </c>
      <c r="C135" s="25" t="s">
        <v>1</v>
      </c>
      <c r="D135" s="26">
        <v>400000</v>
      </c>
      <c r="E135" s="27">
        <v>5.9758883555077774E-2</v>
      </c>
      <c r="F135" s="25">
        <v>20</v>
      </c>
      <c r="G135" s="28">
        <f>VLOOKUP(B135,Sheet2!$C$17:$H$190,6,FALSE)</f>
        <v>-2860.1629593829925</v>
      </c>
      <c r="H135" s="25">
        <v>28</v>
      </c>
      <c r="I135" s="29">
        <f>VLOOKUP($B135,Sheet3!$C$17:$J$190,8,FALSE)</f>
        <v>373983.30680385057</v>
      </c>
      <c r="J135" s="25" t="s">
        <v>9</v>
      </c>
      <c r="K135" s="25" t="str">
        <f>VLOOKUP(B135,Sheet4!$C$17:$L$190,10,FALSE)</f>
        <v>GNMA</v>
      </c>
      <c r="L135" s="25">
        <v>6</v>
      </c>
      <c r="M135" s="25" t="str">
        <f>VLOOKUP($B135,Sheet5!$C$17:$O$190,12,FALSE)</f>
        <v>90+</v>
      </c>
      <c r="N135" s="25" t="str">
        <f>VLOOKUP($B135,Sheet5!$C$17:$O$190,13,FALSE)</f>
        <v>Y</v>
      </c>
      <c r="O135" s="25" t="str">
        <f>IF(N135="Y","This Loan is in Step: Sale","This Loan is in Step: n/a")</f>
        <v>This Loan is in Step: Sale</v>
      </c>
      <c r="P135" s="25" t="str">
        <f>VLOOKUP($B135,Sheet6!$C$17:$Q$190,15,FALSE)</f>
        <v>Sale</v>
      </c>
      <c r="Q135" s="10"/>
      <c r="S135" s="10"/>
    </row>
    <row r="136" spans="1:19" x14ac:dyDescent="0.3">
      <c r="A136" s="25">
        <v>135</v>
      </c>
      <c r="B136" s="25">
        <v>40766918</v>
      </c>
      <c r="C136" s="25" t="s">
        <v>1</v>
      </c>
      <c r="D136" s="26">
        <v>390000</v>
      </c>
      <c r="E136" s="27">
        <v>4.3504269841479912E-2</v>
      </c>
      <c r="F136" s="25">
        <v>15</v>
      </c>
      <c r="G136" s="28">
        <f>VLOOKUP(B136,Sheet2!$C$17:$H$190,6,FALSE)</f>
        <v>-2953.747545750673</v>
      </c>
      <c r="H136" s="25">
        <v>49</v>
      </c>
      <c r="I136" s="29">
        <f>VLOOKUP($B136,Sheet3!$C$17:$J$190,8,FALSE)</f>
        <v>307592.91336829832</v>
      </c>
      <c r="J136" s="25" t="s">
        <v>12</v>
      </c>
      <c r="K136" s="25" t="str">
        <f>VLOOKUP(B136,Sheet4!$C$17:$L$190,10,FALSE)</f>
        <v>GNMA</v>
      </c>
      <c r="L136" s="25">
        <v>5</v>
      </c>
      <c r="M136" s="25" t="str">
        <f>VLOOKUP($B136,Sheet5!$C$17:$O$190,12,FALSE)</f>
        <v>90+</v>
      </c>
      <c r="N136" s="25" t="str">
        <f>VLOOKUP($B136,Sheet5!$C$17:$O$190,13,FALSE)</f>
        <v>N</v>
      </c>
      <c r="O136" s="25" t="str">
        <f>IF(N136="Y","This Loan is in Step: Referral","This Loan is in Step: n/a")</f>
        <v>This Loan is in Step: n/a</v>
      </c>
      <c r="P136" s="25" t="str">
        <f>VLOOKUP($B136,Sheet6!$C$17:$Q$190,15,FALSE)</f>
        <v>n/a</v>
      </c>
      <c r="Q136" s="10"/>
      <c r="S136" s="10"/>
    </row>
    <row r="137" spans="1:19" x14ac:dyDescent="0.3">
      <c r="A137" s="25">
        <v>136</v>
      </c>
      <c r="B137" s="25">
        <v>50543518</v>
      </c>
      <c r="C137" s="25" t="s">
        <v>1</v>
      </c>
      <c r="D137" s="26">
        <v>210000</v>
      </c>
      <c r="E137" s="27">
        <v>6.6997557171815436E-2</v>
      </c>
      <c r="F137" s="25">
        <v>30</v>
      </c>
      <c r="G137" s="28">
        <f>VLOOKUP(B137,Sheet2!$C$17:$H$190,6,FALSE)</f>
        <v>-1355.0497259540837</v>
      </c>
      <c r="H137" s="25">
        <v>306</v>
      </c>
      <c r="I137" s="29">
        <f>VLOOKUP($B137,Sheet3!$C$17:$J$190,8,FALSE)</f>
        <v>63021.459962368383</v>
      </c>
      <c r="J137" s="25" t="s">
        <v>12</v>
      </c>
      <c r="K137" s="25" t="str">
        <f>VLOOKUP(B137,Sheet4!$C$17:$L$190,10,FALSE)</f>
        <v>GNMA</v>
      </c>
      <c r="L137" s="25">
        <v>0</v>
      </c>
      <c r="M137" s="25" t="str">
        <f>VLOOKUP($B137,Sheet5!$C$17:$O$190,12,FALSE)</f>
        <v>Current</v>
      </c>
      <c r="N137" s="25" t="str">
        <f>VLOOKUP($B137,Sheet5!$C$17:$O$190,13,FALSE)</f>
        <v>N</v>
      </c>
      <c r="O137" s="25" t="str">
        <f>IF(N137="Y","This Loan is in Step: Referral","This Loan is in Step: n/a")</f>
        <v>This Loan is in Step: n/a</v>
      </c>
      <c r="P137" s="25" t="str">
        <f>VLOOKUP($B137,Sheet6!$C$17:$Q$190,15,FALSE)</f>
        <v>n/a</v>
      </c>
      <c r="Q137" s="10"/>
      <c r="S137" s="10"/>
    </row>
    <row r="138" spans="1:19" x14ac:dyDescent="0.3">
      <c r="A138" s="25">
        <v>137</v>
      </c>
      <c r="B138" s="25">
        <v>28254071</v>
      </c>
      <c r="C138" s="25" t="s">
        <v>1</v>
      </c>
      <c r="D138" s="26">
        <v>290000</v>
      </c>
      <c r="E138" s="27">
        <v>2.4733212439948523E-2</v>
      </c>
      <c r="F138" s="25">
        <v>15</v>
      </c>
      <c r="G138" s="28">
        <f>VLOOKUP(B138,Sheet2!$C$17:$H$190,6,FALSE)</f>
        <v>-1930.0487801292927</v>
      </c>
      <c r="H138" s="25">
        <v>53</v>
      </c>
      <c r="I138" s="29">
        <f>VLOOKUP($B138,Sheet3!$C$17:$J$190,8,FALSE)</f>
        <v>215466.38368277025</v>
      </c>
      <c r="J138" s="25" t="s">
        <v>10</v>
      </c>
      <c r="K138" s="25" t="str">
        <f>VLOOKUP(B138,Sheet4!$C$17:$L$190,10,FALSE)</f>
        <v>FHLMC</v>
      </c>
      <c r="L138" s="25">
        <v>0</v>
      </c>
      <c r="M138" s="25" t="str">
        <f>VLOOKUP($B138,Sheet5!$C$17:$O$190,12,FALSE)</f>
        <v>Current</v>
      </c>
      <c r="N138" s="25" t="str">
        <f>VLOOKUP($B138,Sheet5!$C$17:$O$190,13,FALSE)</f>
        <v>N</v>
      </c>
      <c r="O138" s="25" t="str">
        <f>IF(N138="Y","This Loan is in Step: Sale","This Loan is in Step: n/a")</f>
        <v>This Loan is in Step: n/a</v>
      </c>
      <c r="P138" s="25" t="str">
        <f>VLOOKUP($B138,Sheet6!$C$17:$Q$190,15,FALSE)</f>
        <v>n/a</v>
      </c>
      <c r="Q138" s="10"/>
      <c r="S138" s="10"/>
    </row>
    <row r="139" spans="1:19" x14ac:dyDescent="0.3">
      <c r="A139" s="25">
        <v>138</v>
      </c>
      <c r="B139" s="25">
        <v>66109061</v>
      </c>
      <c r="C139" s="25" t="s">
        <v>1</v>
      </c>
      <c r="D139" s="26">
        <v>380000</v>
      </c>
      <c r="E139" s="27">
        <v>6.5073173837024004E-2</v>
      </c>
      <c r="F139" s="25">
        <v>15</v>
      </c>
      <c r="G139" s="28">
        <f>VLOOKUP(B139,Sheet2!$C$17:$H$190,6,FALSE)</f>
        <v>-3311.7367835051036</v>
      </c>
      <c r="H139" s="25">
        <v>177</v>
      </c>
      <c r="I139" s="29">
        <f>VLOOKUP($B139,Sheet3!$C$17:$J$190,8,FALSE)</f>
        <v>9828.4237387075154</v>
      </c>
      <c r="J139" s="25" t="s">
        <v>10</v>
      </c>
      <c r="K139" s="25" t="str">
        <f>VLOOKUP(B139,Sheet4!$C$17:$L$190,10,FALSE)</f>
        <v>FHLMC</v>
      </c>
      <c r="L139" s="25">
        <v>0</v>
      </c>
      <c r="M139" s="25" t="str">
        <f>VLOOKUP($B139,Sheet5!$C$17:$O$190,12,FALSE)</f>
        <v>Current</v>
      </c>
      <c r="N139" s="25" t="str">
        <f>VLOOKUP($B139,Sheet5!$C$17:$O$190,13,FALSE)</f>
        <v>N</v>
      </c>
      <c r="O139" s="25" t="str">
        <f>IF(N139="Y","This Loan is in Step: Sale","This Loan is in Step: n/a")</f>
        <v>This Loan is in Step: n/a</v>
      </c>
      <c r="P139" s="25" t="str">
        <f>VLOOKUP($B139,Sheet6!$C$17:$Q$190,15,FALSE)</f>
        <v>n/a</v>
      </c>
      <c r="Q139" s="10"/>
      <c r="S139" s="10"/>
    </row>
    <row r="140" spans="1:19" x14ac:dyDescent="0.3">
      <c r="A140" s="25">
        <v>139</v>
      </c>
      <c r="B140" s="25">
        <v>21617507</v>
      </c>
      <c r="C140" s="25" t="s">
        <v>1</v>
      </c>
      <c r="D140" s="26">
        <v>370000</v>
      </c>
      <c r="E140" s="27">
        <v>7.5409423490472402E-2</v>
      </c>
      <c r="F140" s="25">
        <v>20</v>
      </c>
      <c r="G140" s="28">
        <f>VLOOKUP(B140,Sheet2!$C$17:$H$190,6,FALSE)</f>
        <v>-2989.9645471773642</v>
      </c>
      <c r="H140" s="25">
        <v>136</v>
      </c>
      <c r="I140" s="29">
        <f>VLOOKUP($B140,Sheet3!$C$17:$J$190,8,FALSE)</f>
        <v>227782.3157421826</v>
      </c>
      <c r="J140" s="25" t="s">
        <v>12</v>
      </c>
      <c r="K140" s="25" t="str">
        <f>VLOOKUP(B140,Sheet4!$C$17:$L$190,10,FALSE)</f>
        <v>GNMA</v>
      </c>
      <c r="L140" s="25">
        <v>0</v>
      </c>
      <c r="M140" s="25" t="str">
        <f>VLOOKUP($B140,Sheet5!$C$17:$O$190,12,FALSE)</f>
        <v>Current</v>
      </c>
      <c r="N140" s="25" t="str">
        <f>VLOOKUP($B140,Sheet5!$C$17:$O$190,13,FALSE)</f>
        <v>N</v>
      </c>
      <c r="O140" s="25" t="str">
        <f>IF(N140="Y","This Loan is in Step: Referral","This Loan is in Step: n/a")</f>
        <v>This Loan is in Step: n/a</v>
      </c>
      <c r="P140" s="25" t="str">
        <f>VLOOKUP($B140,Sheet6!$C$17:$Q$190,15,FALSE)</f>
        <v>n/a</v>
      </c>
      <c r="Q140" s="10"/>
      <c r="S140" s="10"/>
    </row>
    <row r="141" spans="1:19" x14ac:dyDescent="0.3">
      <c r="A141" s="25">
        <v>140</v>
      </c>
      <c r="B141" s="25">
        <v>97989606</v>
      </c>
      <c r="C141" s="25" t="s">
        <v>1</v>
      </c>
      <c r="D141" s="26">
        <v>190000</v>
      </c>
      <c r="E141" s="27">
        <v>3.9082079146889916E-2</v>
      </c>
      <c r="F141" s="25">
        <v>15</v>
      </c>
      <c r="G141" s="28">
        <f>VLOOKUP(B141,Sheet2!$C$17:$H$190,6,FALSE)</f>
        <v>-1396.6832379755779</v>
      </c>
      <c r="H141" s="25">
        <v>74</v>
      </c>
      <c r="I141" s="29">
        <f>VLOOKUP($B141,Sheet3!$C$17:$J$190,8,FALSE)</f>
        <v>125026.53335086055</v>
      </c>
      <c r="J141" s="25" t="s">
        <v>9</v>
      </c>
      <c r="K141" s="25" t="str">
        <f>VLOOKUP(B141,Sheet4!$C$17:$L$190,10,FALSE)</f>
        <v>GNMA</v>
      </c>
      <c r="L141" s="25">
        <v>0</v>
      </c>
      <c r="M141" s="25" t="str">
        <f>VLOOKUP($B141,Sheet5!$C$17:$O$190,12,FALSE)</f>
        <v>Current</v>
      </c>
      <c r="N141" s="25" t="str">
        <f>VLOOKUP($B141,Sheet5!$C$17:$O$190,13,FALSE)</f>
        <v>N</v>
      </c>
      <c r="O141" s="25" t="str">
        <f>IF(N141="Y","This Loan is in Step: Referral","This Loan is in Step: n/a")</f>
        <v>This Loan is in Step: n/a</v>
      </c>
      <c r="P141" s="25" t="str">
        <f>VLOOKUP($B141,Sheet6!$C$17:$Q$190,15,FALSE)</f>
        <v>n/a</v>
      </c>
      <c r="Q141" s="10"/>
      <c r="S141" s="10"/>
    </row>
    <row r="142" spans="1:19" x14ac:dyDescent="0.3">
      <c r="A142" s="25">
        <v>141</v>
      </c>
      <c r="B142" s="25">
        <v>39361910</v>
      </c>
      <c r="C142" s="25" t="s">
        <v>1</v>
      </c>
      <c r="D142" s="26">
        <v>80000</v>
      </c>
      <c r="E142" s="27">
        <v>2.918801643188013E-2</v>
      </c>
      <c r="F142" s="25">
        <v>15</v>
      </c>
      <c r="G142" s="28">
        <f>VLOOKUP(B142,Sheet2!$C$17:$H$190,6,FALSE)</f>
        <v>-549.34651843590734</v>
      </c>
      <c r="H142" s="25">
        <v>7</v>
      </c>
      <c r="I142" s="29">
        <f>VLOOKUP($B142,Sheet3!$C$17:$J$190,8,FALSE)</f>
        <v>77498.487382740379</v>
      </c>
      <c r="J142" s="25" t="s">
        <v>13</v>
      </c>
      <c r="K142" s="25" t="str">
        <f>VLOOKUP(B142,Sheet4!$C$17:$L$190,10,FALSE)</f>
        <v>GNMA</v>
      </c>
      <c r="L142" s="25">
        <v>0</v>
      </c>
      <c r="M142" s="25" t="str">
        <f>VLOOKUP($B142,Sheet5!$C$17:$O$190,12,FALSE)</f>
        <v>Current</v>
      </c>
      <c r="N142" s="25" t="str">
        <f>VLOOKUP($B142,Sheet5!$C$17:$O$190,13,FALSE)</f>
        <v>N</v>
      </c>
      <c r="O142" s="25" t="str">
        <f>IF(N142="Y","This Loan is in Step: Sale","This Loan is in Step: n/a")</f>
        <v>This Loan is in Step: n/a</v>
      </c>
      <c r="P142" s="25" t="str">
        <f>VLOOKUP($B142,Sheet6!$C$17:$Q$190,15,FALSE)</f>
        <v>n/a</v>
      </c>
      <c r="Q142" s="10"/>
      <c r="S142" s="10"/>
    </row>
    <row r="143" spans="1:19" x14ac:dyDescent="0.3">
      <c r="A143" s="25">
        <v>142</v>
      </c>
      <c r="B143" s="25">
        <v>92208306</v>
      </c>
      <c r="C143" s="25" t="s">
        <v>1</v>
      </c>
      <c r="D143" s="26">
        <v>200000</v>
      </c>
      <c r="E143" s="27">
        <v>2.7108181721399505E-2</v>
      </c>
      <c r="F143" s="25">
        <v>20</v>
      </c>
      <c r="G143" s="28">
        <f>VLOOKUP(B143,Sheet2!$C$17:$H$190,6,FALSE)</f>
        <v>-1080.4663531994659</v>
      </c>
      <c r="H143" s="25">
        <v>90</v>
      </c>
      <c r="I143" s="29">
        <f>VLOOKUP($B143,Sheet3!$C$17:$J$190,8,FALSE)</f>
        <v>137336.40374766377</v>
      </c>
      <c r="J143" s="25" t="s">
        <v>9</v>
      </c>
      <c r="K143" s="25" t="str">
        <f>VLOOKUP(B143,Sheet4!$C$17:$L$190,10,FALSE)</f>
        <v>GNMA</v>
      </c>
      <c r="L143" s="25">
        <v>0</v>
      </c>
      <c r="M143" s="25" t="str">
        <f>VLOOKUP($B143,Sheet5!$C$17:$O$190,12,FALSE)</f>
        <v>Current</v>
      </c>
      <c r="N143" s="25" t="str">
        <f>VLOOKUP($B143,Sheet5!$C$17:$O$190,13,FALSE)</f>
        <v>N</v>
      </c>
      <c r="O143" s="25" t="str">
        <f>IF(N143="Y","This Loan is in Step: Referral","This Loan is in Step: n/a")</f>
        <v>This Loan is in Step: n/a</v>
      </c>
      <c r="P143" s="25" t="str">
        <f>VLOOKUP($B143,Sheet6!$C$17:$Q$190,15,FALSE)</f>
        <v>n/a</v>
      </c>
      <c r="Q143" s="10"/>
      <c r="S143" s="10"/>
    </row>
    <row r="144" spans="1:19" x14ac:dyDescent="0.3">
      <c r="A144" s="25">
        <v>143</v>
      </c>
      <c r="B144" s="25">
        <v>70859925</v>
      </c>
      <c r="C144" s="25" t="s">
        <v>1</v>
      </c>
      <c r="D144" s="26">
        <v>440000</v>
      </c>
      <c r="E144" s="27">
        <v>7.8279039349961069E-2</v>
      </c>
      <c r="F144" s="25">
        <v>30</v>
      </c>
      <c r="G144" s="28">
        <f>VLOOKUP(B144,Sheet2!$C$17:$H$190,6,FALSE)</f>
        <v>-3175.9338745549298</v>
      </c>
      <c r="H144" s="25">
        <v>206</v>
      </c>
      <c r="I144" s="29">
        <f>VLOOKUP($B144,Sheet3!$C$17:$J$190,8,FALSE)</f>
        <v>307992.44094564364</v>
      </c>
      <c r="J144" s="25" t="s">
        <v>9</v>
      </c>
      <c r="K144" s="25" t="str">
        <f>VLOOKUP(B144,Sheet4!$C$17:$L$190,10,FALSE)</f>
        <v>GNMA</v>
      </c>
      <c r="L144" s="25">
        <v>0</v>
      </c>
      <c r="M144" s="25" t="str">
        <f>VLOOKUP($B144,Sheet5!$C$17:$O$190,12,FALSE)</f>
        <v>Current</v>
      </c>
      <c r="N144" s="25" t="str">
        <f>VLOOKUP($B144,Sheet5!$C$17:$O$190,13,FALSE)</f>
        <v>N</v>
      </c>
      <c r="O144" s="25" t="str">
        <f>IF(N144="Y","This Loan is in Step: Judgment","This Loan is in Step: n/a")</f>
        <v>This Loan is in Step: n/a</v>
      </c>
      <c r="P144" s="25" t="str">
        <f>VLOOKUP($B144,Sheet6!$C$17:$Q$190,15,FALSE)</f>
        <v>n/a</v>
      </c>
      <c r="Q144" s="10"/>
      <c r="S144" s="10"/>
    </row>
    <row r="145" spans="1:19" x14ac:dyDescent="0.3">
      <c r="A145" s="25">
        <v>144</v>
      </c>
      <c r="B145" s="25">
        <v>38351345</v>
      </c>
      <c r="C145" s="25" t="s">
        <v>1</v>
      </c>
      <c r="D145" s="26">
        <v>230000</v>
      </c>
      <c r="E145" s="27">
        <v>8.5661220417817804E-2</v>
      </c>
      <c r="F145" s="25">
        <v>30</v>
      </c>
      <c r="G145" s="28">
        <f>VLOOKUP(B145,Sheet2!$C$17:$H$190,6,FALSE)</f>
        <v>-1779.2903232090136</v>
      </c>
      <c r="H145" s="25">
        <v>316</v>
      </c>
      <c r="I145" s="29">
        <f>VLOOKUP($B145,Sheet3!$C$17:$J$190,8,FALSE)</f>
        <v>66982.805778146241</v>
      </c>
      <c r="J145" s="25" t="s">
        <v>9</v>
      </c>
      <c r="K145" s="25" t="str">
        <f>VLOOKUP(B145,Sheet4!$C$17:$L$190,10,FALSE)</f>
        <v>GNMA</v>
      </c>
      <c r="L145" s="25">
        <v>7</v>
      </c>
      <c r="M145" s="25" t="str">
        <f>VLOOKUP($B145,Sheet5!$C$17:$O$190,12,FALSE)</f>
        <v>90+</v>
      </c>
      <c r="N145" s="25" t="str">
        <f>VLOOKUP($B145,Sheet5!$C$17:$O$190,13,FALSE)</f>
        <v>Y</v>
      </c>
      <c r="O145" s="25" t="str">
        <f>IF(N145="Y","This Loan is in Step: Referral","This Loan is in Step: n/a")</f>
        <v>This Loan is in Step: Referral</v>
      </c>
      <c r="P145" s="25" t="str">
        <f>VLOOKUP($B145,Sheet6!$C$17:$Q$190,15,FALSE)</f>
        <v>Referral</v>
      </c>
      <c r="Q145" s="10"/>
      <c r="S145" s="10"/>
    </row>
    <row r="146" spans="1:19" x14ac:dyDescent="0.3">
      <c r="A146" s="25">
        <v>145</v>
      </c>
      <c r="B146" s="25">
        <v>38803902</v>
      </c>
      <c r="C146" s="25" t="s">
        <v>1</v>
      </c>
      <c r="D146" s="26">
        <v>110000</v>
      </c>
      <c r="E146" s="27">
        <v>3.9948712579245552E-2</v>
      </c>
      <c r="F146" s="25">
        <v>15</v>
      </c>
      <c r="G146" s="28">
        <f>VLOOKUP(B146,Sheet2!$C$17:$H$190,6,FALSE)</f>
        <v>-813.37403255032621</v>
      </c>
      <c r="H146" s="25">
        <v>13</v>
      </c>
      <c r="I146" s="29">
        <f>VLOOKUP($B146,Sheet3!$C$17:$J$190,8,FALSE)</f>
        <v>104069.14616071964</v>
      </c>
      <c r="J146" s="25" t="s">
        <v>10</v>
      </c>
      <c r="K146" s="25" t="str">
        <f>VLOOKUP(B146,Sheet4!$C$17:$L$190,10,FALSE)</f>
        <v>FHLMC</v>
      </c>
      <c r="L146" s="25">
        <v>9</v>
      </c>
      <c r="M146" s="25" t="str">
        <f>VLOOKUP($B146,Sheet5!$C$17:$O$190,12,FALSE)</f>
        <v>90+</v>
      </c>
      <c r="N146" s="25" t="str">
        <f>VLOOKUP($B146,Sheet5!$C$17:$O$190,13,FALSE)</f>
        <v>Y</v>
      </c>
      <c r="O146" s="25" t="str">
        <f>IF(N146="Y","This Loan is in Step: Referral","This Loan is in Step: n/a")</f>
        <v>This Loan is in Step: Referral</v>
      </c>
      <c r="P146" s="25" t="str">
        <f>VLOOKUP($B146,Sheet6!$C$17:$Q$190,15,FALSE)</f>
        <v>Referral</v>
      </c>
      <c r="Q146" s="10"/>
      <c r="S146" s="10"/>
    </row>
    <row r="147" spans="1:19" x14ac:dyDescent="0.3">
      <c r="A147" s="25">
        <v>146</v>
      </c>
      <c r="B147" s="25">
        <v>70936359</v>
      </c>
      <c r="C147" s="25" t="s">
        <v>1</v>
      </c>
      <c r="D147" s="26">
        <v>150000</v>
      </c>
      <c r="E147" s="27">
        <v>4.8616549792090978E-2</v>
      </c>
      <c r="F147" s="25">
        <v>15</v>
      </c>
      <c r="G147" s="28">
        <f>VLOOKUP(B147,Sheet2!$C$17:$H$190,6,FALSE)</f>
        <v>-1175.4085597861902</v>
      </c>
      <c r="H147" s="25">
        <v>90</v>
      </c>
      <c r="I147" s="29">
        <f>VLOOKUP($B147,Sheet3!$C$17:$J$190,8,FALSE)</f>
        <v>88497.174099021882</v>
      </c>
      <c r="J147" s="25" t="s">
        <v>13</v>
      </c>
      <c r="K147" s="25" t="str">
        <f>VLOOKUP(B147,Sheet4!$C$17:$L$190,10,FALSE)</f>
        <v>GNMA</v>
      </c>
      <c r="L147" s="25">
        <v>8</v>
      </c>
      <c r="M147" s="25" t="str">
        <f>VLOOKUP($B147,Sheet5!$C$17:$O$190,12,FALSE)</f>
        <v>90+</v>
      </c>
      <c r="N147" s="25" t="str">
        <f>VLOOKUP($B147,Sheet5!$C$17:$O$190,13,FALSE)</f>
        <v>Y</v>
      </c>
      <c r="O147" s="25" t="str">
        <f>IF(N147="Y","This Loan is in Step: Referral","This Loan is in Step: n/a")</f>
        <v>This Loan is in Step: Referral</v>
      </c>
      <c r="P147" s="25" t="str">
        <f>VLOOKUP($B147,Sheet6!$C$17:$Q$190,15,FALSE)</f>
        <v>Referral</v>
      </c>
      <c r="Q147" s="10"/>
      <c r="S147" s="10"/>
    </row>
    <row r="148" spans="1:19" x14ac:dyDescent="0.3">
      <c r="A148" s="25">
        <v>147</v>
      </c>
      <c r="B148" s="25">
        <v>22527091</v>
      </c>
      <c r="C148" s="25" t="s">
        <v>1</v>
      </c>
      <c r="D148" s="26">
        <v>400000</v>
      </c>
      <c r="E148" s="27">
        <v>2.553940346467095E-2</v>
      </c>
      <c r="F148" s="25">
        <v>30</v>
      </c>
      <c r="G148" s="28">
        <f>VLOOKUP(B148,Sheet2!$C$17:$H$190,6,FALSE)</f>
        <v>-1591.7243056429579</v>
      </c>
      <c r="H148" s="25">
        <v>276</v>
      </c>
      <c r="I148" s="29">
        <f>VLOOKUP($B148,Sheet3!$C$17:$J$190,8,FALSE)</f>
        <v>122315.90578323975</v>
      </c>
      <c r="J148" s="25" t="s">
        <v>10</v>
      </c>
      <c r="K148" s="25" t="str">
        <f>VLOOKUP(B148,Sheet4!$C$17:$L$190,10,FALSE)</f>
        <v>FHLMC</v>
      </c>
      <c r="L148" s="25">
        <v>1</v>
      </c>
      <c r="M148" s="25" t="str">
        <f>VLOOKUP($B148,Sheet5!$C$17:$O$190,12,FALSE)</f>
        <v>30-60</v>
      </c>
      <c r="N148" s="25" t="str">
        <f>VLOOKUP($B148,Sheet5!$C$17:$O$190,13,FALSE)</f>
        <v>N</v>
      </c>
      <c r="O148" s="25" t="str">
        <f>IF(N148="Y","This Loan is in Step: Judgment","This Loan is in Step: n/a")</f>
        <v>This Loan is in Step: n/a</v>
      </c>
      <c r="P148" s="25" t="str">
        <f>VLOOKUP($B148,Sheet6!$C$17:$Q$190,15,FALSE)</f>
        <v>n/a</v>
      </c>
      <c r="Q148" s="10"/>
      <c r="S148" s="10"/>
    </row>
    <row r="149" spans="1:19" x14ac:dyDescent="0.3">
      <c r="A149" s="25">
        <v>148</v>
      </c>
      <c r="B149" s="25">
        <v>85565195</v>
      </c>
      <c r="C149" s="25" t="s">
        <v>1</v>
      </c>
      <c r="D149" s="26">
        <v>350000</v>
      </c>
      <c r="E149" s="27">
        <v>3.759737492262525E-2</v>
      </c>
      <c r="F149" s="25">
        <v>15</v>
      </c>
      <c r="G149" s="28">
        <f>VLOOKUP(B149,Sheet2!$C$17:$H$190,6,FALSE)</f>
        <v>-2546.9696911629712</v>
      </c>
      <c r="H149" s="25">
        <v>80</v>
      </c>
      <c r="I149" s="29">
        <f>VLOOKUP($B149,Sheet3!$C$17:$J$190,8,FALSE)</f>
        <v>218366.14266245431</v>
      </c>
      <c r="J149" s="25" t="s">
        <v>9</v>
      </c>
      <c r="K149" s="25" t="str">
        <f>VLOOKUP(B149,Sheet4!$C$17:$L$190,10,FALSE)</f>
        <v>GNMA</v>
      </c>
      <c r="L149" s="25">
        <v>3</v>
      </c>
      <c r="M149" s="25" t="str">
        <f>VLOOKUP($B149,Sheet5!$C$17:$O$190,12,FALSE)</f>
        <v>90+</v>
      </c>
      <c r="N149" s="25" t="str">
        <f>VLOOKUP($B149,Sheet5!$C$17:$O$190,13,FALSE)</f>
        <v>N</v>
      </c>
      <c r="O149" s="25" t="str">
        <f>IF(N149="Y","This Loan is in Step: Judgment","This Loan is in Step: n/a")</f>
        <v>This Loan is in Step: n/a</v>
      </c>
      <c r="P149" s="25" t="str">
        <f>VLOOKUP($B149,Sheet6!$C$17:$Q$190,15,FALSE)</f>
        <v>n/a</v>
      </c>
      <c r="Q149" s="10"/>
      <c r="S149" s="10"/>
    </row>
    <row r="150" spans="1:19" x14ac:dyDescent="0.3">
      <c r="A150" s="25">
        <v>149</v>
      </c>
      <c r="B150" s="25">
        <v>49758502</v>
      </c>
      <c r="C150" s="25" t="s">
        <v>1</v>
      </c>
      <c r="D150" s="26">
        <v>130000</v>
      </c>
      <c r="E150" s="27">
        <v>5.1929476788526233E-2</v>
      </c>
      <c r="F150" s="25">
        <v>15</v>
      </c>
      <c r="G150" s="28">
        <f>VLOOKUP(B150,Sheet2!$C$17:$H$190,6,FALSE)</f>
        <v>-1041.1453845544738</v>
      </c>
      <c r="H150" s="25">
        <v>93</v>
      </c>
      <c r="I150" s="29">
        <f>VLOOKUP($B150,Sheet3!$C$17:$J$190,8,FALSE)</f>
        <v>75347.07737762075</v>
      </c>
      <c r="J150" s="25" t="s">
        <v>10</v>
      </c>
      <c r="K150" s="25" t="str">
        <f>VLOOKUP(B150,Sheet4!$C$17:$L$190,10,FALSE)</f>
        <v>FHLMC</v>
      </c>
      <c r="L150" s="25">
        <v>9</v>
      </c>
      <c r="M150" s="25" t="str">
        <f>VLOOKUP($B150,Sheet5!$C$17:$O$190,12,FALSE)</f>
        <v>90+</v>
      </c>
      <c r="N150" s="25" t="str">
        <f>VLOOKUP($B150,Sheet5!$C$17:$O$190,13,FALSE)</f>
        <v>Y</v>
      </c>
      <c r="O150" s="25" t="str">
        <f>IF(N150="Y","This Loan is in Step: Referral","This Loan is in Step: n/a")</f>
        <v>This Loan is in Step: Referral</v>
      </c>
      <c r="P150" s="25" t="str">
        <f>VLOOKUP($B150,Sheet6!$C$17:$Q$190,15,FALSE)</f>
        <v>Referral</v>
      </c>
      <c r="Q150" s="10"/>
      <c r="S150" s="10"/>
    </row>
    <row r="151" spans="1:19" x14ac:dyDescent="0.3">
      <c r="A151" s="25">
        <v>150</v>
      </c>
      <c r="B151" s="25">
        <v>44521885</v>
      </c>
      <c r="C151" s="25" t="s">
        <v>1</v>
      </c>
      <c r="D151" s="26">
        <v>190000</v>
      </c>
      <c r="E151" s="27">
        <v>4.9833531113900251E-2</v>
      </c>
      <c r="F151" s="25">
        <v>30</v>
      </c>
      <c r="G151" s="28">
        <f>VLOOKUP(B151,Sheet2!$C$17:$H$190,6,FALSE)</f>
        <v>-1018.0289241065121</v>
      </c>
      <c r="H151" s="25">
        <v>174</v>
      </c>
      <c r="I151" s="29">
        <f>VLOOKUP($B151,Sheet3!$C$17:$J$190,8,FALSE)</f>
        <v>131731.72010516841</v>
      </c>
      <c r="J151" s="25" t="s">
        <v>9</v>
      </c>
      <c r="K151" s="25" t="str">
        <f>VLOOKUP(B151,Sheet4!$C$17:$L$190,10,FALSE)</f>
        <v>GNMA</v>
      </c>
      <c r="L151" s="25">
        <v>8</v>
      </c>
      <c r="M151" s="25" t="str">
        <f>VLOOKUP($B151,Sheet5!$C$17:$O$190,12,FALSE)</f>
        <v>90+</v>
      </c>
      <c r="N151" s="25" t="str">
        <f>VLOOKUP($B151,Sheet5!$C$17:$O$190,13,FALSE)</f>
        <v>Y</v>
      </c>
      <c r="O151" s="25" t="str">
        <f>IF(N151="Y","This Loan is in Step: Sale","This Loan is in Step: n/a")</f>
        <v>This Loan is in Step: Sale</v>
      </c>
      <c r="P151" s="25" t="str">
        <f>VLOOKUP($B151,Sheet6!$C$17:$Q$190,15,FALSE)</f>
        <v>Sale</v>
      </c>
      <c r="Q151" s="10"/>
      <c r="S151" s="10"/>
    </row>
    <row r="152" spans="1:19" x14ac:dyDescent="0.3">
      <c r="A152" s="25">
        <v>151</v>
      </c>
      <c r="B152" s="25">
        <v>81877816</v>
      </c>
      <c r="C152" s="25" t="s">
        <v>1</v>
      </c>
      <c r="D152" s="26">
        <v>120000</v>
      </c>
      <c r="E152" s="27">
        <v>4.8171984913974467E-2</v>
      </c>
      <c r="F152" s="25">
        <v>15</v>
      </c>
      <c r="G152" s="28">
        <f>VLOOKUP(B152,Sheet2!$C$17:$H$190,6,FALSE)</f>
        <v>-937.56465618487778</v>
      </c>
      <c r="H152" s="25">
        <v>27</v>
      </c>
      <c r="I152" s="29">
        <f>VLOOKUP($B152,Sheet3!$C$17:$J$190,8,FALSE)</f>
        <v>107027.87703160969</v>
      </c>
      <c r="J152" s="25" t="s">
        <v>9</v>
      </c>
      <c r="K152" s="25" t="str">
        <f>VLOOKUP(B152,Sheet4!$C$17:$L$190,10,FALSE)</f>
        <v>GNMA</v>
      </c>
      <c r="L152" s="25">
        <v>7</v>
      </c>
      <c r="M152" s="25" t="str">
        <f>VLOOKUP($B152,Sheet5!$C$17:$O$190,12,FALSE)</f>
        <v>90+</v>
      </c>
      <c r="N152" s="25" t="str">
        <f>VLOOKUP($B152,Sheet5!$C$17:$O$190,13,FALSE)</f>
        <v>Y</v>
      </c>
      <c r="O152" s="25" t="str">
        <f>IF(N152="Y","This Loan is in Step: Referral","This Loan is in Step: n/a")</f>
        <v>This Loan is in Step: Referral</v>
      </c>
      <c r="P152" s="25" t="str">
        <f>VLOOKUP($B152,Sheet6!$C$17:$Q$190,15,FALSE)</f>
        <v>Referral</v>
      </c>
      <c r="Q152" s="10"/>
      <c r="S152" s="10"/>
    </row>
    <row r="153" spans="1:19" x14ac:dyDescent="0.3">
      <c r="A153" s="25">
        <v>152</v>
      </c>
      <c r="B153" s="25">
        <v>30045340</v>
      </c>
      <c r="C153" s="25" t="s">
        <v>1</v>
      </c>
      <c r="D153" s="26">
        <v>360000</v>
      </c>
      <c r="E153" s="27">
        <v>8.4051872918695605E-2</v>
      </c>
      <c r="F153" s="25">
        <v>20</v>
      </c>
      <c r="G153" s="28">
        <f>VLOOKUP(B153,Sheet2!$C$17:$H$190,6,FALSE)</f>
        <v>-3102.5943125677773</v>
      </c>
      <c r="H153" s="25">
        <v>67</v>
      </c>
      <c r="I153" s="29">
        <f>VLOOKUP($B153,Sheet3!$C$17:$J$190,8,FALSE)</f>
        <v>310538.99669582827</v>
      </c>
      <c r="J153" s="25" t="s">
        <v>13</v>
      </c>
      <c r="K153" s="25" t="str">
        <f>VLOOKUP(B153,Sheet4!$C$17:$L$190,10,FALSE)</f>
        <v>GNMA</v>
      </c>
      <c r="L153" s="25">
        <v>7</v>
      </c>
      <c r="M153" s="25" t="str">
        <f>VLOOKUP($B153,Sheet5!$C$17:$O$190,12,FALSE)</f>
        <v>90+</v>
      </c>
      <c r="N153" s="25" t="str">
        <f>VLOOKUP($B153,Sheet5!$C$17:$O$190,13,FALSE)</f>
        <v>Y</v>
      </c>
      <c r="O153" s="25" t="str">
        <f>IF(N153="Y","This Loan is in Step: Service","This Loan is in Step: n/a")</f>
        <v>This Loan is in Step: Service</v>
      </c>
      <c r="P153" s="25" t="str">
        <f>VLOOKUP($B153,Sheet6!$C$17:$Q$190,15,FALSE)</f>
        <v>Service</v>
      </c>
      <c r="Q153" s="10"/>
      <c r="S153" s="10"/>
    </row>
    <row r="154" spans="1:19" x14ac:dyDescent="0.3">
      <c r="A154" s="25">
        <v>153</v>
      </c>
      <c r="B154" s="25">
        <v>50054768</v>
      </c>
      <c r="C154" s="25" t="s">
        <v>1</v>
      </c>
      <c r="D154" s="26">
        <v>140000</v>
      </c>
      <c r="E154" s="27">
        <v>4.7353760052952686E-2</v>
      </c>
      <c r="F154" s="25">
        <v>15</v>
      </c>
      <c r="G154" s="28">
        <f>VLOOKUP(B154,Sheet2!$C$17:$H$190,6,FALSE)</f>
        <v>-1087.9085190630351</v>
      </c>
      <c r="H154" s="25">
        <v>20</v>
      </c>
      <c r="I154" s="29">
        <f>VLOOKUP($B154,Sheet3!$C$17:$J$190,8,FALSE)</f>
        <v>128879.91179480437</v>
      </c>
      <c r="J154" s="25" t="s">
        <v>12</v>
      </c>
      <c r="K154" s="25" t="str">
        <f>VLOOKUP(B154,Sheet4!$C$17:$L$190,10,FALSE)</f>
        <v>GNMA</v>
      </c>
      <c r="L154" s="25">
        <v>0</v>
      </c>
      <c r="M154" s="25" t="str">
        <f>VLOOKUP($B154,Sheet5!$C$17:$O$190,12,FALSE)</f>
        <v>Current</v>
      </c>
      <c r="N154" s="25" t="str">
        <f>VLOOKUP($B154,Sheet5!$C$17:$O$190,13,FALSE)</f>
        <v>N</v>
      </c>
      <c r="O154" s="25" t="str">
        <f>IF(N154="Y","This Loan is in Step: Service","This Loan is in Step: n/a")</f>
        <v>This Loan is in Step: n/a</v>
      </c>
      <c r="P154" s="25" t="str">
        <f>VLOOKUP($B154,Sheet6!$C$17:$Q$190,15,FALSE)</f>
        <v>n/a</v>
      </c>
      <c r="Q154" s="10"/>
      <c r="S154" s="10"/>
    </row>
    <row r="155" spans="1:19" x14ac:dyDescent="0.3">
      <c r="A155" s="25">
        <v>154</v>
      </c>
      <c r="B155" s="25">
        <v>63115595</v>
      </c>
      <c r="C155" s="25" t="s">
        <v>1</v>
      </c>
      <c r="D155" s="26">
        <v>420000</v>
      </c>
      <c r="E155" s="27">
        <v>3.1754491121864389E-2</v>
      </c>
      <c r="F155" s="25">
        <v>30</v>
      </c>
      <c r="G155" s="28">
        <f>VLOOKUP(B155,Sheet2!$C$17:$H$190,6,FALSE)</f>
        <v>-1810.7258825168124</v>
      </c>
      <c r="H155" s="25">
        <v>40</v>
      </c>
      <c r="I155" s="29">
        <f>VLOOKUP($B155,Sheet3!$C$17:$J$190,8,FALSE)</f>
        <v>390534.24043349538</v>
      </c>
      <c r="J155" s="25" t="s">
        <v>9</v>
      </c>
      <c r="K155" s="25" t="str">
        <f>VLOOKUP(B155,Sheet4!$C$17:$L$190,10,FALSE)</f>
        <v>GNMA</v>
      </c>
      <c r="L155" s="25">
        <v>5</v>
      </c>
      <c r="M155" s="25" t="str">
        <f>VLOOKUP($B155,Sheet5!$C$17:$O$190,12,FALSE)</f>
        <v>90+</v>
      </c>
      <c r="N155" s="25" t="str">
        <f>VLOOKUP($B155,Sheet5!$C$17:$O$190,13,FALSE)</f>
        <v>N</v>
      </c>
      <c r="O155" s="25" t="str">
        <f>IF(N155="Y","This Loan is in Step: Referral","This Loan is in Step: n/a")</f>
        <v>This Loan is in Step: n/a</v>
      </c>
      <c r="P155" s="25" t="str">
        <f>VLOOKUP($B155,Sheet6!$C$17:$Q$190,15,FALSE)</f>
        <v>n/a</v>
      </c>
      <c r="Q155" s="10"/>
      <c r="S155" s="10"/>
    </row>
    <row r="156" spans="1:19" x14ac:dyDescent="0.3">
      <c r="A156" s="25">
        <v>155</v>
      </c>
      <c r="B156" s="25">
        <v>12815365</v>
      </c>
      <c r="C156" s="25" t="s">
        <v>1</v>
      </c>
      <c r="D156" s="26">
        <v>300000</v>
      </c>
      <c r="E156" s="27">
        <v>7.1192531516652197E-2</v>
      </c>
      <c r="F156" s="25">
        <v>15</v>
      </c>
      <c r="G156" s="28">
        <f>VLOOKUP(B156,Sheet2!$C$17:$H$190,6,FALSE)</f>
        <v>-2716.5257069980771</v>
      </c>
      <c r="H156" s="25">
        <v>20</v>
      </c>
      <c r="I156" s="29">
        <f>VLOOKUP($B156,Sheet3!$C$17:$J$190,8,FALSE)</f>
        <v>280171.32405919704</v>
      </c>
      <c r="J156" s="25" t="s">
        <v>9</v>
      </c>
      <c r="K156" s="25" t="str">
        <f>VLOOKUP(B156,Sheet4!$C$17:$L$190,10,FALSE)</f>
        <v>GNMA</v>
      </c>
      <c r="L156" s="25">
        <v>5</v>
      </c>
      <c r="M156" s="25" t="str">
        <f>VLOOKUP($B156,Sheet5!$C$17:$O$190,12,FALSE)</f>
        <v>90+</v>
      </c>
      <c r="N156" s="25" t="str">
        <f>VLOOKUP($B156,Sheet5!$C$17:$O$190,13,FALSE)</f>
        <v>N</v>
      </c>
      <c r="O156" s="25" t="str">
        <f>IF(N156="Y","This Loan is in Step: Service","This Loan is in Step: n/a")</f>
        <v>This Loan is in Step: n/a</v>
      </c>
      <c r="P156" s="25" t="str">
        <f>VLOOKUP($B156,Sheet6!$C$17:$Q$190,15,FALSE)</f>
        <v>n/a</v>
      </c>
      <c r="Q156" s="10"/>
      <c r="S156" s="10"/>
    </row>
    <row r="157" spans="1:19" x14ac:dyDescent="0.3">
      <c r="A157" s="25">
        <v>156</v>
      </c>
      <c r="B157" s="25">
        <v>57963170</v>
      </c>
      <c r="C157" s="25" t="s">
        <v>1</v>
      </c>
      <c r="D157" s="26">
        <v>190000</v>
      </c>
      <c r="E157" s="27">
        <v>5.577789572375437E-2</v>
      </c>
      <c r="F157" s="25">
        <v>15</v>
      </c>
      <c r="G157" s="28">
        <f>VLOOKUP(B157,Sheet2!$C$17:$H$190,6,FALSE)</f>
        <v>-1560.3127311548092</v>
      </c>
      <c r="H157" s="25">
        <v>134</v>
      </c>
      <c r="I157" s="29">
        <f>VLOOKUP($B157,Sheet3!$C$17:$J$190,8,FALSE)</f>
        <v>64485.698829029498</v>
      </c>
      <c r="J157" s="25" t="s">
        <v>13</v>
      </c>
      <c r="K157" s="25" t="str">
        <f>VLOOKUP(B157,Sheet4!$C$17:$L$190,10,FALSE)</f>
        <v>GNMA</v>
      </c>
      <c r="L157" s="25">
        <v>1</v>
      </c>
      <c r="M157" s="25" t="str">
        <f>VLOOKUP($B157,Sheet5!$C$17:$O$190,12,FALSE)</f>
        <v>30-60</v>
      </c>
      <c r="N157" s="25" t="str">
        <f>VLOOKUP($B157,Sheet5!$C$17:$O$190,13,FALSE)</f>
        <v>N</v>
      </c>
      <c r="O157" s="25" t="str">
        <f>IF(N157="Y","This Loan is in Step: Service","This Loan is in Step: n/a")</f>
        <v>This Loan is in Step: n/a</v>
      </c>
      <c r="P157" s="25" t="str">
        <f>VLOOKUP($B157,Sheet6!$C$17:$Q$190,15,FALSE)</f>
        <v>n/a</v>
      </c>
      <c r="Q157" s="10"/>
      <c r="S157" s="10"/>
    </row>
    <row r="158" spans="1:19" x14ac:dyDescent="0.3">
      <c r="A158" s="25">
        <v>157</v>
      </c>
      <c r="B158" s="25">
        <v>27425669</v>
      </c>
      <c r="C158" s="25" t="s">
        <v>1</v>
      </c>
      <c r="D158" s="26">
        <v>120000</v>
      </c>
      <c r="E158" s="27">
        <v>4.5537190045218612E-2</v>
      </c>
      <c r="F158" s="25">
        <v>15</v>
      </c>
      <c r="G158" s="28">
        <f>VLOOKUP(B158,Sheet2!$C$17:$H$190,6,FALSE)</f>
        <v>-921.28990326889095</v>
      </c>
      <c r="H158" s="25">
        <v>10</v>
      </c>
      <c r="I158" s="29">
        <f>VLOOKUP($B158,Sheet3!$C$17:$J$190,8,FALSE)</f>
        <v>115260.44724317468</v>
      </c>
      <c r="J158" s="25" t="s">
        <v>13</v>
      </c>
      <c r="K158" s="25" t="str">
        <f>VLOOKUP(B158,Sheet4!$C$17:$L$190,10,FALSE)</f>
        <v>GNMA</v>
      </c>
      <c r="L158" s="25">
        <v>10</v>
      </c>
      <c r="M158" s="25" t="str">
        <f>VLOOKUP($B158,Sheet5!$C$17:$O$190,12,FALSE)</f>
        <v>90+</v>
      </c>
      <c r="N158" s="25" t="str">
        <f>VLOOKUP($B158,Sheet5!$C$17:$O$190,13,FALSE)</f>
        <v>Y</v>
      </c>
      <c r="O158" s="25" t="str">
        <f>IF(N158="Y","This Loan is in Step: Sale","This Loan is in Step: n/a")</f>
        <v>This Loan is in Step: Sale</v>
      </c>
      <c r="P158" s="25" t="str">
        <f>VLOOKUP($B158,Sheet6!$C$17:$Q$190,15,FALSE)</f>
        <v>Sale</v>
      </c>
      <c r="Q158" s="10"/>
      <c r="S158" s="10"/>
    </row>
    <row r="159" spans="1:19" x14ac:dyDescent="0.3">
      <c r="A159" s="25">
        <v>158</v>
      </c>
      <c r="B159" s="25">
        <v>42454326</v>
      </c>
      <c r="C159" s="25" t="s">
        <v>1</v>
      </c>
      <c r="D159" s="26">
        <v>230000</v>
      </c>
      <c r="E159" s="27">
        <v>5.0982489981923208E-2</v>
      </c>
      <c r="F159" s="25">
        <v>15</v>
      </c>
      <c r="G159" s="28">
        <f>VLOOKUP(B159,Sheet2!$C$17:$H$190,6,FALSE)</f>
        <v>-1830.6184473844403</v>
      </c>
      <c r="H159" s="25">
        <v>81</v>
      </c>
      <c r="I159" s="29">
        <f>VLOOKUP($B159,Sheet3!$C$17:$J$190,8,FALSE)</f>
        <v>147691.43016632533</v>
      </c>
      <c r="J159" s="25" t="s">
        <v>9</v>
      </c>
      <c r="K159" s="25" t="str">
        <f>VLOOKUP(B159,Sheet4!$C$17:$L$190,10,FALSE)</f>
        <v>GNMA</v>
      </c>
      <c r="L159" s="25">
        <v>2</v>
      </c>
      <c r="M159" s="25" t="str">
        <f>VLOOKUP($B159,Sheet5!$C$17:$O$190,12,FALSE)</f>
        <v>30-60</v>
      </c>
      <c r="N159" s="25" t="str">
        <f>VLOOKUP($B159,Sheet5!$C$17:$O$190,13,FALSE)</f>
        <v>N</v>
      </c>
      <c r="O159" s="25" t="str">
        <f>IF(N159="Y","This Loan is in Step: Sale","This Loan is in Step: n/a")</f>
        <v>This Loan is in Step: n/a</v>
      </c>
      <c r="P159" s="25" t="str">
        <f>VLOOKUP($B159,Sheet6!$C$17:$Q$190,15,FALSE)</f>
        <v>n/a</v>
      </c>
      <c r="Q159" s="10"/>
      <c r="S159" s="10"/>
    </row>
    <row r="160" spans="1:19" x14ac:dyDescent="0.3">
      <c r="A160" s="25">
        <v>159</v>
      </c>
      <c r="B160" s="25">
        <v>43854478</v>
      </c>
      <c r="C160" s="25" t="s">
        <v>1</v>
      </c>
      <c r="D160" s="26">
        <v>180000</v>
      </c>
      <c r="E160" s="27">
        <v>3.2977812852717114E-2</v>
      </c>
      <c r="F160" s="25">
        <v>20</v>
      </c>
      <c r="G160" s="28">
        <f>VLOOKUP(B160,Sheet2!$C$17:$H$190,6,FALSE)</f>
        <v>-1025.3204880582011</v>
      </c>
      <c r="H160" s="25">
        <v>55</v>
      </c>
      <c r="I160" s="29">
        <f>VLOOKUP($B160,Sheet3!$C$17:$J$190,8,FALSE)</f>
        <v>148539.46508435311</v>
      </c>
      <c r="J160" s="25" t="s">
        <v>12</v>
      </c>
      <c r="K160" s="25" t="str">
        <f>VLOOKUP(B160,Sheet4!$C$17:$L$190,10,FALSE)</f>
        <v>GNMA</v>
      </c>
      <c r="L160" s="25">
        <v>0</v>
      </c>
      <c r="M160" s="25" t="str">
        <f>VLOOKUP($B160,Sheet5!$C$17:$O$190,12,FALSE)</f>
        <v>Current</v>
      </c>
      <c r="N160" s="25" t="str">
        <f>VLOOKUP($B160,Sheet5!$C$17:$O$190,13,FALSE)</f>
        <v>N</v>
      </c>
      <c r="O160" s="25" t="str">
        <f>IF(N160="Y","This Loan is in Step: Service","This Loan is in Step: n/a")</f>
        <v>This Loan is in Step: n/a</v>
      </c>
      <c r="P160" s="25" t="str">
        <f>VLOOKUP($B160,Sheet6!$C$17:$Q$190,15,FALSE)</f>
        <v>n/a</v>
      </c>
      <c r="Q160" s="10"/>
      <c r="S160" s="10"/>
    </row>
    <row r="161" spans="1:19" x14ac:dyDescent="0.3">
      <c r="A161" s="25">
        <v>160</v>
      </c>
      <c r="B161" s="25">
        <v>28025475</v>
      </c>
      <c r="C161" s="25" t="s">
        <v>1</v>
      </c>
      <c r="D161" s="26">
        <v>430000</v>
      </c>
      <c r="E161" s="27">
        <v>5.2234852657205018E-2</v>
      </c>
      <c r="F161" s="25">
        <v>15</v>
      </c>
      <c r="G161" s="28">
        <f>VLOOKUP(B161,Sheet2!$C$17:$H$190,6,FALSE)</f>
        <v>-3450.6822795469407</v>
      </c>
      <c r="H161" s="25">
        <v>128</v>
      </c>
      <c r="I161" s="29">
        <f>VLOOKUP($B161,Sheet3!$C$17:$J$190,8,FALSE)</f>
        <v>160266.47460750217</v>
      </c>
      <c r="J161" s="25" t="s">
        <v>9</v>
      </c>
      <c r="K161" s="25" t="str">
        <f>VLOOKUP(B161,Sheet4!$C$17:$L$190,10,FALSE)</f>
        <v>GNMA</v>
      </c>
      <c r="L161" s="25">
        <v>0</v>
      </c>
      <c r="M161" s="25" t="str">
        <f>VLOOKUP($B161,Sheet5!$C$17:$O$190,12,FALSE)</f>
        <v>Current</v>
      </c>
      <c r="N161" s="25" t="str">
        <f>VLOOKUP($B161,Sheet5!$C$17:$O$190,13,FALSE)</f>
        <v>N</v>
      </c>
      <c r="O161" s="25" t="str">
        <f>IF(N161="Y","This Loan is in Step: Sale","This Loan is in Step: n/a")</f>
        <v>This Loan is in Step: n/a</v>
      </c>
      <c r="P161" s="25" t="str">
        <f>VLOOKUP($B161,Sheet6!$C$17:$Q$190,15,FALSE)</f>
        <v>n/a</v>
      </c>
      <c r="Q161" s="10"/>
      <c r="S161" s="10"/>
    </row>
    <row r="162" spans="1:19" x14ac:dyDescent="0.3">
      <c r="A162" s="25">
        <v>161</v>
      </c>
      <c r="B162" s="25">
        <v>64176281</v>
      </c>
      <c r="C162" s="25" t="s">
        <v>1</v>
      </c>
      <c r="D162" s="26">
        <v>340000</v>
      </c>
      <c r="E162" s="27">
        <v>7.8054402152243199E-2</v>
      </c>
      <c r="F162" s="25">
        <v>20</v>
      </c>
      <c r="G162" s="28">
        <f>VLOOKUP(B162,Sheet2!$C$17:$H$190,6,FALSE)</f>
        <v>-2802.8658140065268</v>
      </c>
      <c r="H162" s="25">
        <v>25</v>
      </c>
      <c r="I162" s="29">
        <f>VLOOKUP($B162,Sheet3!$C$17:$J$190,8,FALSE)</f>
        <v>324003.34447729628</v>
      </c>
      <c r="J162" s="25" t="s">
        <v>10</v>
      </c>
      <c r="K162" s="25" t="str">
        <f>VLOOKUP(B162,Sheet4!$C$17:$L$190,10,FALSE)</f>
        <v>FHLMC</v>
      </c>
      <c r="L162" s="25">
        <v>0</v>
      </c>
      <c r="M162" s="25" t="str">
        <f>VLOOKUP($B162,Sheet5!$C$17:$O$190,12,FALSE)</f>
        <v>Current</v>
      </c>
      <c r="N162" s="25" t="str">
        <f>VLOOKUP($B162,Sheet5!$C$17:$O$190,13,FALSE)</f>
        <v>N</v>
      </c>
      <c r="O162" s="25" t="str">
        <f>IF(N162="Y","This Loan is in Step: Sale","This Loan is in Step: n/a")</f>
        <v>This Loan is in Step: n/a</v>
      </c>
      <c r="P162" s="25" t="str">
        <f>VLOOKUP($B162,Sheet6!$C$17:$Q$190,15,FALSE)</f>
        <v>n/a</v>
      </c>
      <c r="Q162" s="10"/>
      <c r="S162" s="10"/>
    </row>
    <row r="163" spans="1:19" x14ac:dyDescent="0.3">
      <c r="A163" s="25">
        <v>162</v>
      </c>
      <c r="B163" s="25">
        <v>19068436</v>
      </c>
      <c r="C163" s="25" t="s">
        <v>1</v>
      </c>
      <c r="D163" s="26">
        <v>90000</v>
      </c>
      <c r="E163" s="27">
        <v>8.5197825606209504E-2</v>
      </c>
      <c r="F163" s="25">
        <v>20</v>
      </c>
      <c r="G163" s="28">
        <f>VLOOKUP(B163,Sheet2!$C$17:$H$190,6,FALSE)</f>
        <v>-782.16813742200156</v>
      </c>
      <c r="H163" s="25">
        <v>214</v>
      </c>
      <c r="I163" s="29">
        <f>VLOOKUP($B163,Sheet3!$C$17:$J$190,8,FALSE)</f>
        <v>18509.967884466841</v>
      </c>
      <c r="J163" s="25" t="s">
        <v>9</v>
      </c>
      <c r="K163" s="25" t="str">
        <f>VLOOKUP(B163,Sheet4!$C$17:$L$190,10,FALSE)</f>
        <v>GNMA</v>
      </c>
      <c r="L163" s="25">
        <v>0</v>
      </c>
      <c r="M163" s="25" t="str">
        <f>VLOOKUP($B163,Sheet5!$C$17:$O$190,12,FALSE)</f>
        <v>Current</v>
      </c>
      <c r="N163" s="25" t="str">
        <f>VLOOKUP($B163,Sheet5!$C$17:$O$190,13,FALSE)</f>
        <v>N</v>
      </c>
      <c r="O163" s="25" t="str">
        <f>IF(N163="Y","This Loan is in Step: Service","This Loan is in Step: n/a")</f>
        <v>This Loan is in Step: n/a</v>
      </c>
      <c r="P163" s="25" t="str">
        <f>VLOOKUP($B163,Sheet6!$C$17:$Q$190,15,FALSE)</f>
        <v>n/a</v>
      </c>
      <c r="Q163" s="10"/>
      <c r="S163" s="10"/>
    </row>
    <row r="164" spans="1:19" x14ac:dyDescent="0.3">
      <c r="A164" s="25">
        <v>163</v>
      </c>
      <c r="B164" s="25">
        <v>55935051</v>
      </c>
      <c r="C164" s="25" t="s">
        <v>1</v>
      </c>
      <c r="D164" s="26">
        <v>310000</v>
      </c>
      <c r="E164" s="27">
        <v>6.5776912974517682E-2</v>
      </c>
      <c r="F164" s="25">
        <v>15</v>
      </c>
      <c r="G164" s="28">
        <f>VLOOKUP(B164,Sheet2!$C$17:$H$190,6,FALSE)</f>
        <v>-2713.6904725412978</v>
      </c>
      <c r="H164" s="25">
        <v>171</v>
      </c>
      <c r="I164" s="29">
        <f>VLOOKUP($B164,Sheet3!$C$17:$J$190,8,FALSE)</f>
        <v>23767.081251326628</v>
      </c>
      <c r="J164" s="25" t="s">
        <v>10</v>
      </c>
      <c r="K164" s="25" t="str">
        <f>VLOOKUP(B164,Sheet4!$C$17:$L$190,10,FALSE)</f>
        <v>FHLMC</v>
      </c>
      <c r="L164" s="25">
        <v>0</v>
      </c>
      <c r="M164" s="25" t="str">
        <f>VLOOKUP($B164,Sheet5!$C$17:$O$190,12,FALSE)</f>
        <v>Current</v>
      </c>
      <c r="N164" s="25" t="str">
        <f>VLOOKUP($B164,Sheet5!$C$17:$O$190,13,FALSE)</f>
        <v>N</v>
      </c>
      <c r="O164" s="25" t="str">
        <f>IF(N164="Y","This Loan is in Step: Service","This Loan is in Step: n/a")</f>
        <v>This Loan is in Step: n/a</v>
      </c>
      <c r="P164" s="25" t="str">
        <f>VLOOKUP($B164,Sheet6!$C$17:$Q$190,15,FALSE)</f>
        <v>n/a</v>
      </c>
      <c r="Q164" s="10"/>
      <c r="S164" s="10"/>
    </row>
    <row r="165" spans="1:19" x14ac:dyDescent="0.3">
      <c r="A165" s="25">
        <v>164</v>
      </c>
      <c r="B165" s="25">
        <v>58190701</v>
      </c>
      <c r="C165" s="25" t="s">
        <v>1</v>
      </c>
      <c r="D165" s="26">
        <v>390000</v>
      </c>
      <c r="E165" s="27">
        <v>2.8968661386930758E-2</v>
      </c>
      <c r="F165" s="25">
        <v>30</v>
      </c>
      <c r="G165" s="28">
        <f>VLOOKUP(B165,Sheet2!$C$17:$H$190,6,FALSE)</f>
        <v>-1622.6425259479668</v>
      </c>
      <c r="H165" s="25">
        <v>42</v>
      </c>
      <c r="I165" s="29">
        <f>VLOOKUP($B165,Sheet3!$C$17:$J$190,8,FALSE)</f>
        <v>359928.7791981693</v>
      </c>
      <c r="J165" s="25" t="s">
        <v>10</v>
      </c>
      <c r="K165" s="25" t="str">
        <f>VLOOKUP(B165,Sheet4!$C$17:$L$190,10,FALSE)</f>
        <v>FHLMC</v>
      </c>
      <c r="L165" s="25">
        <v>0</v>
      </c>
      <c r="M165" s="25" t="str">
        <f>VLOOKUP($B165,Sheet5!$C$17:$O$190,12,FALSE)</f>
        <v>Current</v>
      </c>
      <c r="N165" s="25" t="str">
        <f>VLOOKUP($B165,Sheet5!$C$17:$O$190,13,FALSE)</f>
        <v>N</v>
      </c>
      <c r="O165" s="25" t="str">
        <f>IF(N165="Y","This Loan is in Step: Service","This Loan is in Step: n/a")</f>
        <v>This Loan is in Step: n/a</v>
      </c>
      <c r="P165" s="25" t="str">
        <f>VLOOKUP($B165,Sheet6!$C$17:$Q$190,15,FALSE)</f>
        <v>n/a</v>
      </c>
      <c r="Q165" s="10"/>
      <c r="S165" s="10"/>
    </row>
    <row r="166" spans="1:19" x14ac:dyDescent="0.3">
      <c r="A166" s="25">
        <v>165</v>
      </c>
      <c r="B166" s="25">
        <v>22410771</v>
      </c>
      <c r="C166" s="25" t="s">
        <v>1</v>
      </c>
      <c r="D166" s="26">
        <v>280000</v>
      </c>
      <c r="E166" s="27">
        <v>2.7107655095394385E-2</v>
      </c>
      <c r="F166" s="25">
        <v>15</v>
      </c>
      <c r="G166" s="28">
        <f>VLOOKUP(B166,Sheet2!$C$17:$H$190,6,FALSE)</f>
        <v>-1894.9174430384887</v>
      </c>
      <c r="H166" s="25">
        <v>122</v>
      </c>
      <c r="I166" s="29">
        <f>VLOOKUP($B166,Sheet3!$C$17:$J$190,8,FALSE)</f>
        <v>102900.97550968033</v>
      </c>
      <c r="J166" s="25" t="s">
        <v>10</v>
      </c>
      <c r="K166" s="25" t="str">
        <f>VLOOKUP(B166,Sheet4!$C$17:$L$190,10,FALSE)</f>
        <v>FHLMC</v>
      </c>
      <c r="L166" s="25">
        <v>0</v>
      </c>
      <c r="M166" s="25" t="str">
        <f>VLOOKUP($B166,Sheet5!$C$17:$O$190,12,FALSE)</f>
        <v>Current</v>
      </c>
      <c r="N166" s="25" t="str">
        <f>VLOOKUP($B166,Sheet5!$C$17:$O$190,13,FALSE)</f>
        <v>N</v>
      </c>
      <c r="O166" s="25" t="str">
        <f>IF(N166="Y","This Loan is in Step: Judgment","This Loan is in Step: n/a")</f>
        <v>This Loan is in Step: n/a</v>
      </c>
      <c r="P166" s="25" t="str">
        <f>VLOOKUP($B166,Sheet6!$C$17:$Q$190,15,FALSE)</f>
        <v>n/a</v>
      </c>
      <c r="Q166" s="10"/>
      <c r="S166" s="10"/>
    </row>
    <row r="167" spans="1:19" x14ac:dyDescent="0.3">
      <c r="A167" s="25">
        <v>166</v>
      </c>
      <c r="B167" s="25">
        <v>60128733</v>
      </c>
      <c r="C167" s="25" t="s">
        <v>1</v>
      </c>
      <c r="D167" s="26">
        <v>450000</v>
      </c>
      <c r="E167" s="27">
        <v>7.5354629162056694E-2</v>
      </c>
      <c r="F167" s="25">
        <v>15</v>
      </c>
      <c r="G167" s="28">
        <f>VLOOKUP(B167,Sheet2!$C$17:$H$190,6,FALSE)</f>
        <v>-4180.6293078023364</v>
      </c>
      <c r="H167" s="25">
        <v>156</v>
      </c>
      <c r="I167" s="29">
        <f>VLOOKUP($B167,Sheet3!$C$17:$J$190,8,FALSE)</f>
        <v>92870.431164271708</v>
      </c>
      <c r="J167" s="25" t="s">
        <v>11</v>
      </c>
      <c r="K167" s="25" t="str">
        <f>VLOOKUP(B167,Sheet4!$C$17:$L$190,10,FALSE)</f>
        <v>FNMA</v>
      </c>
      <c r="L167" s="25">
        <v>0</v>
      </c>
      <c r="M167" s="25" t="str">
        <f>VLOOKUP($B167,Sheet5!$C$17:$O$190,12,FALSE)</f>
        <v>Current</v>
      </c>
      <c r="N167" s="25" t="str">
        <f>VLOOKUP($B167,Sheet5!$C$17:$O$190,13,FALSE)</f>
        <v>N</v>
      </c>
      <c r="O167" s="25" t="str">
        <f>IF(N167="Y","This Loan is in Step: Service","This Loan is in Step: n/a")</f>
        <v>This Loan is in Step: n/a</v>
      </c>
      <c r="P167" s="25" t="str">
        <f>VLOOKUP($B167,Sheet6!$C$17:$Q$190,15,FALSE)</f>
        <v>n/a</v>
      </c>
      <c r="Q167" s="10"/>
      <c r="S167" s="10"/>
    </row>
    <row r="168" spans="1:19" x14ac:dyDescent="0.3">
      <c r="A168" s="25">
        <v>167</v>
      </c>
      <c r="B168" s="25">
        <v>66609862</v>
      </c>
      <c r="C168" s="25" t="s">
        <v>1</v>
      </c>
      <c r="D168" s="26">
        <v>400000</v>
      </c>
      <c r="E168" s="27">
        <v>6.4130198135724042E-2</v>
      </c>
      <c r="F168" s="25">
        <v>15</v>
      </c>
      <c r="G168" s="28">
        <f>VLOOKUP(B168,Sheet2!$C$17:$H$190,6,FALSE)</f>
        <v>-3465.3314397950089</v>
      </c>
      <c r="H168" s="25">
        <v>139</v>
      </c>
      <c r="I168" s="29">
        <f>VLOOKUP($B168,Sheet3!$C$17:$J$190,8,FALSE)</f>
        <v>127286.33027175204</v>
      </c>
      <c r="J168" s="25" t="s">
        <v>10</v>
      </c>
      <c r="K168" s="25" t="str">
        <f>VLOOKUP(B168,Sheet4!$C$17:$L$190,10,FALSE)</f>
        <v>FHLMC</v>
      </c>
      <c r="L168" s="25">
        <v>0</v>
      </c>
      <c r="M168" s="25" t="str">
        <f>VLOOKUP($B168,Sheet5!$C$17:$O$190,12,FALSE)</f>
        <v>Current</v>
      </c>
      <c r="N168" s="25" t="str">
        <f>VLOOKUP($B168,Sheet5!$C$17:$O$190,13,FALSE)</f>
        <v>N</v>
      </c>
      <c r="O168" s="25" t="str">
        <f>IF(N168="Y","This Loan is in Step: Service","This Loan is in Step: n/a")</f>
        <v>This Loan is in Step: n/a</v>
      </c>
      <c r="P168" s="25" t="str">
        <f>VLOOKUP($B168,Sheet6!$C$17:$Q$190,15,FALSE)</f>
        <v>n/a</v>
      </c>
      <c r="Q168" s="10"/>
      <c r="S168" s="10"/>
    </row>
    <row r="169" spans="1:19" x14ac:dyDescent="0.3">
      <c r="A169" s="25">
        <v>168</v>
      </c>
      <c r="B169" s="25">
        <v>64197854</v>
      </c>
      <c r="C169" s="25" t="s">
        <v>1</v>
      </c>
      <c r="D169" s="26">
        <v>90000</v>
      </c>
      <c r="E169" s="27">
        <v>8.500410975067306E-2</v>
      </c>
      <c r="F169" s="25">
        <v>20</v>
      </c>
      <c r="G169" s="28">
        <f>VLOOKUP(B169,Sheet2!$C$17:$H$190,6,FALSE)</f>
        <v>-781.06432030082647</v>
      </c>
      <c r="H169" s="25">
        <v>144</v>
      </c>
      <c r="I169" s="29">
        <f>VLOOKUP($B169,Sheet3!$C$17:$J$190,8,FALSE)</f>
        <v>54269.447517068336</v>
      </c>
      <c r="J169" s="25" t="s">
        <v>11</v>
      </c>
      <c r="K169" s="25" t="str">
        <f>VLOOKUP(B169,Sheet4!$C$17:$L$190,10,FALSE)</f>
        <v>FNMA</v>
      </c>
      <c r="L169" s="25">
        <v>0</v>
      </c>
      <c r="M169" s="25" t="str">
        <f>VLOOKUP($B169,Sheet5!$C$17:$O$190,12,FALSE)</f>
        <v>Current</v>
      </c>
      <c r="N169" s="25" t="str">
        <f>VLOOKUP($B169,Sheet5!$C$17:$O$190,13,FALSE)</f>
        <v>N</v>
      </c>
      <c r="O169" s="25" t="str">
        <f>IF(N169="Y","This Loan is in Step: Sale","This Loan is in Step: n/a")</f>
        <v>This Loan is in Step: n/a</v>
      </c>
      <c r="P169" s="25" t="str">
        <f>VLOOKUP($B169,Sheet6!$C$17:$Q$190,15,FALSE)</f>
        <v>n/a</v>
      </c>
      <c r="Q169" s="10"/>
      <c r="S169" s="10"/>
    </row>
    <row r="170" spans="1:19" x14ac:dyDescent="0.3">
      <c r="A170" s="25">
        <v>169</v>
      </c>
      <c r="B170" s="25">
        <v>59656529</v>
      </c>
      <c r="C170" s="25" t="s">
        <v>1</v>
      </c>
      <c r="D170" s="26">
        <v>100000</v>
      </c>
      <c r="E170" s="27">
        <v>6.538733883278261E-2</v>
      </c>
      <c r="F170" s="25">
        <v>20</v>
      </c>
      <c r="G170" s="28">
        <f>VLOOKUP(B170,Sheet2!$C$17:$H$190,6,FALSE)</f>
        <v>-747.85526058280811</v>
      </c>
      <c r="H170" s="25">
        <v>195</v>
      </c>
      <c r="I170" s="29">
        <f>VLOOKUP($B170,Sheet3!$C$17:$J$190,8,FALSE)</f>
        <v>29773.545703494408</v>
      </c>
      <c r="J170" s="25" t="s">
        <v>13</v>
      </c>
      <c r="K170" s="25" t="str">
        <f>VLOOKUP(B170,Sheet4!$C$17:$L$190,10,FALSE)</f>
        <v>GNMA</v>
      </c>
      <c r="L170" s="25">
        <v>0</v>
      </c>
      <c r="M170" s="25" t="str">
        <f>VLOOKUP($B170,Sheet5!$C$17:$O$190,12,FALSE)</f>
        <v>Current</v>
      </c>
      <c r="N170" s="25" t="str">
        <f>VLOOKUP($B170,Sheet5!$C$17:$O$190,13,FALSE)</f>
        <v>N</v>
      </c>
      <c r="O170" s="25" t="str">
        <f>IF(N170="Y","This Loan is in Step: Sale","This Loan is in Step: n/a")</f>
        <v>This Loan is in Step: n/a</v>
      </c>
      <c r="P170" s="25" t="str">
        <f>VLOOKUP($B170,Sheet6!$C$17:$Q$190,15,FALSE)</f>
        <v>n/a</v>
      </c>
      <c r="Q170" s="10"/>
      <c r="S170" s="10"/>
    </row>
    <row r="171" spans="1:19" x14ac:dyDescent="0.3">
      <c r="A171" s="25">
        <v>170</v>
      </c>
      <c r="B171" s="25">
        <v>27416011</v>
      </c>
      <c r="C171" s="25" t="s">
        <v>1</v>
      </c>
      <c r="D171" s="26">
        <v>320000</v>
      </c>
      <c r="E171" s="27">
        <v>4.5206795026638533E-2</v>
      </c>
      <c r="F171" s="25">
        <v>20</v>
      </c>
      <c r="G171" s="28">
        <f>VLOOKUP(B171,Sheet2!$C$17:$H$190,6,FALSE)</f>
        <v>-2028.0517953301764</v>
      </c>
      <c r="H171" s="25">
        <v>120</v>
      </c>
      <c r="I171" s="29">
        <f>VLOOKUP($B171,Sheet3!$C$17:$J$190,8,FALSE)</f>
        <v>195497.25390834792</v>
      </c>
      <c r="J171" s="25" t="s">
        <v>10</v>
      </c>
      <c r="K171" s="25" t="str">
        <f>VLOOKUP(B171,Sheet4!$C$17:$L$190,10,FALSE)</f>
        <v>FHLMC</v>
      </c>
      <c r="L171" s="25">
        <v>6</v>
      </c>
      <c r="M171" s="25" t="str">
        <f>VLOOKUP($B171,Sheet5!$C$17:$O$190,12,FALSE)</f>
        <v>90+</v>
      </c>
      <c r="N171" s="25" t="str">
        <f>VLOOKUP($B171,Sheet5!$C$17:$O$190,13,FALSE)</f>
        <v>Y</v>
      </c>
      <c r="O171" s="25" t="str">
        <f>IF(N171="Y","This Loan is in Step: Service","This Loan is in Step: n/a")</f>
        <v>This Loan is in Step: Service</v>
      </c>
      <c r="P171" s="25" t="str">
        <f>VLOOKUP($B171,Sheet6!$C$17:$Q$190,15,FALSE)</f>
        <v>Service</v>
      </c>
      <c r="Q171" s="10"/>
      <c r="S171" s="10"/>
    </row>
    <row r="172" spans="1:19" x14ac:dyDescent="0.3">
      <c r="A172" s="25">
        <v>171</v>
      </c>
      <c r="B172" s="25">
        <v>48475995</v>
      </c>
      <c r="C172" s="25" t="s">
        <v>1</v>
      </c>
      <c r="D172" s="26">
        <v>270000</v>
      </c>
      <c r="E172" s="27">
        <v>8.0420328455112197E-2</v>
      </c>
      <c r="F172" s="25">
        <v>15</v>
      </c>
      <c r="G172" s="28">
        <f>VLOOKUP(B172,Sheet2!$C$17:$H$190,6,FALSE)</f>
        <v>-2586.8165856002333</v>
      </c>
      <c r="H172" s="25">
        <v>47</v>
      </c>
      <c r="I172" s="29">
        <f>VLOOKUP($B172,Sheet3!$C$17:$J$190,8,FALSE)</f>
        <v>227222.13938087691</v>
      </c>
      <c r="J172" s="25" t="s">
        <v>9</v>
      </c>
      <c r="K172" s="25" t="str">
        <f>VLOOKUP(B172,Sheet4!$C$17:$L$190,10,FALSE)</f>
        <v>GNMA</v>
      </c>
      <c r="L172" s="25">
        <v>9</v>
      </c>
      <c r="M172" s="25" t="str">
        <f>VLOOKUP($B172,Sheet5!$C$17:$O$190,12,FALSE)</f>
        <v>90+</v>
      </c>
      <c r="N172" s="25" t="str">
        <f>VLOOKUP($B172,Sheet5!$C$17:$O$190,13,FALSE)</f>
        <v>Y</v>
      </c>
      <c r="O172" s="25" t="str">
        <f>IF(N172="Y","This Loan is in Step: Judgment","This Loan is in Step: n/a")</f>
        <v>This Loan is in Step: Judgment</v>
      </c>
      <c r="P172" s="25" t="str">
        <f>VLOOKUP($B172,Sheet6!$C$17:$Q$190,15,FALSE)</f>
        <v>Judgment</v>
      </c>
      <c r="Q172" s="10"/>
      <c r="S172" s="10"/>
    </row>
    <row r="173" spans="1:19" x14ac:dyDescent="0.3">
      <c r="A173" s="25">
        <v>172</v>
      </c>
      <c r="B173" s="25">
        <v>71360853</v>
      </c>
      <c r="C173" s="25" t="s">
        <v>1</v>
      </c>
      <c r="D173" s="26">
        <v>430000</v>
      </c>
      <c r="E173" s="27">
        <v>8.948433022180316E-2</v>
      </c>
      <c r="F173" s="25">
        <v>15</v>
      </c>
      <c r="G173" s="28">
        <f>VLOOKUP(B173,Sheet2!$C$17:$H$190,6,FALSE)</f>
        <v>-4348.1654276527343</v>
      </c>
      <c r="H173" s="25">
        <v>164</v>
      </c>
      <c r="I173" s="29">
        <f>VLOOKUP($B173,Sheet3!$C$17:$J$190,8,FALSE)</f>
        <v>65351.444777577453</v>
      </c>
      <c r="J173" s="25" t="s">
        <v>11</v>
      </c>
      <c r="K173" s="25" t="str">
        <f>VLOOKUP(B173,Sheet4!$C$17:$L$190,10,FALSE)</f>
        <v>FNMA</v>
      </c>
      <c r="L173" s="25">
        <v>5</v>
      </c>
      <c r="M173" s="25" t="str">
        <f>VLOOKUP($B173,Sheet5!$C$17:$O$190,12,FALSE)</f>
        <v>90+</v>
      </c>
      <c r="N173" s="25" t="str">
        <f>VLOOKUP($B173,Sheet5!$C$17:$O$190,13,FALSE)</f>
        <v>N</v>
      </c>
      <c r="O173" s="25" t="str">
        <f>IF(N173="Y","This Loan is in Step: Judgment","This Loan is in Step: n/a")</f>
        <v>This Loan is in Step: n/a</v>
      </c>
      <c r="P173" s="25" t="str">
        <f>VLOOKUP($B173,Sheet6!$C$17:$Q$190,15,FALSE)</f>
        <v>n/a</v>
      </c>
      <c r="Q173" s="10"/>
      <c r="S173" s="10"/>
    </row>
    <row r="174" spans="1:19" x14ac:dyDescent="0.3">
      <c r="A174" s="25">
        <v>173</v>
      </c>
      <c r="B174" s="25">
        <v>35512275</v>
      </c>
      <c r="C174" s="25" t="s">
        <v>1</v>
      </c>
      <c r="D174" s="26">
        <v>380000</v>
      </c>
      <c r="E174" s="27">
        <v>6.1968837801717767E-2</v>
      </c>
      <c r="F174" s="25">
        <v>30</v>
      </c>
      <c r="G174" s="28">
        <f>VLOOKUP(B174,Sheet2!$C$17:$H$190,6,FALSE)</f>
        <v>-2326.6137587718663</v>
      </c>
      <c r="H174" s="25">
        <v>62</v>
      </c>
      <c r="I174" s="29">
        <f>VLOOKUP($B174,Sheet3!$C$17:$J$190,8,FALSE)</f>
        <v>353461.13425502449</v>
      </c>
      <c r="J174" s="25" t="s">
        <v>9</v>
      </c>
      <c r="K174" s="25" t="str">
        <f>VLOOKUP(B174,Sheet4!$C$17:$L$190,10,FALSE)</f>
        <v>GNMA</v>
      </c>
      <c r="L174" s="25">
        <v>9</v>
      </c>
      <c r="M174" s="25" t="str">
        <f>VLOOKUP($B174,Sheet5!$C$17:$O$190,12,FALSE)</f>
        <v>90+</v>
      </c>
      <c r="N174" s="25" t="str">
        <f>VLOOKUP($B174,Sheet5!$C$17:$O$190,13,FALSE)</f>
        <v>Y</v>
      </c>
      <c r="O174" s="25" t="str">
        <f>IF(N174="Y","This Loan is in Step: Referral","This Loan is in Step: n/a")</f>
        <v>This Loan is in Step: Referral</v>
      </c>
      <c r="P174" s="25" t="str">
        <f>VLOOKUP($B174,Sheet6!$C$17:$Q$190,15,FALSE)</f>
        <v>Referral</v>
      </c>
      <c r="Q174" s="10"/>
      <c r="S174" s="10"/>
    </row>
    <row r="175" spans="1:19" x14ac:dyDescent="0.3">
      <c r="A175" s="25">
        <v>174</v>
      </c>
      <c r="B175" s="25">
        <v>38613129</v>
      </c>
      <c r="C175" s="25" t="s">
        <v>1</v>
      </c>
      <c r="D175" s="26">
        <v>370000</v>
      </c>
      <c r="E175" s="27">
        <v>5.8198216683628096E-2</v>
      </c>
      <c r="F175" s="25">
        <v>15</v>
      </c>
      <c r="G175" s="28">
        <f>VLOOKUP(B175,Sheet2!$C$17:$H$190,6,FALSE)</f>
        <v>-3086.3680567423221</v>
      </c>
      <c r="H175" s="25">
        <v>28</v>
      </c>
      <c r="I175" s="29">
        <f>VLOOKUP($B175,Sheet3!$C$17:$J$190,8,FALSE)</f>
        <v>331355.10669905931</v>
      </c>
      <c r="J175" s="25" t="s">
        <v>13</v>
      </c>
      <c r="K175" s="25" t="str">
        <f>VLOOKUP(B175,Sheet4!$C$17:$L$190,10,FALSE)</f>
        <v>GNMA</v>
      </c>
      <c r="L175" s="25">
        <v>4</v>
      </c>
      <c r="M175" s="25" t="str">
        <f>VLOOKUP($B175,Sheet5!$C$17:$O$190,12,FALSE)</f>
        <v>90+</v>
      </c>
      <c r="N175" s="25" t="str">
        <f>VLOOKUP($B175,Sheet5!$C$17:$O$190,13,FALSE)</f>
        <v>N</v>
      </c>
      <c r="O175" s="25" t="str">
        <f>IF(N175="Y","This Loan is in Step: Service","This Loan is in Step: n/a")</f>
        <v>This Loan is in Step: n/a</v>
      </c>
      <c r="P175" s="25" t="str">
        <f>VLOOKUP($B175,Sheet6!$C$17:$Q$190,15,FALSE)</f>
        <v>n/a</v>
      </c>
      <c r="Q175" s="10"/>
      <c r="S175" s="10"/>
    </row>
  </sheetData>
  <sheetProtection algorithmName="SHA-512" hashValue="ErpsB8hVAZVqlMU5RhYx+CWAtrpJrNNDN7rtDkbzd4R4gk6BbW4zcgc7I6kj4XArQmCxy0Za0vxC9Vyv/zvA4A==" saltValue="IduYqSMctc1EONJOps7D0w==" spinCount="100000" sheet="1" objects="1" scenarios="1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7E2-91C8-431C-BC68-56554F4D3153}">
  <sheetPr codeName="Sheet11"/>
  <dimension ref="A1:S175"/>
  <sheetViews>
    <sheetView tabSelected="1" topLeftCell="A14" zoomScale="125" workbookViewId="0">
      <selection activeCell="F24" sqref="F24"/>
    </sheetView>
  </sheetViews>
  <sheetFormatPr defaultRowHeight="10.75" x14ac:dyDescent="0.3"/>
  <cols>
    <col min="1" max="1" width="4.8984375" bestFit="1" customWidth="1"/>
    <col min="2" max="2" width="11.59765625" bestFit="1" customWidth="1"/>
    <col min="3" max="3" width="24.69921875" bestFit="1" customWidth="1"/>
    <col min="4" max="4" width="11.59765625" bestFit="1" customWidth="1"/>
    <col min="5" max="5" width="10.59765625" bestFit="1" customWidth="1"/>
    <col min="6" max="6" width="10.796875" bestFit="1" customWidth="1"/>
    <col min="7" max="7" width="13.09765625" bestFit="1" customWidth="1"/>
    <col min="8" max="8" width="13.796875" style="7" bestFit="1" customWidth="1"/>
    <col min="9" max="9" width="13.796875" bestFit="1" customWidth="1"/>
    <col min="12" max="12" width="18.796875" bestFit="1" customWidth="1"/>
    <col min="13" max="13" width="10.796875" customWidth="1"/>
    <col min="14" max="14" width="10.296875" bestFit="1" customWidth="1"/>
    <col min="15" max="15" width="28.19921875" customWidth="1"/>
    <col min="16" max="16" width="14.296875" bestFit="1" customWidth="1"/>
    <col min="20" max="20" width="26.19921875" bestFit="1" customWidth="1"/>
    <col min="21" max="21" width="25.796875" bestFit="1" customWidth="1"/>
    <col min="22" max="22" width="57.5" bestFit="1" customWidth="1"/>
  </cols>
  <sheetData>
    <row r="1" spans="1:19" x14ac:dyDescent="0.3">
      <c r="A1" s="23" t="s">
        <v>19</v>
      </c>
      <c r="B1" s="23" t="s">
        <v>0</v>
      </c>
      <c r="C1" s="24" t="s">
        <v>15</v>
      </c>
      <c r="D1" s="24" t="s">
        <v>5</v>
      </c>
      <c r="E1" s="24" t="s">
        <v>21</v>
      </c>
      <c r="F1" s="24" t="s">
        <v>20</v>
      </c>
      <c r="G1" s="24" t="s">
        <v>4</v>
      </c>
      <c r="H1" s="24" t="s">
        <v>7</v>
      </c>
      <c r="I1" s="24" t="s">
        <v>6</v>
      </c>
      <c r="J1" s="24" t="s">
        <v>8</v>
      </c>
      <c r="K1" s="24" t="s">
        <v>14</v>
      </c>
      <c r="L1" s="24" t="s">
        <v>24</v>
      </c>
      <c r="M1" s="23" t="s">
        <v>25</v>
      </c>
      <c r="N1" s="23" t="s">
        <v>32</v>
      </c>
      <c r="O1" s="23" t="s">
        <v>35</v>
      </c>
      <c r="P1" s="23" t="s">
        <v>36</v>
      </c>
    </row>
    <row r="2" spans="1:19" x14ac:dyDescent="0.3">
      <c r="A2" s="25">
        <v>1</v>
      </c>
      <c r="B2" s="25">
        <v>83449837</v>
      </c>
      <c r="C2" s="25" t="s">
        <v>3</v>
      </c>
      <c r="D2" s="26">
        <v>280000</v>
      </c>
      <c r="E2" s="27">
        <v>6.3422300277239399E-2</v>
      </c>
      <c r="F2" s="25">
        <v>30</v>
      </c>
      <c r="G2" s="28">
        <v>1771458.2938781471</v>
      </c>
      <c r="H2" s="25">
        <v>191</v>
      </c>
      <c r="I2" s="29">
        <v>-85767.228502382975</v>
      </c>
      <c r="J2" s="25" t="s">
        <v>12</v>
      </c>
      <c r="K2" s="25" t="s">
        <v>18</v>
      </c>
      <c r="L2" s="25">
        <v>6</v>
      </c>
      <c r="M2" s="25" t="s">
        <v>31</v>
      </c>
      <c r="N2" s="25" t="s">
        <v>64</v>
      </c>
      <c r="O2" s="25" t="s">
        <v>65</v>
      </c>
      <c r="P2" s="25" t="s">
        <v>43</v>
      </c>
      <c r="Q2" s="10"/>
      <c r="S2" s="10"/>
    </row>
    <row r="3" spans="1:19" x14ac:dyDescent="0.3">
      <c r="A3" s="25">
        <v>2</v>
      </c>
      <c r="B3" s="25">
        <v>41209504</v>
      </c>
      <c r="C3" s="25" t="s">
        <v>3</v>
      </c>
      <c r="D3" s="26">
        <v>370000</v>
      </c>
      <c r="E3" s="27">
        <v>4.7923567837379721E-2</v>
      </c>
      <c r="F3" s="25">
        <v>30</v>
      </c>
      <c r="G3" s="28">
        <v>1506919.1675951311</v>
      </c>
      <c r="H3" s="25">
        <v>322</v>
      </c>
      <c r="I3" s="29">
        <v>-301743.14811797719</v>
      </c>
      <c r="J3" s="25" t="s">
        <v>11</v>
      </c>
      <c r="K3" s="25" t="s">
        <v>17</v>
      </c>
      <c r="L3" s="25">
        <v>5</v>
      </c>
      <c r="M3" s="25" t="s">
        <v>31</v>
      </c>
      <c r="N3" s="25" t="s">
        <v>66</v>
      </c>
      <c r="O3" s="25" t="s">
        <v>67</v>
      </c>
      <c r="P3" s="25" t="s">
        <v>63</v>
      </c>
      <c r="Q3" s="10"/>
      <c r="S3" s="10"/>
    </row>
    <row r="4" spans="1:19" x14ac:dyDescent="0.3">
      <c r="A4" s="25">
        <v>3</v>
      </c>
      <c r="B4" s="25">
        <v>25055860</v>
      </c>
      <c r="C4" s="25" t="s">
        <v>3</v>
      </c>
      <c r="D4" s="26">
        <v>210000</v>
      </c>
      <c r="E4" s="27">
        <v>6.1424733534152585E-2</v>
      </c>
      <c r="F4" s="25">
        <v>20</v>
      </c>
      <c r="G4" s="28">
        <v>691836.3287062801</v>
      </c>
      <c r="H4" s="25">
        <v>32</v>
      </c>
      <c r="I4" s="29">
        <v>-15495.170564521975</v>
      </c>
      <c r="J4" s="25" t="s">
        <v>13</v>
      </c>
      <c r="K4" s="25" t="s">
        <v>18</v>
      </c>
      <c r="L4" s="25">
        <v>0</v>
      </c>
      <c r="M4" s="25" t="s">
        <v>30</v>
      </c>
      <c r="N4" s="25" t="s">
        <v>66</v>
      </c>
      <c r="O4" s="25" t="s">
        <v>67</v>
      </c>
      <c r="P4" s="25" t="s">
        <v>63</v>
      </c>
      <c r="Q4" s="10"/>
      <c r="S4" s="10"/>
    </row>
    <row r="5" spans="1:19" x14ac:dyDescent="0.3">
      <c r="A5" s="25">
        <v>4</v>
      </c>
      <c r="B5" s="25">
        <v>61173887</v>
      </c>
      <c r="C5" s="25" t="s">
        <v>3</v>
      </c>
      <c r="D5" s="26">
        <v>120000</v>
      </c>
      <c r="E5" s="27">
        <v>6.9916583821802616E-2</v>
      </c>
      <c r="F5" s="25">
        <v>30</v>
      </c>
      <c r="G5" s="28">
        <v>911336.61948007834</v>
      </c>
      <c r="H5" s="25">
        <v>23</v>
      </c>
      <c r="I5" s="29">
        <v>-2417.4080580836758</v>
      </c>
      <c r="J5" s="25" t="s">
        <v>12</v>
      </c>
      <c r="K5" s="25" t="s">
        <v>18</v>
      </c>
      <c r="L5" s="25">
        <v>0</v>
      </c>
      <c r="M5" s="25" t="s">
        <v>30</v>
      </c>
      <c r="N5" s="25" t="s">
        <v>66</v>
      </c>
      <c r="O5" s="25" t="s">
        <v>67</v>
      </c>
      <c r="P5" s="25" t="s">
        <v>63</v>
      </c>
      <c r="Q5" s="10"/>
      <c r="S5" s="10"/>
    </row>
    <row r="6" spans="1:19" x14ac:dyDescent="0.3">
      <c r="A6" s="25">
        <v>5</v>
      </c>
      <c r="B6" s="25">
        <v>51398733</v>
      </c>
      <c r="C6" s="25" t="s">
        <v>3</v>
      </c>
      <c r="D6" s="26">
        <v>350000</v>
      </c>
      <c r="E6" s="27">
        <v>5.0134005155326899E-2</v>
      </c>
      <c r="F6" s="25">
        <v>20</v>
      </c>
      <c r="G6" s="28">
        <v>931027.44337903184</v>
      </c>
      <c r="H6" s="25">
        <v>154</v>
      </c>
      <c r="I6" s="29">
        <v>-183225.60483191736</v>
      </c>
      <c r="J6" s="25" t="s">
        <v>11</v>
      </c>
      <c r="K6" s="25" t="s">
        <v>17</v>
      </c>
      <c r="L6" s="25">
        <v>0</v>
      </c>
      <c r="M6" s="25" t="s">
        <v>30</v>
      </c>
      <c r="N6" s="25" t="s">
        <v>66</v>
      </c>
      <c r="O6" s="25" t="s">
        <v>67</v>
      </c>
      <c r="P6" s="25" t="s">
        <v>63</v>
      </c>
      <c r="Q6" s="10"/>
      <c r="S6" s="10"/>
    </row>
    <row r="7" spans="1:19" x14ac:dyDescent="0.3">
      <c r="A7" s="25">
        <v>6</v>
      </c>
      <c r="B7" s="25">
        <v>76906141</v>
      </c>
      <c r="C7" s="25" t="s">
        <v>3</v>
      </c>
      <c r="D7" s="26">
        <v>220000</v>
      </c>
      <c r="E7" s="27">
        <v>4.2786225749490842E-2</v>
      </c>
      <c r="F7" s="25">
        <v>10</v>
      </c>
      <c r="G7" s="28">
        <v>334484.14761511289</v>
      </c>
      <c r="H7" s="25">
        <v>47</v>
      </c>
      <c r="I7" s="29">
        <v>-75184.868371663761</v>
      </c>
      <c r="J7" s="25" t="s">
        <v>10</v>
      </c>
      <c r="K7" s="25" t="s">
        <v>16</v>
      </c>
      <c r="L7" s="25">
        <v>5</v>
      </c>
      <c r="M7" s="25" t="s">
        <v>31</v>
      </c>
      <c r="N7" s="25" t="s">
        <v>66</v>
      </c>
      <c r="O7" s="25" t="s">
        <v>67</v>
      </c>
      <c r="P7" s="25" t="s">
        <v>63</v>
      </c>
      <c r="Q7" s="10"/>
      <c r="S7" s="10"/>
    </row>
    <row r="8" spans="1:19" x14ac:dyDescent="0.3">
      <c r="A8" s="25">
        <v>7</v>
      </c>
      <c r="B8" s="25">
        <v>49304139</v>
      </c>
      <c r="C8" s="25" t="s">
        <v>3</v>
      </c>
      <c r="D8" s="26">
        <v>330000</v>
      </c>
      <c r="E8" s="27">
        <v>7.9882925276980848E-2</v>
      </c>
      <c r="F8" s="25">
        <v>10</v>
      </c>
      <c r="G8" s="28">
        <v>711673.31711903214</v>
      </c>
      <c r="H8" s="25">
        <v>81</v>
      </c>
      <c r="I8" s="29">
        <v>-192944.25960322487</v>
      </c>
      <c r="J8" s="25" t="s">
        <v>13</v>
      </c>
      <c r="K8" s="25" t="s">
        <v>18</v>
      </c>
      <c r="L8" s="25">
        <v>5</v>
      </c>
      <c r="M8" s="25" t="s">
        <v>31</v>
      </c>
      <c r="N8" s="25" t="s">
        <v>66</v>
      </c>
      <c r="O8" s="25" t="s">
        <v>67</v>
      </c>
      <c r="P8" s="25" t="s">
        <v>63</v>
      </c>
      <c r="Q8" s="10"/>
      <c r="S8" s="10"/>
    </row>
    <row r="9" spans="1:19" x14ac:dyDescent="0.3">
      <c r="A9" s="25">
        <v>8</v>
      </c>
      <c r="B9" s="25">
        <v>23473039</v>
      </c>
      <c r="C9" s="25" t="s">
        <v>3</v>
      </c>
      <c r="D9" s="26">
        <v>160000</v>
      </c>
      <c r="E9" s="27">
        <v>3.7834646761219816E-2</v>
      </c>
      <c r="F9" s="25">
        <v>30</v>
      </c>
      <c r="G9" s="28">
        <v>487489.12452248338</v>
      </c>
      <c r="H9" s="25">
        <v>317</v>
      </c>
      <c r="I9" s="29">
        <v>-130124.76201764171</v>
      </c>
      <c r="J9" s="25" t="s">
        <v>13</v>
      </c>
      <c r="K9" s="25" t="s">
        <v>18</v>
      </c>
      <c r="L9" s="25">
        <v>3</v>
      </c>
      <c r="M9" s="25" t="s">
        <v>31</v>
      </c>
      <c r="N9" s="25" t="s">
        <v>66</v>
      </c>
      <c r="O9" s="25" t="s">
        <v>67</v>
      </c>
      <c r="P9" s="25" t="s">
        <v>63</v>
      </c>
      <c r="Q9" s="10"/>
      <c r="S9" s="10"/>
    </row>
    <row r="10" spans="1:19" x14ac:dyDescent="0.3">
      <c r="A10" s="25">
        <v>9</v>
      </c>
      <c r="B10" s="25">
        <v>53651842</v>
      </c>
      <c r="C10" s="25" t="s">
        <v>3</v>
      </c>
      <c r="D10" s="26">
        <v>370000</v>
      </c>
      <c r="E10" s="27">
        <v>5.6469996936378344E-2</v>
      </c>
      <c r="F10" s="25">
        <v>30</v>
      </c>
      <c r="G10" s="28">
        <v>1922723.1729205011</v>
      </c>
      <c r="H10" s="25">
        <v>73</v>
      </c>
      <c r="I10" s="29">
        <v>-34217.38644574878</v>
      </c>
      <c r="J10" s="25" t="s">
        <v>10</v>
      </c>
      <c r="K10" s="25" t="s">
        <v>16</v>
      </c>
      <c r="L10" s="25">
        <v>4</v>
      </c>
      <c r="M10" s="25" t="s">
        <v>31</v>
      </c>
      <c r="N10" s="25" t="s">
        <v>66</v>
      </c>
      <c r="O10" s="25" t="s">
        <v>67</v>
      </c>
      <c r="P10" s="25" t="s">
        <v>63</v>
      </c>
      <c r="Q10" s="10"/>
      <c r="S10" s="10"/>
    </row>
    <row r="11" spans="1:19" x14ac:dyDescent="0.3">
      <c r="A11" s="25">
        <v>10</v>
      </c>
      <c r="B11" s="25">
        <v>77159777</v>
      </c>
      <c r="C11" s="25" t="s">
        <v>3</v>
      </c>
      <c r="D11" s="26">
        <v>240000</v>
      </c>
      <c r="E11" s="27">
        <v>5.6715626593494835E-2</v>
      </c>
      <c r="F11" s="25">
        <v>30</v>
      </c>
      <c r="G11" s="28">
        <v>1255900.2150309104</v>
      </c>
      <c r="H11" s="25">
        <v>174</v>
      </c>
      <c r="I11" s="29">
        <v>-68420.399118804213</v>
      </c>
      <c r="J11" s="25" t="s">
        <v>12</v>
      </c>
      <c r="K11" s="25" t="s">
        <v>18</v>
      </c>
      <c r="L11" s="25">
        <v>9</v>
      </c>
      <c r="M11" s="25" t="s">
        <v>31</v>
      </c>
      <c r="N11" s="25" t="s">
        <v>64</v>
      </c>
      <c r="O11" s="25" t="s">
        <v>68</v>
      </c>
      <c r="P11" s="25" t="s">
        <v>44</v>
      </c>
      <c r="Q11" s="10"/>
      <c r="S11" s="10"/>
    </row>
    <row r="12" spans="1:19" x14ac:dyDescent="0.3">
      <c r="A12" s="25">
        <v>11</v>
      </c>
      <c r="B12" s="25">
        <v>66573753</v>
      </c>
      <c r="C12" s="25" t="s">
        <v>3</v>
      </c>
      <c r="D12" s="26">
        <v>240000</v>
      </c>
      <c r="E12" s="27">
        <v>4.0215407626109097E-2</v>
      </c>
      <c r="F12" s="25">
        <v>30</v>
      </c>
      <c r="G12" s="28">
        <v>783266.78226821148</v>
      </c>
      <c r="H12" s="25">
        <v>80</v>
      </c>
      <c r="I12" s="29">
        <v>-31545.103547818155</v>
      </c>
      <c r="J12" s="25" t="s">
        <v>11</v>
      </c>
      <c r="K12" s="25" t="s">
        <v>17</v>
      </c>
      <c r="L12" s="25">
        <v>2</v>
      </c>
      <c r="M12" s="25" t="s">
        <v>26</v>
      </c>
      <c r="N12" s="25" t="s">
        <v>66</v>
      </c>
      <c r="O12" s="25" t="s">
        <v>67</v>
      </c>
      <c r="P12" s="25" t="s">
        <v>63</v>
      </c>
      <c r="Q12" s="10"/>
      <c r="S12" s="10"/>
    </row>
    <row r="13" spans="1:19" x14ac:dyDescent="0.3">
      <c r="A13" s="25">
        <v>12</v>
      </c>
      <c r="B13" s="25">
        <v>35312476</v>
      </c>
      <c r="C13" s="25" t="s">
        <v>3</v>
      </c>
      <c r="D13" s="26">
        <v>120000</v>
      </c>
      <c r="E13" s="27">
        <v>8.3860466435509498E-2</v>
      </c>
      <c r="F13" s="25">
        <v>10</v>
      </c>
      <c r="G13" s="28">
        <v>268481.89462188911</v>
      </c>
      <c r="H13" s="25">
        <v>103</v>
      </c>
      <c r="I13" s="29">
        <v>-96346.401212056298</v>
      </c>
      <c r="J13" s="25" t="s">
        <v>9</v>
      </c>
      <c r="K13" s="25" t="s">
        <v>18</v>
      </c>
      <c r="L13" s="25">
        <v>4</v>
      </c>
      <c r="M13" s="25" t="s">
        <v>31</v>
      </c>
      <c r="N13" s="25" t="s">
        <v>66</v>
      </c>
      <c r="O13" s="25" t="s">
        <v>67</v>
      </c>
      <c r="P13" s="25" t="s">
        <v>63</v>
      </c>
      <c r="Q13" s="10"/>
      <c r="S13" s="10"/>
    </row>
    <row r="14" spans="1:19" x14ac:dyDescent="0.3">
      <c r="A14" s="25">
        <v>13</v>
      </c>
      <c r="B14" s="25">
        <v>95991315</v>
      </c>
      <c r="C14" s="25" t="s">
        <v>3</v>
      </c>
      <c r="D14" s="26">
        <v>150000</v>
      </c>
      <c r="E14" s="27">
        <v>3.5523380678162242E-2</v>
      </c>
      <c r="F14" s="25">
        <v>20</v>
      </c>
      <c r="G14" s="28">
        <v>301501.47502886795</v>
      </c>
      <c r="H14" s="25">
        <v>37</v>
      </c>
      <c r="I14" s="29">
        <v>-16785.331725386419</v>
      </c>
      <c r="J14" s="25" t="s">
        <v>9</v>
      </c>
      <c r="K14" s="25" t="s">
        <v>18</v>
      </c>
      <c r="L14" s="25">
        <v>9</v>
      </c>
      <c r="M14" s="25" t="s">
        <v>31</v>
      </c>
      <c r="N14" s="25" t="s">
        <v>64</v>
      </c>
      <c r="O14" s="25" t="s">
        <v>65</v>
      </c>
      <c r="P14" s="25" t="s">
        <v>43</v>
      </c>
      <c r="Q14" s="10"/>
      <c r="S14" s="10"/>
    </row>
    <row r="15" spans="1:19" x14ac:dyDescent="0.3">
      <c r="A15" s="25">
        <v>14</v>
      </c>
      <c r="B15" s="25">
        <v>30278425</v>
      </c>
      <c r="C15" s="25" t="s">
        <v>3</v>
      </c>
      <c r="D15" s="26">
        <v>100000</v>
      </c>
      <c r="E15" s="27">
        <v>3.6067921361398102E-2</v>
      </c>
      <c r="F15" s="25">
        <v>20</v>
      </c>
      <c r="G15" s="28">
        <v>203125.54637898441</v>
      </c>
      <c r="H15" s="25">
        <v>238</v>
      </c>
      <c r="I15" s="29">
        <v>-98834.333357045922</v>
      </c>
      <c r="J15" s="25" t="s">
        <v>9</v>
      </c>
      <c r="K15" s="25" t="s">
        <v>18</v>
      </c>
      <c r="L15" s="25">
        <v>8</v>
      </c>
      <c r="M15" s="25" t="s">
        <v>31</v>
      </c>
      <c r="N15" s="25" t="s">
        <v>64</v>
      </c>
      <c r="O15" s="25" t="s">
        <v>69</v>
      </c>
      <c r="P15" s="25" t="s">
        <v>45</v>
      </c>
      <c r="Q15" s="10"/>
      <c r="S15" s="10"/>
    </row>
    <row r="16" spans="1:19" x14ac:dyDescent="0.3">
      <c r="A16" s="25">
        <v>15</v>
      </c>
      <c r="B16" s="25">
        <v>89078715</v>
      </c>
      <c r="C16" s="25" t="s">
        <v>3</v>
      </c>
      <c r="D16" s="26">
        <v>210000</v>
      </c>
      <c r="E16" s="27">
        <v>2.0976206387454444E-2</v>
      </c>
      <c r="F16" s="25">
        <v>10</v>
      </c>
      <c r="G16" s="28">
        <v>258449.38642667342</v>
      </c>
      <c r="H16" s="25">
        <v>29</v>
      </c>
      <c r="I16" s="29">
        <v>-46792.53501529499</v>
      </c>
      <c r="J16" s="25" t="s">
        <v>9</v>
      </c>
      <c r="K16" s="25" t="s">
        <v>18</v>
      </c>
      <c r="L16" s="25">
        <v>0</v>
      </c>
      <c r="M16" s="25" t="s">
        <v>30</v>
      </c>
      <c r="N16" s="25" t="s">
        <v>66</v>
      </c>
      <c r="O16" s="25" t="s">
        <v>67</v>
      </c>
      <c r="P16" s="25" t="s">
        <v>63</v>
      </c>
      <c r="Q16" s="10"/>
      <c r="S16" s="10"/>
    </row>
    <row r="17" spans="1:19" x14ac:dyDescent="0.3">
      <c r="A17" s="25">
        <v>16</v>
      </c>
      <c r="B17" s="25">
        <v>66655583</v>
      </c>
      <c r="C17" s="25" t="s">
        <v>3</v>
      </c>
      <c r="D17" s="26">
        <v>390000</v>
      </c>
      <c r="E17" s="27">
        <v>7.3061166730698637E-2</v>
      </c>
      <c r="F17" s="25">
        <v>10</v>
      </c>
      <c r="G17" s="28">
        <v>789422.30050290679</v>
      </c>
      <c r="H17" s="25">
        <v>23</v>
      </c>
      <c r="I17" s="29">
        <v>-54519.465457495702</v>
      </c>
      <c r="J17" s="25" t="s">
        <v>11</v>
      </c>
      <c r="K17" s="25" t="s">
        <v>17</v>
      </c>
      <c r="L17" s="25">
        <v>1</v>
      </c>
      <c r="M17" s="25" t="s">
        <v>26</v>
      </c>
      <c r="N17" s="25" t="s">
        <v>66</v>
      </c>
      <c r="O17" s="25" t="s">
        <v>67</v>
      </c>
      <c r="P17" s="25" t="s">
        <v>63</v>
      </c>
      <c r="Q17" s="10"/>
      <c r="S17" s="10"/>
    </row>
    <row r="18" spans="1:19" x14ac:dyDescent="0.3">
      <c r="A18" s="25">
        <v>17</v>
      </c>
      <c r="B18" s="25">
        <v>23457613</v>
      </c>
      <c r="C18" s="25" t="s">
        <v>3</v>
      </c>
      <c r="D18" s="26">
        <v>240000</v>
      </c>
      <c r="E18" s="27">
        <v>2.7097694596205285E-2</v>
      </c>
      <c r="F18" s="25">
        <v>20</v>
      </c>
      <c r="G18" s="28">
        <v>409681.47829768725</v>
      </c>
      <c r="H18" s="25">
        <v>228</v>
      </c>
      <c r="I18" s="29">
        <v>-224668.73461976461</v>
      </c>
      <c r="J18" s="25" t="s">
        <v>11</v>
      </c>
      <c r="K18" s="25" t="s">
        <v>17</v>
      </c>
      <c r="L18" s="25">
        <v>4</v>
      </c>
      <c r="M18" s="25" t="s">
        <v>31</v>
      </c>
      <c r="N18" s="25" t="s">
        <v>66</v>
      </c>
      <c r="O18" s="25" t="s">
        <v>67</v>
      </c>
      <c r="P18" s="25" t="s">
        <v>63</v>
      </c>
      <c r="Q18" s="10"/>
      <c r="S18" s="10"/>
    </row>
    <row r="19" spans="1:19" x14ac:dyDescent="0.3">
      <c r="A19" s="25">
        <v>18</v>
      </c>
      <c r="B19" s="25">
        <v>68418670</v>
      </c>
      <c r="C19" s="25" t="s">
        <v>3</v>
      </c>
      <c r="D19" s="26">
        <v>280000</v>
      </c>
      <c r="E19" s="27">
        <v>2.5842605502086724E-2</v>
      </c>
      <c r="F19" s="25">
        <v>20</v>
      </c>
      <c r="G19" s="28">
        <v>466415.18104418524</v>
      </c>
      <c r="H19" s="25">
        <v>69</v>
      </c>
      <c r="I19" s="29">
        <v>-66298.17000474027</v>
      </c>
      <c r="J19" s="25" t="s">
        <v>13</v>
      </c>
      <c r="K19" s="25" t="s">
        <v>18</v>
      </c>
      <c r="L19" s="25">
        <v>0</v>
      </c>
      <c r="M19" s="25" t="s">
        <v>30</v>
      </c>
      <c r="N19" s="25" t="s">
        <v>66</v>
      </c>
      <c r="O19" s="25" t="s">
        <v>67</v>
      </c>
      <c r="P19" s="25" t="s">
        <v>63</v>
      </c>
      <c r="Q19" s="10"/>
      <c r="S19" s="10"/>
    </row>
    <row r="20" spans="1:19" x14ac:dyDescent="0.3">
      <c r="A20" s="25">
        <v>19</v>
      </c>
      <c r="B20" s="25">
        <v>77337678</v>
      </c>
      <c r="C20" s="25" t="s">
        <v>3</v>
      </c>
      <c r="D20" s="26">
        <v>310000</v>
      </c>
      <c r="E20" s="27">
        <v>2.7655486798436463E-2</v>
      </c>
      <c r="F20" s="25">
        <v>20</v>
      </c>
      <c r="G20" s="28">
        <v>534949.27178088995</v>
      </c>
      <c r="H20" s="25">
        <v>116</v>
      </c>
      <c r="I20" s="29">
        <v>-128648.63672672281</v>
      </c>
      <c r="J20" s="25" t="s">
        <v>12</v>
      </c>
      <c r="K20" s="25" t="s">
        <v>18</v>
      </c>
      <c r="L20" s="25">
        <v>10</v>
      </c>
      <c r="M20" s="25" t="s">
        <v>31</v>
      </c>
      <c r="N20" s="25" t="s">
        <v>64</v>
      </c>
      <c r="O20" s="25" t="s">
        <v>68</v>
      </c>
      <c r="P20" s="25" t="s">
        <v>44</v>
      </c>
      <c r="Q20" s="10"/>
      <c r="S20" s="10"/>
    </row>
    <row r="21" spans="1:19" x14ac:dyDescent="0.3">
      <c r="A21" s="25">
        <v>20</v>
      </c>
      <c r="B21" s="25">
        <v>66901329</v>
      </c>
      <c r="C21" s="25" t="s">
        <v>3</v>
      </c>
      <c r="D21" s="26">
        <v>300000</v>
      </c>
      <c r="E21" s="27">
        <v>8.0418748029822365E-2</v>
      </c>
      <c r="F21" s="25">
        <v>20</v>
      </c>
      <c r="G21" s="28">
        <v>1409170.3241136274</v>
      </c>
      <c r="H21" s="25">
        <v>64</v>
      </c>
      <c r="I21" s="29">
        <v>-40325.894331129435</v>
      </c>
      <c r="J21" s="25" t="s">
        <v>13</v>
      </c>
      <c r="K21" s="25" t="s">
        <v>18</v>
      </c>
      <c r="L21" s="25">
        <v>1</v>
      </c>
      <c r="M21" s="25" t="s">
        <v>26</v>
      </c>
      <c r="N21" s="25" t="s">
        <v>66</v>
      </c>
      <c r="O21" s="25" t="s">
        <v>67</v>
      </c>
      <c r="P21" s="25" t="s">
        <v>63</v>
      </c>
      <c r="Q21" s="10"/>
      <c r="S21" s="10"/>
    </row>
    <row r="22" spans="1:19" x14ac:dyDescent="0.3">
      <c r="A22" s="25">
        <v>21</v>
      </c>
      <c r="B22" s="25">
        <v>14201616</v>
      </c>
      <c r="C22" s="25" t="s">
        <v>3</v>
      </c>
      <c r="D22" s="26">
        <v>200000</v>
      </c>
      <c r="E22" s="27">
        <v>3.8827805000615556E-2</v>
      </c>
      <c r="F22" s="25">
        <v>10</v>
      </c>
      <c r="G22" s="28">
        <v>292728.93246906484</v>
      </c>
      <c r="H22" s="25">
        <v>44</v>
      </c>
      <c r="I22" s="29">
        <v>-64511.733918250218</v>
      </c>
      <c r="J22" s="25" t="s">
        <v>9</v>
      </c>
      <c r="K22" s="25" t="s">
        <v>18</v>
      </c>
      <c r="L22" s="25">
        <v>5</v>
      </c>
      <c r="M22" s="25" t="s">
        <v>31</v>
      </c>
      <c r="N22" s="25" t="s">
        <v>66</v>
      </c>
      <c r="O22" s="25" t="s">
        <v>67</v>
      </c>
      <c r="P22" s="25" t="s">
        <v>63</v>
      </c>
      <c r="Q22" s="10"/>
      <c r="S22" s="10"/>
    </row>
    <row r="23" spans="1:19" x14ac:dyDescent="0.3">
      <c r="A23" s="25">
        <v>22</v>
      </c>
      <c r="B23" s="25">
        <v>33480177</v>
      </c>
      <c r="C23" s="25" t="s">
        <v>3</v>
      </c>
      <c r="D23" s="26">
        <v>340000</v>
      </c>
      <c r="E23" s="27">
        <v>4.0557152115227098E-2</v>
      </c>
      <c r="F23" s="25">
        <v>20</v>
      </c>
      <c r="G23" s="28">
        <v>753004.7045038573</v>
      </c>
      <c r="H23" s="25">
        <v>195</v>
      </c>
      <c r="I23" s="29">
        <v>-253708.92038276279</v>
      </c>
      <c r="J23" s="25" t="s">
        <v>12</v>
      </c>
      <c r="K23" s="25" t="s">
        <v>18</v>
      </c>
      <c r="L23" s="25">
        <v>9</v>
      </c>
      <c r="M23" s="25" t="s">
        <v>31</v>
      </c>
      <c r="N23" s="25" t="s">
        <v>64</v>
      </c>
      <c r="O23" s="25" t="s">
        <v>68</v>
      </c>
      <c r="P23" s="25" t="s">
        <v>44</v>
      </c>
      <c r="Q23" s="10"/>
      <c r="S23" s="10"/>
    </row>
    <row r="24" spans="1:19" x14ac:dyDescent="0.3">
      <c r="A24" s="25">
        <v>23</v>
      </c>
      <c r="B24" s="25">
        <v>29381592</v>
      </c>
      <c r="C24" s="25" t="s">
        <v>3</v>
      </c>
      <c r="D24" s="26">
        <v>360000</v>
      </c>
      <c r="E24" s="27">
        <v>7.5597074524101956E-2</v>
      </c>
      <c r="F24" s="25">
        <v>10</v>
      </c>
      <c r="G24" s="28">
        <v>746102.72141420783</v>
      </c>
      <c r="H24" s="25">
        <v>61</v>
      </c>
      <c r="I24" s="29">
        <v>-149423.02654785375</v>
      </c>
      <c r="J24" s="25" t="s">
        <v>10</v>
      </c>
      <c r="K24" s="25" t="s">
        <v>16</v>
      </c>
      <c r="L24" s="25">
        <v>3</v>
      </c>
      <c r="M24" s="25" t="s">
        <v>31</v>
      </c>
      <c r="N24" s="25" t="s">
        <v>66</v>
      </c>
      <c r="O24" s="25" t="s">
        <v>67</v>
      </c>
      <c r="P24" s="25" t="s">
        <v>63</v>
      </c>
      <c r="Q24" s="10"/>
      <c r="S24" s="10"/>
    </row>
    <row r="25" spans="1:19" x14ac:dyDescent="0.3">
      <c r="A25" s="25">
        <v>24</v>
      </c>
      <c r="B25" s="25">
        <v>50137533</v>
      </c>
      <c r="C25" s="25" t="s">
        <v>3</v>
      </c>
      <c r="D25" s="26">
        <v>320000</v>
      </c>
      <c r="E25" s="27">
        <v>3.5673924310420199E-2</v>
      </c>
      <c r="F25" s="25">
        <v>30</v>
      </c>
      <c r="G25" s="28">
        <v>915885.61132705398</v>
      </c>
      <c r="H25" s="25">
        <v>133</v>
      </c>
      <c r="I25" s="29">
        <v>-81044.588666497439</v>
      </c>
      <c r="J25" s="25" t="s">
        <v>11</v>
      </c>
      <c r="K25" s="25" t="s">
        <v>17</v>
      </c>
      <c r="L25" s="25">
        <v>10</v>
      </c>
      <c r="M25" s="25" t="s">
        <v>31</v>
      </c>
      <c r="N25" s="25" t="s">
        <v>64</v>
      </c>
      <c r="O25" s="25" t="s">
        <v>70</v>
      </c>
      <c r="P25" s="25" t="s">
        <v>46</v>
      </c>
      <c r="Q25" s="10"/>
      <c r="S25" s="10"/>
    </row>
    <row r="26" spans="1:19" x14ac:dyDescent="0.3">
      <c r="A26" s="25">
        <v>25</v>
      </c>
      <c r="B26" s="25">
        <v>52137527</v>
      </c>
      <c r="C26" s="25" t="s">
        <v>3</v>
      </c>
      <c r="D26" s="26">
        <v>350000</v>
      </c>
      <c r="E26" s="27">
        <v>6.0639301234321812E-2</v>
      </c>
      <c r="F26" s="25">
        <v>20</v>
      </c>
      <c r="G26" s="28">
        <v>1136115.1611506785</v>
      </c>
      <c r="H26" s="25">
        <v>29</v>
      </c>
      <c r="I26" s="29">
        <v>-23416.756318838448</v>
      </c>
      <c r="J26" s="25" t="s">
        <v>12</v>
      </c>
      <c r="K26" s="25" t="s">
        <v>18</v>
      </c>
      <c r="L26" s="25">
        <v>9</v>
      </c>
      <c r="M26" s="25" t="s">
        <v>31</v>
      </c>
      <c r="N26" s="25" t="s">
        <v>64</v>
      </c>
      <c r="O26" s="25" t="s">
        <v>70</v>
      </c>
      <c r="P26" s="25" t="s">
        <v>46</v>
      </c>
      <c r="Q26" s="10"/>
      <c r="S26" s="10"/>
    </row>
    <row r="27" spans="1:19" x14ac:dyDescent="0.3">
      <c r="A27" s="25">
        <v>26</v>
      </c>
      <c r="B27" s="25">
        <v>49565781</v>
      </c>
      <c r="C27" s="25" t="s">
        <v>3</v>
      </c>
      <c r="D27" s="26">
        <v>170000</v>
      </c>
      <c r="E27" s="27">
        <v>3.5562170293429965E-2</v>
      </c>
      <c r="F27" s="25">
        <v>10</v>
      </c>
      <c r="G27" s="28">
        <v>241107.48422085569</v>
      </c>
      <c r="H27" s="25">
        <v>3</v>
      </c>
      <c r="I27" s="29">
        <v>-3555.7453342300387</v>
      </c>
      <c r="J27" s="25" t="s">
        <v>10</v>
      </c>
      <c r="K27" s="25" t="s">
        <v>16</v>
      </c>
      <c r="L27" s="25">
        <v>0</v>
      </c>
      <c r="M27" s="25" t="s">
        <v>30</v>
      </c>
      <c r="N27" s="25" t="s">
        <v>66</v>
      </c>
      <c r="O27" s="25" t="s">
        <v>67</v>
      </c>
      <c r="P27" s="25" t="s">
        <v>63</v>
      </c>
      <c r="Q27" s="10"/>
      <c r="S27" s="10"/>
    </row>
    <row r="28" spans="1:19" x14ac:dyDescent="0.3">
      <c r="A28" s="25">
        <v>27</v>
      </c>
      <c r="B28" s="25">
        <v>49446589</v>
      </c>
      <c r="C28" s="25" t="s">
        <v>3</v>
      </c>
      <c r="D28" s="26">
        <v>380000</v>
      </c>
      <c r="E28" s="27">
        <v>4.3455090449965803E-2</v>
      </c>
      <c r="F28" s="25">
        <v>30</v>
      </c>
      <c r="G28" s="28">
        <v>1361433.5824913122</v>
      </c>
      <c r="H28" s="25">
        <v>196</v>
      </c>
      <c r="I28" s="29">
        <v>-146498.51584531646</v>
      </c>
      <c r="J28" s="25" t="s">
        <v>13</v>
      </c>
      <c r="K28" s="25" t="s">
        <v>18</v>
      </c>
      <c r="L28" s="25">
        <v>4</v>
      </c>
      <c r="M28" s="25" t="s">
        <v>31</v>
      </c>
      <c r="N28" s="25" t="s">
        <v>66</v>
      </c>
      <c r="O28" s="25" t="s">
        <v>67</v>
      </c>
      <c r="P28" s="25" t="s">
        <v>63</v>
      </c>
      <c r="Q28" s="10"/>
      <c r="S28" s="10"/>
    </row>
    <row r="29" spans="1:19" x14ac:dyDescent="0.3">
      <c r="A29" s="25">
        <v>28</v>
      </c>
      <c r="B29" s="25">
        <v>67342178</v>
      </c>
      <c r="C29" s="25" t="s">
        <v>3</v>
      </c>
      <c r="D29" s="26">
        <v>350000</v>
      </c>
      <c r="E29" s="27">
        <v>3.2696780273888046E-2</v>
      </c>
      <c r="F29" s="25">
        <v>20</v>
      </c>
      <c r="G29" s="28">
        <v>666077.10212304827</v>
      </c>
      <c r="H29" s="25">
        <v>38</v>
      </c>
      <c r="I29" s="29">
        <v>-41379.903039883262</v>
      </c>
      <c r="J29" s="25" t="s">
        <v>12</v>
      </c>
      <c r="K29" s="25" t="s">
        <v>18</v>
      </c>
      <c r="L29" s="25">
        <v>0</v>
      </c>
      <c r="M29" s="25" t="s">
        <v>30</v>
      </c>
      <c r="N29" s="25" t="s">
        <v>66</v>
      </c>
      <c r="O29" s="25" t="s">
        <v>67</v>
      </c>
      <c r="P29" s="25" t="s">
        <v>63</v>
      </c>
      <c r="Q29" s="10"/>
      <c r="S29" s="10"/>
    </row>
    <row r="30" spans="1:19" x14ac:dyDescent="0.3">
      <c r="A30" s="25">
        <v>29</v>
      </c>
      <c r="B30" s="25">
        <v>97679083</v>
      </c>
      <c r="C30" s="25" t="s">
        <v>3</v>
      </c>
      <c r="D30" s="26">
        <v>370000</v>
      </c>
      <c r="E30" s="27">
        <v>7.8578878041267147E-2</v>
      </c>
      <c r="F30" s="25">
        <v>10</v>
      </c>
      <c r="G30" s="28">
        <v>788353.20205143443</v>
      </c>
      <c r="H30" s="25">
        <v>48</v>
      </c>
      <c r="I30" s="29">
        <v>-114537.19468958698</v>
      </c>
      <c r="J30" s="25" t="s">
        <v>11</v>
      </c>
      <c r="K30" s="25" t="s">
        <v>17</v>
      </c>
      <c r="L30" s="25">
        <v>3</v>
      </c>
      <c r="M30" s="25" t="s">
        <v>31</v>
      </c>
      <c r="N30" s="25" t="s">
        <v>66</v>
      </c>
      <c r="O30" s="25" t="s">
        <v>67</v>
      </c>
      <c r="P30" s="25" t="s">
        <v>63</v>
      </c>
      <c r="Q30" s="10"/>
      <c r="S30" s="10"/>
    </row>
    <row r="31" spans="1:19" x14ac:dyDescent="0.3">
      <c r="A31" s="25">
        <v>30</v>
      </c>
      <c r="B31" s="25">
        <v>51105403</v>
      </c>
      <c r="C31" s="25" t="s">
        <v>3</v>
      </c>
      <c r="D31" s="26">
        <v>210000</v>
      </c>
      <c r="E31" s="27">
        <v>6.4614921853092214E-2</v>
      </c>
      <c r="F31" s="25">
        <v>20</v>
      </c>
      <c r="G31" s="28">
        <v>734632.7333140932</v>
      </c>
      <c r="H31" s="25">
        <v>163</v>
      </c>
      <c r="I31" s="29">
        <v>-111822.6520402544</v>
      </c>
      <c r="J31" s="25" t="s">
        <v>11</v>
      </c>
      <c r="K31" s="25" t="s">
        <v>17</v>
      </c>
      <c r="L31" s="25">
        <v>1</v>
      </c>
      <c r="M31" s="25" t="s">
        <v>26</v>
      </c>
      <c r="N31" s="25" t="s">
        <v>66</v>
      </c>
      <c r="O31" s="25" t="s">
        <v>67</v>
      </c>
      <c r="P31" s="25" t="s">
        <v>63</v>
      </c>
      <c r="Q31" s="10"/>
      <c r="S31" s="10"/>
    </row>
    <row r="32" spans="1:19" x14ac:dyDescent="0.3">
      <c r="A32" s="25">
        <v>31</v>
      </c>
      <c r="B32" s="25">
        <v>33064297</v>
      </c>
      <c r="C32" s="25" t="s">
        <v>3</v>
      </c>
      <c r="D32" s="26">
        <v>100000</v>
      </c>
      <c r="E32" s="27">
        <v>6.2879825673857012E-2</v>
      </c>
      <c r="F32" s="25">
        <v>10</v>
      </c>
      <c r="G32" s="28">
        <v>184010.09039448597</v>
      </c>
      <c r="H32" s="25">
        <v>32</v>
      </c>
      <c r="I32" s="29">
        <v>-20869.461385007951</v>
      </c>
      <c r="J32" s="25" t="s">
        <v>12</v>
      </c>
      <c r="K32" s="25" t="s">
        <v>18</v>
      </c>
      <c r="L32" s="25">
        <v>6</v>
      </c>
      <c r="M32" s="25" t="s">
        <v>31</v>
      </c>
      <c r="N32" s="25" t="s">
        <v>64</v>
      </c>
      <c r="O32" s="25" t="s">
        <v>69</v>
      </c>
      <c r="P32" s="25" t="s">
        <v>45</v>
      </c>
      <c r="Q32" s="10"/>
      <c r="S32" s="10"/>
    </row>
    <row r="33" spans="1:19" x14ac:dyDescent="0.3">
      <c r="A33" s="25">
        <v>32</v>
      </c>
      <c r="B33" s="25">
        <v>91324062</v>
      </c>
      <c r="C33" s="25" t="s">
        <v>3</v>
      </c>
      <c r="D33" s="26">
        <v>250000</v>
      </c>
      <c r="E33" s="27">
        <v>5.8930108641721893E-2</v>
      </c>
      <c r="F33" s="25">
        <v>30</v>
      </c>
      <c r="G33" s="28">
        <v>1393025.0075818254</v>
      </c>
      <c r="H33" s="25">
        <v>269</v>
      </c>
      <c r="I33" s="29">
        <v>-141474.48599867258</v>
      </c>
      <c r="J33" s="25" t="s">
        <v>10</v>
      </c>
      <c r="K33" s="25" t="s">
        <v>16</v>
      </c>
      <c r="L33" s="25">
        <v>2</v>
      </c>
      <c r="M33" s="25" t="s">
        <v>26</v>
      </c>
      <c r="N33" s="25" t="s">
        <v>66</v>
      </c>
      <c r="O33" s="25" t="s">
        <v>67</v>
      </c>
      <c r="P33" s="25" t="s">
        <v>63</v>
      </c>
      <c r="Q33" s="10"/>
      <c r="S33" s="10"/>
    </row>
    <row r="34" spans="1:19" x14ac:dyDescent="0.3">
      <c r="A34" s="25">
        <v>33</v>
      </c>
      <c r="B34" s="25">
        <v>65209293</v>
      </c>
      <c r="C34" s="25" t="s">
        <v>3</v>
      </c>
      <c r="D34" s="26">
        <v>450000</v>
      </c>
      <c r="E34" s="27">
        <v>2.7558682360886048E-2</v>
      </c>
      <c r="F34" s="25">
        <v>30</v>
      </c>
      <c r="G34" s="28">
        <v>1017212.0798730587</v>
      </c>
      <c r="H34" s="25">
        <v>212</v>
      </c>
      <c r="I34" s="29">
        <v>-219545.33365119121</v>
      </c>
      <c r="J34" s="25" t="s">
        <v>11</v>
      </c>
      <c r="K34" s="25" t="s">
        <v>17</v>
      </c>
      <c r="L34" s="25">
        <v>6</v>
      </c>
      <c r="M34" s="25" t="s">
        <v>31</v>
      </c>
      <c r="N34" s="25" t="s">
        <v>64</v>
      </c>
      <c r="O34" s="25" t="s">
        <v>69</v>
      </c>
      <c r="P34" s="25" t="s">
        <v>45</v>
      </c>
      <c r="Q34" s="10"/>
      <c r="S34" s="10"/>
    </row>
    <row r="35" spans="1:19" x14ac:dyDescent="0.3">
      <c r="A35" s="25">
        <v>34</v>
      </c>
      <c r="B35" s="25">
        <v>14033138</v>
      </c>
      <c r="C35" s="25" t="s">
        <v>3</v>
      </c>
      <c r="D35" s="26">
        <v>380000</v>
      </c>
      <c r="E35" s="27">
        <v>7.7750119768659212E-2</v>
      </c>
      <c r="F35" s="25">
        <v>10</v>
      </c>
      <c r="G35" s="28">
        <v>803460.24804433133</v>
      </c>
      <c r="H35" s="25">
        <v>3</v>
      </c>
      <c r="I35" s="29">
        <v>-6350.9010769938695</v>
      </c>
      <c r="J35" s="25" t="s">
        <v>12</v>
      </c>
      <c r="K35" s="25" t="s">
        <v>18</v>
      </c>
      <c r="L35" s="25">
        <v>9</v>
      </c>
      <c r="M35" s="25" t="s">
        <v>31</v>
      </c>
      <c r="N35" s="25" t="s">
        <v>64</v>
      </c>
      <c r="O35" s="25" t="s">
        <v>69</v>
      </c>
      <c r="P35" s="25" t="s">
        <v>45</v>
      </c>
      <c r="Q35" s="10"/>
      <c r="S35" s="10"/>
    </row>
    <row r="36" spans="1:19" x14ac:dyDescent="0.3">
      <c r="A36" s="25">
        <v>35</v>
      </c>
      <c r="B36" s="25">
        <v>88766432</v>
      </c>
      <c r="C36" s="25" t="s">
        <v>3</v>
      </c>
      <c r="D36" s="26">
        <v>360000</v>
      </c>
      <c r="E36" s="27">
        <v>3.8020196364644765E-2</v>
      </c>
      <c r="F36" s="25">
        <v>20</v>
      </c>
      <c r="G36" s="28">
        <v>759309.04050216475</v>
      </c>
      <c r="H36" s="25">
        <v>65</v>
      </c>
      <c r="I36" s="29">
        <v>-72306.872749917806</v>
      </c>
      <c r="J36" s="25" t="s">
        <v>10</v>
      </c>
      <c r="K36" s="25" t="s">
        <v>16</v>
      </c>
      <c r="L36" s="25">
        <v>1</v>
      </c>
      <c r="M36" s="25" t="s">
        <v>26</v>
      </c>
      <c r="N36" s="25" t="s">
        <v>66</v>
      </c>
      <c r="O36" s="25" t="s">
        <v>67</v>
      </c>
      <c r="P36" s="25" t="s">
        <v>63</v>
      </c>
      <c r="Q36" s="10"/>
      <c r="S36" s="10"/>
    </row>
    <row r="37" spans="1:19" x14ac:dyDescent="0.3">
      <c r="A37" s="25">
        <v>36</v>
      </c>
      <c r="B37" s="25">
        <v>95868629</v>
      </c>
      <c r="C37" s="25" t="s">
        <v>3</v>
      </c>
      <c r="D37" s="26">
        <v>320000</v>
      </c>
      <c r="E37" s="27">
        <v>6.5925739900995997E-2</v>
      </c>
      <c r="F37" s="25">
        <v>10</v>
      </c>
      <c r="G37" s="28">
        <v>605925.84169888264</v>
      </c>
      <c r="H37" s="25">
        <v>4</v>
      </c>
      <c r="I37" s="29">
        <v>-7624.9737164373755</v>
      </c>
      <c r="J37" s="25" t="s">
        <v>13</v>
      </c>
      <c r="K37" s="25" t="s">
        <v>18</v>
      </c>
      <c r="L37" s="25">
        <v>9</v>
      </c>
      <c r="M37" s="25" t="s">
        <v>31</v>
      </c>
      <c r="N37" s="25" t="s">
        <v>64</v>
      </c>
      <c r="O37" s="25" t="s">
        <v>70</v>
      </c>
      <c r="P37" s="25" t="s">
        <v>46</v>
      </c>
      <c r="Q37" s="10"/>
      <c r="S37" s="10"/>
    </row>
    <row r="38" spans="1:19" x14ac:dyDescent="0.3">
      <c r="A38" s="25">
        <v>37</v>
      </c>
      <c r="B38" s="25">
        <v>58492506</v>
      </c>
      <c r="C38" s="25" t="s">
        <v>3</v>
      </c>
      <c r="D38" s="26">
        <v>160000</v>
      </c>
      <c r="E38" s="27">
        <v>4.1853063215998632E-2</v>
      </c>
      <c r="F38" s="25">
        <v>30</v>
      </c>
      <c r="G38" s="28">
        <v>547411.82102065475</v>
      </c>
      <c r="H38" s="25">
        <v>85</v>
      </c>
      <c r="I38" s="29">
        <v>-22021.34726371026</v>
      </c>
      <c r="J38" s="25" t="s">
        <v>9</v>
      </c>
      <c r="K38" s="25" t="s">
        <v>18</v>
      </c>
      <c r="L38" s="25">
        <v>0</v>
      </c>
      <c r="M38" s="25" t="s">
        <v>30</v>
      </c>
      <c r="N38" s="25" t="s">
        <v>66</v>
      </c>
      <c r="O38" s="25" t="s">
        <v>67</v>
      </c>
      <c r="P38" s="25" t="s">
        <v>63</v>
      </c>
      <c r="Q38" s="10"/>
      <c r="S38" s="10"/>
    </row>
    <row r="39" spans="1:19" x14ac:dyDescent="0.3">
      <c r="A39" s="25">
        <v>38</v>
      </c>
      <c r="B39" s="25">
        <v>13713998</v>
      </c>
      <c r="C39" s="25" t="s">
        <v>3</v>
      </c>
      <c r="D39" s="26">
        <v>140000</v>
      </c>
      <c r="E39" s="27">
        <v>2.966497552361293E-2</v>
      </c>
      <c r="F39" s="25">
        <v>30</v>
      </c>
      <c r="G39" s="28">
        <v>336516.40780166152</v>
      </c>
      <c r="H39" s="25">
        <v>36</v>
      </c>
      <c r="I39" s="29">
        <v>-9085.6710751218325</v>
      </c>
      <c r="J39" s="25" t="s">
        <v>12</v>
      </c>
      <c r="K39" s="25" t="s">
        <v>18</v>
      </c>
      <c r="L39" s="25">
        <v>8</v>
      </c>
      <c r="M39" s="25" t="s">
        <v>31</v>
      </c>
      <c r="N39" s="25" t="s">
        <v>64</v>
      </c>
      <c r="O39" s="25" t="s">
        <v>69</v>
      </c>
      <c r="P39" s="25" t="s">
        <v>45</v>
      </c>
      <c r="Q39" s="10"/>
      <c r="S39" s="10"/>
    </row>
    <row r="40" spans="1:19" x14ac:dyDescent="0.3">
      <c r="A40" s="25">
        <v>39</v>
      </c>
      <c r="B40" s="25">
        <v>84177304</v>
      </c>
      <c r="C40" s="25" t="s">
        <v>3</v>
      </c>
      <c r="D40" s="26">
        <v>320000</v>
      </c>
      <c r="E40" s="27">
        <v>8.1731961592310012E-2</v>
      </c>
      <c r="F40" s="25">
        <v>20</v>
      </c>
      <c r="G40" s="28">
        <v>1540079.7677148927</v>
      </c>
      <c r="H40" s="25">
        <v>135</v>
      </c>
      <c r="I40" s="29">
        <v>-117108.95110405074</v>
      </c>
      <c r="J40" s="25" t="s">
        <v>11</v>
      </c>
      <c r="K40" s="25" t="s">
        <v>17</v>
      </c>
      <c r="L40" s="25">
        <v>10</v>
      </c>
      <c r="M40" s="25" t="s">
        <v>31</v>
      </c>
      <c r="N40" s="25" t="s">
        <v>64</v>
      </c>
      <c r="O40" s="25" t="s">
        <v>65</v>
      </c>
      <c r="P40" s="25" t="s">
        <v>43</v>
      </c>
      <c r="Q40" s="10"/>
      <c r="S40" s="10"/>
    </row>
    <row r="41" spans="1:19" x14ac:dyDescent="0.3">
      <c r="A41" s="25">
        <v>40</v>
      </c>
      <c r="B41" s="25">
        <v>12588878</v>
      </c>
      <c r="C41" s="25" t="s">
        <v>3</v>
      </c>
      <c r="D41" s="26">
        <v>400000</v>
      </c>
      <c r="E41" s="27">
        <v>2.3124063876185742E-2</v>
      </c>
      <c r="F41" s="25">
        <v>30</v>
      </c>
      <c r="G41" s="28">
        <v>794161.763159886</v>
      </c>
      <c r="H41" s="25">
        <v>152</v>
      </c>
      <c r="I41" s="29">
        <v>-136000.23534195183</v>
      </c>
      <c r="J41" s="25" t="s">
        <v>12</v>
      </c>
      <c r="K41" s="25" t="s">
        <v>18</v>
      </c>
      <c r="L41" s="25">
        <v>9</v>
      </c>
      <c r="M41" s="25" t="s">
        <v>31</v>
      </c>
      <c r="N41" s="25" t="s">
        <v>64</v>
      </c>
      <c r="O41" s="25" t="s">
        <v>68</v>
      </c>
      <c r="P41" s="25" t="s">
        <v>44</v>
      </c>
      <c r="Q41" s="10"/>
      <c r="S41" s="10"/>
    </row>
    <row r="42" spans="1:19" x14ac:dyDescent="0.3">
      <c r="A42" s="25">
        <v>41</v>
      </c>
      <c r="B42" s="25">
        <v>59421574</v>
      </c>
      <c r="C42" s="25" t="s">
        <v>3</v>
      </c>
      <c r="D42" s="26">
        <v>100000</v>
      </c>
      <c r="E42" s="27">
        <v>6.2115111893552351E-2</v>
      </c>
      <c r="F42" s="25">
        <v>20</v>
      </c>
      <c r="G42" s="28">
        <v>333758.05931205838</v>
      </c>
      <c r="H42" s="25">
        <v>52</v>
      </c>
      <c r="I42" s="29">
        <v>-12557.129702033326</v>
      </c>
      <c r="J42" s="25" t="s">
        <v>11</v>
      </c>
      <c r="K42" s="25" t="s">
        <v>17</v>
      </c>
      <c r="L42" s="25">
        <v>8</v>
      </c>
      <c r="M42" s="25" t="s">
        <v>31</v>
      </c>
      <c r="N42" s="25" t="s">
        <v>64</v>
      </c>
      <c r="O42" s="25" t="s">
        <v>68</v>
      </c>
      <c r="P42" s="25" t="s">
        <v>44</v>
      </c>
      <c r="Q42" s="10"/>
      <c r="S42" s="10"/>
    </row>
    <row r="43" spans="1:19" x14ac:dyDescent="0.3">
      <c r="A43" s="25">
        <v>42</v>
      </c>
      <c r="B43" s="25">
        <v>79015075</v>
      </c>
      <c r="C43" s="25" t="s">
        <v>3</v>
      </c>
      <c r="D43" s="26">
        <v>260000</v>
      </c>
      <c r="E43" s="27">
        <v>2.4795470508067418E-2</v>
      </c>
      <c r="F43" s="25">
        <v>10</v>
      </c>
      <c r="G43" s="28">
        <v>332158.46130388812</v>
      </c>
      <c r="H43" s="25">
        <v>43</v>
      </c>
      <c r="I43" s="29">
        <v>-85857.851313748819</v>
      </c>
      <c r="J43" s="25" t="s">
        <v>9</v>
      </c>
      <c r="K43" s="25" t="s">
        <v>18</v>
      </c>
      <c r="L43" s="25">
        <v>9</v>
      </c>
      <c r="M43" s="25" t="s">
        <v>31</v>
      </c>
      <c r="N43" s="25" t="s">
        <v>64</v>
      </c>
      <c r="O43" s="25" t="s">
        <v>70</v>
      </c>
      <c r="P43" s="25" t="s">
        <v>46</v>
      </c>
      <c r="Q43" s="10"/>
      <c r="S43" s="10"/>
    </row>
    <row r="44" spans="1:19" x14ac:dyDescent="0.3">
      <c r="A44" s="25">
        <v>43</v>
      </c>
      <c r="B44" s="25">
        <v>19354278</v>
      </c>
      <c r="C44" s="25" t="s">
        <v>3</v>
      </c>
      <c r="D44" s="26">
        <v>180000</v>
      </c>
      <c r="E44" s="27">
        <v>6.2624385664536333E-2</v>
      </c>
      <c r="F44" s="25">
        <v>10</v>
      </c>
      <c r="G44" s="28">
        <v>330423.0123336793</v>
      </c>
      <c r="H44" s="25">
        <v>89</v>
      </c>
      <c r="I44" s="29">
        <v>-122259.33614571238</v>
      </c>
      <c r="J44" s="25" t="s">
        <v>12</v>
      </c>
      <c r="K44" s="25" t="s">
        <v>18</v>
      </c>
      <c r="L44" s="25">
        <v>7</v>
      </c>
      <c r="M44" s="25" t="s">
        <v>31</v>
      </c>
      <c r="N44" s="25" t="s">
        <v>64</v>
      </c>
      <c r="O44" s="25" t="s">
        <v>65</v>
      </c>
      <c r="P44" s="25" t="s">
        <v>43</v>
      </c>
      <c r="Q44" s="10"/>
      <c r="S44" s="10"/>
    </row>
    <row r="45" spans="1:19" x14ac:dyDescent="0.3">
      <c r="A45" s="25">
        <v>44</v>
      </c>
      <c r="B45" s="25">
        <v>19728173</v>
      </c>
      <c r="C45" s="25" t="s">
        <v>3</v>
      </c>
      <c r="D45" s="26">
        <v>240000</v>
      </c>
      <c r="E45" s="27">
        <v>8.8685443767959421E-2</v>
      </c>
      <c r="F45" s="25">
        <v>20</v>
      </c>
      <c r="G45" s="28">
        <v>1312984.4011284539</v>
      </c>
      <c r="H45" s="25">
        <v>85</v>
      </c>
      <c r="I45" s="29">
        <v>-43007.348354657523</v>
      </c>
      <c r="J45" s="25" t="s">
        <v>11</v>
      </c>
      <c r="K45" s="25" t="s">
        <v>17</v>
      </c>
      <c r="L45" s="25">
        <v>5</v>
      </c>
      <c r="M45" s="25" t="s">
        <v>31</v>
      </c>
      <c r="N45" s="25" t="s">
        <v>66</v>
      </c>
      <c r="O45" s="25" t="s">
        <v>67</v>
      </c>
      <c r="P45" s="25" t="s">
        <v>63</v>
      </c>
      <c r="Q45" s="10"/>
      <c r="S45" s="10"/>
    </row>
    <row r="46" spans="1:19" x14ac:dyDescent="0.3">
      <c r="A46" s="25">
        <v>45</v>
      </c>
      <c r="B46" s="25">
        <v>71380476</v>
      </c>
      <c r="C46" s="25" t="s">
        <v>3</v>
      </c>
      <c r="D46" s="26">
        <v>400000</v>
      </c>
      <c r="E46" s="27">
        <v>2.8536155301216861E-2</v>
      </c>
      <c r="F46" s="25">
        <v>30</v>
      </c>
      <c r="G46" s="28">
        <v>930351.09345931734</v>
      </c>
      <c r="H46" s="25">
        <v>20</v>
      </c>
      <c r="I46" s="29">
        <v>-14398.496109610658</v>
      </c>
      <c r="J46" s="25" t="s">
        <v>9</v>
      </c>
      <c r="K46" s="25" t="s">
        <v>18</v>
      </c>
      <c r="L46" s="25">
        <v>7</v>
      </c>
      <c r="M46" s="25" t="s">
        <v>31</v>
      </c>
      <c r="N46" s="25" t="s">
        <v>64</v>
      </c>
      <c r="O46" s="25" t="s">
        <v>68</v>
      </c>
      <c r="P46" s="25" t="s">
        <v>44</v>
      </c>
      <c r="Q46" s="10"/>
      <c r="S46" s="10"/>
    </row>
    <row r="47" spans="1:19" x14ac:dyDescent="0.3">
      <c r="A47" s="25">
        <v>46</v>
      </c>
      <c r="B47" s="25">
        <v>53758029</v>
      </c>
      <c r="C47" s="25" t="s">
        <v>3</v>
      </c>
      <c r="D47" s="26">
        <v>230000</v>
      </c>
      <c r="E47" s="27">
        <v>6.4588054143448148E-2</v>
      </c>
      <c r="F47" s="25">
        <v>20</v>
      </c>
      <c r="G47" s="28">
        <v>804191.73986934475</v>
      </c>
      <c r="H47" s="25">
        <v>153</v>
      </c>
      <c r="I47" s="29">
        <v>-111508.45911102343</v>
      </c>
      <c r="J47" s="25" t="s">
        <v>13</v>
      </c>
      <c r="K47" s="25" t="s">
        <v>18</v>
      </c>
      <c r="L47" s="25">
        <v>6</v>
      </c>
      <c r="M47" s="25" t="s">
        <v>31</v>
      </c>
      <c r="N47" s="25" t="s">
        <v>64</v>
      </c>
      <c r="O47" s="25" t="s">
        <v>70</v>
      </c>
      <c r="P47" s="25" t="s">
        <v>46</v>
      </c>
      <c r="Q47" s="10"/>
      <c r="S47" s="10"/>
    </row>
    <row r="48" spans="1:19" x14ac:dyDescent="0.3">
      <c r="A48" s="25">
        <v>47</v>
      </c>
      <c r="B48" s="25">
        <v>74930308</v>
      </c>
      <c r="C48" s="25" t="s">
        <v>3</v>
      </c>
      <c r="D48" s="26">
        <v>140000</v>
      </c>
      <c r="E48" s="27">
        <v>4.0821913483801812E-2</v>
      </c>
      <c r="F48" s="25">
        <v>30</v>
      </c>
      <c r="G48" s="28">
        <v>464965.63345030707</v>
      </c>
      <c r="H48" s="25">
        <v>30</v>
      </c>
      <c r="I48" s="29">
        <v>-6267.0024883628976</v>
      </c>
      <c r="J48" s="25" t="s">
        <v>12</v>
      </c>
      <c r="K48" s="25" t="s">
        <v>18</v>
      </c>
      <c r="L48" s="25">
        <v>9</v>
      </c>
      <c r="M48" s="25" t="s">
        <v>31</v>
      </c>
      <c r="N48" s="25" t="s">
        <v>64</v>
      </c>
      <c r="O48" s="25" t="s">
        <v>70</v>
      </c>
      <c r="P48" s="25" t="s">
        <v>46</v>
      </c>
      <c r="Q48" s="10"/>
      <c r="S48" s="10"/>
    </row>
    <row r="49" spans="1:19" x14ac:dyDescent="0.3">
      <c r="A49" s="25">
        <v>48</v>
      </c>
      <c r="B49" s="25">
        <v>82635844</v>
      </c>
      <c r="C49" s="25" t="s">
        <v>3</v>
      </c>
      <c r="D49" s="26">
        <v>90000</v>
      </c>
      <c r="E49" s="27">
        <v>8.0194103559907345E-2</v>
      </c>
      <c r="F49" s="25">
        <v>20</v>
      </c>
      <c r="G49" s="28">
        <v>420996.56750213553</v>
      </c>
      <c r="H49" s="25">
        <v>8</v>
      </c>
      <c r="I49" s="29">
        <v>-1248.3295521384809</v>
      </c>
      <c r="J49" s="25" t="s">
        <v>11</v>
      </c>
      <c r="K49" s="25" t="s">
        <v>17</v>
      </c>
      <c r="L49" s="25">
        <v>4</v>
      </c>
      <c r="M49" s="25" t="s">
        <v>31</v>
      </c>
      <c r="N49" s="25" t="s">
        <v>66</v>
      </c>
      <c r="O49" s="25" t="s">
        <v>67</v>
      </c>
      <c r="P49" s="25" t="s">
        <v>63</v>
      </c>
      <c r="Q49" s="10"/>
      <c r="S49" s="10"/>
    </row>
    <row r="50" spans="1:19" x14ac:dyDescent="0.3">
      <c r="A50" s="25">
        <v>49</v>
      </c>
      <c r="B50" s="25">
        <v>38909064</v>
      </c>
      <c r="C50" s="25" t="s">
        <v>3</v>
      </c>
      <c r="D50" s="26">
        <v>420000</v>
      </c>
      <c r="E50" s="27">
        <v>2.2996447985654003E-2</v>
      </c>
      <c r="F50" s="25">
        <v>10</v>
      </c>
      <c r="G50" s="28">
        <v>527218.38704055257</v>
      </c>
      <c r="H50" s="25">
        <v>36</v>
      </c>
      <c r="I50" s="29">
        <v>-116032.57667262817</v>
      </c>
      <c r="J50" s="25" t="s">
        <v>11</v>
      </c>
      <c r="K50" s="25" t="s">
        <v>17</v>
      </c>
      <c r="L50" s="25">
        <v>4</v>
      </c>
      <c r="M50" s="25" t="s">
        <v>31</v>
      </c>
      <c r="N50" s="25" t="s">
        <v>66</v>
      </c>
      <c r="O50" s="25" t="s">
        <v>67</v>
      </c>
      <c r="P50" s="25" t="s">
        <v>63</v>
      </c>
      <c r="Q50" s="10"/>
      <c r="S50" s="10"/>
    </row>
    <row r="51" spans="1:19" x14ac:dyDescent="0.3">
      <c r="A51" s="25">
        <v>50</v>
      </c>
      <c r="B51" s="25">
        <v>98808855</v>
      </c>
      <c r="C51" s="25" t="s">
        <v>3</v>
      </c>
      <c r="D51" s="26">
        <v>200000</v>
      </c>
      <c r="E51" s="27">
        <v>2.5277016412276896E-2</v>
      </c>
      <c r="F51" s="25">
        <v>10</v>
      </c>
      <c r="G51" s="28">
        <v>256709.66200595887</v>
      </c>
      <c r="H51" s="25">
        <v>4</v>
      </c>
      <c r="I51" s="29">
        <v>-5885.1015246289426</v>
      </c>
      <c r="J51" s="25" t="s">
        <v>9</v>
      </c>
      <c r="K51" s="25" t="s">
        <v>18</v>
      </c>
      <c r="L51" s="25">
        <v>8</v>
      </c>
      <c r="M51" s="25" t="s">
        <v>31</v>
      </c>
      <c r="N51" s="25" t="s">
        <v>64</v>
      </c>
      <c r="O51" s="25" t="s">
        <v>65</v>
      </c>
      <c r="P51" s="25" t="s">
        <v>43</v>
      </c>
      <c r="Q51" s="10"/>
      <c r="S51" s="10"/>
    </row>
    <row r="52" spans="1:19" x14ac:dyDescent="0.3">
      <c r="A52" s="25">
        <v>51</v>
      </c>
      <c r="B52" s="25">
        <v>26667365</v>
      </c>
      <c r="C52" s="25" t="s">
        <v>3</v>
      </c>
      <c r="D52" s="26">
        <v>130000</v>
      </c>
      <c r="E52" s="27">
        <v>5.6232150677562931E-2</v>
      </c>
      <c r="F52" s="25">
        <v>10</v>
      </c>
      <c r="G52" s="28">
        <v>224665.91089105717</v>
      </c>
      <c r="H52" s="25">
        <v>4</v>
      </c>
      <c r="I52" s="29">
        <v>-3261.2749304520835</v>
      </c>
      <c r="J52" s="25" t="s">
        <v>9</v>
      </c>
      <c r="K52" s="25" t="s">
        <v>18</v>
      </c>
      <c r="L52" s="25">
        <v>3</v>
      </c>
      <c r="M52" s="25" t="s">
        <v>31</v>
      </c>
      <c r="N52" s="25" t="s">
        <v>66</v>
      </c>
      <c r="O52" s="25" t="s">
        <v>67</v>
      </c>
      <c r="P52" s="25" t="s">
        <v>63</v>
      </c>
      <c r="Q52" s="10"/>
      <c r="S52" s="10"/>
    </row>
    <row r="53" spans="1:19" x14ac:dyDescent="0.3">
      <c r="A53" s="25">
        <v>52</v>
      </c>
      <c r="B53" s="25">
        <v>80880818</v>
      </c>
      <c r="C53" s="25" t="s">
        <v>3</v>
      </c>
      <c r="D53" s="26">
        <v>120000</v>
      </c>
      <c r="E53" s="27">
        <v>5.6587380060444684E-2</v>
      </c>
      <c r="F53" s="25">
        <v>10</v>
      </c>
      <c r="G53" s="28">
        <v>208082.44272141575</v>
      </c>
      <c r="H53" s="25">
        <v>77</v>
      </c>
      <c r="I53" s="29">
        <v>-69053.06264299537</v>
      </c>
      <c r="J53" s="25" t="s">
        <v>12</v>
      </c>
      <c r="K53" s="25" t="s">
        <v>18</v>
      </c>
      <c r="L53" s="25">
        <v>7</v>
      </c>
      <c r="M53" s="25" t="s">
        <v>31</v>
      </c>
      <c r="N53" s="25" t="s">
        <v>64</v>
      </c>
      <c r="O53" s="25" t="s">
        <v>68</v>
      </c>
      <c r="P53" s="25" t="s">
        <v>44</v>
      </c>
      <c r="Q53" s="10"/>
      <c r="S53" s="10"/>
    </row>
    <row r="54" spans="1:19" x14ac:dyDescent="0.3">
      <c r="A54" s="25">
        <v>53</v>
      </c>
      <c r="B54" s="25">
        <v>81807183</v>
      </c>
      <c r="C54" s="25" t="s">
        <v>3</v>
      </c>
      <c r="D54" s="26">
        <v>120000</v>
      </c>
      <c r="E54" s="27">
        <v>7.250452793744129E-2</v>
      </c>
      <c r="F54" s="25">
        <v>30</v>
      </c>
      <c r="G54" s="28">
        <v>979840.25444413233</v>
      </c>
      <c r="H54" s="25">
        <v>100</v>
      </c>
      <c r="I54" s="29">
        <v>-12803.676876876061</v>
      </c>
      <c r="J54" s="25" t="s">
        <v>11</v>
      </c>
      <c r="K54" s="25" t="s">
        <v>17</v>
      </c>
      <c r="L54" s="25">
        <v>9</v>
      </c>
      <c r="M54" s="25" t="s">
        <v>31</v>
      </c>
      <c r="N54" s="25" t="s">
        <v>64</v>
      </c>
      <c r="O54" s="25" t="s">
        <v>65</v>
      </c>
      <c r="P54" s="25" t="s">
        <v>43</v>
      </c>
      <c r="Q54" s="10"/>
      <c r="S54" s="10"/>
    </row>
    <row r="55" spans="1:19" x14ac:dyDescent="0.3">
      <c r="A55" s="25">
        <v>54</v>
      </c>
      <c r="B55" s="25">
        <v>14611483</v>
      </c>
      <c r="C55" s="25" t="s">
        <v>3</v>
      </c>
      <c r="D55" s="26">
        <v>150000</v>
      </c>
      <c r="E55" s="27">
        <v>7.2752652226458867E-2</v>
      </c>
      <c r="F55" s="25">
        <v>20</v>
      </c>
      <c r="G55" s="28">
        <v>611059.07427191909</v>
      </c>
      <c r="H55" s="25">
        <v>76</v>
      </c>
      <c r="I55" s="29">
        <v>-26780.371775770116</v>
      </c>
      <c r="J55" s="25" t="s">
        <v>11</v>
      </c>
      <c r="K55" s="25" t="s">
        <v>17</v>
      </c>
      <c r="L55" s="25">
        <v>2</v>
      </c>
      <c r="M55" s="25" t="s">
        <v>26</v>
      </c>
      <c r="N55" s="25" t="s">
        <v>66</v>
      </c>
      <c r="O55" s="25" t="s">
        <v>67</v>
      </c>
      <c r="P55" s="25" t="s">
        <v>63</v>
      </c>
      <c r="Q55" s="10"/>
      <c r="S55" s="10"/>
    </row>
    <row r="56" spans="1:19" x14ac:dyDescent="0.3">
      <c r="A56" s="25">
        <v>55</v>
      </c>
      <c r="B56" s="25">
        <v>97257211</v>
      </c>
      <c r="C56" s="25" t="s">
        <v>3</v>
      </c>
      <c r="D56" s="26">
        <v>90000</v>
      </c>
      <c r="E56" s="27">
        <v>4.7155846847419934E-2</v>
      </c>
      <c r="F56" s="25">
        <v>30</v>
      </c>
      <c r="G56" s="28">
        <v>358576.78470405075</v>
      </c>
      <c r="H56" s="25">
        <v>156</v>
      </c>
      <c r="I56" s="29">
        <v>-24467.546696012832</v>
      </c>
      <c r="J56" s="25" t="s">
        <v>10</v>
      </c>
      <c r="K56" s="25" t="s">
        <v>16</v>
      </c>
      <c r="L56" s="25">
        <v>5</v>
      </c>
      <c r="M56" s="25" t="s">
        <v>31</v>
      </c>
      <c r="N56" s="25" t="s">
        <v>66</v>
      </c>
      <c r="O56" s="25" t="s">
        <v>67</v>
      </c>
      <c r="P56" s="25" t="s">
        <v>63</v>
      </c>
      <c r="Q56" s="10"/>
      <c r="S56" s="10"/>
    </row>
    <row r="57" spans="1:19" x14ac:dyDescent="0.3">
      <c r="A57" s="25">
        <v>56</v>
      </c>
      <c r="B57" s="25">
        <v>94915980</v>
      </c>
      <c r="C57" s="25" t="s">
        <v>3</v>
      </c>
      <c r="D57" s="26">
        <v>310000</v>
      </c>
      <c r="E57" s="27">
        <v>3.5647185007364517E-2</v>
      </c>
      <c r="F57" s="25">
        <v>10</v>
      </c>
      <c r="G57" s="28">
        <v>440027.66754076956</v>
      </c>
      <c r="H57" s="25">
        <v>36</v>
      </c>
      <c r="I57" s="29">
        <v>-81713.639225070889</v>
      </c>
      <c r="J57" s="25" t="s">
        <v>13</v>
      </c>
      <c r="K57" s="25" t="s">
        <v>18</v>
      </c>
      <c r="L57" s="25">
        <v>0</v>
      </c>
      <c r="M57" s="25" t="s">
        <v>30</v>
      </c>
      <c r="N57" s="25" t="s">
        <v>66</v>
      </c>
      <c r="O57" s="25" t="s">
        <v>67</v>
      </c>
      <c r="P57" s="25" t="s">
        <v>63</v>
      </c>
      <c r="Q57" s="10"/>
      <c r="S57" s="10"/>
    </row>
    <row r="58" spans="1:19" x14ac:dyDescent="0.3">
      <c r="A58" s="25">
        <v>57</v>
      </c>
      <c r="B58" s="25">
        <v>16798870</v>
      </c>
      <c r="C58" s="25" t="s">
        <v>3</v>
      </c>
      <c r="D58" s="26">
        <v>270000</v>
      </c>
      <c r="E58" s="27">
        <v>3.8124204390776455E-2</v>
      </c>
      <c r="F58" s="25">
        <v>30</v>
      </c>
      <c r="G58" s="28">
        <v>829551.34697907977</v>
      </c>
      <c r="H58" s="25">
        <v>327</v>
      </c>
      <c r="I58" s="29">
        <v>-230584.96129451855</v>
      </c>
      <c r="J58" s="25" t="s">
        <v>13</v>
      </c>
      <c r="K58" s="25" t="s">
        <v>18</v>
      </c>
      <c r="L58" s="25">
        <v>3</v>
      </c>
      <c r="M58" s="25" t="s">
        <v>31</v>
      </c>
      <c r="N58" s="25" t="s">
        <v>66</v>
      </c>
      <c r="O58" s="25" t="s">
        <v>67</v>
      </c>
      <c r="P58" s="25" t="s">
        <v>63</v>
      </c>
      <c r="Q58" s="10"/>
      <c r="S58" s="10"/>
    </row>
    <row r="59" spans="1:19" x14ac:dyDescent="0.3">
      <c r="A59" s="25">
        <v>58</v>
      </c>
      <c r="B59" s="25">
        <v>78996690</v>
      </c>
      <c r="C59" s="25" t="s">
        <v>3</v>
      </c>
      <c r="D59" s="26">
        <v>280000</v>
      </c>
      <c r="E59" s="27">
        <v>8.3762295006845983E-2</v>
      </c>
      <c r="F59" s="25">
        <v>30</v>
      </c>
      <c r="G59" s="28">
        <v>3127369.2059509605</v>
      </c>
      <c r="H59" s="25">
        <v>187</v>
      </c>
      <c r="I59" s="29">
        <v>-66605.873523933536</v>
      </c>
      <c r="J59" s="25" t="s">
        <v>13</v>
      </c>
      <c r="K59" s="25" t="s">
        <v>18</v>
      </c>
      <c r="L59" s="25">
        <v>0</v>
      </c>
      <c r="M59" s="25" t="s">
        <v>30</v>
      </c>
      <c r="N59" s="25" t="s">
        <v>66</v>
      </c>
      <c r="O59" s="25" t="s">
        <v>67</v>
      </c>
      <c r="P59" s="25" t="s">
        <v>63</v>
      </c>
      <c r="Q59" s="10"/>
      <c r="S59" s="10"/>
    </row>
    <row r="60" spans="1:19" x14ac:dyDescent="0.3">
      <c r="A60" s="25">
        <v>59</v>
      </c>
      <c r="B60" s="25">
        <v>12860906</v>
      </c>
      <c r="C60" s="25" t="s">
        <v>3</v>
      </c>
      <c r="D60" s="26">
        <v>80000</v>
      </c>
      <c r="E60" s="27">
        <v>8.3028447544266887E-2</v>
      </c>
      <c r="F60" s="25">
        <v>10</v>
      </c>
      <c r="G60" s="28">
        <v>177618.67640221692</v>
      </c>
      <c r="H60" s="25">
        <v>57</v>
      </c>
      <c r="I60" s="29">
        <v>-29917.681714276579</v>
      </c>
      <c r="J60" s="25" t="s">
        <v>9</v>
      </c>
      <c r="K60" s="25" t="s">
        <v>18</v>
      </c>
      <c r="L60" s="25">
        <v>1</v>
      </c>
      <c r="M60" s="25" t="s">
        <v>26</v>
      </c>
      <c r="N60" s="25" t="s">
        <v>66</v>
      </c>
      <c r="O60" s="25" t="s">
        <v>67</v>
      </c>
      <c r="P60" s="25" t="s">
        <v>63</v>
      </c>
      <c r="Q60" s="10"/>
      <c r="S60" s="10"/>
    </row>
    <row r="61" spans="1:19" x14ac:dyDescent="0.3">
      <c r="A61" s="25">
        <v>60</v>
      </c>
      <c r="B61" s="25">
        <v>24261168</v>
      </c>
      <c r="C61" s="25" t="s">
        <v>3</v>
      </c>
      <c r="D61" s="26">
        <v>100000</v>
      </c>
      <c r="E61" s="27">
        <v>3.2246080585092513E-2</v>
      </c>
      <c r="F61" s="25">
        <v>10</v>
      </c>
      <c r="G61" s="28">
        <v>137351.18967409877</v>
      </c>
      <c r="H61" s="25">
        <v>33</v>
      </c>
      <c r="I61" s="29">
        <v>-24372.617932080608</v>
      </c>
      <c r="J61" s="25" t="s">
        <v>12</v>
      </c>
      <c r="K61" s="25" t="s">
        <v>18</v>
      </c>
      <c r="L61" s="25">
        <v>0</v>
      </c>
      <c r="M61" s="25" t="s">
        <v>30</v>
      </c>
      <c r="N61" s="25" t="s">
        <v>66</v>
      </c>
      <c r="O61" s="25" t="s">
        <v>67</v>
      </c>
      <c r="P61" s="25" t="s">
        <v>63</v>
      </c>
      <c r="Q61" s="10"/>
      <c r="S61" s="10"/>
    </row>
    <row r="62" spans="1:19" x14ac:dyDescent="0.3">
      <c r="A62" s="25">
        <v>61</v>
      </c>
      <c r="B62" s="25">
        <v>61297822</v>
      </c>
      <c r="C62" s="25" t="s">
        <v>3</v>
      </c>
      <c r="D62" s="26">
        <v>100000</v>
      </c>
      <c r="E62" s="27">
        <v>5.3983098508402307E-2</v>
      </c>
      <c r="F62" s="25">
        <v>30</v>
      </c>
      <c r="G62" s="28">
        <v>484182.84707280493</v>
      </c>
      <c r="H62" s="25">
        <v>238</v>
      </c>
      <c r="I62" s="29">
        <v>-47376.440694729055</v>
      </c>
      <c r="J62" s="25" t="s">
        <v>10</v>
      </c>
      <c r="K62" s="25" t="s">
        <v>16</v>
      </c>
      <c r="L62" s="25">
        <v>0</v>
      </c>
      <c r="M62" s="25" t="s">
        <v>30</v>
      </c>
      <c r="N62" s="25" t="s">
        <v>66</v>
      </c>
      <c r="O62" s="25" t="s">
        <v>67</v>
      </c>
      <c r="P62" s="25" t="s">
        <v>63</v>
      </c>
      <c r="Q62" s="10"/>
      <c r="S62" s="10"/>
    </row>
    <row r="63" spans="1:19" x14ac:dyDescent="0.3">
      <c r="A63" s="25">
        <v>62</v>
      </c>
      <c r="B63" s="25">
        <v>25037514</v>
      </c>
      <c r="C63" s="25" t="s">
        <v>3</v>
      </c>
      <c r="D63" s="26">
        <v>380000</v>
      </c>
      <c r="E63" s="27">
        <v>6.6890959133402261E-2</v>
      </c>
      <c r="F63" s="25">
        <v>20</v>
      </c>
      <c r="G63" s="28">
        <v>1387344.4304452194</v>
      </c>
      <c r="H63" s="25">
        <v>62</v>
      </c>
      <c r="I63" s="29">
        <v>-55912.653065324004</v>
      </c>
      <c r="J63" s="25" t="s">
        <v>11</v>
      </c>
      <c r="K63" s="25" t="s">
        <v>17</v>
      </c>
      <c r="L63" s="25">
        <v>0</v>
      </c>
      <c r="M63" s="25" t="s">
        <v>30</v>
      </c>
      <c r="N63" s="25" t="s">
        <v>66</v>
      </c>
      <c r="O63" s="25" t="s">
        <v>67</v>
      </c>
      <c r="P63" s="25" t="s">
        <v>63</v>
      </c>
      <c r="Q63" s="10"/>
      <c r="S63" s="10"/>
    </row>
    <row r="64" spans="1:19" x14ac:dyDescent="0.3">
      <c r="A64" s="25">
        <v>63</v>
      </c>
      <c r="B64" s="25">
        <v>64266143</v>
      </c>
      <c r="C64" s="25" t="s">
        <v>3</v>
      </c>
      <c r="D64" s="26">
        <v>150000</v>
      </c>
      <c r="E64" s="27">
        <v>2.4040124038044522E-2</v>
      </c>
      <c r="F64" s="25">
        <v>20</v>
      </c>
      <c r="G64" s="28">
        <v>241229.6739728814</v>
      </c>
      <c r="H64" s="25">
        <v>205</v>
      </c>
      <c r="I64" s="29">
        <v>-123395.19795095442</v>
      </c>
      <c r="J64" s="25" t="s">
        <v>11</v>
      </c>
      <c r="K64" s="25" t="s">
        <v>17</v>
      </c>
      <c r="L64" s="25">
        <v>0</v>
      </c>
      <c r="M64" s="25" t="s">
        <v>30</v>
      </c>
      <c r="N64" s="25" t="s">
        <v>66</v>
      </c>
      <c r="O64" s="25" t="s">
        <v>67</v>
      </c>
      <c r="P64" s="25" t="s">
        <v>63</v>
      </c>
      <c r="Q64" s="10"/>
      <c r="S64" s="10"/>
    </row>
    <row r="65" spans="1:19" x14ac:dyDescent="0.3">
      <c r="A65" s="25">
        <v>64</v>
      </c>
      <c r="B65" s="25">
        <v>75089533</v>
      </c>
      <c r="C65" s="25" t="s">
        <v>2</v>
      </c>
      <c r="D65" s="26">
        <v>100000</v>
      </c>
      <c r="E65" s="27">
        <v>2.3500078758323658E-2</v>
      </c>
      <c r="F65" s="25">
        <v>30</v>
      </c>
      <c r="G65" s="28">
        <v>200741.1521863736</v>
      </c>
      <c r="H65" s="25">
        <v>315</v>
      </c>
      <c r="I65" s="29">
        <v>-83330.107705510731</v>
      </c>
      <c r="J65" s="25" t="s">
        <v>11</v>
      </c>
      <c r="K65" s="25" t="s">
        <v>17</v>
      </c>
      <c r="L65" s="25">
        <v>0</v>
      </c>
      <c r="M65" s="25" t="s">
        <v>30</v>
      </c>
      <c r="N65" s="25" t="s">
        <v>66</v>
      </c>
      <c r="O65" s="25" t="s">
        <v>67</v>
      </c>
      <c r="P65" s="25" t="s">
        <v>63</v>
      </c>
      <c r="Q65" s="10"/>
      <c r="S65" s="10"/>
    </row>
    <row r="66" spans="1:19" x14ac:dyDescent="0.3">
      <c r="A66" s="25">
        <v>65</v>
      </c>
      <c r="B66" s="25">
        <v>91788629</v>
      </c>
      <c r="C66" s="25" t="s">
        <v>2</v>
      </c>
      <c r="D66" s="26">
        <v>390000</v>
      </c>
      <c r="E66" s="27">
        <v>6.6238204969847433E-2</v>
      </c>
      <c r="F66" s="25">
        <v>30</v>
      </c>
      <c r="G66" s="28">
        <v>2671110.1917949114</v>
      </c>
      <c r="H66" s="25">
        <v>317</v>
      </c>
      <c r="I66" s="29">
        <v>-294656.81472138496</v>
      </c>
      <c r="J66" s="25" t="s">
        <v>13</v>
      </c>
      <c r="K66" s="25" t="s">
        <v>18</v>
      </c>
      <c r="L66" s="25">
        <v>0</v>
      </c>
      <c r="M66" s="25" t="s">
        <v>30</v>
      </c>
      <c r="N66" s="25" t="s">
        <v>66</v>
      </c>
      <c r="O66" s="25" t="s">
        <v>67</v>
      </c>
      <c r="P66" s="25" t="s">
        <v>63</v>
      </c>
      <c r="Q66" s="10"/>
      <c r="S66" s="10"/>
    </row>
    <row r="67" spans="1:19" x14ac:dyDescent="0.3">
      <c r="A67" s="25">
        <v>66</v>
      </c>
      <c r="B67" s="25">
        <v>93924899</v>
      </c>
      <c r="C67" s="25" t="s">
        <v>2</v>
      </c>
      <c r="D67" s="26">
        <v>260000</v>
      </c>
      <c r="E67" s="27">
        <v>8.8488321849944707E-2</v>
      </c>
      <c r="F67" s="25">
        <v>30</v>
      </c>
      <c r="G67" s="28">
        <v>3308922.2799176387</v>
      </c>
      <c r="H67" s="25">
        <v>204</v>
      </c>
      <c r="I67" s="29">
        <v>-69087.979373157621</v>
      </c>
      <c r="J67" s="25" t="s">
        <v>13</v>
      </c>
      <c r="K67" s="25" t="s">
        <v>18</v>
      </c>
      <c r="L67" s="25">
        <v>0</v>
      </c>
      <c r="M67" s="25" t="s">
        <v>30</v>
      </c>
      <c r="N67" s="25" t="s">
        <v>66</v>
      </c>
      <c r="O67" s="25" t="s">
        <v>67</v>
      </c>
      <c r="P67" s="25" t="s">
        <v>63</v>
      </c>
      <c r="Q67" s="10"/>
      <c r="S67" s="10"/>
    </row>
    <row r="68" spans="1:19" x14ac:dyDescent="0.3">
      <c r="A68" s="25">
        <v>67</v>
      </c>
      <c r="B68" s="25">
        <v>14685343</v>
      </c>
      <c r="C68" s="25" t="s">
        <v>2</v>
      </c>
      <c r="D68" s="26">
        <v>230000</v>
      </c>
      <c r="E68" s="27">
        <v>7.0071082298951745E-2</v>
      </c>
      <c r="F68" s="25">
        <v>30</v>
      </c>
      <c r="G68" s="28">
        <v>1754311.3374810976</v>
      </c>
      <c r="H68" s="25">
        <v>237</v>
      </c>
      <c r="I68" s="29">
        <v>-95898.980088059921</v>
      </c>
      <c r="J68" s="25" t="s">
        <v>11</v>
      </c>
      <c r="K68" s="25" t="s">
        <v>17</v>
      </c>
      <c r="L68" s="25">
        <v>0</v>
      </c>
      <c r="M68" s="25" t="s">
        <v>30</v>
      </c>
      <c r="N68" s="25" t="s">
        <v>66</v>
      </c>
      <c r="O68" s="25" t="s">
        <v>67</v>
      </c>
      <c r="P68" s="25" t="s">
        <v>63</v>
      </c>
      <c r="Q68" s="10"/>
      <c r="S68" s="10"/>
    </row>
    <row r="69" spans="1:19" x14ac:dyDescent="0.3">
      <c r="A69" s="25">
        <v>68</v>
      </c>
      <c r="B69" s="25">
        <v>46047163</v>
      </c>
      <c r="C69" s="25" t="s">
        <v>2</v>
      </c>
      <c r="D69" s="26">
        <v>180000</v>
      </c>
      <c r="E69" s="27">
        <v>6.9073868790080276E-2</v>
      </c>
      <c r="F69" s="25">
        <v>10</v>
      </c>
      <c r="G69" s="28">
        <v>351034.3759227019</v>
      </c>
      <c r="H69" s="25">
        <v>74</v>
      </c>
      <c r="I69" s="29">
        <v>-96094.775967545254</v>
      </c>
      <c r="J69" s="25" t="s">
        <v>11</v>
      </c>
      <c r="K69" s="25" t="s">
        <v>17</v>
      </c>
      <c r="L69" s="25">
        <v>0</v>
      </c>
      <c r="M69" s="25" t="s">
        <v>30</v>
      </c>
      <c r="N69" s="25" t="s">
        <v>66</v>
      </c>
      <c r="O69" s="25" t="s">
        <v>67</v>
      </c>
      <c r="P69" s="25" t="s">
        <v>63</v>
      </c>
      <c r="Q69" s="10"/>
      <c r="S69" s="10"/>
    </row>
    <row r="70" spans="1:19" x14ac:dyDescent="0.3">
      <c r="A70" s="25">
        <v>69</v>
      </c>
      <c r="B70" s="25">
        <v>21390949</v>
      </c>
      <c r="C70" s="25" t="s">
        <v>2</v>
      </c>
      <c r="D70" s="26">
        <v>420000</v>
      </c>
      <c r="E70" s="27">
        <v>8.6516783487079515E-2</v>
      </c>
      <c r="F70" s="25">
        <v>30</v>
      </c>
      <c r="G70" s="28">
        <v>5062236.9420873951</v>
      </c>
      <c r="H70" s="25">
        <v>237</v>
      </c>
      <c r="I70" s="29">
        <v>-153511.87461986163</v>
      </c>
      <c r="J70" s="25" t="s">
        <v>13</v>
      </c>
      <c r="K70" s="25" t="s">
        <v>18</v>
      </c>
      <c r="L70" s="25">
        <v>0</v>
      </c>
      <c r="M70" s="25" t="s">
        <v>30</v>
      </c>
      <c r="N70" s="25" t="s">
        <v>66</v>
      </c>
      <c r="O70" s="25" t="s">
        <v>67</v>
      </c>
      <c r="P70" s="25" t="s">
        <v>63</v>
      </c>
      <c r="Q70" s="10"/>
      <c r="S70" s="10"/>
    </row>
    <row r="71" spans="1:19" x14ac:dyDescent="0.3">
      <c r="A71" s="25">
        <v>70</v>
      </c>
      <c r="B71" s="25">
        <v>86868306</v>
      </c>
      <c r="C71" s="25" t="s">
        <v>2</v>
      </c>
      <c r="D71" s="26">
        <v>220000</v>
      </c>
      <c r="E71" s="27">
        <v>5.9538523786275999E-2</v>
      </c>
      <c r="F71" s="25">
        <v>10</v>
      </c>
      <c r="G71" s="28">
        <v>392274.61008521757</v>
      </c>
      <c r="H71" s="25">
        <v>118</v>
      </c>
      <c r="I71" s="29">
        <v>-215161.32898643307</v>
      </c>
      <c r="J71" s="25" t="s">
        <v>9</v>
      </c>
      <c r="K71" s="25" t="s">
        <v>18</v>
      </c>
      <c r="L71" s="25">
        <v>0</v>
      </c>
      <c r="M71" s="25" t="s">
        <v>30</v>
      </c>
      <c r="N71" s="25" t="s">
        <v>66</v>
      </c>
      <c r="O71" s="25" t="s">
        <v>67</v>
      </c>
      <c r="P71" s="25" t="s">
        <v>63</v>
      </c>
      <c r="Q71" s="10"/>
      <c r="S71" s="10"/>
    </row>
    <row r="72" spans="1:19" x14ac:dyDescent="0.3">
      <c r="A72" s="25">
        <v>71</v>
      </c>
      <c r="B72" s="25">
        <v>16735695</v>
      </c>
      <c r="C72" s="25" t="s">
        <v>2</v>
      </c>
      <c r="D72" s="26">
        <v>290000</v>
      </c>
      <c r="E72" s="27">
        <v>3.7419614625481337E-2</v>
      </c>
      <c r="F72" s="25">
        <v>10</v>
      </c>
      <c r="G72" s="28">
        <v>418738.16723883391</v>
      </c>
      <c r="H72" s="25">
        <v>28</v>
      </c>
      <c r="I72" s="29">
        <v>-58316.336273964436</v>
      </c>
      <c r="J72" s="25" t="s">
        <v>9</v>
      </c>
      <c r="K72" s="25" t="s">
        <v>18</v>
      </c>
      <c r="L72" s="25">
        <v>1</v>
      </c>
      <c r="M72" s="25" t="s">
        <v>26</v>
      </c>
      <c r="N72" s="25" t="s">
        <v>66</v>
      </c>
      <c r="O72" s="25" t="s">
        <v>67</v>
      </c>
      <c r="P72" s="25" t="s">
        <v>63</v>
      </c>
      <c r="Q72" s="10"/>
      <c r="S72" s="10"/>
    </row>
    <row r="73" spans="1:19" x14ac:dyDescent="0.3">
      <c r="A73" s="25">
        <v>72</v>
      </c>
      <c r="B73" s="25">
        <v>46796012</v>
      </c>
      <c r="C73" s="25" t="s">
        <v>2</v>
      </c>
      <c r="D73" s="26">
        <v>90000</v>
      </c>
      <c r="E73" s="27">
        <v>3.9502545578306847E-2</v>
      </c>
      <c r="F73" s="25">
        <v>20</v>
      </c>
      <c r="G73" s="28">
        <v>195323.12013907469</v>
      </c>
      <c r="H73" s="25">
        <v>161</v>
      </c>
      <c r="I73" s="29">
        <v>-52279.728501302161</v>
      </c>
      <c r="J73" s="25" t="s">
        <v>10</v>
      </c>
      <c r="K73" s="25" t="s">
        <v>16</v>
      </c>
      <c r="L73" s="25">
        <v>10</v>
      </c>
      <c r="M73" s="25" t="s">
        <v>31</v>
      </c>
      <c r="N73" s="25" t="s">
        <v>64</v>
      </c>
      <c r="O73" s="25" t="s">
        <v>70</v>
      </c>
      <c r="P73" s="25" t="s">
        <v>46</v>
      </c>
      <c r="Q73" s="10"/>
      <c r="S73" s="10"/>
    </row>
    <row r="74" spans="1:19" x14ac:dyDescent="0.3">
      <c r="A74" s="25">
        <v>73</v>
      </c>
      <c r="B74" s="25">
        <v>18909077</v>
      </c>
      <c r="C74" s="25" t="s">
        <v>2</v>
      </c>
      <c r="D74" s="26">
        <v>280000</v>
      </c>
      <c r="E74" s="27">
        <v>8.0913712050867476E-2</v>
      </c>
      <c r="F74" s="25">
        <v>10</v>
      </c>
      <c r="G74" s="28">
        <v>609632.75475596276</v>
      </c>
      <c r="H74" s="25">
        <v>64</v>
      </c>
      <c r="I74" s="29">
        <v>-121359.888600306</v>
      </c>
      <c r="J74" s="25" t="s">
        <v>12</v>
      </c>
      <c r="K74" s="25" t="s">
        <v>18</v>
      </c>
      <c r="L74" s="25">
        <v>9</v>
      </c>
      <c r="M74" s="25" t="s">
        <v>31</v>
      </c>
      <c r="N74" s="25" t="s">
        <v>64</v>
      </c>
      <c r="O74" s="25" t="s">
        <v>69</v>
      </c>
      <c r="P74" s="25" t="s">
        <v>45</v>
      </c>
      <c r="Q74" s="10"/>
      <c r="S74" s="10"/>
    </row>
    <row r="75" spans="1:19" x14ac:dyDescent="0.3">
      <c r="A75" s="25">
        <v>74</v>
      </c>
      <c r="B75" s="25">
        <v>87247227</v>
      </c>
      <c r="C75" s="25" t="s">
        <v>2</v>
      </c>
      <c r="D75" s="26">
        <v>350000</v>
      </c>
      <c r="E75" s="27">
        <v>3.5787945697589502E-2</v>
      </c>
      <c r="F75" s="25">
        <v>30</v>
      </c>
      <c r="G75" s="28">
        <v>1005063.7712606625</v>
      </c>
      <c r="H75" s="25">
        <v>293</v>
      </c>
      <c r="I75" s="29">
        <v>-253744.61296410291</v>
      </c>
      <c r="J75" s="25" t="s">
        <v>12</v>
      </c>
      <c r="K75" s="25" t="s">
        <v>18</v>
      </c>
      <c r="L75" s="25">
        <v>4</v>
      </c>
      <c r="M75" s="25" t="s">
        <v>31</v>
      </c>
      <c r="N75" s="25" t="s">
        <v>66</v>
      </c>
      <c r="O75" s="25" t="s">
        <v>67</v>
      </c>
      <c r="P75" s="25" t="s">
        <v>63</v>
      </c>
      <c r="Q75" s="10"/>
      <c r="S75" s="10"/>
    </row>
    <row r="76" spans="1:19" x14ac:dyDescent="0.3">
      <c r="A76" s="25">
        <v>75</v>
      </c>
      <c r="B76" s="25">
        <v>75779854</v>
      </c>
      <c r="C76" s="25" t="s">
        <v>2</v>
      </c>
      <c r="D76" s="26">
        <v>440000</v>
      </c>
      <c r="E76" s="27">
        <v>7.5454290205374391E-2</v>
      </c>
      <c r="F76" s="25">
        <v>30</v>
      </c>
      <c r="G76" s="28">
        <v>3901318.1509939167</v>
      </c>
      <c r="H76" s="25">
        <v>151</v>
      </c>
      <c r="I76" s="29">
        <v>-81137.9944741293</v>
      </c>
      <c r="J76" s="25" t="s">
        <v>11</v>
      </c>
      <c r="K76" s="25" t="s">
        <v>17</v>
      </c>
      <c r="L76" s="25">
        <v>1</v>
      </c>
      <c r="M76" s="25" t="s">
        <v>26</v>
      </c>
      <c r="N76" s="25" t="s">
        <v>66</v>
      </c>
      <c r="O76" s="25" t="s">
        <v>67</v>
      </c>
      <c r="P76" s="25" t="s">
        <v>63</v>
      </c>
      <c r="Q76" s="10"/>
      <c r="S76" s="10"/>
    </row>
    <row r="77" spans="1:19" x14ac:dyDescent="0.3">
      <c r="A77" s="25">
        <v>76</v>
      </c>
      <c r="B77" s="25">
        <v>28343036</v>
      </c>
      <c r="C77" s="25" t="s">
        <v>2</v>
      </c>
      <c r="D77" s="26">
        <v>390000</v>
      </c>
      <c r="E77" s="27">
        <v>3.3529466107279624E-2</v>
      </c>
      <c r="F77" s="25">
        <v>20</v>
      </c>
      <c r="G77" s="28">
        <v>754261.37080609496</v>
      </c>
      <c r="H77" s="25">
        <v>75</v>
      </c>
      <c r="I77" s="29">
        <v>-95202.936814312401</v>
      </c>
      <c r="J77" s="25" t="s">
        <v>9</v>
      </c>
      <c r="K77" s="25" t="s">
        <v>18</v>
      </c>
      <c r="L77" s="25">
        <v>5</v>
      </c>
      <c r="M77" s="25" t="s">
        <v>31</v>
      </c>
      <c r="N77" s="25" t="s">
        <v>66</v>
      </c>
      <c r="O77" s="25" t="s">
        <v>67</v>
      </c>
      <c r="P77" s="25" t="s">
        <v>63</v>
      </c>
      <c r="Q77" s="10"/>
      <c r="S77" s="10"/>
    </row>
    <row r="78" spans="1:19" x14ac:dyDescent="0.3">
      <c r="A78" s="25">
        <v>77</v>
      </c>
      <c r="B78" s="25">
        <v>39275659</v>
      </c>
      <c r="C78" s="25" t="s">
        <v>2</v>
      </c>
      <c r="D78" s="26">
        <v>280000</v>
      </c>
      <c r="E78" s="27">
        <v>3.8174534059814809E-2</v>
      </c>
      <c r="F78" s="25">
        <v>20</v>
      </c>
      <c r="G78" s="28">
        <v>592332.36616532179</v>
      </c>
      <c r="H78" s="25">
        <v>229</v>
      </c>
      <c r="I78" s="29">
        <v>-261976.5750333294</v>
      </c>
      <c r="J78" s="25" t="s">
        <v>13</v>
      </c>
      <c r="K78" s="25" t="s">
        <v>18</v>
      </c>
      <c r="L78" s="25">
        <v>4</v>
      </c>
      <c r="M78" s="25" t="s">
        <v>31</v>
      </c>
      <c r="N78" s="25" t="s">
        <v>66</v>
      </c>
      <c r="O78" s="25" t="s">
        <v>67</v>
      </c>
      <c r="P78" s="25" t="s">
        <v>63</v>
      </c>
      <c r="Q78" s="10"/>
      <c r="S78" s="10"/>
    </row>
    <row r="79" spans="1:19" x14ac:dyDescent="0.3">
      <c r="A79" s="25">
        <v>78</v>
      </c>
      <c r="B79" s="25">
        <v>86619026</v>
      </c>
      <c r="C79" s="25" t="s">
        <v>2</v>
      </c>
      <c r="D79" s="26">
        <v>380000</v>
      </c>
      <c r="E79" s="27">
        <v>8.8639262942166508E-2</v>
      </c>
      <c r="F79" s="25">
        <v>30</v>
      </c>
      <c r="G79" s="28">
        <v>4856276.4706106801</v>
      </c>
      <c r="H79" s="25">
        <v>57</v>
      </c>
      <c r="I79" s="29">
        <v>-15065.857056675792</v>
      </c>
      <c r="J79" s="25" t="s">
        <v>9</v>
      </c>
      <c r="K79" s="25" t="s">
        <v>18</v>
      </c>
      <c r="L79" s="25">
        <v>4</v>
      </c>
      <c r="M79" s="25" t="s">
        <v>31</v>
      </c>
      <c r="N79" s="25" t="s">
        <v>66</v>
      </c>
      <c r="O79" s="25" t="s">
        <v>67</v>
      </c>
      <c r="P79" s="25" t="s">
        <v>63</v>
      </c>
      <c r="Q79" s="10"/>
      <c r="S79" s="10"/>
    </row>
    <row r="80" spans="1:19" x14ac:dyDescent="0.3">
      <c r="A80" s="25">
        <v>79</v>
      </c>
      <c r="B80" s="25">
        <v>31354657</v>
      </c>
      <c r="C80" s="25" t="s">
        <v>2</v>
      </c>
      <c r="D80" s="26">
        <v>110000</v>
      </c>
      <c r="E80" s="27">
        <v>5.489254667303671E-2</v>
      </c>
      <c r="F80" s="25">
        <v>10</v>
      </c>
      <c r="G80" s="28">
        <v>187704.60333523748</v>
      </c>
      <c r="H80" s="25">
        <v>84</v>
      </c>
      <c r="I80" s="29">
        <v>-70478.246168117941</v>
      </c>
      <c r="J80" s="25" t="s">
        <v>12</v>
      </c>
      <c r="K80" s="25" t="s">
        <v>18</v>
      </c>
      <c r="L80" s="25">
        <v>8</v>
      </c>
      <c r="M80" s="25" t="s">
        <v>31</v>
      </c>
      <c r="N80" s="25" t="s">
        <v>64</v>
      </c>
      <c r="O80" s="25" t="s">
        <v>68</v>
      </c>
      <c r="P80" s="25" t="s">
        <v>44</v>
      </c>
      <c r="Q80" s="10"/>
      <c r="S80" s="10"/>
    </row>
    <row r="81" spans="1:19" x14ac:dyDescent="0.3">
      <c r="A81" s="25">
        <v>80</v>
      </c>
      <c r="B81" s="25">
        <v>87048847</v>
      </c>
      <c r="C81" s="25" t="s">
        <v>2</v>
      </c>
      <c r="D81" s="26">
        <v>380000</v>
      </c>
      <c r="E81" s="27">
        <v>7.5436353811503654E-2</v>
      </c>
      <c r="F81" s="25">
        <v>20</v>
      </c>
      <c r="G81" s="28">
        <v>1627338.3541313638</v>
      </c>
      <c r="H81" s="25">
        <v>124</v>
      </c>
      <c r="I81" s="29">
        <v>-127592.90338034008</v>
      </c>
      <c r="J81" s="25" t="s">
        <v>12</v>
      </c>
      <c r="K81" s="25" t="s">
        <v>18</v>
      </c>
      <c r="L81" s="25">
        <v>3</v>
      </c>
      <c r="M81" s="25" t="s">
        <v>31</v>
      </c>
      <c r="N81" s="25" t="s">
        <v>66</v>
      </c>
      <c r="O81" s="25" t="s">
        <v>67</v>
      </c>
      <c r="P81" s="25" t="s">
        <v>63</v>
      </c>
      <c r="Q81" s="10"/>
      <c r="S81" s="10"/>
    </row>
    <row r="82" spans="1:19" x14ac:dyDescent="0.3">
      <c r="A82" s="25">
        <v>81</v>
      </c>
      <c r="B82" s="25">
        <v>35342493</v>
      </c>
      <c r="C82" s="25" t="s">
        <v>2</v>
      </c>
      <c r="D82" s="26">
        <v>370000</v>
      </c>
      <c r="E82" s="27">
        <v>4.4525794658394374E-2</v>
      </c>
      <c r="F82" s="25">
        <v>10</v>
      </c>
      <c r="G82" s="28">
        <v>571996.56134740589</v>
      </c>
      <c r="H82" s="25">
        <v>45</v>
      </c>
      <c r="I82" s="29">
        <v>-119908.46714035224</v>
      </c>
      <c r="J82" s="25" t="s">
        <v>11</v>
      </c>
      <c r="K82" s="25" t="s">
        <v>17</v>
      </c>
      <c r="L82" s="25">
        <v>6</v>
      </c>
      <c r="M82" s="25" t="s">
        <v>31</v>
      </c>
      <c r="N82" s="25" t="s">
        <v>64</v>
      </c>
      <c r="O82" s="25" t="s">
        <v>70</v>
      </c>
      <c r="P82" s="25" t="s">
        <v>46</v>
      </c>
      <c r="Q82" s="10"/>
      <c r="S82" s="10"/>
    </row>
    <row r="83" spans="1:19" x14ac:dyDescent="0.3">
      <c r="A83" s="25">
        <v>82</v>
      </c>
      <c r="B83" s="25">
        <v>75556629</v>
      </c>
      <c r="C83" s="25" t="s">
        <v>2</v>
      </c>
      <c r="D83" s="26">
        <v>310000</v>
      </c>
      <c r="E83" s="27">
        <v>3.9359824408563691E-2</v>
      </c>
      <c r="F83" s="25">
        <v>30</v>
      </c>
      <c r="G83" s="28">
        <v>987050.69670216087</v>
      </c>
      <c r="H83" s="25">
        <v>246</v>
      </c>
      <c r="I83" s="29">
        <v>-170509.58642769625</v>
      </c>
      <c r="J83" s="25" t="s">
        <v>13</v>
      </c>
      <c r="K83" s="25" t="s">
        <v>18</v>
      </c>
      <c r="L83" s="25">
        <v>9</v>
      </c>
      <c r="M83" s="25" t="s">
        <v>31</v>
      </c>
      <c r="N83" s="25" t="s">
        <v>64</v>
      </c>
      <c r="O83" s="25" t="s">
        <v>68</v>
      </c>
      <c r="P83" s="25" t="s">
        <v>44</v>
      </c>
      <c r="Q83" s="10"/>
      <c r="S83" s="10"/>
    </row>
    <row r="84" spans="1:19" x14ac:dyDescent="0.3">
      <c r="A84" s="25">
        <v>83</v>
      </c>
      <c r="B84" s="25">
        <v>87177391</v>
      </c>
      <c r="C84" s="25" t="s">
        <v>2</v>
      </c>
      <c r="D84" s="26">
        <v>360000</v>
      </c>
      <c r="E84" s="27">
        <v>6.9952886514902876E-2</v>
      </c>
      <c r="F84" s="25">
        <v>20</v>
      </c>
      <c r="G84" s="28">
        <v>1391860.1315654637</v>
      </c>
      <c r="H84" s="25">
        <v>216</v>
      </c>
      <c r="I84" s="29">
        <v>-297680.80065955524</v>
      </c>
      <c r="J84" s="25" t="s">
        <v>10</v>
      </c>
      <c r="K84" s="25" t="s">
        <v>16</v>
      </c>
      <c r="L84" s="25">
        <v>1</v>
      </c>
      <c r="M84" s="25" t="s">
        <v>26</v>
      </c>
      <c r="N84" s="25" t="s">
        <v>66</v>
      </c>
      <c r="O84" s="25" t="s">
        <v>67</v>
      </c>
      <c r="P84" s="25" t="s">
        <v>63</v>
      </c>
      <c r="Q84" s="10"/>
      <c r="S84" s="10"/>
    </row>
    <row r="85" spans="1:19" x14ac:dyDescent="0.3">
      <c r="A85" s="25">
        <v>84</v>
      </c>
      <c r="B85" s="25">
        <v>70455980</v>
      </c>
      <c r="C85" s="25" t="s">
        <v>2</v>
      </c>
      <c r="D85" s="26">
        <v>360000</v>
      </c>
      <c r="E85" s="27">
        <v>2.6369708310845265E-2</v>
      </c>
      <c r="F85" s="25">
        <v>30</v>
      </c>
      <c r="G85" s="28">
        <v>785990.4727988774</v>
      </c>
      <c r="H85" s="25">
        <v>329</v>
      </c>
      <c r="I85" s="29">
        <v>-316646.67139224388</v>
      </c>
      <c r="J85" s="25" t="s">
        <v>13</v>
      </c>
      <c r="K85" s="25" t="s">
        <v>18</v>
      </c>
      <c r="L85" s="25">
        <v>4</v>
      </c>
      <c r="M85" s="25" t="s">
        <v>31</v>
      </c>
      <c r="N85" s="25" t="s">
        <v>66</v>
      </c>
      <c r="O85" s="25" t="s">
        <v>67</v>
      </c>
      <c r="P85" s="25" t="s">
        <v>63</v>
      </c>
      <c r="Q85" s="10"/>
      <c r="S85" s="10"/>
    </row>
    <row r="86" spans="1:19" x14ac:dyDescent="0.3">
      <c r="A86" s="25">
        <v>85</v>
      </c>
      <c r="B86" s="25">
        <v>75392997</v>
      </c>
      <c r="C86" s="25" t="s">
        <v>2</v>
      </c>
      <c r="D86" s="26">
        <v>440000</v>
      </c>
      <c r="E86" s="27">
        <v>4.3556765273894182E-2</v>
      </c>
      <c r="F86" s="25">
        <v>30</v>
      </c>
      <c r="G86" s="28">
        <v>1581011.4448917112</v>
      </c>
      <c r="H86" s="25">
        <v>164</v>
      </c>
      <c r="I86" s="29">
        <v>-132983.78491712426</v>
      </c>
      <c r="J86" s="25" t="s">
        <v>12</v>
      </c>
      <c r="K86" s="25" t="s">
        <v>18</v>
      </c>
      <c r="L86" s="25">
        <v>5</v>
      </c>
      <c r="M86" s="25" t="s">
        <v>31</v>
      </c>
      <c r="N86" s="25" t="s">
        <v>66</v>
      </c>
      <c r="O86" s="25" t="s">
        <v>67</v>
      </c>
      <c r="P86" s="25" t="s">
        <v>63</v>
      </c>
      <c r="Q86" s="10"/>
      <c r="S86" s="10"/>
    </row>
    <row r="87" spans="1:19" x14ac:dyDescent="0.3">
      <c r="A87" s="25">
        <v>86</v>
      </c>
      <c r="B87" s="25">
        <v>19338298</v>
      </c>
      <c r="C87" s="25" t="s">
        <v>2</v>
      </c>
      <c r="D87" s="26">
        <v>210000</v>
      </c>
      <c r="E87" s="27">
        <v>2.092235791221576E-2</v>
      </c>
      <c r="F87" s="25">
        <v>20</v>
      </c>
      <c r="G87" s="28">
        <v>317741.24409677094</v>
      </c>
      <c r="H87" s="25">
        <v>232</v>
      </c>
      <c r="I87" s="29">
        <v>-201494.44805640631</v>
      </c>
      <c r="J87" s="25" t="s">
        <v>12</v>
      </c>
      <c r="K87" s="25" t="s">
        <v>18</v>
      </c>
      <c r="L87" s="25">
        <v>0</v>
      </c>
      <c r="M87" s="25" t="s">
        <v>30</v>
      </c>
      <c r="N87" s="25" t="s">
        <v>66</v>
      </c>
      <c r="O87" s="25" t="s">
        <v>67</v>
      </c>
      <c r="P87" s="25" t="s">
        <v>63</v>
      </c>
      <c r="Q87" s="10"/>
      <c r="S87" s="10"/>
    </row>
    <row r="88" spans="1:19" x14ac:dyDescent="0.3">
      <c r="A88" s="25">
        <v>87</v>
      </c>
      <c r="B88" s="25">
        <v>46089585</v>
      </c>
      <c r="C88" s="25" t="s">
        <v>2</v>
      </c>
      <c r="D88" s="26">
        <v>360000</v>
      </c>
      <c r="E88" s="27">
        <v>5.6408371052604878E-2</v>
      </c>
      <c r="F88" s="25">
        <v>15</v>
      </c>
      <c r="G88" s="28">
        <v>819936.10342159017</v>
      </c>
      <c r="H88" s="25">
        <v>78</v>
      </c>
      <c r="I88" s="29">
        <v>-119909.20095847567</v>
      </c>
      <c r="J88" s="25" t="s">
        <v>9</v>
      </c>
      <c r="K88" s="25" t="s">
        <v>18</v>
      </c>
      <c r="L88" s="25">
        <v>0</v>
      </c>
      <c r="M88" s="25" t="s">
        <v>30</v>
      </c>
      <c r="N88" s="25" t="s">
        <v>66</v>
      </c>
      <c r="O88" s="25" t="s">
        <v>67</v>
      </c>
      <c r="P88" s="25" t="s">
        <v>63</v>
      </c>
      <c r="Q88" s="10"/>
      <c r="S88" s="10"/>
    </row>
    <row r="89" spans="1:19" x14ac:dyDescent="0.3">
      <c r="A89" s="25">
        <v>88</v>
      </c>
      <c r="B89" s="25">
        <v>82517417</v>
      </c>
      <c r="C89" s="25" t="s">
        <v>2</v>
      </c>
      <c r="D89" s="26">
        <v>190000</v>
      </c>
      <c r="E89" s="27">
        <v>8.4050464805110664E-2</v>
      </c>
      <c r="F89" s="25">
        <v>30</v>
      </c>
      <c r="G89" s="28">
        <v>2139137.0042165285</v>
      </c>
      <c r="H89" s="25">
        <v>307</v>
      </c>
      <c r="I89" s="29">
        <v>-126067.29639921511</v>
      </c>
      <c r="J89" s="25" t="s">
        <v>12</v>
      </c>
      <c r="K89" s="25" t="s">
        <v>18</v>
      </c>
      <c r="L89" s="25">
        <v>0</v>
      </c>
      <c r="M89" s="25" t="s">
        <v>30</v>
      </c>
      <c r="N89" s="25" t="s">
        <v>66</v>
      </c>
      <c r="O89" s="25" t="s">
        <v>67</v>
      </c>
      <c r="P89" s="25" t="s">
        <v>63</v>
      </c>
      <c r="Q89" s="10"/>
      <c r="S89" s="10"/>
    </row>
    <row r="90" spans="1:19" x14ac:dyDescent="0.3">
      <c r="A90" s="25">
        <v>89</v>
      </c>
      <c r="B90" s="25">
        <v>42621092</v>
      </c>
      <c r="C90" s="25" t="s">
        <v>2</v>
      </c>
      <c r="D90" s="26">
        <v>270000</v>
      </c>
      <c r="E90" s="27">
        <v>4.3622348956864891E-2</v>
      </c>
      <c r="F90" s="25">
        <v>20</v>
      </c>
      <c r="G90" s="28">
        <v>634207.21911079588</v>
      </c>
      <c r="H90" s="25">
        <v>171</v>
      </c>
      <c r="I90" s="29">
        <v>-167142.66740983693</v>
      </c>
      <c r="J90" s="25" t="s">
        <v>10</v>
      </c>
      <c r="K90" s="25" t="s">
        <v>16</v>
      </c>
      <c r="L90" s="25">
        <v>0</v>
      </c>
      <c r="M90" s="25" t="s">
        <v>30</v>
      </c>
      <c r="N90" s="25" t="s">
        <v>66</v>
      </c>
      <c r="O90" s="25" t="s">
        <v>67</v>
      </c>
      <c r="P90" s="25" t="s">
        <v>63</v>
      </c>
      <c r="Q90" s="10"/>
      <c r="S90" s="10"/>
    </row>
    <row r="91" spans="1:19" x14ac:dyDescent="0.3">
      <c r="A91" s="25">
        <v>90</v>
      </c>
      <c r="B91" s="25">
        <v>88723122</v>
      </c>
      <c r="C91" s="25" t="s">
        <v>2</v>
      </c>
      <c r="D91" s="26">
        <v>160000</v>
      </c>
      <c r="E91" s="27">
        <v>2.3133587418061395E-2</v>
      </c>
      <c r="F91" s="25">
        <v>30</v>
      </c>
      <c r="G91" s="28">
        <v>317753.42475331016</v>
      </c>
      <c r="H91" s="25">
        <v>33</v>
      </c>
      <c r="I91" s="29">
        <v>-10495.048671259234</v>
      </c>
      <c r="J91" s="25" t="s">
        <v>10</v>
      </c>
      <c r="K91" s="25" t="s">
        <v>16</v>
      </c>
      <c r="L91" s="25">
        <v>0</v>
      </c>
      <c r="M91" s="25" t="s">
        <v>30</v>
      </c>
      <c r="N91" s="25" t="s">
        <v>66</v>
      </c>
      <c r="O91" s="25" t="s">
        <v>67</v>
      </c>
      <c r="P91" s="25" t="s">
        <v>63</v>
      </c>
      <c r="Q91" s="10"/>
      <c r="S91" s="10"/>
    </row>
    <row r="92" spans="1:19" x14ac:dyDescent="0.3">
      <c r="A92" s="25">
        <v>91</v>
      </c>
      <c r="B92" s="25">
        <v>87714312</v>
      </c>
      <c r="C92" s="25" t="s">
        <v>2</v>
      </c>
      <c r="D92" s="26">
        <v>410000</v>
      </c>
      <c r="E92" s="27">
        <v>7.6002502678293865E-2</v>
      </c>
      <c r="F92" s="25">
        <v>15</v>
      </c>
      <c r="G92" s="28">
        <v>1230220.8368308374</v>
      </c>
      <c r="H92" s="25">
        <v>49</v>
      </c>
      <c r="I92" s="29">
        <v>-70261.319165212932</v>
      </c>
      <c r="J92" s="25" t="s">
        <v>10</v>
      </c>
      <c r="K92" s="25" t="s">
        <v>16</v>
      </c>
      <c r="L92" s="25">
        <v>0</v>
      </c>
      <c r="M92" s="25" t="s">
        <v>30</v>
      </c>
      <c r="N92" s="25" t="s">
        <v>66</v>
      </c>
      <c r="O92" s="25" t="s">
        <v>67</v>
      </c>
      <c r="P92" s="25" t="s">
        <v>63</v>
      </c>
      <c r="Q92" s="10"/>
      <c r="S92" s="10"/>
    </row>
    <row r="93" spans="1:19" x14ac:dyDescent="0.3">
      <c r="A93" s="25">
        <v>92</v>
      </c>
      <c r="B93" s="25">
        <v>37402885</v>
      </c>
      <c r="C93" s="25" t="s">
        <v>2</v>
      </c>
      <c r="D93" s="26">
        <v>100000</v>
      </c>
      <c r="E93" s="27">
        <v>8.0625304723364447E-2</v>
      </c>
      <c r="F93" s="25">
        <v>30</v>
      </c>
      <c r="G93" s="28">
        <v>1023891.6293557488</v>
      </c>
      <c r="H93" s="25">
        <v>17</v>
      </c>
      <c r="I93" s="29">
        <v>-1188.8833135513596</v>
      </c>
      <c r="J93" s="25" t="s">
        <v>9</v>
      </c>
      <c r="K93" s="25" t="s">
        <v>18</v>
      </c>
      <c r="L93" s="25">
        <v>0</v>
      </c>
      <c r="M93" s="25" t="s">
        <v>30</v>
      </c>
      <c r="N93" s="25" t="s">
        <v>66</v>
      </c>
      <c r="O93" s="25" t="s">
        <v>67</v>
      </c>
      <c r="P93" s="25" t="s">
        <v>63</v>
      </c>
      <c r="Q93" s="10"/>
      <c r="S93" s="10"/>
    </row>
    <row r="94" spans="1:19" x14ac:dyDescent="0.3">
      <c r="A94" s="25">
        <v>93</v>
      </c>
      <c r="B94" s="25">
        <v>50004880</v>
      </c>
      <c r="C94" s="25" t="s">
        <v>2</v>
      </c>
      <c r="D94" s="26">
        <v>200000</v>
      </c>
      <c r="E94" s="27">
        <v>3.1586661242958225E-2</v>
      </c>
      <c r="F94" s="25">
        <v>15</v>
      </c>
      <c r="G94" s="28">
        <v>318871.54397174955</v>
      </c>
      <c r="H94" s="25">
        <v>46</v>
      </c>
      <c r="I94" s="29">
        <v>-42485.899948768951</v>
      </c>
      <c r="J94" s="25" t="s">
        <v>13</v>
      </c>
      <c r="K94" s="25" t="s">
        <v>18</v>
      </c>
      <c r="L94" s="25">
        <v>0</v>
      </c>
      <c r="M94" s="25" t="s">
        <v>30</v>
      </c>
      <c r="N94" s="25" t="s">
        <v>66</v>
      </c>
      <c r="O94" s="25" t="s">
        <v>67</v>
      </c>
      <c r="P94" s="25" t="s">
        <v>63</v>
      </c>
      <c r="Q94" s="10"/>
      <c r="S94" s="10"/>
    </row>
    <row r="95" spans="1:19" x14ac:dyDescent="0.3">
      <c r="A95" s="25">
        <v>94</v>
      </c>
      <c r="B95" s="25">
        <v>54104168</v>
      </c>
      <c r="C95" s="25" t="s">
        <v>2</v>
      </c>
      <c r="D95" s="26">
        <v>320000</v>
      </c>
      <c r="E95" s="27">
        <v>6.9094609118500627E-2</v>
      </c>
      <c r="F95" s="25">
        <v>30</v>
      </c>
      <c r="G95" s="28">
        <v>2374838.9724163287</v>
      </c>
      <c r="H95" s="25">
        <v>140</v>
      </c>
      <c r="I95" s="29">
        <v>-57226.786487136531</v>
      </c>
      <c r="J95" s="25" t="s">
        <v>12</v>
      </c>
      <c r="K95" s="25" t="s">
        <v>18</v>
      </c>
      <c r="L95" s="25">
        <v>4</v>
      </c>
      <c r="M95" s="25" t="s">
        <v>31</v>
      </c>
      <c r="N95" s="25" t="s">
        <v>66</v>
      </c>
      <c r="O95" s="25" t="s">
        <v>67</v>
      </c>
      <c r="P95" s="25" t="s">
        <v>63</v>
      </c>
      <c r="Q95" s="10"/>
      <c r="S95" s="10"/>
    </row>
    <row r="96" spans="1:19" x14ac:dyDescent="0.3">
      <c r="A96" s="25">
        <v>95</v>
      </c>
      <c r="B96" s="25">
        <v>82658753</v>
      </c>
      <c r="C96" s="25" t="s">
        <v>2</v>
      </c>
      <c r="D96" s="26">
        <v>390000</v>
      </c>
      <c r="E96" s="27">
        <v>3.0758992929878257E-2</v>
      </c>
      <c r="F96" s="25">
        <v>30</v>
      </c>
      <c r="G96" s="28">
        <v>967784.3229073952</v>
      </c>
      <c r="H96" s="25">
        <v>13</v>
      </c>
      <c r="I96" s="29">
        <v>-8721.07033594116</v>
      </c>
      <c r="J96" s="25" t="s">
        <v>11</v>
      </c>
      <c r="K96" s="25" t="s">
        <v>17</v>
      </c>
      <c r="L96" s="25">
        <v>2</v>
      </c>
      <c r="M96" s="25" t="s">
        <v>26</v>
      </c>
      <c r="N96" s="25" t="s">
        <v>66</v>
      </c>
      <c r="O96" s="25" t="s">
        <v>67</v>
      </c>
      <c r="P96" s="25" t="s">
        <v>63</v>
      </c>
      <c r="Q96" s="10"/>
      <c r="S96" s="10"/>
    </row>
    <row r="97" spans="1:19" x14ac:dyDescent="0.3">
      <c r="A97" s="25">
        <v>96</v>
      </c>
      <c r="B97" s="25">
        <v>10503800</v>
      </c>
      <c r="C97" s="25" t="s">
        <v>2</v>
      </c>
      <c r="D97" s="26">
        <v>260000</v>
      </c>
      <c r="E97" s="27">
        <v>8.3913752944148587E-2</v>
      </c>
      <c r="F97" s="25">
        <v>20</v>
      </c>
      <c r="G97" s="28">
        <v>1302770.4014525986</v>
      </c>
      <c r="H97" s="25">
        <v>90</v>
      </c>
      <c r="I97" s="29">
        <v>-52436.913587989438</v>
      </c>
      <c r="J97" s="25" t="s">
        <v>13</v>
      </c>
      <c r="K97" s="25" t="s">
        <v>18</v>
      </c>
      <c r="L97" s="25">
        <v>8</v>
      </c>
      <c r="M97" s="25" t="s">
        <v>31</v>
      </c>
      <c r="N97" s="25" t="s">
        <v>64</v>
      </c>
      <c r="O97" s="25" t="s">
        <v>70</v>
      </c>
      <c r="P97" s="25" t="s">
        <v>46</v>
      </c>
      <c r="Q97" s="10"/>
      <c r="S97" s="10"/>
    </row>
    <row r="98" spans="1:19" x14ac:dyDescent="0.3">
      <c r="A98" s="25">
        <v>97</v>
      </c>
      <c r="B98" s="25">
        <v>33072572</v>
      </c>
      <c r="C98" s="25" t="s">
        <v>2</v>
      </c>
      <c r="D98" s="26">
        <v>390000</v>
      </c>
      <c r="E98" s="27">
        <v>5.914795686569916E-2</v>
      </c>
      <c r="F98" s="25">
        <v>15</v>
      </c>
      <c r="G98" s="28">
        <v>923451.51632273872</v>
      </c>
      <c r="H98" s="25">
        <v>30</v>
      </c>
      <c r="I98" s="29">
        <v>-43558.294905693394</v>
      </c>
      <c r="J98" s="25" t="s">
        <v>10</v>
      </c>
      <c r="K98" s="25" t="s">
        <v>16</v>
      </c>
      <c r="L98" s="25">
        <v>5</v>
      </c>
      <c r="M98" s="25" t="s">
        <v>31</v>
      </c>
      <c r="N98" s="25" t="s">
        <v>66</v>
      </c>
      <c r="O98" s="25" t="s">
        <v>67</v>
      </c>
      <c r="P98" s="25" t="s">
        <v>63</v>
      </c>
      <c r="Q98" s="10"/>
      <c r="S98" s="10"/>
    </row>
    <row r="99" spans="1:19" x14ac:dyDescent="0.3">
      <c r="A99" s="25">
        <v>98</v>
      </c>
      <c r="B99" s="25">
        <v>13860670</v>
      </c>
      <c r="C99" s="25" t="s">
        <v>2</v>
      </c>
      <c r="D99" s="26">
        <v>160000</v>
      </c>
      <c r="E99" s="27">
        <v>3.401337062358261E-2</v>
      </c>
      <c r="F99" s="25">
        <v>20</v>
      </c>
      <c r="G99" s="28">
        <v>312351.12469896255</v>
      </c>
      <c r="H99" s="25">
        <v>66</v>
      </c>
      <c r="I99" s="29">
        <v>-33792.580054277038</v>
      </c>
      <c r="J99" s="25" t="s">
        <v>13</v>
      </c>
      <c r="K99" s="25" t="s">
        <v>18</v>
      </c>
      <c r="L99" s="25">
        <v>10</v>
      </c>
      <c r="M99" s="25" t="s">
        <v>31</v>
      </c>
      <c r="N99" s="25" t="s">
        <v>64</v>
      </c>
      <c r="O99" s="25" t="s">
        <v>65</v>
      </c>
      <c r="P99" s="25" t="s">
        <v>43</v>
      </c>
      <c r="Q99" s="10"/>
      <c r="S99" s="10"/>
    </row>
    <row r="100" spans="1:19" x14ac:dyDescent="0.3">
      <c r="A100" s="25">
        <v>99</v>
      </c>
      <c r="B100" s="25">
        <v>78628786</v>
      </c>
      <c r="C100" s="25" t="s">
        <v>2</v>
      </c>
      <c r="D100" s="26">
        <v>400000</v>
      </c>
      <c r="E100" s="27">
        <v>2.3051931389460947E-2</v>
      </c>
      <c r="F100" s="25">
        <v>30</v>
      </c>
      <c r="G100" s="28">
        <v>792483.77486583625</v>
      </c>
      <c r="H100" s="25">
        <v>17</v>
      </c>
      <c r="I100" s="29">
        <v>-13325.417114548374</v>
      </c>
      <c r="J100" s="25" t="s">
        <v>9</v>
      </c>
      <c r="K100" s="25" t="s">
        <v>18</v>
      </c>
      <c r="L100" s="25">
        <v>9</v>
      </c>
      <c r="M100" s="25" t="s">
        <v>31</v>
      </c>
      <c r="N100" s="25" t="s">
        <v>64</v>
      </c>
      <c r="O100" s="25" t="s">
        <v>69</v>
      </c>
      <c r="P100" s="25" t="s">
        <v>45</v>
      </c>
      <c r="Q100" s="10"/>
      <c r="S100" s="10"/>
    </row>
    <row r="101" spans="1:19" x14ac:dyDescent="0.3">
      <c r="A101" s="25">
        <v>100</v>
      </c>
      <c r="B101" s="25">
        <v>19293538</v>
      </c>
      <c r="C101" s="25" t="s">
        <v>2</v>
      </c>
      <c r="D101" s="26">
        <v>110000</v>
      </c>
      <c r="E101" s="27">
        <v>7.9989228013860547E-2</v>
      </c>
      <c r="F101" s="25">
        <v>20</v>
      </c>
      <c r="G101" s="28">
        <v>512603.02043539326</v>
      </c>
      <c r="H101" s="25">
        <v>200</v>
      </c>
      <c r="I101" s="29">
        <v>-77790.765329196234</v>
      </c>
      <c r="J101" s="25" t="s">
        <v>12</v>
      </c>
      <c r="K101" s="25" t="s">
        <v>18</v>
      </c>
      <c r="L101" s="25">
        <v>9</v>
      </c>
      <c r="M101" s="25" t="s">
        <v>31</v>
      </c>
      <c r="N101" s="25" t="s">
        <v>64</v>
      </c>
      <c r="O101" s="25" t="s">
        <v>68</v>
      </c>
      <c r="P101" s="25" t="s">
        <v>44</v>
      </c>
      <c r="Q101" s="10"/>
      <c r="S101" s="10"/>
    </row>
    <row r="102" spans="1:19" x14ac:dyDescent="0.3">
      <c r="A102" s="25">
        <v>101</v>
      </c>
      <c r="B102" s="25">
        <v>74043188</v>
      </c>
      <c r="C102" s="25" t="s">
        <v>2</v>
      </c>
      <c r="D102" s="26">
        <v>270000</v>
      </c>
      <c r="E102" s="27">
        <v>4.318656729242594E-2</v>
      </c>
      <c r="F102" s="25">
        <v>20</v>
      </c>
      <c r="G102" s="28">
        <v>628931.70408394956</v>
      </c>
      <c r="H102" s="25">
        <v>145</v>
      </c>
      <c r="I102" s="29">
        <v>-134878.39360833386</v>
      </c>
      <c r="J102" s="25" t="s">
        <v>12</v>
      </c>
      <c r="K102" s="25" t="s">
        <v>18</v>
      </c>
      <c r="L102" s="25">
        <v>9</v>
      </c>
      <c r="M102" s="25" t="s">
        <v>31</v>
      </c>
      <c r="N102" s="25" t="s">
        <v>64</v>
      </c>
      <c r="O102" s="25" t="s">
        <v>70</v>
      </c>
      <c r="P102" s="25" t="s">
        <v>46</v>
      </c>
      <c r="Q102" s="10"/>
      <c r="S102" s="10"/>
    </row>
    <row r="103" spans="1:19" x14ac:dyDescent="0.3">
      <c r="A103" s="25">
        <v>102</v>
      </c>
      <c r="B103" s="25">
        <v>85981412</v>
      </c>
      <c r="C103" s="25" t="s">
        <v>2</v>
      </c>
      <c r="D103" s="26">
        <v>100000</v>
      </c>
      <c r="E103" s="27">
        <v>4.9320800002458996E-2</v>
      </c>
      <c r="F103" s="25">
        <v>20</v>
      </c>
      <c r="G103" s="28">
        <v>261918.17361115629</v>
      </c>
      <c r="H103" s="25">
        <v>185</v>
      </c>
      <c r="I103" s="29">
        <v>-67756.038035990394</v>
      </c>
      <c r="J103" s="25" t="s">
        <v>10</v>
      </c>
      <c r="K103" s="25" t="s">
        <v>16</v>
      </c>
      <c r="L103" s="25">
        <v>10</v>
      </c>
      <c r="M103" s="25" t="s">
        <v>31</v>
      </c>
      <c r="N103" s="25" t="s">
        <v>64</v>
      </c>
      <c r="O103" s="25" t="s">
        <v>68</v>
      </c>
      <c r="P103" s="25" t="s">
        <v>44</v>
      </c>
      <c r="Q103" s="10"/>
      <c r="S103" s="10"/>
    </row>
    <row r="104" spans="1:19" x14ac:dyDescent="0.3">
      <c r="A104" s="25">
        <v>103</v>
      </c>
      <c r="B104" s="25">
        <v>28790211</v>
      </c>
      <c r="C104" s="25" t="s">
        <v>2</v>
      </c>
      <c r="D104" s="26">
        <v>280000</v>
      </c>
      <c r="E104" s="27">
        <v>8.5050217334716488E-2</v>
      </c>
      <c r="F104" s="25">
        <v>15</v>
      </c>
      <c r="G104" s="28">
        <v>952589.09516470216</v>
      </c>
      <c r="H104" s="25">
        <v>118</v>
      </c>
      <c r="I104" s="29">
        <v>-142010.24698819473</v>
      </c>
      <c r="J104" s="25" t="s">
        <v>10</v>
      </c>
      <c r="K104" s="25" t="s">
        <v>16</v>
      </c>
      <c r="L104" s="25">
        <v>3</v>
      </c>
      <c r="M104" s="25" t="s">
        <v>31</v>
      </c>
      <c r="N104" s="25" t="s">
        <v>66</v>
      </c>
      <c r="O104" s="25" t="s">
        <v>67</v>
      </c>
      <c r="P104" s="25" t="s">
        <v>63</v>
      </c>
      <c r="Q104" s="10"/>
      <c r="S104" s="10"/>
    </row>
    <row r="105" spans="1:19" x14ac:dyDescent="0.3">
      <c r="A105" s="25">
        <v>104</v>
      </c>
      <c r="B105" s="25">
        <v>74439129</v>
      </c>
      <c r="C105" s="25" t="s">
        <v>2</v>
      </c>
      <c r="D105" s="26">
        <v>360000</v>
      </c>
      <c r="E105" s="27">
        <v>6.172569651273551E-2</v>
      </c>
      <c r="F105" s="25">
        <v>15</v>
      </c>
      <c r="G105" s="28">
        <v>884071.57828348491</v>
      </c>
      <c r="H105" s="25">
        <v>157</v>
      </c>
      <c r="I105" s="29">
        <v>-293534.1516475901</v>
      </c>
      <c r="J105" s="25" t="s">
        <v>13</v>
      </c>
      <c r="K105" s="25" t="s">
        <v>18</v>
      </c>
      <c r="L105" s="25">
        <v>5</v>
      </c>
      <c r="M105" s="25" t="s">
        <v>31</v>
      </c>
      <c r="N105" s="25" t="s">
        <v>66</v>
      </c>
      <c r="O105" s="25" t="s">
        <v>67</v>
      </c>
      <c r="P105" s="25" t="s">
        <v>63</v>
      </c>
      <c r="Q105" s="10"/>
      <c r="S105" s="10"/>
    </row>
    <row r="106" spans="1:19" x14ac:dyDescent="0.3">
      <c r="A106" s="25">
        <v>105</v>
      </c>
      <c r="B106" s="25">
        <v>79146016</v>
      </c>
      <c r="C106" s="25" t="s">
        <v>2</v>
      </c>
      <c r="D106" s="26">
        <v>260000</v>
      </c>
      <c r="E106" s="27">
        <v>6.6777345462205137E-2</v>
      </c>
      <c r="F106" s="25">
        <v>15</v>
      </c>
      <c r="G106" s="28">
        <v>685614.68613107735</v>
      </c>
      <c r="H106" s="25">
        <v>15</v>
      </c>
      <c r="I106" s="29">
        <v>-13157.720620562486</v>
      </c>
      <c r="J106" s="25" t="s">
        <v>9</v>
      </c>
      <c r="K106" s="25" t="s">
        <v>18</v>
      </c>
      <c r="L106" s="25">
        <v>0</v>
      </c>
      <c r="M106" s="25" t="s">
        <v>30</v>
      </c>
      <c r="N106" s="25" t="s">
        <v>66</v>
      </c>
      <c r="O106" s="25" t="s">
        <v>67</v>
      </c>
      <c r="P106" s="25" t="s">
        <v>63</v>
      </c>
      <c r="Q106" s="10"/>
      <c r="S106" s="10"/>
    </row>
    <row r="107" spans="1:19" x14ac:dyDescent="0.3">
      <c r="A107" s="25">
        <v>106</v>
      </c>
      <c r="B107" s="25">
        <v>72685786</v>
      </c>
      <c r="C107" s="25" t="s">
        <v>2</v>
      </c>
      <c r="D107" s="26">
        <v>280000</v>
      </c>
      <c r="E107" s="27">
        <v>4.0406672002481922E-2</v>
      </c>
      <c r="F107" s="25">
        <v>15</v>
      </c>
      <c r="G107" s="28">
        <v>507230.03343396401</v>
      </c>
      <c r="H107" s="25">
        <v>95</v>
      </c>
      <c r="I107" s="29">
        <v>-126707.32429757835</v>
      </c>
      <c r="J107" s="25" t="s">
        <v>9</v>
      </c>
      <c r="K107" s="25" t="s">
        <v>18</v>
      </c>
      <c r="L107" s="25">
        <v>3</v>
      </c>
      <c r="M107" s="25" t="s">
        <v>31</v>
      </c>
      <c r="N107" s="25" t="s">
        <v>66</v>
      </c>
      <c r="O107" s="25" t="s">
        <v>67</v>
      </c>
      <c r="P107" s="25" t="s">
        <v>63</v>
      </c>
      <c r="Q107" s="10"/>
      <c r="S107" s="10"/>
    </row>
    <row r="108" spans="1:19" x14ac:dyDescent="0.3">
      <c r="A108" s="25">
        <v>107</v>
      </c>
      <c r="B108" s="25">
        <v>66696062</v>
      </c>
      <c r="C108" s="25" t="s">
        <v>2</v>
      </c>
      <c r="D108" s="26">
        <v>130000</v>
      </c>
      <c r="E108" s="27">
        <v>6.9978729603616049E-2</v>
      </c>
      <c r="F108" s="25">
        <v>20</v>
      </c>
      <c r="G108" s="28">
        <v>502859.01295656373</v>
      </c>
      <c r="H108" s="25">
        <v>62</v>
      </c>
      <c r="I108" s="29">
        <v>-18579.740705450724</v>
      </c>
      <c r="J108" s="25" t="s">
        <v>10</v>
      </c>
      <c r="K108" s="25" t="s">
        <v>16</v>
      </c>
      <c r="L108" s="25">
        <v>0</v>
      </c>
      <c r="M108" s="25" t="s">
        <v>30</v>
      </c>
      <c r="N108" s="25" t="s">
        <v>66</v>
      </c>
      <c r="O108" s="25" t="s">
        <v>67</v>
      </c>
      <c r="P108" s="25" t="s">
        <v>63</v>
      </c>
      <c r="Q108" s="10"/>
      <c r="S108" s="10"/>
    </row>
    <row r="109" spans="1:19" x14ac:dyDescent="0.3">
      <c r="A109" s="25">
        <v>108</v>
      </c>
      <c r="B109" s="25">
        <v>84759219</v>
      </c>
      <c r="C109" s="25" t="s">
        <v>2</v>
      </c>
      <c r="D109" s="26">
        <v>300000</v>
      </c>
      <c r="E109" s="27">
        <v>7.3541099206711563E-2</v>
      </c>
      <c r="F109" s="25">
        <v>15</v>
      </c>
      <c r="G109" s="28">
        <v>869763.91898474353</v>
      </c>
      <c r="H109" s="25">
        <v>72</v>
      </c>
      <c r="I109" s="29">
        <v>-82741.507441699781</v>
      </c>
      <c r="J109" s="25" t="s">
        <v>13</v>
      </c>
      <c r="K109" s="25" t="s">
        <v>18</v>
      </c>
      <c r="L109" s="25">
        <v>5</v>
      </c>
      <c r="M109" s="25" t="s">
        <v>31</v>
      </c>
      <c r="N109" s="25" t="s">
        <v>66</v>
      </c>
      <c r="O109" s="25" t="s">
        <v>67</v>
      </c>
      <c r="P109" s="25" t="s">
        <v>63</v>
      </c>
      <c r="Q109" s="10"/>
      <c r="S109" s="10"/>
    </row>
    <row r="110" spans="1:19" x14ac:dyDescent="0.3">
      <c r="A110" s="25">
        <v>109</v>
      </c>
      <c r="B110" s="25">
        <v>70637400</v>
      </c>
      <c r="C110" s="25" t="s">
        <v>2</v>
      </c>
      <c r="D110" s="26">
        <v>310000</v>
      </c>
      <c r="E110" s="27">
        <v>8.429193812760874E-2</v>
      </c>
      <c r="F110" s="25">
        <v>30</v>
      </c>
      <c r="G110" s="28">
        <v>3513569.561237799</v>
      </c>
      <c r="H110" s="25">
        <v>242</v>
      </c>
      <c r="I110" s="29">
        <v>-120469.94317940781</v>
      </c>
      <c r="J110" s="25" t="s">
        <v>13</v>
      </c>
      <c r="K110" s="25" t="s">
        <v>18</v>
      </c>
      <c r="L110" s="25">
        <v>8</v>
      </c>
      <c r="M110" s="25" t="s">
        <v>31</v>
      </c>
      <c r="N110" s="25" t="s">
        <v>64</v>
      </c>
      <c r="O110" s="25" t="s">
        <v>65</v>
      </c>
      <c r="P110" s="25" t="s">
        <v>43</v>
      </c>
      <c r="Q110" s="10"/>
      <c r="S110" s="10"/>
    </row>
    <row r="111" spans="1:19" x14ac:dyDescent="0.3">
      <c r="A111" s="25">
        <v>110</v>
      </c>
      <c r="B111" s="25">
        <v>38798861</v>
      </c>
      <c r="C111" s="25" t="s">
        <v>2</v>
      </c>
      <c r="D111" s="26">
        <v>430000</v>
      </c>
      <c r="E111" s="27">
        <v>2.1001186674988234E-2</v>
      </c>
      <c r="F111" s="25">
        <v>15</v>
      </c>
      <c r="G111" s="28">
        <v>587302.91765346727</v>
      </c>
      <c r="H111" s="25">
        <v>23</v>
      </c>
      <c r="I111" s="29">
        <v>-47703.418572621486</v>
      </c>
      <c r="J111" s="25" t="s">
        <v>10</v>
      </c>
      <c r="K111" s="25" t="s">
        <v>16</v>
      </c>
      <c r="L111" s="25">
        <v>2</v>
      </c>
      <c r="M111" s="25" t="s">
        <v>26</v>
      </c>
      <c r="N111" s="25" t="s">
        <v>66</v>
      </c>
      <c r="O111" s="25" t="s">
        <v>67</v>
      </c>
      <c r="P111" s="25" t="s">
        <v>63</v>
      </c>
      <c r="Q111" s="10"/>
      <c r="S111" s="10"/>
    </row>
    <row r="112" spans="1:19" x14ac:dyDescent="0.3">
      <c r="A112" s="25">
        <v>111</v>
      </c>
      <c r="B112" s="25">
        <v>76703611</v>
      </c>
      <c r="C112" s="25" t="s">
        <v>2</v>
      </c>
      <c r="D112" s="26">
        <v>140000</v>
      </c>
      <c r="E112" s="27">
        <v>7.4869625494172767E-2</v>
      </c>
      <c r="F112" s="25">
        <v>15</v>
      </c>
      <c r="G112" s="28">
        <v>413489.88689209236</v>
      </c>
      <c r="H112" s="25">
        <v>108</v>
      </c>
      <c r="I112" s="29">
        <v>-64971.34205889266</v>
      </c>
      <c r="J112" s="25" t="s">
        <v>10</v>
      </c>
      <c r="K112" s="25" t="s">
        <v>16</v>
      </c>
      <c r="L112" s="25">
        <v>5</v>
      </c>
      <c r="M112" s="25" t="s">
        <v>31</v>
      </c>
      <c r="N112" s="25" t="s">
        <v>66</v>
      </c>
      <c r="O112" s="25" t="s">
        <v>67</v>
      </c>
      <c r="P112" s="25" t="s">
        <v>63</v>
      </c>
      <c r="Q112" s="10"/>
      <c r="S112" s="10"/>
    </row>
    <row r="113" spans="1:19" x14ac:dyDescent="0.3">
      <c r="A113" s="25">
        <v>112</v>
      </c>
      <c r="B113" s="25">
        <v>70445419</v>
      </c>
      <c r="C113" s="25" t="s">
        <v>2</v>
      </c>
      <c r="D113" s="26">
        <v>110000</v>
      </c>
      <c r="E113" s="27">
        <v>4.0022588821897263E-2</v>
      </c>
      <c r="F113" s="25">
        <v>30</v>
      </c>
      <c r="G113" s="28">
        <v>357006.2733185871</v>
      </c>
      <c r="H113" s="25">
        <v>61</v>
      </c>
      <c r="I113" s="29">
        <v>-10697.566236334496</v>
      </c>
      <c r="J113" s="25" t="s">
        <v>13</v>
      </c>
      <c r="K113" s="25" t="s">
        <v>18</v>
      </c>
      <c r="L113" s="25">
        <v>6</v>
      </c>
      <c r="M113" s="25" t="s">
        <v>31</v>
      </c>
      <c r="N113" s="25" t="s">
        <v>64</v>
      </c>
      <c r="O113" s="25" t="s">
        <v>65</v>
      </c>
      <c r="P113" s="25" t="s">
        <v>43</v>
      </c>
      <c r="Q113" s="10"/>
      <c r="S113" s="10"/>
    </row>
    <row r="114" spans="1:19" x14ac:dyDescent="0.3">
      <c r="A114" s="25">
        <v>113</v>
      </c>
      <c r="B114" s="25">
        <v>44239553</v>
      </c>
      <c r="C114" s="25" t="s">
        <v>2</v>
      </c>
      <c r="D114" s="26">
        <v>240000</v>
      </c>
      <c r="E114" s="27">
        <v>5.5915919135758191E-2</v>
      </c>
      <c r="F114" s="25">
        <v>30</v>
      </c>
      <c r="G114" s="28">
        <v>1227697.4791186189</v>
      </c>
      <c r="H114" s="25">
        <v>309</v>
      </c>
      <c r="I114" s="29">
        <v>-177644.44974050732</v>
      </c>
      <c r="J114" s="25" t="s">
        <v>11</v>
      </c>
      <c r="K114" s="25" t="s">
        <v>17</v>
      </c>
      <c r="L114" s="25">
        <v>9</v>
      </c>
      <c r="M114" s="25" t="s">
        <v>31</v>
      </c>
      <c r="N114" s="25" t="s">
        <v>64</v>
      </c>
      <c r="O114" s="25" t="s">
        <v>69</v>
      </c>
      <c r="P114" s="25" t="s">
        <v>45</v>
      </c>
      <c r="Q114" s="10"/>
      <c r="S114" s="10"/>
    </row>
    <row r="115" spans="1:19" x14ac:dyDescent="0.3">
      <c r="A115" s="25">
        <v>114</v>
      </c>
      <c r="B115" s="25">
        <v>41349397</v>
      </c>
      <c r="C115" s="25" t="s">
        <v>2</v>
      </c>
      <c r="D115" s="26">
        <v>270000</v>
      </c>
      <c r="E115" s="27">
        <v>6.2954123371356599E-2</v>
      </c>
      <c r="F115" s="25">
        <v>20</v>
      </c>
      <c r="G115" s="28">
        <v>915491.22000811086</v>
      </c>
      <c r="H115" s="25">
        <v>211</v>
      </c>
      <c r="I115" s="29">
        <v>-216845.82213888632</v>
      </c>
      <c r="J115" s="25" t="s">
        <v>12</v>
      </c>
      <c r="K115" s="25" t="s">
        <v>18</v>
      </c>
      <c r="L115" s="25">
        <v>6</v>
      </c>
      <c r="M115" s="25" t="s">
        <v>31</v>
      </c>
      <c r="N115" s="25" t="s">
        <v>64</v>
      </c>
      <c r="O115" s="25" t="s">
        <v>70</v>
      </c>
      <c r="P115" s="25" t="s">
        <v>46</v>
      </c>
      <c r="Q115" s="10"/>
      <c r="S115" s="10"/>
    </row>
    <row r="116" spans="1:19" x14ac:dyDescent="0.3">
      <c r="A116" s="25">
        <v>115</v>
      </c>
      <c r="B116" s="25">
        <v>58908267</v>
      </c>
      <c r="C116" s="25" t="s">
        <v>2</v>
      </c>
      <c r="D116" s="26">
        <v>120000</v>
      </c>
      <c r="E116" s="27">
        <v>6.1454302986937014E-2</v>
      </c>
      <c r="F116" s="25">
        <v>15</v>
      </c>
      <c r="G116" s="28">
        <v>293562.63370404387</v>
      </c>
      <c r="H116" s="25">
        <v>24</v>
      </c>
      <c r="I116" s="29">
        <v>-10379.167849466556</v>
      </c>
      <c r="J116" s="25" t="s">
        <v>12</v>
      </c>
      <c r="K116" s="25" t="s">
        <v>18</v>
      </c>
      <c r="L116" s="25">
        <v>9</v>
      </c>
      <c r="M116" s="25" t="s">
        <v>31</v>
      </c>
      <c r="N116" s="25" t="s">
        <v>64</v>
      </c>
      <c r="O116" s="25" t="s">
        <v>68</v>
      </c>
      <c r="P116" s="25" t="s">
        <v>44</v>
      </c>
      <c r="Q116" s="10"/>
      <c r="S116" s="10"/>
    </row>
    <row r="117" spans="1:19" x14ac:dyDescent="0.3">
      <c r="A117" s="25">
        <v>116</v>
      </c>
      <c r="B117" s="25">
        <v>61089089</v>
      </c>
      <c r="C117" s="25" t="s">
        <v>2</v>
      </c>
      <c r="D117" s="26">
        <v>340000</v>
      </c>
      <c r="E117" s="27">
        <v>4.668521806741701E-2</v>
      </c>
      <c r="F117" s="25">
        <v>30</v>
      </c>
      <c r="G117" s="28">
        <v>1336477.4707126257</v>
      </c>
      <c r="H117" s="25">
        <v>67</v>
      </c>
      <c r="I117" s="29">
        <v>-33161.214319839368</v>
      </c>
      <c r="J117" s="25" t="s">
        <v>13</v>
      </c>
      <c r="K117" s="25" t="s">
        <v>18</v>
      </c>
      <c r="L117" s="25">
        <v>0</v>
      </c>
      <c r="M117" s="25" t="s">
        <v>30</v>
      </c>
      <c r="N117" s="25" t="s">
        <v>66</v>
      </c>
      <c r="O117" s="25" t="s">
        <v>67</v>
      </c>
      <c r="P117" s="25" t="s">
        <v>63</v>
      </c>
      <c r="Q117" s="10"/>
      <c r="S117" s="10"/>
    </row>
    <row r="118" spans="1:19" x14ac:dyDescent="0.3">
      <c r="A118" s="25">
        <v>117</v>
      </c>
      <c r="B118" s="25">
        <v>26400832</v>
      </c>
      <c r="C118" s="25" t="s">
        <v>2</v>
      </c>
      <c r="D118" s="26">
        <v>380000</v>
      </c>
      <c r="E118" s="27">
        <v>4.9991672426802622E-2</v>
      </c>
      <c r="F118" s="25">
        <v>30</v>
      </c>
      <c r="G118" s="28">
        <v>1641947.3848982968</v>
      </c>
      <c r="H118" s="25">
        <v>284</v>
      </c>
      <c r="I118" s="29">
        <v>-247358.66710427796</v>
      </c>
      <c r="J118" s="25" t="s">
        <v>10</v>
      </c>
      <c r="K118" s="25" t="s">
        <v>16</v>
      </c>
      <c r="L118" s="25">
        <v>0</v>
      </c>
      <c r="M118" s="25" t="s">
        <v>30</v>
      </c>
      <c r="N118" s="25" t="s">
        <v>66</v>
      </c>
      <c r="O118" s="25" t="s">
        <v>67</v>
      </c>
      <c r="P118" s="25" t="s">
        <v>63</v>
      </c>
      <c r="Q118" s="10"/>
      <c r="S118" s="10"/>
    </row>
    <row r="119" spans="1:19" x14ac:dyDescent="0.3">
      <c r="A119" s="25">
        <v>118</v>
      </c>
      <c r="B119" s="25">
        <v>56764510</v>
      </c>
      <c r="C119" s="25" t="s">
        <v>2</v>
      </c>
      <c r="D119" s="26">
        <v>340000</v>
      </c>
      <c r="E119" s="27">
        <v>8.5340966360992601E-2</v>
      </c>
      <c r="F119" s="25">
        <v>15</v>
      </c>
      <c r="G119" s="28">
        <v>1161373.3458302834</v>
      </c>
      <c r="H119" s="25">
        <v>17</v>
      </c>
      <c r="I119" s="29">
        <v>-16866.854889315338</v>
      </c>
      <c r="J119" s="25" t="s">
        <v>13</v>
      </c>
      <c r="K119" s="25" t="s">
        <v>18</v>
      </c>
      <c r="L119" s="25">
        <v>0</v>
      </c>
      <c r="M119" s="25" t="s">
        <v>30</v>
      </c>
      <c r="N119" s="25" t="s">
        <v>66</v>
      </c>
      <c r="O119" s="25" t="s">
        <v>67</v>
      </c>
      <c r="P119" s="25" t="s">
        <v>63</v>
      </c>
      <c r="Q119" s="10"/>
      <c r="S119" s="10"/>
    </row>
    <row r="120" spans="1:19" x14ac:dyDescent="0.3">
      <c r="A120" s="25">
        <v>119</v>
      </c>
      <c r="B120" s="25">
        <v>36145045</v>
      </c>
      <c r="C120" s="25" t="s">
        <v>2</v>
      </c>
      <c r="D120" s="26">
        <v>410000</v>
      </c>
      <c r="E120" s="27">
        <v>7.5583847572718132E-2</v>
      </c>
      <c r="F120" s="25">
        <v>15</v>
      </c>
      <c r="G120" s="28">
        <v>1223060.4745975949</v>
      </c>
      <c r="H120" s="25">
        <v>42</v>
      </c>
      <c r="I120" s="29">
        <v>-59018.677406888601</v>
      </c>
      <c r="J120" s="25" t="s">
        <v>9</v>
      </c>
      <c r="K120" s="25" t="s">
        <v>18</v>
      </c>
      <c r="L120" s="25">
        <v>0</v>
      </c>
      <c r="M120" s="25" t="s">
        <v>30</v>
      </c>
      <c r="N120" s="25" t="s">
        <v>66</v>
      </c>
      <c r="O120" s="25" t="s">
        <v>67</v>
      </c>
      <c r="P120" s="25" t="s">
        <v>63</v>
      </c>
      <c r="Q120" s="10"/>
      <c r="S120" s="10"/>
    </row>
    <row r="121" spans="1:19" x14ac:dyDescent="0.3">
      <c r="A121" s="25">
        <v>120</v>
      </c>
      <c r="B121" s="25">
        <v>29047113</v>
      </c>
      <c r="C121" s="25" t="s">
        <v>2</v>
      </c>
      <c r="D121" s="26">
        <v>270000</v>
      </c>
      <c r="E121" s="27">
        <v>7.7926012795862518E-2</v>
      </c>
      <c r="F121" s="25">
        <v>30</v>
      </c>
      <c r="G121" s="28">
        <v>2564675.0151680592</v>
      </c>
      <c r="H121" s="25">
        <v>330</v>
      </c>
      <c r="I121" s="29">
        <v>-217211.49550664463</v>
      </c>
      <c r="J121" s="25" t="s">
        <v>11</v>
      </c>
      <c r="K121" s="25" t="s">
        <v>17</v>
      </c>
      <c r="L121" s="25">
        <v>0</v>
      </c>
      <c r="M121" s="25" t="s">
        <v>30</v>
      </c>
      <c r="N121" s="25" t="s">
        <v>66</v>
      </c>
      <c r="O121" s="25" t="s">
        <v>67</v>
      </c>
      <c r="P121" s="25" t="s">
        <v>63</v>
      </c>
      <c r="Q121" s="10"/>
      <c r="S121" s="10"/>
    </row>
    <row r="122" spans="1:19" x14ac:dyDescent="0.3">
      <c r="A122" s="25">
        <v>121</v>
      </c>
      <c r="B122" s="25">
        <v>87579604</v>
      </c>
      <c r="C122" s="25" t="s">
        <v>2</v>
      </c>
      <c r="D122" s="26">
        <v>250000</v>
      </c>
      <c r="E122" s="27">
        <v>2.2360686555375126E-2</v>
      </c>
      <c r="F122" s="25">
        <v>15</v>
      </c>
      <c r="G122" s="28">
        <v>348339.01779687154</v>
      </c>
      <c r="H122" s="25">
        <v>90</v>
      </c>
      <c r="I122" s="29">
        <v>-114552.61079996079</v>
      </c>
      <c r="J122" s="25" t="s">
        <v>11</v>
      </c>
      <c r="K122" s="25" t="s">
        <v>17</v>
      </c>
      <c r="L122" s="25">
        <v>0</v>
      </c>
      <c r="M122" s="25" t="s">
        <v>30</v>
      </c>
      <c r="N122" s="25" t="s">
        <v>66</v>
      </c>
      <c r="O122" s="25" t="s">
        <v>67</v>
      </c>
      <c r="P122" s="25" t="s">
        <v>63</v>
      </c>
      <c r="Q122" s="10"/>
      <c r="S122" s="10"/>
    </row>
    <row r="123" spans="1:19" x14ac:dyDescent="0.3">
      <c r="A123" s="25">
        <v>122</v>
      </c>
      <c r="B123" s="25">
        <v>19460471</v>
      </c>
      <c r="C123" s="25" t="s">
        <v>2</v>
      </c>
      <c r="D123" s="26">
        <v>190000</v>
      </c>
      <c r="E123" s="27">
        <v>3.7814520931784459E-2</v>
      </c>
      <c r="F123" s="25">
        <v>30</v>
      </c>
      <c r="G123" s="28">
        <v>578556.65072200482</v>
      </c>
      <c r="H123" s="25">
        <v>287</v>
      </c>
      <c r="I123" s="29">
        <v>-132477.85159090473</v>
      </c>
      <c r="J123" s="25" t="s">
        <v>10</v>
      </c>
      <c r="K123" s="25" t="s">
        <v>16</v>
      </c>
      <c r="L123" s="25">
        <v>0</v>
      </c>
      <c r="M123" s="25" t="s">
        <v>30</v>
      </c>
      <c r="N123" s="25" t="s">
        <v>66</v>
      </c>
      <c r="O123" s="25" t="s">
        <v>67</v>
      </c>
      <c r="P123" s="25" t="s">
        <v>63</v>
      </c>
      <c r="Q123" s="10"/>
      <c r="S123" s="10"/>
    </row>
    <row r="124" spans="1:19" x14ac:dyDescent="0.3">
      <c r="A124" s="25">
        <v>123</v>
      </c>
      <c r="B124" s="25">
        <v>49318803</v>
      </c>
      <c r="C124" s="25" t="s">
        <v>2</v>
      </c>
      <c r="D124" s="26">
        <v>300000</v>
      </c>
      <c r="E124" s="27">
        <v>6.2918411461241788E-2</v>
      </c>
      <c r="F124" s="25">
        <v>15</v>
      </c>
      <c r="G124" s="28">
        <v>749238.70009440894</v>
      </c>
      <c r="H124" s="25">
        <v>53</v>
      </c>
      <c r="I124" s="29">
        <v>-61288.504236396679</v>
      </c>
      <c r="J124" s="25" t="s">
        <v>11</v>
      </c>
      <c r="K124" s="25" t="s">
        <v>17</v>
      </c>
      <c r="L124" s="25">
        <v>0</v>
      </c>
      <c r="M124" s="25" t="s">
        <v>30</v>
      </c>
      <c r="N124" s="25" t="s">
        <v>66</v>
      </c>
      <c r="O124" s="25" t="s">
        <v>67</v>
      </c>
      <c r="P124" s="25" t="s">
        <v>63</v>
      </c>
      <c r="Q124" s="10"/>
      <c r="S124" s="10"/>
    </row>
    <row r="125" spans="1:19" x14ac:dyDescent="0.3">
      <c r="A125" s="25">
        <v>124</v>
      </c>
      <c r="B125" s="25">
        <v>30774746</v>
      </c>
      <c r="C125" s="25" t="s">
        <v>2</v>
      </c>
      <c r="D125" s="26">
        <v>130000</v>
      </c>
      <c r="E125" s="27">
        <v>3.4605535037912347E-2</v>
      </c>
      <c r="F125" s="25">
        <v>15</v>
      </c>
      <c r="G125" s="28">
        <v>216553.55368921621</v>
      </c>
      <c r="H125" s="25">
        <v>86</v>
      </c>
      <c r="I125" s="29">
        <v>-53783.461453588374</v>
      </c>
      <c r="J125" s="25" t="s">
        <v>9</v>
      </c>
      <c r="K125" s="25" t="s">
        <v>18</v>
      </c>
      <c r="L125" s="25">
        <v>0</v>
      </c>
      <c r="M125" s="25" t="s">
        <v>30</v>
      </c>
      <c r="N125" s="25" t="s">
        <v>66</v>
      </c>
      <c r="O125" s="25" t="s">
        <v>67</v>
      </c>
      <c r="P125" s="25" t="s">
        <v>63</v>
      </c>
      <c r="Q125" s="10"/>
      <c r="S125" s="10"/>
    </row>
    <row r="126" spans="1:19" x14ac:dyDescent="0.3">
      <c r="A126" s="25">
        <v>125</v>
      </c>
      <c r="B126" s="25">
        <v>53409938</v>
      </c>
      <c r="C126" s="25" t="s">
        <v>2</v>
      </c>
      <c r="D126" s="26">
        <v>110000</v>
      </c>
      <c r="E126" s="27">
        <v>3.4229733471017439E-2</v>
      </c>
      <c r="F126" s="25">
        <v>30</v>
      </c>
      <c r="G126" s="28">
        <v>301927.91269762086</v>
      </c>
      <c r="H126" s="25">
        <v>295</v>
      </c>
      <c r="I126" s="29">
        <v>-81011.538350046452</v>
      </c>
      <c r="J126" s="25" t="s">
        <v>12</v>
      </c>
      <c r="K126" s="25" t="s">
        <v>18</v>
      </c>
      <c r="L126" s="25">
        <v>0</v>
      </c>
      <c r="M126" s="25" t="s">
        <v>30</v>
      </c>
      <c r="N126" s="25" t="s">
        <v>66</v>
      </c>
      <c r="O126" s="25" t="s">
        <v>67</v>
      </c>
      <c r="P126" s="25" t="s">
        <v>63</v>
      </c>
      <c r="Q126" s="10"/>
      <c r="S126" s="10"/>
    </row>
    <row r="127" spans="1:19" x14ac:dyDescent="0.3">
      <c r="A127" s="25">
        <v>126</v>
      </c>
      <c r="B127" s="25">
        <v>77171778</v>
      </c>
      <c r="C127" s="25" t="s">
        <v>2</v>
      </c>
      <c r="D127" s="26">
        <v>210000</v>
      </c>
      <c r="E127" s="27">
        <v>4.7007634568982694E-2</v>
      </c>
      <c r="F127" s="25">
        <v>20</v>
      </c>
      <c r="G127" s="28">
        <v>526279.27083690674</v>
      </c>
      <c r="H127" s="25">
        <v>72</v>
      </c>
      <c r="I127" s="29">
        <v>-43886.385572034233</v>
      </c>
      <c r="J127" s="25" t="s">
        <v>12</v>
      </c>
      <c r="K127" s="25" t="s">
        <v>18</v>
      </c>
      <c r="L127" s="25">
        <v>0</v>
      </c>
      <c r="M127" s="25" t="s">
        <v>30</v>
      </c>
      <c r="N127" s="25" t="s">
        <v>66</v>
      </c>
      <c r="O127" s="25" t="s">
        <v>67</v>
      </c>
      <c r="P127" s="25" t="s">
        <v>63</v>
      </c>
      <c r="Q127" s="10"/>
      <c r="S127" s="10"/>
    </row>
    <row r="128" spans="1:19" x14ac:dyDescent="0.3">
      <c r="A128" s="25">
        <v>127</v>
      </c>
      <c r="B128" s="25">
        <v>81971835</v>
      </c>
      <c r="C128" s="25" t="s">
        <v>2</v>
      </c>
      <c r="D128" s="26">
        <v>320000</v>
      </c>
      <c r="E128" s="27">
        <v>8.1868207234357213E-2</v>
      </c>
      <c r="F128" s="25">
        <v>15</v>
      </c>
      <c r="G128" s="28">
        <v>1041754.4263646035</v>
      </c>
      <c r="H128" s="25">
        <v>4</v>
      </c>
      <c r="I128" s="29">
        <v>-3675.5879637255262</v>
      </c>
      <c r="J128" s="25" t="s">
        <v>9</v>
      </c>
      <c r="K128" s="25" t="s">
        <v>18</v>
      </c>
      <c r="L128" s="25">
        <v>1</v>
      </c>
      <c r="M128" s="25" t="s">
        <v>26</v>
      </c>
      <c r="N128" s="25" t="s">
        <v>66</v>
      </c>
      <c r="O128" s="25" t="s">
        <v>67</v>
      </c>
      <c r="P128" s="25" t="s">
        <v>63</v>
      </c>
      <c r="Q128" s="10"/>
      <c r="S128" s="10"/>
    </row>
    <row r="129" spans="1:19" x14ac:dyDescent="0.3">
      <c r="A129" s="25">
        <v>128</v>
      </c>
      <c r="B129" s="25">
        <v>48132930</v>
      </c>
      <c r="C129" s="25" t="s">
        <v>2</v>
      </c>
      <c r="D129" s="26">
        <v>140000</v>
      </c>
      <c r="E129" s="27">
        <v>2.3522228194114383E-2</v>
      </c>
      <c r="F129" s="25">
        <v>20</v>
      </c>
      <c r="G129" s="28">
        <v>222881.28975453015</v>
      </c>
      <c r="H129" s="25">
        <v>100</v>
      </c>
      <c r="I129" s="29">
        <v>-50476.387821341195</v>
      </c>
      <c r="J129" s="25" t="s">
        <v>13</v>
      </c>
      <c r="K129" s="25" t="s">
        <v>18</v>
      </c>
      <c r="L129" s="25">
        <v>1</v>
      </c>
      <c r="M129" s="25" t="s">
        <v>26</v>
      </c>
      <c r="N129" s="25" t="s">
        <v>66</v>
      </c>
      <c r="O129" s="25" t="s">
        <v>67</v>
      </c>
      <c r="P129" s="25" t="s">
        <v>63</v>
      </c>
      <c r="Q129" s="10"/>
      <c r="S129" s="10"/>
    </row>
    <row r="130" spans="1:19" x14ac:dyDescent="0.3">
      <c r="A130" s="25">
        <v>129</v>
      </c>
      <c r="B130" s="25">
        <v>95454260</v>
      </c>
      <c r="C130" s="25" t="s">
        <v>2</v>
      </c>
      <c r="D130" s="26">
        <v>200000</v>
      </c>
      <c r="E130" s="27">
        <v>5.9759655653747787E-2</v>
      </c>
      <c r="F130" s="25">
        <v>30</v>
      </c>
      <c r="G130" s="28">
        <v>1140910.1961598995</v>
      </c>
      <c r="H130" s="25">
        <v>22</v>
      </c>
      <c r="I130" s="29">
        <v>-4638.3167708035489</v>
      </c>
      <c r="J130" s="25" t="s">
        <v>13</v>
      </c>
      <c r="K130" s="25" t="s">
        <v>18</v>
      </c>
      <c r="L130" s="25">
        <v>3</v>
      </c>
      <c r="M130" s="25" t="s">
        <v>31</v>
      </c>
      <c r="N130" s="25" t="s">
        <v>66</v>
      </c>
      <c r="O130" s="25" t="s">
        <v>67</v>
      </c>
      <c r="P130" s="25" t="s">
        <v>63</v>
      </c>
      <c r="Q130" s="10"/>
      <c r="S130" s="10"/>
    </row>
    <row r="131" spans="1:19" x14ac:dyDescent="0.3">
      <c r="A131" s="25">
        <v>130</v>
      </c>
      <c r="B131" s="25">
        <v>59273999</v>
      </c>
      <c r="C131" s="25" t="s">
        <v>2</v>
      </c>
      <c r="D131" s="26">
        <v>360000</v>
      </c>
      <c r="E131" s="27">
        <v>5.3519955426174042E-2</v>
      </c>
      <c r="F131" s="25">
        <v>15</v>
      </c>
      <c r="G131" s="28">
        <v>786944.30180111481</v>
      </c>
      <c r="H131" s="25">
        <v>179</v>
      </c>
      <c r="I131" s="29">
        <v>-357099.6328454226</v>
      </c>
      <c r="J131" s="25" t="s">
        <v>13</v>
      </c>
      <c r="K131" s="25" t="s">
        <v>18</v>
      </c>
      <c r="L131" s="25">
        <v>3</v>
      </c>
      <c r="M131" s="25" t="s">
        <v>31</v>
      </c>
      <c r="N131" s="25" t="s">
        <v>66</v>
      </c>
      <c r="O131" s="25" t="s">
        <v>67</v>
      </c>
      <c r="P131" s="25" t="s">
        <v>63</v>
      </c>
      <c r="Q131" s="10"/>
      <c r="S131" s="10"/>
    </row>
    <row r="132" spans="1:19" x14ac:dyDescent="0.3">
      <c r="A132" s="25">
        <v>131</v>
      </c>
      <c r="B132" s="25">
        <v>74183133</v>
      </c>
      <c r="C132" s="25" t="s">
        <v>2</v>
      </c>
      <c r="D132" s="26">
        <v>260000</v>
      </c>
      <c r="E132" s="27">
        <v>5.5635707435100275E-2</v>
      </c>
      <c r="F132" s="25">
        <v>30</v>
      </c>
      <c r="G132" s="28">
        <v>1319457.8129392094</v>
      </c>
      <c r="H132" s="25">
        <v>75</v>
      </c>
      <c r="I132" s="29">
        <v>-25152.247919732603</v>
      </c>
      <c r="J132" s="25" t="s">
        <v>11</v>
      </c>
      <c r="K132" s="25" t="s">
        <v>17</v>
      </c>
      <c r="L132" s="25">
        <v>6</v>
      </c>
      <c r="M132" s="25" t="s">
        <v>31</v>
      </c>
      <c r="N132" s="25" t="s">
        <v>64</v>
      </c>
      <c r="O132" s="25" t="s">
        <v>70</v>
      </c>
      <c r="P132" s="25" t="s">
        <v>46</v>
      </c>
      <c r="Q132" s="10"/>
      <c r="S132" s="10"/>
    </row>
    <row r="133" spans="1:19" x14ac:dyDescent="0.3">
      <c r="A133" s="25">
        <v>132</v>
      </c>
      <c r="B133" s="25">
        <v>46404591</v>
      </c>
      <c r="C133" s="25" t="s">
        <v>1</v>
      </c>
      <c r="D133" s="26">
        <v>440000</v>
      </c>
      <c r="E133" s="27">
        <v>3.4147634194001963E-2</v>
      </c>
      <c r="F133" s="25">
        <v>20</v>
      </c>
      <c r="G133" s="28">
        <v>861199.02942839963</v>
      </c>
      <c r="H133" s="25">
        <v>212</v>
      </c>
      <c r="I133" s="29">
        <v>-371931.91078657634</v>
      </c>
      <c r="J133" s="25" t="s">
        <v>10</v>
      </c>
      <c r="K133" s="25" t="s">
        <v>16</v>
      </c>
      <c r="L133" s="25">
        <v>7</v>
      </c>
      <c r="M133" s="25" t="s">
        <v>31</v>
      </c>
      <c r="N133" s="25" t="s">
        <v>64</v>
      </c>
      <c r="O133" s="25" t="s">
        <v>70</v>
      </c>
      <c r="P133" s="25" t="s">
        <v>46</v>
      </c>
      <c r="Q133" s="10"/>
      <c r="S133" s="10"/>
    </row>
    <row r="134" spans="1:19" x14ac:dyDescent="0.3">
      <c r="A134" s="25">
        <v>133</v>
      </c>
      <c r="B134" s="25">
        <v>58799609</v>
      </c>
      <c r="C134" s="25" t="s">
        <v>1</v>
      </c>
      <c r="D134" s="26">
        <v>360000</v>
      </c>
      <c r="E134" s="27">
        <v>5.1870351612887451E-2</v>
      </c>
      <c r="F134" s="25">
        <v>30</v>
      </c>
      <c r="G134" s="28">
        <v>1641228.0239864257</v>
      </c>
      <c r="H134" s="25">
        <v>249</v>
      </c>
      <c r="I134" s="29">
        <v>-186263.14121846852</v>
      </c>
      <c r="J134" s="25" t="s">
        <v>13</v>
      </c>
      <c r="K134" s="25" t="s">
        <v>18</v>
      </c>
      <c r="L134" s="25">
        <v>4</v>
      </c>
      <c r="M134" s="25" t="s">
        <v>31</v>
      </c>
      <c r="N134" s="25" t="s">
        <v>66</v>
      </c>
      <c r="O134" s="25" t="s">
        <v>67</v>
      </c>
      <c r="P134" s="25" t="s">
        <v>63</v>
      </c>
      <c r="Q134" s="10"/>
      <c r="S134" s="10"/>
    </row>
    <row r="135" spans="1:19" x14ac:dyDescent="0.3">
      <c r="A135" s="25">
        <v>134</v>
      </c>
      <c r="B135" s="25">
        <v>45991355</v>
      </c>
      <c r="C135" s="25" t="s">
        <v>1</v>
      </c>
      <c r="D135" s="26">
        <v>400000</v>
      </c>
      <c r="E135" s="27">
        <v>5.9758883555077774E-2</v>
      </c>
      <c r="F135" s="25">
        <v>20</v>
      </c>
      <c r="G135" s="28">
        <v>1277030.6090003443</v>
      </c>
      <c r="H135" s="25">
        <v>28</v>
      </c>
      <c r="I135" s="29">
        <v>-26016.693196145097</v>
      </c>
      <c r="J135" s="25" t="s">
        <v>9</v>
      </c>
      <c r="K135" s="25" t="s">
        <v>18</v>
      </c>
      <c r="L135" s="25">
        <v>6</v>
      </c>
      <c r="M135" s="25" t="s">
        <v>31</v>
      </c>
      <c r="N135" s="25" t="s">
        <v>64</v>
      </c>
      <c r="O135" s="25" t="s">
        <v>69</v>
      </c>
      <c r="P135" s="25" t="s">
        <v>45</v>
      </c>
      <c r="Q135" s="10"/>
      <c r="S135" s="10"/>
    </row>
    <row r="136" spans="1:19" x14ac:dyDescent="0.3">
      <c r="A136" s="25">
        <v>135</v>
      </c>
      <c r="B136" s="25">
        <v>40766918</v>
      </c>
      <c r="C136" s="25" t="s">
        <v>1</v>
      </c>
      <c r="D136" s="26">
        <v>390000</v>
      </c>
      <c r="E136" s="27">
        <v>4.3504269841479912E-2</v>
      </c>
      <c r="F136" s="25">
        <v>15</v>
      </c>
      <c r="G136" s="28">
        <v>738716.94980097178</v>
      </c>
      <c r="H136" s="25">
        <v>49</v>
      </c>
      <c r="I136" s="29">
        <v>-82407.086631704253</v>
      </c>
      <c r="J136" s="25" t="s">
        <v>12</v>
      </c>
      <c r="K136" s="25" t="s">
        <v>18</v>
      </c>
      <c r="L136" s="25">
        <v>5</v>
      </c>
      <c r="M136" s="25" t="s">
        <v>31</v>
      </c>
      <c r="N136" s="25" t="s">
        <v>66</v>
      </c>
      <c r="O136" s="25" t="s">
        <v>67</v>
      </c>
      <c r="P136" s="25" t="s">
        <v>63</v>
      </c>
      <c r="Q136" s="10"/>
      <c r="S136" s="10"/>
    </row>
    <row r="137" spans="1:19" x14ac:dyDescent="0.3">
      <c r="A137" s="25">
        <v>136</v>
      </c>
      <c r="B137" s="25">
        <v>50543518</v>
      </c>
      <c r="C137" s="25" t="s">
        <v>1</v>
      </c>
      <c r="D137" s="26">
        <v>210000</v>
      </c>
      <c r="E137" s="27">
        <v>6.6997557171815436E-2</v>
      </c>
      <c r="F137" s="25">
        <v>30</v>
      </c>
      <c r="G137" s="28">
        <v>1469339.1445338668</v>
      </c>
      <c r="H137" s="25">
        <v>306</v>
      </c>
      <c r="I137" s="29">
        <v>-146978.54003763097</v>
      </c>
      <c r="J137" s="25" t="s">
        <v>12</v>
      </c>
      <c r="K137" s="25" t="s">
        <v>18</v>
      </c>
      <c r="L137" s="25">
        <v>0</v>
      </c>
      <c r="M137" s="25" t="s">
        <v>30</v>
      </c>
      <c r="N137" s="25" t="s">
        <v>66</v>
      </c>
      <c r="O137" s="25" t="s">
        <v>67</v>
      </c>
      <c r="P137" s="25" t="s">
        <v>63</v>
      </c>
      <c r="Q137" s="10"/>
      <c r="S137" s="10"/>
    </row>
    <row r="138" spans="1:19" x14ac:dyDescent="0.3">
      <c r="A138" s="25">
        <v>137</v>
      </c>
      <c r="B138" s="25">
        <v>28254071</v>
      </c>
      <c r="C138" s="25" t="s">
        <v>1</v>
      </c>
      <c r="D138" s="26">
        <v>290000</v>
      </c>
      <c r="E138" s="27">
        <v>2.4733212439948523E-2</v>
      </c>
      <c r="F138" s="25">
        <v>15</v>
      </c>
      <c r="G138" s="28">
        <v>418369.65986454627</v>
      </c>
      <c r="H138" s="25">
        <v>53</v>
      </c>
      <c r="I138" s="29">
        <v>-74533.616317238033</v>
      </c>
      <c r="J138" s="25" t="s">
        <v>10</v>
      </c>
      <c r="K138" s="25" t="s">
        <v>16</v>
      </c>
      <c r="L138" s="25">
        <v>0</v>
      </c>
      <c r="M138" s="25" t="s">
        <v>30</v>
      </c>
      <c r="N138" s="25" t="s">
        <v>66</v>
      </c>
      <c r="O138" s="25" t="s">
        <v>67</v>
      </c>
      <c r="P138" s="25" t="s">
        <v>63</v>
      </c>
      <c r="Q138" s="10"/>
      <c r="S138" s="10"/>
    </row>
    <row r="139" spans="1:19" x14ac:dyDescent="0.3">
      <c r="A139" s="25">
        <v>138</v>
      </c>
      <c r="B139" s="25">
        <v>66109061</v>
      </c>
      <c r="C139" s="25" t="s">
        <v>1</v>
      </c>
      <c r="D139" s="26">
        <v>380000</v>
      </c>
      <c r="E139" s="27">
        <v>6.5073173837024004E-2</v>
      </c>
      <c r="F139" s="25">
        <v>15</v>
      </c>
      <c r="G139" s="28">
        <v>978307.2890436647</v>
      </c>
      <c r="H139" s="25">
        <v>177</v>
      </c>
      <c r="I139" s="29">
        <v>-370171.57626129244</v>
      </c>
      <c r="J139" s="25" t="s">
        <v>10</v>
      </c>
      <c r="K139" s="25" t="s">
        <v>16</v>
      </c>
      <c r="L139" s="25">
        <v>0</v>
      </c>
      <c r="M139" s="25" t="s">
        <v>30</v>
      </c>
      <c r="N139" s="25" t="s">
        <v>66</v>
      </c>
      <c r="O139" s="25" t="s">
        <v>67</v>
      </c>
      <c r="P139" s="25" t="s">
        <v>63</v>
      </c>
      <c r="Q139" s="10"/>
      <c r="S139" s="10"/>
    </row>
    <row r="140" spans="1:19" x14ac:dyDescent="0.3">
      <c r="A140" s="25">
        <v>139</v>
      </c>
      <c r="B140" s="25">
        <v>21617507</v>
      </c>
      <c r="C140" s="25" t="s">
        <v>1</v>
      </c>
      <c r="D140" s="26">
        <v>370000</v>
      </c>
      <c r="E140" s="27">
        <v>7.5409423490472402E-2</v>
      </c>
      <c r="F140" s="25">
        <v>20</v>
      </c>
      <c r="G140" s="28">
        <v>1583720.2838160768</v>
      </c>
      <c r="H140" s="25">
        <v>136</v>
      </c>
      <c r="I140" s="29">
        <v>-142217.68425781655</v>
      </c>
      <c r="J140" s="25" t="s">
        <v>12</v>
      </c>
      <c r="K140" s="25" t="s">
        <v>18</v>
      </c>
      <c r="L140" s="25">
        <v>0</v>
      </c>
      <c r="M140" s="25" t="s">
        <v>30</v>
      </c>
      <c r="N140" s="25" t="s">
        <v>66</v>
      </c>
      <c r="O140" s="25" t="s">
        <v>67</v>
      </c>
      <c r="P140" s="25" t="s">
        <v>63</v>
      </c>
      <c r="Q140" s="10"/>
      <c r="S140" s="10"/>
    </row>
    <row r="141" spans="1:19" x14ac:dyDescent="0.3">
      <c r="A141" s="25">
        <v>140</v>
      </c>
      <c r="B141" s="25">
        <v>97989606</v>
      </c>
      <c r="C141" s="25" t="s">
        <v>1</v>
      </c>
      <c r="D141" s="26">
        <v>190000</v>
      </c>
      <c r="E141" s="27">
        <v>3.9082079146889916E-2</v>
      </c>
      <c r="F141" s="25">
        <v>15</v>
      </c>
      <c r="G141" s="28">
        <v>337676.95376410108</v>
      </c>
      <c r="H141" s="25">
        <v>74</v>
      </c>
      <c r="I141" s="29">
        <v>-64973.46664913946</v>
      </c>
      <c r="J141" s="25" t="s">
        <v>9</v>
      </c>
      <c r="K141" s="25" t="s">
        <v>18</v>
      </c>
      <c r="L141" s="25">
        <v>0</v>
      </c>
      <c r="M141" s="25" t="s">
        <v>30</v>
      </c>
      <c r="N141" s="25" t="s">
        <v>66</v>
      </c>
      <c r="O141" s="25" t="s">
        <v>67</v>
      </c>
      <c r="P141" s="25" t="s">
        <v>63</v>
      </c>
      <c r="Q141" s="10"/>
      <c r="S141" s="10"/>
    </row>
    <row r="142" spans="1:19" x14ac:dyDescent="0.3">
      <c r="A142" s="25">
        <v>141</v>
      </c>
      <c r="B142" s="25">
        <v>39361910</v>
      </c>
      <c r="C142" s="25" t="s">
        <v>1</v>
      </c>
      <c r="D142" s="26">
        <v>80000</v>
      </c>
      <c r="E142" s="27">
        <v>2.918801643188013E-2</v>
      </c>
      <c r="F142" s="25">
        <v>15</v>
      </c>
      <c r="G142" s="28">
        <v>123171.66113722652</v>
      </c>
      <c r="H142" s="25">
        <v>7</v>
      </c>
      <c r="I142" s="29">
        <v>-2501.5126172600653</v>
      </c>
      <c r="J142" s="25" t="s">
        <v>13</v>
      </c>
      <c r="K142" s="25" t="s">
        <v>18</v>
      </c>
      <c r="L142" s="25">
        <v>0</v>
      </c>
      <c r="M142" s="25" t="s">
        <v>30</v>
      </c>
      <c r="N142" s="25" t="s">
        <v>66</v>
      </c>
      <c r="O142" s="25" t="s">
        <v>67</v>
      </c>
      <c r="P142" s="25" t="s">
        <v>63</v>
      </c>
      <c r="Q142" s="10"/>
      <c r="S142" s="10"/>
    </row>
    <row r="143" spans="1:19" x14ac:dyDescent="0.3">
      <c r="A143" s="25">
        <v>142</v>
      </c>
      <c r="B143" s="25">
        <v>92208306</v>
      </c>
      <c r="C143" s="25" t="s">
        <v>1</v>
      </c>
      <c r="D143" s="26">
        <v>200000</v>
      </c>
      <c r="E143" s="27">
        <v>2.7108181721399505E-2</v>
      </c>
      <c r="F143" s="25">
        <v>20</v>
      </c>
      <c r="G143" s="28">
        <v>341470.95585217304</v>
      </c>
      <c r="H143" s="25">
        <v>90</v>
      </c>
      <c r="I143" s="29">
        <v>-62663.596252343683</v>
      </c>
      <c r="J143" s="25" t="s">
        <v>9</v>
      </c>
      <c r="K143" s="25" t="s">
        <v>18</v>
      </c>
      <c r="L143" s="25">
        <v>0</v>
      </c>
      <c r="M143" s="25" t="s">
        <v>30</v>
      </c>
      <c r="N143" s="25" t="s">
        <v>66</v>
      </c>
      <c r="O143" s="25" t="s">
        <v>67</v>
      </c>
      <c r="P143" s="25" t="s">
        <v>63</v>
      </c>
      <c r="Q143" s="10"/>
      <c r="S143" s="10"/>
    </row>
    <row r="144" spans="1:19" x14ac:dyDescent="0.3">
      <c r="A144" s="25">
        <v>143</v>
      </c>
      <c r="B144" s="25">
        <v>70859925</v>
      </c>
      <c r="C144" s="25" t="s">
        <v>1</v>
      </c>
      <c r="D144" s="26">
        <v>440000</v>
      </c>
      <c r="E144" s="27">
        <v>7.8279039349961069E-2</v>
      </c>
      <c r="F144" s="25">
        <v>30</v>
      </c>
      <c r="G144" s="28">
        <v>4220729.9677376384</v>
      </c>
      <c r="H144" s="25">
        <v>206</v>
      </c>
      <c r="I144" s="29">
        <v>-132007.55905435781</v>
      </c>
      <c r="J144" s="25" t="s">
        <v>9</v>
      </c>
      <c r="K144" s="25" t="s">
        <v>18</v>
      </c>
      <c r="L144" s="25">
        <v>0</v>
      </c>
      <c r="M144" s="25" t="s">
        <v>30</v>
      </c>
      <c r="N144" s="25" t="s">
        <v>66</v>
      </c>
      <c r="O144" s="25" t="s">
        <v>67</v>
      </c>
      <c r="P144" s="25" t="s">
        <v>63</v>
      </c>
      <c r="Q144" s="10"/>
      <c r="S144" s="10"/>
    </row>
    <row r="145" spans="1:19" x14ac:dyDescent="0.3">
      <c r="A145" s="25">
        <v>144</v>
      </c>
      <c r="B145" s="25">
        <v>38351345</v>
      </c>
      <c r="C145" s="25" t="s">
        <v>1</v>
      </c>
      <c r="D145" s="26">
        <v>230000</v>
      </c>
      <c r="E145" s="27">
        <v>8.5661220417817804E-2</v>
      </c>
      <c r="F145" s="25">
        <v>30</v>
      </c>
      <c r="G145" s="28">
        <v>2707432.2142391098</v>
      </c>
      <c r="H145" s="25">
        <v>316</v>
      </c>
      <c r="I145" s="29">
        <v>-163017.19422185424</v>
      </c>
      <c r="J145" s="25" t="s">
        <v>9</v>
      </c>
      <c r="K145" s="25" t="s">
        <v>18</v>
      </c>
      <c r="L145" s="25">
        <v>7</v>
      </c>
      <c r="M145" s="25" t="s">
        <v>31</v>
      </c>
      <c r="N145" s="25" t="s">
        <v>64</v>
      </c>
      <c r="O145" s="25" t="s">
        <v>68</v>
      </c>
      <c r="P145" s="25" t="s">
        <v>44</v>
      </c>
      <c r="Q145" s="10"/>
      <c r="S145" s="10"/>
    </row>
    <row r="146" spans="1:19" x14ac:dyDescent="0.3">
      <c r="A146" s="25">
        <v>145</v>
      </c>
      <c r="B146" s="25">
        <v>38803902</v>
      </c>
      <c r="C146" s="25" t="s">
        <v>1</v>
      </c>
      <c r="D146" s="26">
        <v>110000</v>
      </c>
      <c r="E146" s="27">
        <v>3.9948712579245552E-2</v>
      </c>
      <c r="F146" s="25">
        <v>15</v>
      </c>
      <c r="G146" s="28">
        <v>197957.29437108571</v>
      </c>
      <c r="H146" s="25">
        <v>13</v>
      </c>
      <c r="I146" s="29">
        <v>-5930.8538392792598</v>
      </c>
      <c r="J146" s="25" t="s">
        <v>10</v>
      </c>
      <c r="K146" s="25" t="s">
        <v>16</v>
      </c>
      <c r="L146" s="25">
        <v>9</v>
      </c>
      <c r="M146" s="25" t="s">
        <v>31</v>
      </c>
      <c r="N146" s="25" t="s">
        <v>64</v>
      </c>
      <c r="O146" s="25" t="s">
        <v>68</v>
      </c>
      <c r="P146" s="25" t="s">
        <v>44</v>
      </c>
      <c r="Q146" s="10"/>
      <c r="S146" s="10"/>
    </row>
    <row r="147" spans="1:19" x14ac:dyDescent="0.3">
      <c r="A147" s="25">
        <v>146</v>
      </c>
      <c r="B147" s="25">
        <v>70936359</v>
      </c>
      <c r="C147" s="25" t="s">
        <v>1</v>
      </c>
      <c r="D147" s="26">
        <v>150000</v>
      </c>
      <c r="E147" s="27">
        <v>4.8616549792090978E-2</v>
      </c>
      <c r="F147" s="25">
        <v>15</v>
      </c>
      <c r="G147" s="28">
        <v>305732.68778210512</v>
      </c>
      <c r="H147" s="25">
        <v>90</v>
      </c>
      <c r="I147" s="29">
        <v>-61502.825900975819</v>
      </c>
      <c r="J147" s="25" t="s">
        <v>13</v>
      </c>
      <c r="K147" s="25" t="s">
        <v>18</v>
      </c>
      <c r="L147" s="25">
        <v>8</v>
      </c>
      <c r="M147" s="25" t="s">
        <v>31</v>
      </c>
      <c r="N147" s="25" t="s">
        <v>64</v>
      </c>
      <c r="O147" s="25" t="s">
        <v>68</v>
      </c>
      <c r="P147" s="25" t="s">
        <v>44</v>
      </c>
      <c r="Q147" s="10"/>
      <c r="S147" s="10"/>
    </row>
    <row r="148" spans="1:19" x14ac:dyDescent="0.3">
      <c r="A148" s="25">
        <v>147</v>
      </c>
      <c r="B148" s="25">
        <v>22527091</v>
      </c>
      <c r="C148" s="25" t="s">
        <v>1</v>
      </c>
      <c r="D148" s="26">
        <v>400000</v>
      </c>
      <c r="E148" s="27">
        <v>2.553940346467095E-2</v>
      </c>
      <c r="F148" s="25">
        <v>30</v>
      </c>
      <c r="G148" s="28">
        <v>852374.6759869589</v>
      </c>
      <c r="H148" s="25">
        <v>276</v>
      </c>
      <c r="I148" s="29">
        <v>-277684.0942167624</v>
      </c>
      <c r="J148" s="25" t="s">
        <v>10</v>
      </c>
      <c r="K148" s="25" t="s">
        <v>16</v>
      </c>
      <c r="L148" s="25">
        <v>1</v>
      </c>
      <c r="M148" s="25" t="s">
        <v>26</v>
      </c>
      <c r="N148" s="25" t="s">
        <v>66</v>
      </c>
      <c r="O148" s="25" t="s">
        <v>67</v>
      </c>
      <c r="P148" s="25" t="s">
        <v>63</v>
      </c>
      <c r="Q148" s="10"/>
      <c r="S148" s="10"/>
    </row>
    <row r="149" spans="1:19" x14ac:dyDescent="0.3">
      <c r="A149" s="25">
        <v>148</v>
      </c>
      <c r="B149" s="25">
        <v>85565195</v>
      </c>
      <c r="C149" s="25" t="s">
        <v>1</v>
      </c>
      <c r="D149" s="26">
        <v>350000</v>
      </c>
      <c r="E149" s="27">
        <v>3.759737492262525E-2</v>
      </c>
      <c r="F149" s="25">
        <v>15</v>
      </c>
      <c r="G149" s="28">
        <v>608836.96071319608</v>
      </c>
      <c r="H149" s="25">
        <v>80</v>
      </c>
      <c r="I149" s="29">
        <v>-131633.85733754354</v>
      </c>
      <c r="J149" s="25" t="s">
        <v>9</v>
      </c>
      <c r="K149" s="25" t="s">
        <v>18</v>
      </c>
      <c r="L149" s="25">
        <v>3</v>
      </c>
      <c r="M149" s="25" t="s">
        <v>31</v>
      </c>
      <c r="N149" s="25" t="s">
        <v>66</v>
      </c>
      <c r="O149" s="25" t="s">
        <v>67</v>
      </c>
      <c r="P149" s="25" t="s">
        <v>63</v>
      </c>
      <c r="Q149" s="10"/>
      <c r="S149" s="10"/>
    </row>
    <row r="150" spans="1:19" x14ac:dyDescent="0.3">
      <c r="A150" s="25">
        <v>149</v>
      </c>
      <c r="B150" s="25">
        <v>49758502</v>
      </c>
      <c r="C150" s="25" t="s">
        <v>1</v>
      </c>
      <c r="D150" s="26">
        <v>130000</v>
      </c>
      <c r="E150" s="27">
        <v>5.1929476788526233E-2</v>
      </c>
      <c r="F150" s="25">
        <v>15</v>
      </c>
      <c r="G150" s="28">
        <v>277806.70674596832</v>
      </c>
      <c r="H150" s="25">
        <v>93</v>
      </c>
      <c r="I150" s="29">
        <v>-54652.922622379156</v>
      </c>
      <c r="J150" s="25" t="s">
        <v>10</v>
      </c>
      <c r="K150" s="25" t="s">
        <v>16</v>
      </c>
      <c r="L150" s="25">
        <v>9</v>
      </c>
      <c r="M150" s="25" t="s">
        <v>31</v>
      </c>
      <c r="N150" s="25" t="s">
        <v>64</v>
      </c>
      <c r="O150" s="25" t="s">
        <v>68</v>
      </c>
      <c r="P150" s="25" t="s">
        <v>44</v>
      </c>
      <c r="Q150" s="10"/>
      <c r="S150" s="10"/>
    </row>
    <row r="151" spans="1:19" x14ac:dyDescent="0.3">
      <c r="A151" s="25">
        <v>150</v>
      </c>
      <c r="B151" s="25">
        <v>44521885</v>
      </c>
      <c r="C151" s="25" t="s">
        <v>1</v>
      </c>
      <c r="D151" s="26">
        <v>190000</v>
      </c>
      <c r="E151" s="27">
        <v>4.9833531113900251E-2</v>
      </c>
      <c r="F151" s="25">
        <v>30</v>
      </c>
      <c r="G151" s="28">
        <v>817272.32812925742</v>
      </c>
      <c r="H151" s="25">
        <v>174</v>
      </c>
      <c r="I151" s="29">
        <v>-58268.279894831372</v>
      </c>
      <c r="J151" s="25" t="s">
        <v>9</v>
      </c>
      <c r="K151" s="25" t="s">
        <v>18</v>
      </c>
      <c r="L151" s="25">
        <v>8</v>
      </c>
      <c r="M151" s="25" t="s">
        <v>31</v>
      </c>
      <c r="N151" s="25" t="s">
        <v>64</v>
      </c>
      <c r="O151" s="25" t="s">
        <v>69</v>
      </c>
      <c r="P151" s="25" t="s">
        <v>45</v>
      </c>
      <c r="Q151" s="10"/>
      <c r="S151" s="10"/>
    </row>
    <row r="152" spans="1:19" x14ac:dyDescent="0.3">
      <c r="A152" s="25">
        <v>151</v>
      </c>
      <c r="B152" s="25">
        <v>81877816</v>
      </c>
      <c r="C152" s="25" t="s">
        <v>1</v>
      </c>
      <c r="D152" s="26">
        <v>120000</v>
      </c>
      <c r="E152" s="27">
        <v>4.8171984913974467E-2</v>
      </c>
      <c r="F152" s="25">
        <v>15</v>
      </c>
      <c r="G152" s="28">
        <v>243035.35958179686</v>
      </c>
      <c r="H152" s="25">
        <v>27</v>
      </c>
      <c r="I152" s="29">
        <v>-12972.122968389507</v>
      </c>
      <c r="J152" s="25" t="s">
        <v>9</v>
      </c>
      <c r="K152" s="25" t="s">
        <v>18</v>
      </c>
      <c r="L152" s="25">
        <v>7</v>
      </c>
      <c r="M152" s="25" t="s">
        <v>31</v>
      </c>
      <c r="N152" s="25" t="s">
        <v>64</v>
      </c>
      <c r="O152" s="25" t="s">
        <v>68</v>
      </c>
      <c r="P152" s="25" t="s">
        <v>44</v>
      </c>
      <c r="Q152" s="10"/>
      <c r="S152" s="10"/>
    </row>
    <row r="153" spans="1:19" x14ac:dyDescent="0.3">
      <c r="A153" s="25">
        <v>152</v>
      </c>
      <c r="B153" s="25">
        <v>30045340</v>
      </c>
      <c r="C153" s="25" t="s">
        <v>1</v>
      </c>
      <c r="D153" s="26">
        <v>360000</v>
      </c>
      <c r="E153" s="27">
        <v>8.4051872918695605E-2</v>
      </c>
      <c r="F153" s="25">
        <v>20</v>
      </c>
      <c r="G153" s="28">
        <v>1808438.6611132226</v>
      </c>
      <c r="H153" s="25">
        <v>67</v>
      </c>
      <c r="I153" s="29">
        <v>-49461.003304171834</v>
      </c>
      <c r="J153" s="25" t="s">
        <v>13</v>
      </c>
      <c r="K153" s="25" t="s">
        <v>18</v>
      </c>
      <c r="L153" s="25">
        <v>7</v>
      </c>
      <c r="M153" s="25" t="s">
        <v>31</v>
      </c>
      <c r="N153" s="25" t="s">
        <v>64</v>
      </c>
      <c r="O153" s="25" t="s">
        <v>70</v>
      </c>
      <c r="P153" s="25" t="s">
        <v>46</v>
      </c>
      <c r="Q153" s="10"/>
      <c r="S153" s="10"/>
    </row>
    <row r="154" spans="1:19" x14ac:dyDescent="0.3">
      <c r="A154" s="25">
        <v>153</v>
      </c>
      <c r="B154" s="25">
        <v>50054768</v>
      </c>
      <c r="C154" s="25" t="s">
        <v>1</v>
      </c>
      <c r="D154" s="26">
        <v>140000</v>
      </c>
      <c r="E154" s="27">
        <v>4.7353760052952686E-2</v>
      </c>
      <c r="F154" s="25">
        <v>15</v>
      </c>
      <c r="G154" s="28">
        <v>280239.26062128268</v>
      </c>
      <c r="H154" s="25">
        <v>20</v>
      </c>
      <c r="I154" s="29">
        <v>-11120.088205194192</v>
      </c>
      <c r="J154" s="25" t="s">
        <v>12</v>
      </c>
      <c r="K154" s="25" t="s">
        <v>18</v>
      </c>
      <c r="L154" s="25">
        <v>0</v>
      </c>
      <c r="M154" s="25" t="s">
        <v>30</v>
      </c>
      <c r="N154" s="25" t="s">
        <v>66</v>
      </c>
      <c r="O154" s="25" t="s">
        <v>67</v>
      </c>
      <c r="P154" s="25" t="s">
        <v>63</v>
      </c>
      <c r="Q154" s="10"/>
      <c r="S154" s="10"/>
    </row>
    <row r="155" spans="1:19" x14ac:dyDescent="0.3">
      <c r="A155" s="25">
        <v>154</v>
      </c>
      <c r="B155" s="25">
        <v>63115595</v>
      </c>
      <c r="C155" s="25" t="s">
        <v>1</v>
      </c>
      <c r="D155" s="26">
        <v>420000</v>
      </c>
      <c r="E155" s="27">
        <v>3.1754491121864389E-2</v>
      </c>
      <c r="F155" s="25">
        <v>30</v>
      </c>
      <c r="G155" s="28">
        <v>1072853.2723277865</v>
      </c>
      <c r="H155" s="25">
        <v>40</v>
      </c>
      <c r="I155" s="29">
        <v>-29465.759566513971</v>
      </c>
      <c r="J155" s="25" t="s">
        <v>9</v>
      </c>
      <c r="K155" s="25" t="s">
        <v>18</v>
      </c>
      <c r="L155" s="25">
        <v>5</v>
      </c>
      <c r="M155" s="25" t="s">
        <v>31</v>
      </c>
      <c r="N155" s="25" t="s">
        <v>66</v>
      </c>
      <c r="O155" s="25" t="s">
        <v>67</v>
      </c>
      <c r="P155" s="25" t="s">
        <v>63</v>
      </c>
      <c r="Q155" s="10"/>
      <c r="S155" s="10"/>
    </row>
    <row r="156" spans="1:19" x14ac:dyDescent="0.3">
      <c r="A156" s="25">
        <v>155</v>
      </c>
      <c r="B156" s="25">
        <v>12815365</v>
      </c>
      <c r="C156" s="25" t="s">
        <v>1</v>
      </c>
      <c r="D156" s="26">
        <v>300000</v>
      </c>
      <c r="E156" s="27">
        <v>7.1192531516652197E-2</v>
      </c>
      <c r="F156" s="25">
        <v>15</v>
      </c>
      <c r="G156" s="28">
        <v>841655.36408098519</v>
      </c>
      <c r="H156" s="25">
        <v>20</v>
      </c>
      <c r="I156" s="29">
        <v>-19828.675940800164</v>
      </c>
      <c r="J156" s="25" t="s">
        <v>9</v>
      </c>
      <c r="K156" s="25" t="s">
        <v>18</v>
      </c>
      <c r="L156" s="25">
        <v>5</v>
      </c>
      <c r="M156" s="25" t="s">
        <v>31</v>
      </c>
      <c r="N156" s="25" t="s">
        <v>66</v>
      </c>
      <c r="O156" s="25" t="s">
        <v>67</v>
      </c>
      <c r="P156" s="25" t="s">
        <v>63</v>
      </c>
      <c r="Q156" s="10"/>
      <c r="S156" s="10"/>
    </row>
    <row r="157" spans="1:19" x14ac:dyDescent="0.3">
      <c r="A157" s="25">
        <v>156</v>
      </c>
      <c r="B157" s="25">
        <v>57963170</v>
      </c>
      <c r="C157" s="25" t="s">
        <v>1</v>
      </c>
      <c r="D157" s="26">
        <v>190000</v>
      </c>
      <c r="E157" s="27">
        <v>5.577789572375437E-2</v>
      </c>
      <c r="F157" s="25">
        <v>15</v>
      </c>
      <c r="G157" s="28">
        <v>428886.20584859909</v>
      </c>
      <c r="H157" s="25">
        <v>134</v>
      </c>
      <c r="I157" s="29">
        <v>-125514.30117097018</v>
      </c>
      <c r="J157" s="25" t="s">
        <v>13</v>
      </c>
      <c r="K157" s="25" t="s">
        <v>18</v>
      </c>
      <c r="L157" s="25">
        <v>1</v>
      </c>
      <c r="M157" s="25" t="s">
        <v>26</v>
      </c>
      <c r="N157" s="25" t="s">
        <v>66</v>
      </c>
      <c r="O157" s="25" t="s">
        <v>67</v>
      </c>
      <c r="P157" s="25" t="s">
        <v>63</v>
      </c>
      <c r="Q157" s="10"/>
      <c r="S157" s="10"/>
    </row>
    <row r="158" spans="1:19" x14ac:dyDescent="0.3">
      <c r="A158" s="25">
        <v>157</v>
      </c>
      <c r="B158" s="25">
        <v>27425669</v>
      </c>
      <c r="C158" s="25" t="s">
        <v>1</v>
      </c>
      <c r="D158" s="26">
        <v>120000</v>
      </c>
      <c r="E158" s="27">
        <v>4.5537190045218612E-2</v>
      </c>
      <c r="F158" s="25">
        <v>15</v>
      </c>
      <c r="G158" s="28">
        <v>234031.07476753427</v>
      </c>
      <c r="H158" s="25">
        <v>10</v>
      </c>
      <c r="I158" s="29">
        <v>-4739.5527568259586</v>
      </c>
      <c r="J158" s="25" t="s">
        <v>13</v>
      </c>
      <c r="K158" s="25" t="s">
        <v>18</v>
      </c>
      <c r="L158" s="25">
        <v>10</v>
      </c>
      <c r="M158" s="25" t="s">
        <v>31</v>
      </c>
      <c r="N158" s="25" t="s">
        <v>64</v>
      </c>
      <c r="O158" s="25" t="s">
        <v>69</v>
      </c>
      <c r="P158" s="25" t="s">
        <v>45</v>
      </c>
      <c r="Q158" s="10"/>
      <c r="S158" s="10"/>
    </row>
    <row r="159" spans="1:19" x14ac:dyDescent="0.3">
      <c r="A159" s="25">
        <v>158</v>
      </c>
      <c r="B159" s="25">
        <v>42454326</v>
      </c>
      <c r="C159" s="25" t="s">
        <v>1</v>
      </c>
      <c r="D159" s="26">
        <v>230000</v>
      </c>
      <c r="E159" s="27">
        <v>5.0982489981923208E-2</v>
      </c>
      <c r="F159" s="25">
        <v>15</v>
      </c>
      <c r="G159" s="28">
        <v>484908.77485006728</v>
      </c>
      <c r="H159" s="25">
        <v>81</v>
      </c>
      <c r="I159" s="29">
        <v>-82308.569833674133</v>
      </c>
      <c r="J159" s="25" t="s">
        <v>9</v>
      </c>
      <c r="K159" s="25" t="s">
        <v>18</v>
      </c>
      <c r="L159" s="25">
        <v>2</v>
      </c>
      <c r="M159" s="25" t="s">
        <v>26</v>
      </c>
      <c r="N159" s="25" t="s">
        <v>66</v>
      </c>
      <c r="O159" s="25" t="s">
        <v>67</v>
      </c>
      <c r="P159" s="25" t="s">
        <v>63</v>
      </c>
      <c r="Q159" s="10"/>
      <c r="S159" s="10"/>
    </row>
    <row r="160" spans="1:19" x14ac:dyDescent="0.3">
      <c r="A160" s="25">
        <v>159</v>
      </c>
      <c r="B160" s="25">
        <v>43854478</v>
      </c>
      <c r="C160" s="25" t="s">
        <v>1</v>
      </c>
      <c r="D160" s="26">
        <v>180000</v>
      </c>
      <c r="E160" s="27">
        <v>3.2977812852717114E-2</v>
      </c>
      <c r="F160" s="25">
        <v>20</v>
      </c>
      <c r="G160" s="28">
        <v>344423.1820845803</v>
      </c>
      <c r="H160" s="25">
        <v>55</v>
      </c>
      <c r="I160" s="29">
        <v>-31460.534915649932</v>
      </c>
      <c r="J160" s="25" t="s">
        <v>12</v>
      </c>
      <c r="K160" s="25" t="s">
        <v>18</v>
      </c>
      <c r="L160" s="25">
        <v>0</v>
      </c>
      <c r="M160" s="25" t="s">
        <v>30</v>
      </c>
      <c r="N160" s="25" t="s">
        <v>66</v>
      </c>
      <c r="O160" s="25" t="s">
        <v>67</v>
      </c>
      <c r="P160" s="25" t="s">
        <v>63</v>
      </c>
      <c r="Q160" s="10"/>
      <c r="S160" s="10"/>
    </row>
    <row r="161" spans="1:19" x14ac:dyDescent="0.3">
      <c r="A161" s="25">
        <v>160</v>
      </c>
      <c r="B161" s="25">
        <v>28025475</v>
      </c>
      <c r="C161" s="25" t="s">
        <v>1</v>
      </c>
      <c r="D161" s="26">
        <v>430000</v>
      </c>
      <c r="E161" s="27">
        <v>5.2234852657205018E-2</v>
      </c>
      <c r="F161" s="25">
        <v>15</v>
      </c>
      <c r="G161" s="28">
        <v>922908.60421959439</v>
      </c>
      <c r="H161" s="25">
        <v>128</v>
      </c>
      <c r="I161" s="29">
        <v>-269733.52539249451</v>
      </c>
      <c r="J161" s="25" t="s">
        <v>9</v>
      </c>
      <c r="K161" s="25" t="s">
        <v>18</v>
      </c>
      <c r="L161" s="25">
        <v>0</v>
      </c>
      <c r="M161" s="25" t="s">
        <v>30</v>
      </c>
      <c r="N161" s="25" t="s">
        <v>66</v>
      </c>
      <c r="O161" s="25" t="s">
        <v>67</v>
      </c>
      <c r="P161" s="25" t="s">
        <v>63</v>
      </c>
      <c r="Q161" s="10"/>
      <c r="S161" s="10"/>
    </row>
    <row r="162" spans="1:19" x14ac:dyDescent="0.3">
      <c r="A162" s="25">
        <v>161</v>
      </c>
      <c r="B162" s="25">
        <v>64176281</v>
      </c>
      <c r="C162" s="25" t="s">
        <v>1</v>
      </c>
      <c r="D162" s="26">
        <v>340000</v>
      </c>
      <c r="E162" s="27">
        <v>7.8054402152243199E-2</v>
      </c>
      <c r="F162" s="25">
        <v>20</v>
      </c>
      <c r="G162" s="28">
        <v>1528595.1015152119</v>
      </c>
      <c r="H162" s="25">
        <v>25</v>
      </c>
      <c r="I162" s="29">
        <v>-15996.655522704375</v>
      </c>
      <c r="J162" s="25" t="s">
        <v>10</v>
      </c>
      <c r="K162" s="25" t="s">
        <v>16</v>
      </c>
      <c r="L162" s="25">
        <v>0</v>
      </c>
      <c r="M162" s="25" t="s">
        <v>30</v>
      </c>
      <c r="N162" s="25" t="s">
        <v>66</v>
      </c>
      <c r="O162" s="25" t="s">
        <v>67</v>
      </c>
      <c r="P162" s="25" t="s">
        <v>63</v>
      </c>
      <c r="Q162" s="10"/>
      <c r="S162" s="10"/>
    </row>
    <row r="163" spans="1:19" x14ac:dyDescent="0.3">
      <c r="A163" s="25">
        <v>162</v>
      </c>
      <c r="B163" s="25">
        <v>19068436</v>
      </c>
      <c r="C163" s="25" t="s">
        <v>1</v>
      </c>
      <c r="D163" s="26">
        <v>90000</v>
      </c>
      <c r="E163" s="27">
        <v>8.5197825606209504E-2</v>
      </c>
      <c r="F163" s="25">
        <v>20</v>
      </c>
      <c r="G163" s="28">
        <v>461764.78254360438</v>
      </c>
      <c r="H163" s="25">
        <v>214</v>
      </c>
      <c r="I163" s="29">
        <v>-71490.032115532958</v>
      </c>
      <c r="J163" s="25" t="s">
        <v>9</v>
      </c>
      <c r="K163" s="25" t="s">
        <v>18</v>
      </c>
      <c r="L163" s="25">
        <v>0</v>
      </c>
      <c r="M163" s="25" t="s">
        <v>30</v>
      </c>
      <c r="N163" s="25" t="s">
        <v>66</v>
      </c>
      <c r="O163" s="25" t="s">
        <v>67</v>
      </c>
      <c r="P163" s="25" t="s">
        <v>63</v>
      </c>
      <c r="Q163" s="10"/>
      <c r="S163" s="10"/>
    </row>
    <row r="164" spans="1:19" x14ac:dyDescent="0.3">
      <c r="A164" s="25">
        <v>163</v>
      </c>
      <c r="B164" s="25">
        <v>55935051</v>
      </c>
      <c r="C164" s="25" t="s">
        <v>1</v>
      </c>
      <c r="D164" s="26">
        <v>310000</v>
      </c>
      <c r="E164" s="27">
        <v>6.5776912974517682E-2</v>
      </c>
      <c r="F164" s="25">
        <v>15</v>
      </c>
      <c r="G164" s="28">
        <v>806039.48639443784</v>
      </c>
      <c r="H164" s="25">
        <v>171</v>
      </c>
      <c r="I164" s="29">
        <v>-286232.91874867358</v>
      </c>
      <c r="J164" s="25" t="s">
        <v>10</v>
      </c>
      <c r="K164" s="25" t="s">
        <v>16</v>
      </c>
      <c r="L164" s="25">
        <v>0</v>
      </c>
      <c r="M164" s="25" t="s">
        <v>30</v>
      </c>
      <c r="N164" s="25" t="s">
        <v>66</v>
      </c>
      <c r="O164" s="25" t="s">
        <v>67</v>
      </c>
      <c r="P164" s="25" t="s">
        <v>63</v>
      </c>
      <c r="Q164" s="10"/>
      <c r="S164" s="10"/>
    </row>
    <row r="165" spans="1:19" x14ac:dyDescent="0.3">
      <c r="A165" s="25">
        <v>164</v>
      </c>
      <c r="B165" s="25">
        <v>58190701</v>
      </c>
      <c r="C165" s="25" t="s">
        <v>1</v>
      </c>
      <c r="D165" s="26">
        <v>390000</v>
      </c>
      <c r="E165" s="27">
        <v>2.8968661386930758E-2</v>
      </c>
      <c r="F165" s="25">
        <v>30</v>
      </c>
      <c r="G165" s="28">
        <v>918605.50857366051</v>
      </c>
      <c r="H165" s="25">
        <v>42</v>
      </c>
      <c r="I165" s="29">
        <v>-30071.220801832558</v>
      </c>
      <c r="J165" s="25" t="s">
        <v>10</v>
      </c>
      <c r="K165" s="25" t="s">
        <v>16</v>
      </c>
      <c r="L165" s="25">
        <v>0</v>
      </c>
      <c r="M165" s="25" t="s">
        <v>30</v>
      </c>
      <c r="N165" s="25" t="s">
        <v>66</v>
      </c>
      <c r="O165" s="25" t="s">
        <v>67</v>
      </c>
      <c r="P165" s="25" t="s">
        <v>63</v>
      </c>
      <c r="Q165" s="10"/>
      <c r="S165" s="10"/>
    </row>
    <row r="166" spans="1:19" x14ac:dyDescent="0.3">
      <c r="A166" s="25">
        <v>165</v>
      </c>
      <c r="B166" s="25">
        <v>22410771</v>
      </c>
      <c r="C166" s="25" t="s">
        <v>1</v>
      </c>
      <c r="D166" s="26">
        <v>280000</v>
      </c>
      <c r="E166" s="27">
        <v>2.7107655095394385E-2</v>
      </c>
      <c r="F166" s="25">
        <v>15</v>
      </c>
      <c r="G166" s="28">
        <v>418212.99381876201</v>
      </c>
      <c r="H166" s="25">
        <v>122</v>
      </c>
      <c r="I166" s="29">
        <v>-177099.02449031977</v>
      </c>
      <c r="J166" s="25" t="s">
        <v>10</v>
      </c>
      <c r="K166" s="25" t="s">
        <v>16</v>
      </c>
      <c r="L166" s="25">
        <v>0</v>
      </c>
      <c r="M166" s="25" t="s">
        <v>30</v>
      </c>
      <c r="N166" s="25" t="s">
        <v>66</v>
      </c>
      <c r="O166" s="25" t="s">
        <v>67</v>
      </c>
      <c r="P166" s="25" t="s">
        <v>63</v>
      </c>
      <c r="Q166" s="10"/>
      <c r="S166" s="10"/>
    </row>
    <row r="167" spans="1:19" x14ac:dyDescent="0.3">
      <c r="A167" s="25">
        <v>166</v>
      </c>
      <c r="B167" s="25">
        <v>60128733</v>
      </c>
      <c r="C167" s="25" t="s">
        <v>1</v>
      </c>
      <c r="D167" s="26">
        <v>450000</v>
      </c>
      <c r="E167" s="27">
        <v>7.5354629162056694E-2</v>
      </c>
      <c r="F167" s="25">
        <v>15</v>
      </c>
      <c r="G167" s="28">
        <v>1338098.6993978794</v>
      </c>
      <c r="H167" s="25">
        <v>156</v>
      </c>
      <c r="I167" s="29">
        <v>-357129.568835727</v>
      </c>
      <c r="J167" s="25" t="s">
        <v>11</v>
      </c>
      <c r="K167" s="25" t="s">
        <v>17</v>
      </c>
      <c r="L167" s="25">
        <v>0</v>
      </c>
      <c r="M167" s="25" t="s">
        <v>30</v>
      </c>
      <c r="N167" s="25" t="s">
        <v>66</v>
      </c>
      <c r="O167" s="25" t="s">
        <v>67</v>
      </c>
      <c r="P167" s="25" t="s">
        <v>63</v>
      </c>
      <c r="Q167" s="10"/>
      <c r="S167" s="10"/>
    </row>
    <row r="168" spans="1:19" x14ac:dyDescent="0.3">
      <c r="A168" s="25">
        <v>167</v>
      </c>
      <c r="B168" s="25">
        <v>66609862</v>
      </c>
      <c r="C168" s="25" t="s">
        <v>1</v>
      </c>
      <c r="D168" s="26">
        <v>400000</v>
      </c>
      <c r="E168" s="27">
        <v>6.4130198135724042E-2</v>
      </c>
      <c r="F168" s="25">
        <v>15</v>
      </c>
      <c r="G168" s="28">
        <v>1016205.4259950697</v>
      </c>
      <c r="H168" s="25">
        <v>139</v>
      </c>
      <c r="I168" s="29">
        <v>-272713.66972824751</v>
      </c>
      <c r="J168" s="25" t="s">
        <v>10</v>
      </c>
      <c r="K168" s="25" t="s">
        <v>16</v>
      </c>
      <c r="L168" s="25">
        <v>0</v>
      </c>
      <c r="M168" s="25" t="s">
        <v>30</v>
      </c>
      <c r="N168" s="25" t="s">
        <v>66</v>
      </c>
      <c r="O168" s="25" t="s">
        <v>67</v>
      </c>
      <c r="P168" s="25" t="s">
        <v>63</v>
      </c>
      <c r="Q168" s="10"/>
      <c r="S168" s="10"/>
    </row>
    <row r="169" spans="1:19" x14ac:dyDescent="0.3">
      <c r="A169" s="25">
        <v>168</v>
      </c>
      <c r="B169" s="25">
        <v>64197854</v>
      </c>
      <c r="C169" s="25" t="s">
        <v>1</v>
      </c>
      <c r="D169" s="26">
        <v>90000</v>
      </c>
      <c r="E169" s="27">
        <v>8.500410975067306E-2</v>
      </c>
      <c r="F169" s="25">
        <v>20</v>
      </c>
      <c r="G169" s="28">
        <v>460119.00650086545</v>
      </c>
      <c r="H169" s="25">
        <v>144</v>
      </c>
      <c r="I169" s="29">
        <v>-35730.5524829317</v>
      </c>
      <c r="J169" s="25" t="s">
        <v>11</v>
      </c>
      <c r="K169" s="25" t="s">
        <v>17</v>
      </c>
      <c r="L169" s="25">
        <v>0</v>
      </c>
      <c r="M169" s="25" t="s">
        <v>30</v>
      </c>
      <c r="N169" s="25" t="s">
        <v>66</v>
      </c>
      <c r="O169" s="25" t="s">
        <v>67</v>
      </c>
      <c r="P169" s="25" t="s">
        <v>63</v>
      </c>
      <c r="Q169" s="10"/>
      <c r="S169" s="10"/>
    </row>
    <row r="170" spans="1:19" x14ac:dyDescent="0.3">
      <c r="A170" s="25">
        <v>169</v>
      </c>
      <c r="B170" s="25">
        <v>59656529</v>
      </c>
      <c r="C170" s="25" t="s">
        <v>1</v>
      </c>
      <c r="D170" s="26">
        <v>100000</v>
      </c>
      <c r="E170" s="27">
        <v>6.538733883278261E-2</v>
      </c>
      <c r="F170" s="25">
        <v>20</v>
      </c>
      <c r="G170" s="28">
        <v>354936.46991043148</v>
      </c>
      <c r="H170" s="25">
        <v>195</v>
      </c>
      <c r="I170" s="29">
        <v>-70226.454296506054</v>
      </c>
      <c r="J170" s="25" t="s">
        <v>13</v>
      </c>
      <c r="K170" s="25" t="s">
        <v>18</v>
      </c>
      <c r="L170" s="25">
        <v>0</v>
      </c>
      <c r="M170" s="25" t="s">
        <v>30</v>
      </c>
      <c r="N170" s="25" t="s">
        <v>66</v>
      </c>
      <c r="O170" s="25" t="s">
        <v>67</v>
      </c>
      <c r="P170" s="25" t="s">
        <v>63</v>
      </c>
      <c r="Q170" s="10"/>
      <c r="S170" s="10"/>
    </row>
    <row r="171" spans="1:19" x14ac:dyDescent="0.3">
      <c r="A171" s="25">
        <v>170</v>
      </c>
      <c r="B171" s="25">
        <v>27416011</v>
      </c>
      <c r="C171" s="25" t="s">
        <v>1</v>
      </c>
      <c r="D171" s="26">
        <v>320000</v>
      </c>
      <c r="E171" s="27">
        <v>4.5206795026638533E-2</v>
      </c>
      <c r="F171" s="25">
        <v>20</v>
      </c>
      <c r="G171" s="28">
        <v>774808.66277462081</v>
      </c>
      <c r="H171" s="25">
        <v>120</v>
      </c>
      <c r="I171" s="29">
        <v>-124502.74609165057</v>
      </c>
      <c r="J171" s="25" t="s">
        <v>10</v>
      </c>
      <c r="K171" s="25" t="s">
        <v>16</v>
      </c>
      <c r="L171" s="25">
        <v>6</v>
      </c>
      <c r="M171" s="25" t="s">
        <v>31</v>
      </c>
      <c r="N171" s="25" t="s">
        <v>64</v>
      </c>
      <c r="O171" s="25" t="s">
        <v>70</v>
      </c>
      <c r="P171" s="25" t="s">
        <v>46</v>
      </c>
      <c r="Q171" s="10"/>
      <c r="S171" s="10"/>
    </row>
    <row r="172" spans="1:19" x14ac:dyDescent="0.3">
      <c r="A172" s="25">
        <v>171</v>
      </c>
      <c r="B172" s="25">
        <v>48475995</v>
      </c>
      <c r="C172" s="25" t="s">
        <v>1</v>
      </c>
      <c r="D172" s="26">
        <v>270000</v>
      </c>
      <c r="E172" s="27">
        <v>8.0420328455112197E-2</v>
      </c>
      <c r="F172" s="25">
        <v>15</v>
      </c>
      <c r="G172" s="28">
        <v>861499.37932639872</v>
      </c>
      <c r="H172" s="25">
        <v>47</v>
      </c>
      <c r="I172" s="29">
        <v>-42777.860619125204</v>
      </c>
      <c r="J172" s="25" t="s">
        <v>9</v>
      </c>
      <c r="K172" s="25" t="s">
        <v>18</v>
      </c>
      <c r="L172" s="25">
        <v>9</v>
      </c>
      <c r="M172" s="25" t="s">
        <v>31</v>
      </c>
      <c r="N172" s="25" t="s">
        <v>64</v>
      </c>
      <c r="O172" s="25" t="s">
        <v>65</v>
      </c>
      <c r="P172" s="25" t="s">
        <v>43</v>
      </c>
      <c r="Q172" s="10"/>
      <c r="S172" s="10"/>
    </row>
    <row r="173" spans="1:19" x14ac:dyDescent="0.3">
      <c r="A173" s="25">
        <v>172</v>
      </c>
      <c r="B173" s="25">
        <v>71360853</v>
      </c>
      <c r="C173" s="25" t="s">
        <v>1</v>
      </c>
      <c r="D173" s="26">
        <v>430000</v>
      </c>
      <c r="E173" s="27">
        <v>8.948433022180316E-2</v>
      </c>
      <c r="F173" s="25">
        <v>15</v>
      </c>
      <c r="G173" s="28">
        <v>1555189.3723533445</v>
      </c>
      <c r="H173" s="25">
        <v>164</v>
      </c>
      <c r="I173" s="29">
        <v>-364648.55522242171</v>
      </c>
      <c r="J173" s="25" t="s">
        <v>11</v>
      </c>
      <c r="K173" s="25" t="s">
        <v>17</v>
      </c>
      <c r="L173" s="25">
        <v>5</v>
      </c>
      <c r="M173" s="25" t="s">
        <v>31</v>
      </c>
      <c r="N173" s="25" t="s">
        <v>66</v>
      </c>
      <c r="O173" s="25" t="s">
        <v>67</v>
      </c>
      <c r="P173" s="25" t="s">
        <v>63</v>
      </c>
      <c r="Q173" s="10"/>
      <c r="S173" s="10"/>
    </row>
    <row r="174" spans="1:19" x14ac:dyDescent="0.3">
      <c r="A174" s="25">
        <v>173</v>
      </c>
      <c r="B174" s="25">
        <v>35512275</v>
      </c>
      <c r="C174" s="25" t="s">
        <v>1</v>
      </c>
      <c r="D174" s="26">
        <v>380000</v>
      </c>
      <c r="E174" s="27">
        <v>6.1968837801717767E-2</v>
      </c>
      <c r="F174" s="25">
        <v>30</v>
      </c>
      <c r="G174" s="28">
        <v>2307473.8560194247</v>
      </c>
      <c r="H174" s="25">
        <v>62</v>
      </c>
      <c r="I174" s="29">
        <v>-26538.865744975541</v>
      </c>
      <c r="J174" s="25" t="s">
        <v>9</v>
      </c>
      <c r="K174" s="25" t="s">
        <v>18</v>
      </c>
      <c r="L174" s="25">
        <v>9</v>
      </c>
      <c r="M174" s="25" t="s">
        <v>31</v>
      </c>
      <c r="N174" s="25" t="s">
        <v>64</v>
      </c>
      <c r="O174" s="25" t="s">
        <v>68</v>
      </c>
      <c r="P174" s="25" t="s">
        <v>44</v>
      </c>
      <c r="Q174" s="10"/>
      <c r="S174" s="10"/>
    </row>
    <row r="175" spans="1:19" x14ac:dyDescent="0.3">
      <c r="A175" s="25">
        <v>174</v>
      </c>
      <c r="B175" s="25">
        <v>38613129</v>
      </c>
      <c r="C175" s="25" t="s">
        <v>1</v>
      </c>
      <c r="D175" s="26">
        <v>370000</v>
      </c>
      <c r="E175" s="27">
        <v>5.8198216683628096E-2</v>
      </c>
      <c r="F175" s="25">
        <v>15</v>
      </c>
      <c r="G175" s="28">
        <v>864384.7648835514</v>
      </c>
      <c r="H175" s="25">
        <v>28</v>
      </c>
      <c r="I175" s="29">
        <v>-38644.893300939431</v>
      </c>
      <c r="J175" s="25" t="s">
        <v>13</v>
      </c>
      <c r="K175" s="25" t="s">
        <v>18</v>
      </c>
      <c r="L175" s="25">
        <v>4</v>
      </c>
      <c r="M175" s="25" t="s">
        <v>31</v>
      </c>
      <c r="N175" s="25" t="s">
        <v>66</v>
      </c>
      <c r="O175" s="25" t="s">
        <v>67</v>
      </c>
      <c r="P175" s="25" t="s">
        <v>63</v>
      </c>
      <c r="Q175" s="10"/>
      <c r="S175" s="10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Sheet2</vt:lpstr>
      <vt:lpstr>Sheet3</vt:lpstr>
      <vt:lpstr>Sheet4</vt:lpstr>
      <vt:lpstr>Sheet5</vt:lpstr>
      <vt:lpstr>Sheet6</vt:lpstr>
      <vt:lpstr>Sheet7</vt:lpstr>
      <vt:lpstr>Pivot table</vt:lpstr>
      <vt:lpstr>Data</vt:lpstr>
      <vt:lpstr>Sheet1</vt:lpstr>
      <vt:lpstr>MASTER_DATA</vt:lpstr>
      <vt:lpstr>MASTER_HEADERS</vt:lpstr>
      <vt:lpstr>MASTER_ROWS</vt:lpstr>
    </vt:vector>
  </TitlesOfParts>
  <Company>Bayview Financial, L.P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James</dc:creator>
  <cp:lastModifiedBy>mmz</cp:lastModifiedBy>
  <cp:lastPrinted>2013-12-16T21:53:33Z</cp:lastPrinted>
  <dcterms:created xsi:type="dcterms:W3CDTF">2013-12-16T21:16:23Z</dcterms:created>
  <dcterms:modified xsi:type="dcterms:W3CDTF">2019-10-30T20:04:07Z</dcterms:modified>
</cp:coreProperties>
</file>