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4803170\Desktop\"/>
    </mc:Choice>
  </mc:AlternateContent>
  <xr:revisionPtr revIDLastSave="0" documentId="8_{47B320EE-B1D8-496B-B01C-2EA2BE5AB38D}" xr6:coauthVersionLast="47" xr6:coauthVersionMax="47" xr10:uidLastSave="{00000000-0000-0000-0000-000000000000}"/>
  <bookViews>
    <workbookView xWindow="-120" yWindow="-120" windowWidth="29040" windowHeight="15720" xr2:uid="{02DDE7C9-D2BD-4C78-80A5-9CD0E38E0A7F}"/>
    <workbookView xWindow="-120" yWindow="-120" windowWidth="29040" windowHeight="15720" activeTab="2" xr2:uid="{A124F699-F544-4474-B589-20D8B152A358}"/>
  </bookViews>
  <sheets>
    <sheet name="Sheet1" sheetId="1" r:id="rId1"/>
    <sheet name="Sheet2" sheetId="2" r:id="rId2"/>
    <sheet name="Front page 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24" i="1"/>
  <c r="B26" i="1"/>
  <c r="B28" i="1"/>
  <c r="B27" i="1"/>
  <c r="C5" i="2"/>
  <c r="D5" i="2"/>
  <c r="E5" i="2"/>
  <c r="F5" i="2"/>
  <c r="B5" i="2"/>
  <c r="B13" i="2" s="1"/>
  <c r="C20" i="1"/>
  <c r="B8" i="1"/>
  <c r="I27" i="1"/>
  <c r="I26" i="1" s="1"/>
  <c r="L18" i="1"/>
  <c r="M18" i="1"/>
  <c r="N18" i="1"/>
  <c r="K18" i="1"/>
  <c r="K17" i="1"/>
  <c r="L17" i="1"/>
  <c r="M17" i="1"/>
  <c r="N17" i="1"/>
  <c r="J17" i="1"/>
  <c r="N16" i="1"/>
  <c r="O13" i="1"/>
  <c r="O15" i="1"/>
  <c r="P15" i="1" s="1"/>
  <c r="Q15" i="1" s="1"/>
  <c r="R15" i="1" s="1"/>
  <c r="S15" i="1" s="1"/>
  <c r="L16" i="1"/>
  <c r="M16" i="1"/>
  <c r="K16" i="1"/>
  <c r="L14" i="1"/>
  <c r="M14" i="1"/>
  <c r="N14" i="1"/>
  <c r="K14" i="1"/>
  <c r="L12" i="1"/>
  <c r="M12" i="1"/>
  <c r="N12" i="1"/>
  <c r="K12" i="1"/>
  <c r="L10" i="1"/>
  <c r="M10" i="1"/>
  <c r="N10" i="1"/>
  <c r="K10" i="1"/>
  <c r="S7" i="1"/>
  <c r="L7" i="1"/>
  <c r="O7" i="1" s="1"/>
  <c r="M7" i="1"/>
  <c r="N7" i="1"/>
  <c r="K7" i="1"/>
  <c r="S6" i="1"/>
  <c r="T6" i="1"/>
  <c r="T7" i="1" s="1"/>
  <c r="R6" i="1"/>
  <c r="L5" i="1"/>
  <c r="M5" i="1"/>
  <c r="N5" i="1"/>
  <c r="K5" i="1"/>
  <c r="O5" i="1" s="1"/>
  <c r="C6" i="1"/>
  <c r="B6" i="1"/>
  <c r="B10" i="2" l="1"/>
  <c r="B11" i="2" s="1"/>
  <c r="B12" i="2" s="1"/>
  <c r="B14" i="2" s="1"/>
  <c r="B18" i="2" s="1"/>
  <c r="B22" i="2" s="1"/>
  <c r="O16" i="1"/>
  <c r="O17" i="1" s="1"/>
  <c r="P13" i="1"/>
  <c r="C8" i="1"/>
  <c r="C9" i="1" s="1"/>
  <c r="B9" i="1"/>
  <c r="P16" i="1" l="1"/>
  <c r="P17" i="1" s="1"/>
  <c r="Q13" i="1"/>
  <c r="R13" i="1" l="1"/>
  <c r="Q16" i="1"/>
  <c r="Q17" i="1" s="1"/>
  <c r="D8" i="1"/>
  <c r="D9" i="1" s="1"/>
  <c r="D20" i="1" l="1"/>
  <c r="S13" i="1"/>
  <c r="S16" i="1" s="1"/>
  <c r="R16" i="1"/>
  <c r="R17" i="1" s="1"/>
  <c r="E8" i="1"/>
  <c r="E9" i="1" s="1"/>
  <c r="E20" i="1" l="1"/>
  <c r="S17" i="1"/>
  <c r="G8" i="1"/>
  <c r="G9" i="1" s="1"/>
  <c r="F8" i="1"/>
  <c r="F9" i="1" s="1"/>
  <c r="G20" i="1" l="1"/>
  <c r="F20" i="1"/>
  <c r="B29" i="1" l="1"/>
  <c r="B30" i="1" s="1"/>
  <c r="B36" i="1" s="1"/>
  <c r="B40" i="1" s="1"/>
  <c r="B13" i="1" l="1"/>
  <c r="B16" i="1" s="1"/>
  <c r="D6" i="1" l="1"/>
  <c r="E6" i="1" s="1"/>
  <c r="F6" i="1" s="1"/>
  <c r="G6" i="1" s="1"/>
</calcChain>
</file>

<file path=xl/sharedStrings.xml><?xml version="1.0" encoding="utf-8"?>
<sst xmlns="http://schemas.openxmlformats.org/spreadsheetml/2006/main" count="111" uniqueCount="76">
  <si>
    <t>DCF</t>
  </si>
  <si>
    <t xml:space="preserve">Forecast Year </t>
  </si>
  <si>
    <t>2024a</t>
  </si>
  <si>
    <t>2025e</t>
  </si>
  <si>
    <t>2026e</t>
  </si>
  <si>
    <t>2027e</t>
  </si>
  <si>
    <t>2028e</t>
  </si>
  <si>
    <t>2029e</t>
  </si>
  <si>
    <t>Sales Revenue (A$m)</t>
  </si>
  <si>
    <t> </t>
  </si>
  <si>
    <t>EBIT Margin (%)</t>
  </si>
  <si>
    <t>EBIT</t>
  </si>
  <si>
    <t xml:space="preserve">Income tax expense </t>
  </si>
  <si>
    <t xml:space="preserve">Net Profit After Tax </t>
  </si>
  <si>
    <t>Adjustments for Non-Cash Expense</t>
  </si>
  <si>
    <t>Plus: Total depreciation and amortisation</t>
  </si>
  <si>
    <t>Less: Net Changes in NWC</t>
  </si>
  <si>
    <t xml:space="preserve">Less: Capital Expenditure </t>
  </si>
  <si>
    <t xml:space="preserve">Unlevered Free Cash Flow to the Firm </t>
  </si>
  <si>
    <t>Discount Period</t>
  </si>
  <si>
    <t>Discounted Free Cash Flow to the Firm</t>
  </si>
  <si>
    <t>ENTERPRISE VALUE CALCULATION</t>
  </si>
  <si>
    <t>EXIT MULTIPLE</t>
  </si>
  <si>
    <t>FCF in final period</t>
  </si>
  <si>
    <t>Blended Multiple</t>
  </si>
  <si>
    <t>EV/EBITDA (Q1)</t>
  </si>
  <si>
    <t>FCF at t+1</t>
  </si>
  <si>
    <t>EV/EBITDA (Median)</t>
  </si>
  <si>
    <t>Terminal value (TV)</t>
  </si>
  <si>
    <t>EV/EBITDA (Q3)</t>
  </si>
  <si>
    <t>PV of TV</t>
  </si>
  <si>
    <t>Average</t>
  </si>
  <si>
    <t>PV of stage 1 FCFs</t>
  </si>
  <si>
    <t>Enterprise Value</t>
  </si>
  <si>
    <t>EBITDA</t>
  </si>
  <si>
    <t>TV</t>
  </si>
  <si>
    <t>EQUITY VALUE CALCULATION</t>
  </si>
  <si>
    <t>Cash</t>
  </si>
  <si>
    <t>Debt</t>
  </si>
  <si>
    <t>Net debt</t>
  </si>
  <si>
    <t>Equity Value</t>
  </si>
  <si>
    <t>Share price target (AUD)</t>
  </si>
  <si>
    <t>SHARE PRICE</t>
  </si>
  <si>
    <t>Shares outstanding</t>
  </si>
  <si>
    <t>Historical</t>
  </si>
  <si>
    <t>D&amp;A</t>
  </si>
  <si>
    <t>CAPEX</t>
  </si>
  <si>
    <t>NWC</t>
  </si>
  <si>
    <t>Current Assets</t>
  </si>
  <si>
    <t>Current Liabilities</t>
  </si>
  <si>
    <t>WACC: 7.2%</t>
  </si>
  <si>
    <t>WACC</t>
  </si>
  <si>
    <t>growth rate - inflation</t>
  </si>
  <si>
    <t>Free Cash Flow</t>
  </si>
  <si>
    <t>Discount Rate</t>
  </si>
  <si>
    <t xml:space="preserve">Period </t>
  </si>
  <si>
    <t>PV FCF</t>
  </si>
  <si>
    <t>Year</t>
  </si>
  <si>
    <t xml:space="preserve">Key Changes (FYE Dec) </t>
  </si>
  <si>
    <t>Adj. EBITDA - 25E (A$ mn)</t>
  </si>
  <si>
    <t>Adj. EBITDA - 26E (A$ mn)</t>
  </si>
  <si>
    <t>Previous</t>
  </si>
  <si>
    <t>Current</t>
  </si>
  <si>
    <t>Half Yearly Forecats (FYE Dec)</t>
  </si>
  <si>
    <t>Adj. EBITDA (A$ mn)</t>
  </si>
  <si>
    <t>H1</t>
  </si>
  <si>
    <t>H2</t>
  </si>
  <si>
    <t>FY</t>
  </si>
  <si>
    <t>2024A</t>
  </si>
  <si>
    <t>2025E</t>
  </si>
  <si>
    <t>2026E</t>
  </si>
  <si>
    <t>Key Metrics</t>
  </si>
  <si>
    <t>Shares O/S</t>
  </si>
  <si>
    <t>Market Cap</t>
  </si>
  <si>
    <t>NPAT</t>
  </si>
  <si>
    <t>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</si>
</sst>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#,###;\(#,###\)"/>
    <numFmt numFmtId="165" formatCode="0.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i/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b/>
      <sz val="11"/>
      <color rgb="FF000000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rgb="FF5ABEB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0" fontId="2" fillId="0" borderId="5" xfId="0" applyFont="1" applyBorder="1"/>
    <xf numFmtId="0" fontId="6" fillId="0" borderId="5" xfId="0" applyFont="1" applyBorder="1"/>
    <xf numFmtId="0" fontId="7" fillId="0" borderId="5" xfId="0" applyFont="1" applyBorder="1"/>
    <xf numFmtId="0" fontId="7" fillId="0" borderId="6" xfId="0" applyFont="1" applyBorder="1"/>
    <xf numFmtId="0" fontId="2" fillId="0" borderId="7" xfId="0" applyFont="1" applyBorder="1"/>
    <xf numFmtId="0" fontId="6" fillId="0" borderId="7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0" xfId="0" applyFont="1" applyAlignment="1">
      <alignment horizontal="left" indent="1"/>
    </xf>
    <xf numFmtId="164" fontId="0" fillId="0" borderId="7" xfId="0" applyNumberFormat="1" applyBorder="1"/>
    <xf numFmtId="164" fontId="0" fillId="0" borderId="8" xfId="0" applyNumberFormat="1" applyBorder="1"/>
    <xf numFmtId="10" fontId="0" fillId="0" borderId="7" xfId="2" applyNumberFormat="1" applyFont="1" applyBorder="1"/>
    <xf numFmtId="0" fontId="5" fillId="0" borderId="9" xfId="0" applyFont="1" applyBorder="1"/>
    <xf numFmtId="164" fontId="2" fillId="0" borderId="10" xfId="0" applyNumberFormat="1" applyFont="1" applyBorder="1" applyAlignment="1">
      <alignment horizontal="right" indent="1"/>
    </xf>
    <xf numFmtId="0" fontId="8" fillId="0" borderId="0" xfId="0" applyFont="1"/>
    <xf numFmtId="164" fontId="0" fillId="0" borderId="7" xfId="0" applyNumberFormat="1" applyBorder="1" applyAlignment="1">
      <alignment horizontal="right" indent="1"/>
    </xf>
    <xf numFmtId="164" fontId="2" fillId="0" borderId="11" xfId="0" applyNumberFormat="1" applyFont="1" applyBorder="1" applyAlignment="1">
      <alignment horizontal="right" indent="1"/>
    </xf>
    <xf numFmtId="0" fontId="9" fillId="0" borderId="0" xfId="0" applyFont="1"/>
    <xf numFmtId="164" fontId="9" fillId="0" borderId="0" xfId="0" applyNumberFormat="1" applyFont="1"/>
    <xf numFmtId="164" fontId="6" fillId="0" borderId="0" xfId="0" applyNumberFormat="1" applyFont="1"/>
    <xf numFmtId="164" fontId="10" fillId="0" borderId="0" xfId="0" applyNumberFormat="1" applyFont="1"/>
    <xf numFmtId="0" fontId="6" fillId="0" borderId="0" xfId="0" applyFont="1"/>
    <xf numFmtId="164" fontId="9" fillId="0" borderId="12" xfId="0" applyNumberFormat="1" applyFont="1" applyBorder="1"/>
    <xf numFmtId="164" fontId="0" fillId="0" borderId="0" xfId="0" applyNumberFormat="1"/>
    <xf numFmtId="0" fontId="6" fillId="0" borderId="15" xfId="0" applyFont="1" applyBorder="1"/>
    <xf numFmtId="0" fontId="4" fillId="0" borderId="2" xfId="0" applyFont="1" applyBorder="1"/>
    <xf numFmtId="164" fontId="11" fillId="0" borderId="2" xfId="0" applyNumberFormat="1" applyFont="1" applyBorder="1"/>
    <xf numFmtId="9" fontId="12" fillId="0" borderId="0" xfId="0" applyNumberFormat="1" applyFont="1"/>
    <xf numFmtId="0" fontId="11" fillId="0" borderId="5" xfId="0" applyFont="1" applyBorder="1"/>
    <xf numFmtId="0" fontId="6" fillId="0" borderId="16" xfId="0" applyFont="1" applyBorder="1"/>
    <xf numFmtId="164" fontId="6" fillId="0" borderId="16" xfId="0" applyNumberFormat="1" applyFont="1" applyBorder="1"/>
    <xf numFmtId="164" fontId="6" fillId="0" borderId="18" xfId="0" applyNumberFormat="1" applyFont="1" applyBorder="1"/>
    <xf numFmtId="0" fontId="11" fillId="0" borderId="19" xfId="0" applyFont="1" applyBorder="1"/>
    <xf numFmtId="0" fontId="11" fillId="0" borderId="20" xfId="0" applyFont="1" applyBorder="1"/>
    <xf numFmtId="164" fontId="11" fillId="0" borderId="20" xfId="0" applyNumberFormat="1" applyFont="1" applyBorder="1"/>
    <xf numFmtId="0" fontId="11" fillId="0" borderId="0" xfId="0" applyFont="1"/>
    <xf numFmtId="0" fontId="14" fillId="0" borderId="0" xfId="0" applyFont="1"/>
    <xf numFmtId="3" fontId="6" fillId="0" borderId="0" xfId="0" applyNumberFormat="1" applyFont="1"/>
    <xf numFmtId="0" fontId="14" fillId="0" borderId="21" xfId="0" applyFont="1" applyBorder="1"/>
    <xf numFmtId="3" fontId="14" fillId="0" borderId="14" xfId="0" applyNumberFormat="1" applyFont="1" applyBorder="1"/>
    <xf numFmtId="0" fontId="15" fillId="4" borderId="1" xfId="0" applyFont="1" applyFill="1" applyBorder="1"/>
    <xf numFmtId="0" fontId="15" fillId="4" borderId="2" xfId="0" applyFont="1" applyFill="1" applyBorder="1"/>
    <xf numFmtId="0" fontId="15" fillId="4" borderId="3" xfId="0" applyFont="1" applyFill="1" applyBorder="1"/>
    <xf numFmtId="10" fontId="16" fillId="0" borderId="14" xfId="0" applyNumberFormat="1" applyFont="1" applyBorder="1"/>
    <xf numFmtId="2" fontId="16" fillId="0" borderId="14" xfId="0" applyNumberFormat="1" applyFont="1" applyBorder="1"/>
    <xf numFmtId="2" fontId="0" fillId="0" borderId="0" xfId="0" applyNumberFormat="1"/>
    <xf numFmtId="0" fontId="15" fillId="0" borderId="22" xfId="0" applyFont="1" applyBorder="1"/>
    <xf numFmtId="0" fontId="15" fillId="0" borderId="23" xfId="0" applyFont="1" applyBorder="1"/>
    <xf numFmtId="2" fontId="15" fillId="0" borderId="24" xfId="0" applyNumberFormat="1" applyFont="1" applyBorder="1"/>
    <xf numFmtId="3" fontId="11" fillId="0" borderId="0" xfId="0" applyNumberFormat="1" applyFont="1"/>
    <xf numFmtId="0" fontId="14" fillId="0" borderId="14" xfId="0" applyFont="1" applyBorder="1"/>
    <xf numFmtId="0" fontId="15" fillId="5" borderId="25" xfId="0" applyFont="1" applyFill="1" applyBorder="1"/>
    <xf numFmtId="3" fontId="15" fillId="5" borderId="26" xfId="0" applyNumberFormat="1" applyFont="1" applyFill="1" applyBorder="1"/>
    <xf numFmtId="3" fontId="16" fillId="0" borderId="14" xfId="0" applyNumberFormat="1" applyFont="1" applyBorder="1"/>
    <xf numFmtId="3" fontId="16" fillId="6" borderId="14" xfId="0" applyNumberFormat="1" applyFont="1" applyFill="1" applyBorder="1"/>
    <xf numFmtId="0" fontId="15" fillId="0" borderId="27" xfId="0" applyFont="1" applyBorder="1"/>
    <xf numFmtId="3" fontId="15" fillId="0" borderId="13" xfId="0" applyNumberFormat="1" applyFont="1" applyBorder="1"/>
    <xf numFmtId="0" fontId="15" fillId="7" borderId="5" xfId="0" applyFont="1" applyFill="1" applyBorder="1"/>
    <xf numFmtId="0" fontId="15" fillId="7" borderId="16" xfId="0" applyFont="1" applyFill="1" applyBorder="1"/>
    <xf numFmtId="3" fontId="15" fillId="7" borderId="18" xfId="0" applyNumberFormat="1" applyFont="1" applyFill="1" applyBorder="1"/>
    <xf numFmtId="0" fontId="15" fillId="2" borderId="25" xfId="0" applyFont="1" applyFill="1" applyBorder="1"/>
    <xf numFmtId="3" fontId="15" fillId="2" borderId="26" xfId="0" applyNumberFormat="1" applyFont="1" applyFill="1" applyBorder="1"/>
    <xf numFmtId="0" fontId="15" fillId="7" borderId="7" xfId="0" applyFont="1" applyFill="1" applyBorder="1"/>
    <xf numFmtId="0" fontId="15" fillId="7" borderId="0" xfId="0" applyFont="1" applyFill="1"/>
    <xf numFmtId="3" fontId="15" fillId="7" borderId="17" xfId="0" applyNumberFormat="1" applyFont="1" applyFill="1" applyBorder="1"/>
    <xf numFmtId="0" fontId="15" fillId="2" borderId="1" xfId="0" applyFont="1" applyFill="1" applyBorder="1"/>
    <xf numFmtId="0" fontId="15" fillId="2" borderId="2" xfId="0" applyFont="1" applyFill="1" applyBorder="1"/>
    <xf numFmtId="8" fontId="15" fillId="2" borderId="3" xfId="0" applyNumberFormat="1" applyFont="1" applyFill="1" applyBorder="1"/>
    <xf numFmtId="8" fontId="15" fillId="2" borderId="26" xfId="0" applyNumberFormat="1" applyFont="1" applyFill="1" applyBorder="1"/>
    <xf numFmtId="10" fontId="6" fillId="0" borderId="0" xfId="0" applyNumberFormat="1" applyFont="1"/>
    <xf numFmtId="9" fontId="0" fillId="0" borderId="0" xfId="2" applyFont="1"/>
    <xf numFmtId="0" fontId="17" fillId="0" borderId="0" xfId="0" applyFont="1"/>
    <xf numFmtId="10" fontId="0" fillId="0" borderId="0" xfId="2" applyNumberFormat="1" applyFont="1"/>
    <xf numFmtId="10" fontId="0" fillId="0" borderId="0" xfId="0" applyNumberFormat="1"/>
    <xf numFmtId="43" fontId="0" fillId="0" borderId="0" xfId="1" applyFont="1"/>
    <xf numFmtId="9" fontId="0" fillId="0" borderId="0" xfId="0" applyNumberFormat="1"/>
    <xf numFmtId="0" fontId="0" fillId="0" borderId="0" xfId="2" applyNumberFormat="1" applyFont="1"/>
    <xf numFmtId="9" fontId="6" fillId="0" borderId="16" xfId="2" applyFont="1" applyBorder="1"/>
    <xf numFmtId="0" fontId="2" fillId="0" borderId="0" xfId="0" applyFon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0" fontId="11" fillId="0" borderId="0" xfId="0" applyFont="1"/>
    <xf numFmtId="0" fontId="13" fillId="3" borderId="2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b13a64af79dc687/FINM3412%20-%20Metcash/3.0%20Model/Metcash%20Model%20-%20Pierro%20Capital%201.0.7.xlsx" TargetMode="External"/><Relationship Id="rId1" Type="http://schemas.openxmlformats.org/officeDocument/2006/relationships/externalLinkPath" Target="https://uq-my.sharepoint.com/db13a64af79dc687/FINM3412%20-%20Metcash/3.0%20Model/Metcash%20Model%20-%20Pierro%20Capital%201.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 "/>
      <sheetName val="Summary "/>
      <sheetName val="&gt;&gt; Inputs &gt;&gt;"/>
      <sheetName val="Scenario Manager "/>
      <sheetName val="TVI"/>
      <sheetName val="Inputs"/>
      <sheetName val="Trading Data"/>
      <sheetName val="&gt;&gt;Drivers&gt;&gt;"/>
      <sheetName val="Revenue Drivers - Food"/>
      <sheetName val="Revenue Drivers - Liquor"/>
      <sheetName val="Revenue Drivers - Hardware"/>
      <sheetName val="&gt;&gt;Calculations&gt;&gt;"/>
      <sheetName val="Comparators Prelim"/>
      <sheetName val="Comparators Final"/>
      <sheetName val="Scrubbing Comps"/>
      <sheetName val="RV"/>
      <sheetName val="Rel Value Quintiles"/>
      <sheetName val="Rel Val (Outputs) "/>
      <sheetName val="WACC "/>
      <sheetName val="TGR"/>
      <sheetName val="FSM "/>
      <sheetName val="FSM Schedules"/>
      <sheetName val="LTM"/>
      <sheetName val="&gt;&gt;Outputs&gt;&gt;"/>
      <sheetName val="DCF Assumptions "/>
      <sheetName val="DCF - Aggregate"/>
      <sheetName val="DCF - Food"/>
      <sheetName val="DCF - Hardware"/>
      <sheetName val="DCF - Liquor"/>
      <sheetName val="Corporate"/>
      <sheetName val="DDM"/>
      <sheetName val="Football field"/>
      <sheetName val="Key Metric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">
          <cell r="I17">
            <v>0.47955591276180043</v>
          </cell>
        </row>
        <row r="51">
          <cell r="D51">
            <v>4.3105675648806852E-2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5084-CCE6-4C23-82B5-4E9A41EDDF86}">
  <dimension ref="A1:T42"/>
  <sheetViews>
    <sheetView tabSelected="1" zoomScale="80" zoomScaleNormal="80" workbookViewId="0">
      <selection activeCell="H15" sqref="H15"/>
    </sheetView>
    <sheetView workbookViewId="1"/>
  </sheetViews>
  <sheetFormatPr defaultRowHeight="15" x14ac:dyDescent="0.25"/>
  <cols>
    <col min="1" max="1" width="40.42578125" bestFit="1" customWidth="1"/>
    <col min="2" max="2" width="18.5703125" bestFit="1" customWidth="1"/>
    <col min="3" max="3" width="10" bestFit="1" customWidth="1"/>
    <col min="4" max="4" width="22.140625" bestFit="1" customWidth="1"/>
    <col min="5" max="7" width="10" bestFit="1" customWidth="1"/>
    <col min="9" max="9" width="12.140625" bestFit="1" customWidth="1"/>
    <col min="10" max="10" width="11.140625" bestFit="1" customWidth="1"/>
    <col min="18" max="20" width="13.28515625" bestFit="1" customWidth="1"/>
  </cols>
  <sheetData>
    <row r="1" spans="1:20" ht="18" x14ac:dyDescent="0.25">
      <c r="A1" s="1" t="s">
        <v>0</v>
      </c>
      <c r="B1" s="2"/>
      <c r="C1" s="2"/>
      <c r="D1" s="2"/>
      <c r="E1" s="2"/>
      <c r="F1" s="2"/>
      <c r="G1" s="3"/>
    </row>
    <row r="2" spans="1:2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J2" s="4" t="s">
        <v>44</v>
      </c>
    </row>
    <row r="3" spans="1:20" x14ac:dyDescent="0.25">
      <c r="A3" s="6" t="s">
        <v>8</v>
      </c>
      <c r="B3" s="7"/>
      <c r="C3" s="8" t="s">
        <v>9</v>
      </c>
      <c r="D3" s="8" t="s">
        <v>9</v>
      </c>
      <c r="E3" s="9">
        <v>432</v>
      </c>
      <c r="F3" s="9">
        <v>454</v>
      </c>
      <c r="G3" s="10">
        <v>456</v>
      </c>
      <c r="J3" s="78">
        <v>2020</v>
      </c>
      <c r="K3">
        <v>2021</v>
      </c>
      <c r="L3">
        <v>2022</v>
      </c>
      <c r="M3">
        <v>2023</v>
      </c>
      <c r="N3">
        <v>2024</v>
      </c>
    </row>
    <row r="4" spans="1:20" x14ac:dyDescent="0.25">
      <c r="A4" s="6"/>
      <c r="B4" s="11"/>
      <c r="C4" s="12"/>
      <c r="D4" s="12"/>
      <c r="E4" s="13"/>
      <c r="F4" s="13"/>
      <c r="G4" s="14"/>
      <c r="I4" t="s">
        <v>11</v>
      </c>
      <c r="J4">
        <v>229</v>
      </c>
      <c r="K4">
        <v>267</v>
      </c>
      <c r="L4">
        <v>344</v>
      </c>
      <c r="M4">
        <v>422</v>
      </c>
      <c r="N4">
        <v>435</v>
      </c>
      <c r="Q4" t="s">
        <v>34</v>
      </c>
      <c r="R4" s="81">
        <v>1987091</v>
      </c>
      <c r="S4" s="81">
        <v>2113964</v>
      </c>
      <c r="T4" s="81">
        <v>2188586</v>
      </c>
    </row>
    <row r="5" spans="1:20" x14ac:dyDescent="0.25">
      <c r="A5" s="15"/>
      <c r="B5" s="16"/>
      <c r="C5" s="16"/>
      <c r="D5" s="16"/>
      <c r="E5" s="16"/>
      <c r="F5" s="16"/>
      <c r="G5" s="17"/>
      <c r="K5" s="79">
        <f>(K4-J4)/J4</f>
        <v>0.16593886462882096</v>
      </c>
      <c r="L5" s="79">
        <f t="shared" ref="L5:N5" si="0">(L4-K4)/K4</f>
        <v>0.28838951310861421</v>
      </c>
      <c r="M5" s="79">
        <f t="shared" si="0"/>
        <v>0.22674418604651161</v>
      </c>
      <c r="N5" s="79">
        <f t="shared" si="0"/>
        <v>3.0805687203791468E-2</v>
      </c>
      <c r="O5" s="80">
        <f>AVERAGE(K5:N5)</f>
        <v>0.17796956274693457</v>
      </c>
      <c r="Q5" t="s">
        <v>11</v>
      </c>
      <c r="R5" s="81">
        <v>521665</v>
      </c>
      <c r="S5" s="81">
        <v>613525</v>
      </c>
      <c r="T5" s="81">
        <v>668385</v>
      </c>
    </row>
    <row r="6" spans="1:20" x14ac:dyDescent="0.25">
      <c r="A6" s="15" t="s">
        <v>10</v>
      </c>
      <c r="B6" s="18">
        <f>'[1]DCF Assumptions '!D28</f>
        <v>0</v>
      </c>
      <c r="C6" s="18">
        <f>'[1]DCF Assumptions '!D34</f>
        <v>0</v>
      </c>
      <c r="D6" s="18">
        <f>C6*(1+'[1]DCF Assumptions '!$D$51)</f>
        <v>0</v>
      </c>
      <c r="E6" s="18">
        <f>D6*(1+'[1]DCF Assumptions '!$D$51)</f>
        <v>0</v>
      </c>
      <c r="F6" s="18">
        <f>E6*(1+'[1]DCF Assumptions '!$D$51)</f>
        <v>0</v>
      </c>
      <c r="G6" s="18">
        <f>F6*(1+'[1]DCF Assumptions '!$D$51)</f>
        <v>0</v>
      </c>
      <c r="I6" t="s">
        <v>45</v>
      </c>
      <c r="J6">
        <v>1188</v>
      </c>
      <c r="K6">
        <v>1415</v>
      </c>
      <c r="L6">
        <v>1389</v>
      </c>
      <c r="M6">
        <v>1472</v>
      </c>
      <c r="N6">
        <v>1485</v>
      </c>
      <c r="R6" s="81">
        <f>R4-R5</f>
        <v>1465426</v>
      </c>
      <c r="S6" s="81">
        <f t="shared" ref="S6:T6" si="1">S4-S5</f>
        <v>1500439</v>
      </c>
      <c r="T6" s="81">
        <f t="shared" si="1"/>
        <v>1520201</v>
      </c>
    </row>
    <row r="7" spans="1:20" x14ac:dyDescent="0.25">
      <c r="A7" s="19" t="s">
        <v>11</v>
      </c>
      <c r="B7" s="20">
        <v>521.6</v>
      </c>
      <c r="C7" s="20">
        <v>522</v>
      </c>
      <c r="D7" s="20">
        <v>613</v>
      </c>
      <c r="E7" s="20">
        <v>668</v>
      </c>
      <c r="F7" s="20">
        <v>755</v>
      </c>
      <c r="G7" s="20">
        <v>939</v>
      </c>
      <c r="K7" s="77">
        <f>(K6-J6)/J6</f>
        <v>0.19107744107744107</v>
      </c>
      <c r="L7" s="77">
        <f t="shared" ref="L7:N7" si="2">(L6-K6)/K6</f>
        <v>-1.8374558303886925E-2</v>
      </c>
      <c r="M7" s="77">
        <f t="shared" si="2"/>
        <v>5.9755219582433405E-2</v>
      </c>
      <c r="N7" s="77">
        <f t="shared" si="2"/>
        <v>8.8315217391304341E-3</v>
      </c>
      <c r="O7" s="82">
        <f>AVERAGE(K7:N7)</f>
        <v>6.0322406023779494E-2</v>
      </c>
      <c r="P7" s="82">
        <v>0.03</v>
      </c>
      <c r="S7" s="77">
        <f>(S6-R6)/R6</f>
        <v>2.389271106149338E-2</v>
      </c>
      <c r="T7" s="77">
        <f>(T6-S6)/S6</f>
        <v>1.3170812009018694E-2</v>
      </c>
    </row>
    <row r="8" spans="1:20" x14ac:dyDescent="0.25">
      <c r="A8" s="21" t="s">
        <v>12</v>
      </c>
      <c r="B8" s="22">
        <f>-B7*0.3</f>
        <v>-156.47999999999999</v>
      </c>
      <c r="C8" s="22">
        <f t="shared" ref="C8:G8" si="3">-C7*0.3</f>
        <v>-156.6</v>
      </c>
      <c r="D8" s="22">
        <f t="shared" si="3"/>
        <v>-183.9</v>
      </c>
      <c r="E8" s="22">
        <f t="shared" si="3"/>
        <v>-200.4</v>
      </c>
      <c r="F8" s="22">
        <f t="shared" si="3"/>
        <v>-226.5</v>
      </c>
      <c r="G8" s="22">
        <f t="shared" si="3"/>
        <v>-281.7</v>
      </c>
    </row>
    <row r="9" spans="1:20" x14ac:dyDescent="0.25">
      <c r="A9" s="19" t="s">
        <v>13</v>
      </c>
      <c r="B9" s="23">
        <f>SUM(B7:B8)</f>
        <v>365.12</v>
      </c>
      <c r="C9" s="23">
        <f t="shared" ref="C9:G9" si="4">SUM(C7:C8)</f>
        <v>365.4</v>
      </c>
      <c r="D9" s="23">
        <f t="shared" si="4"/>
        <v>429.1</v>
      </c>
      <c r="E9" s="23">
        <f t="shared" si="4"/>
        <v>467.6</v>
      </c>
      <c r="F9" s="23">
        <f t="shared" si="4"/>
        <v>528.5</v>
      </c>
      <c r="G9" s="23">
        <f t="shared" si="4"/>
        <v>657.3</v>
      </c>
      <c r="I9" t="s">
        <v>46</v>
      </c>
      <c r="J9">
        <v>-411</v>
      </c>
      <c r="K9">
        <v>-602</v>
      </c>
      <c r="L9">
        <v>-745</v>
      </c>
      <c r="M9">
        <v>-862</v>
      </c>
      <c r="N9">
        <v>-783</v>
      </c>
    </row>
    <row r="10" spans="1:20" x14ac:dyDescent="0.25">
      <c r="A10" s="24"/>
      <c r="B10" s="25"/>
      <c r="C10" s="26"/>
      <c r="D10" s="26"/>
      <c r="E10" s="27"/>
      <c r="F10" s="27"/>
      <c r="G10" s="27"/>
      <c r="K10">
        <f>(K9-J9)/J9</f>
        <v>0.46472019464720193</v>
      </c>
      <c r="L10">
        <f t="shared" ref="L10:N10" si="5">(L9-K9)/K9</f>
        <v>0.23754152823920266</v>
      </c>
      <c r="M10">
        <f t="shared" si="5"/>
        <v>0.15704697986577182</v>
      </c>
      <c r="N10">
        <f t="shared" si="5"/>
        <v>-9.1647331786542927E-2</v>
      </c>
    </row>
    <row r="11" spans="1:20" x14ac:dyDescent="0.25">
      <c r="A11" s="28" t="s">
        <v>14</v>
      </c>
      <c r="B11" s="25"/>
      <c r="C11" s="26"/>
      <c r="D11" s="26"/>
      <c r="E11" s="27"/>
      <c r="F11" s="27"/>
      <c r="G11" s="27"/>
      <c r="I11" t="s">
        <v>47</v>
      </c>
      <c r="J11">
        <v>-199</v>
      </c>
      <c r="K11">
        <v>-150</v>
      </c>
      <c r="L11">
        <v>231</v>
      </c>
      <c r="M11">
        <v>286</v>
      </c>
      <c r="N11">
        <v>81</v>
      </c>
    </row>
    <row r="12" spans="1:20" x14ac:dyDescent="0.25">
      <c r="A12" s="8" t="s">
        <v>15</v>
      </c>
      <c r="B12" s="29">
        <v>1485</v>
      </c>
      <c r="C12" s="29">
        <v>1434</v>
      </c>
      <c r="D12" s="29">
        <v>1455</v>
      </c>
      <c r="E12" s="29">
        <v>1429</v>
      </c>
      <c r="F12" s="29">
        <v>1592</v>
      </c>
      <c r="G12" s="29">
        <v>1616</v>
      </c>
      <c r="K12">
        <f>(K11-J11)/J11</f>
        <v>-0.24623115577889448</v>
      </c>
      <c r="L12">
        <f t="shared" ref="L12:N12" si="6">(L11-K11)/K11</f>
        <v>-2.54</v>
      </c>
      <c r="M12">
        <f t="shared" si="6"/>
        <v>0.23809523809523808</v>
      </c>
      <c r="N12">
        <f t="shared" si="6"/>
        <v>-0.71678321678321677</v>
      </c>
    </row>
    <row r="13" spans="1:20" x14ac:dyDescent="0.25">
      <c r="A13" s="12" t="s">
        <v>16</v>
      </c>
      <c r="B13" s="30">
        <f>(-('[1]FSM '!F112)-'[1]FSM '!F114)*'[1]DCF Assumptions '!$I$17</f>
        <v>0</v>
      </c>
      <c r="C13">
        <v>300</v>
      </c>
      <c r="D13">
        <v>200</v>
      </c>
      <c r="E13">
        <v>80</v>
      </c>
      <c r="F13">
        <v>400</v>
      </c>
      <c r="G13">
        <v>500</v>
      </c>
      <c r="I13" t="s">
        <v>48</v>
      </c>
      <c r="J13">
        <v>683</v>
      </c>
      <c r="K13">
        <v>833</v>
      </c>
      <c r="L13">
        <v>1033</v>
      </c>
      <c r="M13">
        <v>1284</v>
      </c>
      <c r="N13">
        <v>1161</v>
      </c>
      <c r="O13">
        <f>N13*(1.1)</f>
        <v>1277.1000000000001</v>
      </c>
      <c r="P13">
        <f t="shared" ref="P13:S13" si="7">O13*(1.1)</f>
        <v>1404.8100000000002</v>
      </c>
      <c r="Q13">
        <f t="shared" si="7"/>
        <v>1545.2910000000004</v>
      </c>
      <c r="R13">
        <f t="shared" si="7"/>
        <v>1699.8201000000006</v>
      </c>
      <c r="S13">
        <f t="shared" si="7"/>
        <v>1869.8021100000008</v>
      </c>
    </row>
    <row r="14" spans="1:20" x14ac:dyDescent="0.25">
      <c r="A14" s="12" t="s">
        <v>17</v>
      </c>
      <c r="B14">
        <v>783</v>
      </c>
      <c r="C14" s="25">
        <v>920</v>
      </c>
      <c r="D14" s="25">
        <v>950</v>
      </c>
      <c r="E14" s="25">
        <v>870</v>
      </c>
      <c r="F14" s="25">
        <v>765</v>
      </c>
      <c r="G14" s="25">
        <v>842</v>
      </c>
      <c r="K14" s="77">
        <f>(K13-J13)/J13</f>
        <v>0.21961932650073207</v>
      </c>
      <c r="L14" s="77">
        <f t="shared" ref="L14:N14" si="8">(L13-K13)/K13</f>
        <v>0.24009603841536614</v>
      </c>
      <c r="M14" s="77">
        <f t="shared" si="8"/>
        <v>0.24298160696999033</v>
      </c>
      <c r="N14" s="77">
        <f t="shared" si="8"/>
        <v>-9.5794392523364483E-2</v>
      </c>
    </row>
    <row r="15" spans="1:20" x14ac:dyDescent="0.25">
      <c r="A15" s="31"/>
      <c r="B15" s="30"/>
      <c r="C15" s="30"/>
      <c r="D15" s="30"/>
      <c r="E15" s="30"/>
      <c r="F15" s="30"/>
      <c r="G15" s="30"/>
      <c r="I15" t="s">
        <v>49</v>
      </c>
      <c r="J15">
        <v>1456</v>
      </c>
      <c r="K15">
        <v>1643</v>
      </c>
      <c r="L15">
        <v>1732</v>
      </c>
      <c r="M15">
        <v>1722</v>
      </c>
      <c r="N15">
        <v>1606</v>
      </c>
      <c r="O15">
        <f>N15*(1.03)</f>
        <v>1654.18</v>
      </c>
      <c r="P15">
        <f t="shared" ref="P15:S15" si="9">O15*(1.03)</f>
        <v>1703.8054000000002</v>
      </c>
      <c r="Q15">
        <f t="shared" si="9"/>
        <v>1754.9195620000003</v>
      </c>
      <c r="R15">
        <f t="shared" si="9"/>
        <v>1807.5671488600003</v>
      </c>
      <c r="S15">
        <f t="shared" si="9"/>
        <v>1861.7941633258004</v>
      </c>
    </row>
    <row r="16" spans="1:20" x14ac:dyDescent="0.25">
      <c r="A16" s="32" t="s">
        <v>18</v>
      </c>
      <c r="B16" s="33">
        <f t="shared" ref="B16" si="10">B9+SUM(B12:B15)</f>
        <v>2633.12</v>
      </c>
      <c r="C16" s="28">
        <v>552</v>
      </c>
      <c r="D16" s="28">
        <v>641</v>
      </c>
      <c r="E16" s="28">
        <v>870</v>
      </c>
      <c r="F16" s="28">
        <v>973</v>
      </c>
      <c r="G16" s="28">
        <v>871</v>
      </c>
      <c r="H16" s="34"/>
      <c r="K16" s="77">
        <f>(K15-J15)/J15</f>
        <v>0.12843406593406592</v>
      </c>
      <c r="L16" s="77">
        <f t="shared" ref="L16:M16" si="11">(L15-K15)/K15</f>
        <v>5.4169202678027994E-2</v>
      </c>
      <c r="M16" s="77">
        <f t="shared" si="11"/>
        <v>-5.7736720554272519E-3</v>
      </c>
      <c r="N16" s="83">
        <f>N13-N15</f>
        <v>-445</v>
      </c>
      <c r="O16" s="83">
        <f>O13-O15</f>
        <v>-377.07999999999993</v>
      </c>
      <c r="P16" s="83">
        <f t="shared" ref="P16:S16" si="12">P13-P15</f>
        <v>-298.99540000000002</v>
      </c>
      <c r="Q16" s="83">
        <f t="shared" si="12"/>
        <v>-209.62856199999987</v>
      </c>
      <c r="R16" s="83">
        <f t="shared" si="12"/>
        <v>-107.74704885999972</v>
      </c>
      <c r="S16" s="83">
        <f t="shared" si="12"/>
        <v>8.0079466742004115</v>
      </c>
    </row>
    <row r="17" spans="1:19" x14ac:dyDescent="0.25">
      <c r="A17" s="28"/>
      <c r="B17" s="28"/>
      <c r="C17" s="28"/>
      <c r="D17" s="28"/>
      <c r="E17" s="28"/>
      <c r="F17" s="28"/>
      <c r="G17" s="28"/>
      <c r="H17" s="28"/>
      <c r="J17" s="85">
        <f>J13-J15</f>
        <v>-773</v>
      </c>
      <c r="K17" s="85">
        <f t="shared" ref="K17:N17" si="13">K13-K15</f>
        <v>-810</v>
      </c>
      <c r="L17" s="85">
        <f t="shared" si="13"/>
        <v>-699</v>
      </c>
      <c r="M17" s="85">
        <f t="shared" si="13"/>
        <v>-438</v>
      </c>
      <c r="N17" s="85">
        <f t="shared" si="13"/>
        <v>-445</v>
      </c>
      <c r="O17">
        <f>O16-N16</f>
        <v>67.920000000000073</v>
      </c>
      <c r="P17">
        <f>P16-O16</f>
        <v>78.084599999999909</v>
      </c>
      <c r="Q17">
        <f t="shared" ref="Q17:S17" si="14">Q16-P16</f>
        <v>89.366838000000143</v>
      </c>
      <c r="R17">
        <f t="shared" si="14"/>
        <v>101.88151314000015</v>
      </c>
      <c r="S17">
        <f t="shared" si="14"/>
        <v>115.75499553420013</v>
      </c>
    </row>
    <row r="18" spans="1:19" x14ac:dyDescent="0.25">
      <c r="A18" s="8" t="s">
        <v>51</v>
      </c>
      <c r="B18" s="36"/>
      <c r="C18" s="84">
        <v>7.4999999999999997E-2</v>
      </c>
      <c r="D18" s="36"/>
      <c r="E18" s="36"/>
      <c r="F18" s="36"/>
      <c r="G18" s="36"/>
      <c r="H18" s="28" t="s">
        <v>9</v>
      </c>
      <c r="K18">
        <f>K17-J17</f>
        <v>-37</v>
      </c>
      <c r="L18">
        <f t="shared" ref="L18:N18" si="15">L17-K17</f>
        <v>111</v>
      </c>
      <c r="M18">
        <f t="shared" si="15"/>
        <v>261</v>
      </c>
      <c r="N18">
        <f t="shared" si="15"/>
        <v>-7</v>
      </c>
    </row>
    <row r="19" spans="1:19" x14ac:dyDescent="0.25">
      <c r="A19" s="35" t="s">
        <v>19</v>
      </c>
      <c r="B19" s="36" t="s">
        <v>9</v>
      </c>
      <c r="C19" s="37">
        <v>1</v>
      </c>
      <c r="D19" s="37">
        <v>2</v>
      </c>
      <c r="E19" s="37">
        <v>3</v>
      </c>
      <c r="F19" s="37">
        <v>4</v>
      </c>
      <c r="G19" s="38">
        <v>5</v>
      </c>
      <c r="H19" s="28" t="s">
        <v>9</v>
      </c>
    </row>
    <row r="20" spans="1:19" x14ac:dyDescent="0.25">
      <c r="A20" s="39" t="s">
        <v>20</v>
      </c>
      <c r="B20" s="40" t="s">
        <v>9</v>
      </c>
      <c r="C20" s="41">
        <f>C16/(1+$C$18)^C19</f>
        <v>513.48837209302326</v>
      </c>
      <c r="D20" s="41">
        <f t="shared" ref="D20:G20" si="16">D16/(1+$C$18)^D19</f>
        <v>554.67820443482969</v>
      </c>
      <c r="E20" s="41">
        <f t="shared" si="16"/>
        <v>700.31569547335459</v>
      </c>
      <c r="F20" s="41">
        <f t="shared" si="16"/>
        <v>728.58291547241276</v>
      </c>
      <c r="G20" s="41">
        <f t="shared" si="16"/>
        <v>606.70256877695113</v>
      </c>
      <c r="H20" s="42" t="s">
        <v>9</v>
      </c>
    </row>
    <row r="21" spans="1:19" x14ac:dyDescent="0.25">
      <c r="A21" s="28"/>
      <c r="B21" s="28"/>
      <c r="C21" s="28"/>
      <c r="D21" s="28"/>
      <c r="E21" s="28"/>
      <c r="F21" s="28"/>
      <c r="G21" s="28"/>
      <c r="H21" s="28"/>
    </row>
    <row r="22" spans="1:19" x14ac:dyDescent="0.25">
      <c r="A22" s="42"/>
      <c r="B22" s="28"/>
      <c r="C22" s="28"/>
      <c r="D22" s="28"/>
      <c r="E22" s="89"/>
      <c r="F22" s="89"/>
      <c r="G22" s="89"/>
      <c r="H22" s="89"/>
    </row>
    <row r="23" spans="1:19" ht="16.5" x14ac:dyDescent="0.3">
      <c r="A23" s="90" t="s">
        <v>21</v>
      </c>
      <c r="B23" s="91"/>
      <c r="C23" s="43"/>
      <c r="D23" s="92" t="s">
        <v>22</v>
      </c>
      <c r="E23" s="93"/>
      <c r="F23" s="94"/>
      <c r="G23" s="28"/>
      <c r="H23" s="44"/>
      <c r="J23" t="s">
        <v>50</v>
      </c>
    </row>
    <row r="24" spans="1:19" x14ac:dyDescent="0.25">
      <c r="A24" s="45" t="s">
        <v>23</v>
      </c>
      <c r="B24" s="46">
        <f>G16</f>
        <v>871</v>
      </c>
      <c r="C24" s="43"/>
      <c r="D24" s="47" t="s">
        <v>24</v>
      </c>
      <c r="E24" s="48"/>
      <c r="F24" s="49" t="s">
        <v>9</v>
      </c>
      <c r="G24" s="28"/>
      <c r="H24" s="44"/>
    </row>
    <row r="25" spans="1:19" x14ac:dyDescent="0.25">
      <c r="A25" s="45" t="s">
        <v>52</v>
      </c>
      <c r="B25" s="50">
        <v>2.5000000000000001E-2</v>
      </c>
      <c r="C25" s="43"/>
      <c r="D25" s="45" t="s">
        <v>25</v>
      </c>
      <c r="E25" s="43"/>
      <c r="F25" s="51"/>
      <c r="G25" s="28"/>
      <c r="H25" s="44"/>
    </row>
    <row r="26" spans="1:19" x14ac:dyDescent="0.25">
      <c r="A26" s="45" t="s">
        <v>26</v>
      </c>
      <c r="B26" s="52">
        <f>B24*(1+B25)</f>
        <v>892.77499999999998</v>
      </c>
      <c r="C26" s="43"/>
      <c r="D26" s="45" t="s">
        <v>27</v>
      </c>
      <c r="E26" s="43"/>
      <c r="F26" s="51"/>
      <c r="G26" s="28"/>
      <c r="H26" s="44"/>
      <c r="I26">
        <f>1195/I27</f>
        <v>23900.000000000004</v>
      </c>
    </row>
    <row r="27" spans="1:19" x14ac:dyDescent="0.25">
      <c r="A27" s="45" t="s">
        <v>28</v>
      </c>
      <c r="B27" s="46">
        <f>B26/(C18-B25)</f>
        <v>17855.5</v>
      </c>
      <c r="C27" s="43"/>
      <c r="D27" s="45" t="s">
        <v>29</v>
      </c>
      <c r="E27" s="43"/>
      <c r="F27" s="51"/>
      <c r="G27" s="28"/>
      <c r="H27" s="44"/>
      <c r="I27" s="86">
        <f>(C18-B25)</f>
        <v>4.9999999999999996E-2</v>
      </c>
    </row>
    <row r="28" spans="1:19" x14ac:dyDescent="0.25">
      <c r="A28" s="45" t="s">
        <v>30</v>
      </c>
      <c r="B28" s="46">
        <f>B27/(1+C18)^G19</f>
        <v>12437.402659927498</v>
      </c>
      <c r="C28" s="43"/>
      <c r="D28" s="53" t="s">
        <v>31</v>
      </c>
      <c r="E28" s="54" t="s">
        <v>9</v>
      </c>
      <c r="F28" s="55"/>
      <c r="G28" s="28"/>
      <c r="H28" s="56"/>
    </row>
    <row r="29" spans="1:19" x14ac:dyDescent="0.25">
      <c r="A29" s="45" t="s">
        <v>32</v>
      </c>
      <c r="B29" s="46">
        <f>SUM(C20:G20)</f>
        <v>3103.7677562505714</v>
      </c>
      <c r="C29" s="43"/>
      <c r="D29" s="45" t="s">
        <v>9</v>
      </c>
      <c r="E29" s="43"/>
      <c r="F29" s="57"/>
      <c r="G29" s="28"/>
      <c r="H29" s="28"/>
    </row>
    <row r="30" spans="1:19" ht="15.75" thickBot="1" x14ac:dyDescent="0.3">
      <c r="A30" s="58" t="s">
        <v>33</v>
      </c>
      <c r="B30" s="59">
        <f>SUM(B28:B29)</f>
        <v>15541.170416178069</v>
      </c>
      <c r="C30" s="43"/>
      <c r="D30" s="45" t="s">
        <v>34</v>
      </c>
      <c r="E30" s="43"/>
      <c r="F30" s="46"/>
    </row>
    <row r="31" spans="1:19" ht="15.75" thickTop="1" x14ac:dyDescent="0.25">
      <c r="A31" s="43"/>
      <c r="B31" s="43"/>
      <c r="C31" s="43"/>
      <c r="D31" s="45" t="s">
        <v>35</v>
      </c>
      <c r="E31" s="43"/>
      <c r="F31" s="46"/>
    </row>
    <row r="32" spans="1:19" ht="16.5" x14ac:dyDescent="0.3">
      <c r="A32" s="92" t="s">
        <v>36</v>
      </c>
      <c r="B32" s="93"/>
      <c r="C32" s="43"/>
      <c r="D32" s="45" t="s">
        <v>30</v>
      </c>
      <c r="E32" s="43"/>
      <c r="F32" s="46"/>
    </row>
    <row r="33" spans="1:6" x14ac:dyDescent="0.25">
      <c r="A33" s="45" t="s">
        <v>37</v>
      </c>
      <c r="B33" s="60"/>
      <c r="C33" s="43"/>
      <c r="D33" s="45" t="s">
        <v>32</v>
      </c>
      <c r="E33" s="43"/>
      <c r="F33" s="46"/>
    </row>
    <row r="34" spans="1:6" x14ac:dyDescent="0.25">
      <c r="A34" s="45" t="s">
        <v>38</v>
      </c>
      <c r="B34" s="61"/>
      <c r="C34" s="43"/>
      <c r="D34" s="45" t="s">
        <v>9</v>
      </c>
      <c r="E34" s="43"/>
      <c r="F34" s="57"/>
    </row>
    <row r="35" spans="1:6" x14ac:dyDescent="0.25">
      <c r="A35" s="62" t="s">
        <v>39</v>
      </c>
      <c r="B35" s="63">
        <v>6262</v>
      </c>
      <c r="C35" s="43"/>
      <c r="D35" s="64" t="s">
        <v>33</v>
      </c>
      <c r="E35" s="65"/>
      <c r="F35" s="66"/>
    </row>
    <row r="36" spans="1:6" ht="15.75" thickBot="1" x14ac:dyDescent="0.3">
      <c r="A36" s="67" t="s">
        <v>40</v>
      </c>
      <c r="B36" s="68">
        <f>B30-B35</f>
        <v>9279.170416178069</v>
      </c>
      <c r="C36" s="43"/>
      <c r="D36" s="69" t="s">
        <v>40</v>
      </c>
      <c r="E36" s="70" t="s">
        <v>9</v>
      </c>
      <c r="F36" s="71"/>
    </row>
    <row r="37" spans="1:6" ht="15.75" thickTop="1" x14ac:dyDescent="0.25">
      <c r="A37" s="43"/>
      <c r="B37" s="43"/>
      <c r="C37" s="43"/>
      <c r="D37" s="72" t="s">
        <v>41</v>
      </c>
      <c r="E37" s="73" t="s">
        <v>9</v>
      </c>
      <c r="F37" s="74"/>
    </row>
    <row r="38" spans="1:6" ht="16.5" x14ac:dyDescent="0.3">
      <c r="A38" s="95" t="s">
        <v>42</v>
      </c>
      <c r="B38" s="96"/>
      <c r="C38" s="43"/>
      <c r="D38" s="43"/>
      <c r="E38" s="43"/>
      <c r="F38" s="43"/>
    </row>
    <row r="39" spans="1:6" x14ac:dyDescent="0.25">
      <c r="A39" s="45" t="s">
        <v>43</v>
      </c>
      <c r="B39" s="60">
        <v>1853</v>
      </c>
      <c r="C39" s="43"/>
      <c r="D39" s="43"/>
      <c r="E39" s="43"/>
      <c r="F39" s="43"/>
    </row>
    <row r="40" spans="1:6" ht="15.75" thickBot="1" x14ac:dyDescent="0.3">
      <c r="A40" s="67" t="s">
        <v>41</v>
      </c>
      <c r="B40" s="75">
        <f>B36/B39</f>
        <v>5.0076472834204369</v>
      </c>
      <c r="C40" s="43"/>
      <c r="D40" s="28"/>
      <c r="E40" s="28"/>
      <c r="F40" s="28"/>
    </row>
    <row r="41" spans="1:6" ht="15.75" thickTop="1" x14ac:dyDescent="0.25">
      <c r="A41" s="28"/>
      <c r="B41" s="28"/>
      <c r="C41" s="76"/>
    </row>
    <row r="42" spans="1:6" x14ac:dyDescent="0.25">
      <c r="B42" s="77"/>
    </row>
  </sheetData>
  <mergeCells count="5">
    <mergeCell ref="E22:H22"/>
    <mergeCell ref="A23:B23"/>
    <mergeCell ref="D23:F23"/>
    <mergeCell ref="A32:B32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FF5A-4A4F-4A89-8BF1-96F397853368}">
  <dimension ref="A1:F23"/>
  <sheetViews>
    <sheetView workbookViewId="0">
      <selection activeCell="A4" sqref="A4"/>
    </sheetView>
    <sheetView workbookViewId="1">
      <selection activeCell="A21" sqref="A21"/>
    </sheetView>
  </sheetViews>
  <sheetFormatPr defaultRowHeight="15" x14ac:dyDescent="0.25"/>
  <cols>
    <col min="1" max="1" width="19.85546875" bestFit="1" customWidth="1"/>
    <col min="2" max="2" width="11.85546875" bestFit="1" customWidth="1"/>
  </cols>
  <sheetData>
    <row r="1" spans="1:6" x14ac:dyDescent="0.25">
      <c r="A1" t="s">
        <v>57</v>
      </c>
      <c r="B1">
        <v>2025</v>
      </c>
      <c r="C1">
        <v>2026</v>
      </c>
      <c r="D1">
        <v>2027</v>
      </c>
      <c r="E1">
        <v>2028</v>
      </c>
      <c r="F1">
        <v>2029</v>
      </c>
    </row>
    <row r="2" spans="1:6" x14ac:dyDescent="0.25">
      <c r="A2" t="s">
        <v>53</v>
      </c>
      <c r="B2" s="28">
        <v>552</v>
      </c>
      <c r="C2" s="28">
        <v>641</v>
      </c>
      <c r="D2" s="28">
        <v>870</v>
      </c>
      <c r="E2" s="28">
        <v>973</v>
      </c>
      <c r="F2" s="28">
        <v>871</v>
      </c>
    </row>
    <row r="3" spans="1:6" x14ac:dyDescent="0.25">
      <c r="A3" t="s">
        <v>54</v>
      </c>
      <c r="B3" s="80">
        <v>7.4999999999999997E-2</v>
      </c>
      <c r="C3" s="80">
        <v>7.4999999999999997E-2</v>
      </c>
      <c r="D3" s="80">
        <v>7.4999999999999997E-2</v>
      </c>
      <c r="E3" s="80">
        <v>7.4999999999999997E-2</v>
      </c>
      <c r="F3" s="80">
        <v>7.4999999999999997E-2</v>
      </c>
    </row>
    <row r="4" spans="1:6" x14ac:dyDescent="0.25">
      <c r="A4" t="s">
        <v>55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t="s">
        <v>56</v>
      </c>
      <c r="B5">
        <f>B2/(1+B3)^B4</f>
        <v>513.48837209302326</v>
      </c>
      <c r="C5">
        <f t="shared" ref="C5:F5" si="0">C2/(1+C3)^C4</f>
        <v>554.67820443482969</v>
      </c>
      <c r="D5">
        <f t="shared" si="0"/>
        <v>700.31569547335459</v>
      </c>
      <c r="E5">
        <f t="shared" si="0"/>
        <v>728.58291547241276</v>
      </c>
      <c r="F5">
        <f t="shared" si="0"/>
        <v>606.70256877695113</v>
      </c>
    </row>
    <row r="7" spans="1:6" ht="16.5" x14ac:dyDescent="0.3">
      <c r="A7" s="90" t="s">
        <v>21</v>
      </c>
      <c r="B7" s="91"/>
    </row>
    <row r="8" spans="1:6" x14ac:dyDescent="0.25">
      <c r="A8" s="45" t="s">
        <v>23</v>
      </c>
      <c r="B8" s="46">
        <f>F2</f>
        <v>871</v>
      </c>
    </row>
    <row r="9" spans="1:6" x14ac:dyDescent="0.25">
      <c r="A9" s="45" t="s">
        <v>52</v>
      </c>
      <c r="B9" s="50">
        <v>2.5000000000000001E-2</v>
      </c>
    </row>
    <row r="10" spans="1:6" x14ac:dyDescent="0.25">
      <c r="A10" s="45" t="s">
        <v>26</v>
      </c>
      <c r="B10" s="52">
        <f>B8*(1+B9)</f>
        <v>892.77499999999998</v>
      </c>
    </row>
    <row r="11" spans="1:6" x14ac:dyDescent="0.25">
      <c r="A11" s="45" t="s">
        <v>28</v>
      </c>
      <c r="B11" s="46">
        <f>B10/(F3-B9)</f>
        <v>17855.5</v>
      </c>
    </row>
    <row r="12" spans="1:6" x14ac:dyDescent="0.25">
      <c r="A12" s="45" t="s">
        <v>30</v>
      </c>
      <c r="B12" s="46">
        <f>B11/(1+F3)^F4</f>
        <v>12437.402659927498</v>
      </c>
    </row>
    <row r="13" spans="1:6" x14ac:dyDescent="0.25">
      <c r="A13" s="45" t="s">
        <v>32</v>
      </c>
      <c r="B13" s="46">
        <f>SUM(B5:F5)</f>
        <v>3103.7677562505714</v>
      </c>
    </row>
    <row r="14" spans="1:6" ht="15.75" thickBot="1" x14ac:dyDescent="0.3">
      <c r="A14" s="58" t="s">
        <v>33</v>
      </c>
      <c r="B14" s="59">
        <f>SUM(B12:B13)</f>
        <v>15541.170416178069</v>
      </c>
    </row>
    <row r="15" spans="1:6" ht="15.75" thickTop="1" x14ac:dyDescent="0.25">
      <c r="A15" s="43"/>
      <c r="B15" s="43"/>
    </row>
    <row r="16" spans="1:6" ht="16.5" x14ac:dyDescent="0.3">
      <c r="A16" s="92" t="s">
        <v>36</v>
      </c>
      <c r="B16" s="93"/>
    </row>
    <row r="17" spans="1:2" x14ac:dyDescent="0.25">
      <c r="A17" s="62" t="s">
        <v>39</v>
      </c>
      <c r="B17" s="63">
        <v>6262</v>
      </c>
    </row>
    <row r="18" spans="1:2" ht="15.75" thickBot="1" x14ac:dyDescent="0.3">
      <c r="A18" s="67" t="s">
        <v>40</v>
      </c>
      <c r="B18" s="68">
        <f>B14-B17</f>
        <v>9279.170416178069</v>
      </c>
    </row>
    <row r="19" spans="1:2" ht="15.75" thickTop="1" x14ac:dyDescent="0.25">
      <c r="A19" s="43"/>
      <c r="B19" s="43"/>
    </row>
    <row r="20" spans="1:2" ht="16.5" x14ac:dyDescent="0.3">
      <c r="A20" s="95" t="s">
        <v>42</v>
      </c>
      <c r="B20" s="96"/>
    </row>
    <row r="21" spans="1:2" x14ac:dyDescent="0.25">
      <c r="A21" s="45" t="s">
        <v>43</v>
      </c>
      <c r="B21" s="60">
        <v>1853</v>
      </c>
    </row>
    <row r="22" spans="1:2" ht="15.75" thickBot="1" x14ac:dyDescent="0.3">
      <c r="A22" s="67" t="s">
        <v>41</v>
      </c>
      <c r="B22" s="75">
        <f>B18/B21</f>
        <v>5.0076472834204369</v>
      </c>
    </row>
    <row r="23" spans="1:2" ht="15.75" thickTop="1" x14ac:dyDescent="0.25"/>
  </sheetData>
  <mergeCells count="3">
    <mergeCell ref="A7:B7"/>
    <mergeCell ref="A16:B16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3CA2-2E31-49A3-989D-0233F24AEB06}">
  <dimension ref="A1:D18"/>
  <sheetViews>
    <sheetView workbookViewId="0"/>
    <sheetView tabSelected="1" workbookViewId="1">
      <selection activeCell="F14" sqref="F14"/>
    </sheetView>
  </sheetViews>
  <sheetFormatPr defaultRowHeight="15" x14ac:dyDescent="0.25"/>
  <cols>
    <col min="1" max="1" width="23.140625" bestFit="1" customWidth="1"/>
  </cols>
  <sheetData>
    <row r="1" spans="1:4" x14ac:dyDescent="0.25">
      <c r="A1" s="97" t="s">
        <v>58</v>
      </c>
      <c r="B1" s="97"/>
      <c r="C1" s="97"/>
    </row>
    <row r="2" spans="1:4" x14ac:dyDescent="0.25">
      <c r="B2" t="s">
        <v>61</v>
      </c>
      <c r="C2" t="s">
        <v>62</v>
      </c>
    </row>
    <row r="3" spans="1:4" x14ac:dyDescent="0.25">
      <c r="A3" t="s">
        <v>59</v>
      </c>
      <c r="B3" s="87">
        <v>2023</v>
      </c>
      <c r="C3" s="87">
        <v>1988</v>
      </c>
    </row>
    <row r="4" spans="1:4" x14ac:dyDescent="0.25">
      <c r="A4" t="s">
        <v>60</v>
      </c>
      <c r="B4" s="87">
        <v>2099</v>
      </c>
      <c r="C4" s="87">
        <v>2139</v>
      </c>
    </row>
    <row r="6" spans="1:4" x14ac:dyDescent="0.25">
      <c r="A6" s="97" t="s">
        <v>63</v>
      </c>
      <c r="B6" s="97"/>
      <c r="C6" s="97"/>
    </row>
    <row r="7" spans="1:4" x14ac:dyDescent="0.25">
      <c r="A7" t="s">
        <v>64</v>
      </c>
    </row>
    <row r="8" spans="1:4" x14ac:dyDescent="0.25">
      <c r="B8" t="s">
        <v>68</v>
      </c>
      <c r="C8" t="s">
        <v>69</v>
      </c>
      <c r="D8" t="s">
        <v>70</v>
      </c>
    </row>
    <row r="9" spans="1:4" x14ac:dyDescent="0.25">
      <c r="A9" t="s">
        <v>65</v>
      </c>
      <c r="B9">
        <v>974</v>
      </c>
      <c r="C9">
        <v>965</v>
      </c>
      <c r="D9" s="87">
        <v>1055</v>
      </c>
    </row>
    <row r="10" spans="1:4" x14ac:dyDescent="0.25">
      <c r="A10" t="s">
        <v>66</v>
      </c>
      <c r="B10">
        <v>738</v>
      </c>
      <c r="C10" s="87">
        <v>1023</v>
      </c>
      <c r="D10" s="87">
        <v>1084</v>
      </c>
    </row>
    <row r="11" spans="1:4" x14ac:dyDescent="0.25">
      <c r="A11" t="s">
        <v>67</v>
      </c>
      <c r="B11" s="87">
        <v>1712</v>
      </c>
      <c r="C11" s="87">
        <v>1988</v>
      </c>
      <c r="D11" s="87">
        <v>2139</v>
      </c>
    </row>
    <row r="13" spans="1:4" x14ac:dyDescent="0.25">
      <c r="A13" s="97" t="s">
        <v>71</v>
      </c>
      <c r="B13" s="97"/>
      <c r="C13" s="97"/>
      <c r="D13" s="97"/>
    </row>
    <row r="14" spans="1:4" x14ac:dyDescent="0.25">
      <c r="A14" t="s">
        <v>72</v>
      </c>
    </row>
    <row r="15" spans="1:4" x14ac:dyDescent="0.25">
      <c r="A15" t="s">
        <v>73</v>
      </c>
      <c r="B15" s="88">
        <v>9083.9</v>
      </c>
    </row>
    <row r="16" spans="1:4" x14ac:dyDescent="0.25">
      <c r="A16" t="s">
        <v>34</v>
      </c>
    </row>
    <row r="17" spans="1:1" x14ac:dyDescent="0.25">
      <c r="A17" t="s">
        <v>74</v>
      </c>
    </row>
    <row r="18" spans="1:1" x14ac:dyDescent="0.25">
      <c r="A18" t="s">
        <v>75</v>
      </c>
    </row>
  </sheetData>
  <mergeCells count="3">
    <mergeCell ref="A1:C1"/>
    <mergeCell ref="A6:C6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Front page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Ott</dc:creator>
  <cp:lastModifiedBy>Sarah Ott</cp:lastModifiedBy>
  <dcterms:created xsi:type="dcterms:W3CDTF">2025-04-16T07:53:21Z</dcterms:created>
  <dcterms:modified xsi:type="dcterms:W3CDTF">2025-04-18T03:03:34Z</dcterms:modified>
</cp:coreProperties>
</file>