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1315" windowHeight="9210"/>
  </bookViews>
  <sheets>
    <sheet name="Network-PBFT" sheetId="1" r:id="rId1"/>
    <sheet name="Network-Hybster" sheetId="3" r:id="rId2"/>
  </sheets>
  <definedNames>
    <definedName name="A" localSheetId="1">'Network-Hybster'!$B$13</definedName>
    <definedName name="A">'Network-PBFT'!$B$13</definedName>
    <definedName name="B" localSheetId="1">'Network-Hybster'!$B$5</definedName>
    <definedName name="B">'Network-PBFT'!$B$5</definedName>
    <definedName name="CHKINT" localSheetId="1">'Network-Hybster'!$B$11</definedName>
    <definedName name="CHKINT">'Network-PBFT'!$B$11</definedName>
    <definedName name="D" localSheetId="1">'Network-Hybster'!$B$12</definedName>
    <definedName name="D">'Network-PBFT'!$B$12</definedName>
    <definedName name="EO" localSheetId="1">'Network-Hybster'!$B$20</definedName>
    <definedName name="EO">'Network-PBFT'!$B$20</definedName>
    <definedName name="H" localSheetId="1">'Network-Hybster'!$B$18</definedName>
    <definedName name="H">'Network-PBFT'!$B$18</definedName>
    <definedName name="HCHK" localSheetId="1">'Network-Hybster'!$E$12</definedName>
    <definedName name="HCHK">'Network-PBFT'!$E$13</definedName>
    <definedName name="HCOM" localSheetId="1">'Network-Hybster'!$E$10</definedName>
    <definedName name="HCOM">'Network-PBFT'!$E$11</definedName>
    <definedName name="HPPR" localSheetId="1">'Network-Hybster'!$E$9</definedName>
    <definedName name="HPPR">'Network-PBFT'!$E$9</definedName>
    <definedName name="HPRE" localSheetId="1">'Network-Hybster'!#REF!</definedName>
    <definedName name="HPRE">'Network-PBFT'!$E$10</definedName>
    <definedName name="HREP" localSheetId="1">'Network-Hybster'!$E$11</definedName>
    <definedName name="HREP">'Network-PBFT'!$E$12</definedName>
    <definedName name="HREQ" localSheetId="1">'Network-Hybster'!$E$8</definedName>
    <definedName name="HREQ">'Network-PBFT'!$E$8</definedName>
    <definedName name="I" localSheetId="1">'Network-Hybster'!$B$6</definedName>
    <definedName name="I">'Network-PBFT'!$B$6</definedName>
    <definedName name="MNET" localSheetId="1">'Network-Hybster'!$B$17</definedName>
    <definedName name="MNET">'Network-PBFT'!$B$17</definedName>
    <definedName name="N" localSheetId="1">'Network-Hybster'!$B$1</definedName>
    <definedName name="N">'Network-PBFT'!$B$1</definedName>
    <definedName name="NC" localSheetId="1">'Network-Hybster'!$B$3</definedName>
    <definedName name="NC">'Network-PBFT'!$B$3</definedName>
    <definedName name="NCH" localSheetId="1">'Network-Hybster'!$B$2</definedName>
    <definedName name="NCH">'Network-PBFT'!$B$2</definedName>
    <definedName name="NICs" localSheetId="1">'Network-Hybster'!$B$16</definedName>
    <definedName name="NICs">'Network-PBFT'!$B$16</definedName>
    <definedName name="NREP" localSheetId="1">'Network-Hybster'!$B$9</definedName>
    <definedName name="NREP">'Network-PBFT'!$B$9</definedName>
    <definedName name="PCHK" localSheetId="1">'Network-Hybster'!$B$10</definedName>
    <definedName name="PCHK">'Network-PBFT'!$B$10</definedName>
    <definedName name="PREP" localSheetId="1">'Network-Hybster'!$B$8</definedName>
    <definedName name="PREP">'Network-PBFT'!$B$8</definedName>
    <definedName name="PREQ" localSheetId="1">'Network-Hybster'!$B$7</definedName>
    <definedName name="PREQ">'Network-PBFT'!$B$7</definedName>
    <definedName name="PS" localSheetId="1">'Network-Hybster'!$B$19</definedName>
    <definedName name="PS">'Network-PBFT'!$B$19</definedName>
    <definedName name="RCERT" localSheetId="1">'Network-Hybster'!$B$15</definedName>
    <definedName name="RCERT">'Network-PBFT'!$B$15</definedName>
    <definedName name="SCHK" localSheetId="1">'Network-Hybster'!$G$12</definedName>
    <definedName name="SCHK">'Network-PBFT'!$G$13</definedName>
    <definedName name="SCOM" localSheetId="1">'Network-Hybster'!$G$10</definedName>
    <definedName name="SCOM">'Network-PBFT'!$G$11</definedName>
    <definedName name="SIG" localSheetId="1">'Network-Hybster'!$B$14</definedName>
    <definedName name="SIG">'Network-PBFT'!$B$14</definedName>
    <definedName name="SPPL" localSheetId="1">'Network-Hybster'!$G$13</definedName>
    <definedName name="SPPL">'Network-PBFT'!$G$14</definedName>
    <definedName name="SPPR" localSheetId="1">'Network-Hybster'!$G$9</definedName>
    <definedName name="SPPR">'Network-PBFT'!$G$9</definedName>
    <definedName name="SPRE" localSheetId="1">'Network-Hybster'!#REF!</definedName>
    <definedName name="SPRE">'Network-PBFT'!$G$10</definedName>
    <definedName name="SREP" localSheetId="1">'Network-Hybster'!$G$11</definedName>
    <definedName name="SREP">'Network-PBFT'!$G$12</definedName>
    <definedName name="SREQ" localSheetId="1">'Network-Hybster'!$G$8</definedName>
    <definedName name="SREQ">'Network-PBFT'!$G$8</definedName>
    <definedName name="SREQID" localSheetId="1">'Network-Hybster'!$B$21</definedName>
    <definedName name="SREQID">'Network-PBFT'!$B$21</definedName>
    <definedName name="T" localSheetId="1">'Network-Hybster'!$B$4</definedName>
    <definedName name="T">'Network-PBFT'!$B$4</definedName>
  </definedNames>
  <calcPr calcId="145621"/>
</workbook>
</file>

<file path=xl/calcChain.xml><?xml version="1.0" encoding="utf-8"?>
<calcChain xmlns="http://schemas.openxmlformats.org/spreadsheetml/2006/main">
  <c r="B13" i="3" l="1"/>
  <c r="B14" i="3"/>
  <c r="F45" i="3"/>
  <c r="O42" i="3"/>
  <c r="P39" i="3"/>
  <c r="P33" i="3"/>
  <c r="O27" i="3"/>
  <c r="F26" i="3"/>
  <c r="B20" i="3"/>
  <c r="P18" i="3"/>
  <c r="B17" i="3"/>
  <c r="F13" i="3"/>
  <c r="G13" i="3" s="1"/>
  <c r="F43" i="3" s="1"/>
  <c r="F11" i="3"/>
  <c r="G11" i="3" s="1"/>
  <c r="F10" i="3"/>
  <c r="G10" i="3" s="1"/>
  <c r="B10" i="3"/>
  <c r="F12" i="3" s="1"/>
  <c r="F8" i="3"/>
  <c r="B6" i="3"/>
  <c r="P43" i="3" s="1"/>
  <c r="F4" i="3"/>
  <c r="F3" i="3"/>
  <c r="F2" i="3"/>
  <c r="B13" i="1"/>
  <c r="F48" i="1"/>
  <c r="F27" i="1"/>
  <c r="G8" i="3" l="1"/>
  <c r="G48" i="3" s="1"/>
  <c r="G12" i="3"/>
  <c r="G52" i="3" s="1"/>
  <c r="O20" i="3"/>
  <c r="O37" i="3"/>
  <c r="O19" i="3"/>
  <c r="P22" i="3"/>
  <c r="O28" i="3"/>
  <c r="O35" i="3"/>
  <c r="O41" i="3"/>
  <c r="O43" i="3"/>
  <c r="F50" i="3"/>
  <c r="G44" i="3"/>
  <c r="F31" i="3"/>
  <c r="F25" i="3"/>
  <c r="G50" i="3"/>
  <c r="G49" i="3"/>
  <c r="F44" i="3"/>
  <c r="F51" i="3"/>
  <c r="G40" i="3"/>
  <c r="G41" i="3" s="1"/>
  <c r="F32" i="3"/>
  <c r="G21" i="3"/>
  <c r="G22" i="3" s="1"/>
  <c r="G25" i="3"/>
  <c r="P26" i="3"/>
  <c r="G31" i="3"/>
  <c r="P20" i="3"/>
  <c r="O22" i="3"/>
  <c r="P25" i="3"/>
  <c r="O26" i="3"/>
  <c r="P28" i="3"/>
  <c r="O34" i="3"/>
  <c r="P35" i="3"/>
  <c r="P37" i="3"/>
  <c r="P40" i="3"/>
  <c r="P41" i="3"/>
  <c r="B6" i="1"/>
  <c r="O23" i="3" l="1"/>
  <c r="F39" i="3"/>
  <c r="F41" i="3" s="1"/>
  <c r="G23" i="3"/>
  <c r="G42" i="3"/>
  <c r="F20" i="3"/>
  <c r="F22" i="3" s="1"/>
  <c r="F9" i="3"/>
  <c r="G9" i="3" s="1"/>
  <c r="F24" i="3" s="1"/>
  <c r="G53" i="3"/>
  <c r="G27" i="3"/>
  <c r="O44" i="3"/>
  <c r="F27" i="3"/>
  <c r="F28" i="3" s="1"/>
  <c r="O38" i="3"/>
  <c r="O45" i="3" s="1"/>
  <c r="P23" i="3"/>
  <c r="G46" i="3"/>
  <c r="F46" i="3"/>
  <c r="F47" i="3" s="1"/>
  <c r="O29" i="3"/>
  <c r="O30" i="3" s="1"/>
  <c r="F33" i="3"/>
  <c r="F34" i="3" s="1"/>
  <c r="F52" i="3"/>
  <c r="F53" i="3" s="1"/>
  <c r="G33" i="3"/>
  <c r="P44" i="3"/>
  <c r="P38" i="3"/>
  <c r="J48" i="3"/>
  <c r="P29" i="3"/>
  <c r="F14" i="1"/>
  <c r="G14" i="1" s="1"/>
  <c r="G28" i="3" l="1"/>
  <c r="J24" i="3" s="1"/>
  <c r="G47" i="3"/>
  <c r="R38" i="3" s="1"/>
  <c r="G30" i="3"/>
  <c r="G34" i="3" s="1"/>
  <c r="G35" i="3" s="1"/>
  <c r="R44" i="3"/>
  <c r="G54" i="3"/>
  <c r="I48" i="3"/>
  <c r="Q44" i="3"/>
  <c r="Q23" i="3"/>
  <c r="I24" i="3"/>
  <c r="P30" i="3"/>
  <c r="P45" i="3"/>
  <c r="Q29" i="3"/>
  <c r="I31" i="3"/>
  <c r="Q38" i="3"/>
  <c r="I41" i="3"/>
  <c r="F54" i="3"/>
  <c r="J49" i="3"/>
  <c r="F35" i="3"/>
  <c r="R23" i="3"/>
  <c r="B10" i="1"/>
  <c r="J35" i="3" l="1"/>
  <c r="K35" i="3" s="1"/>
  <c r="J41" i="3"/>
  <c r="J18" i="3"/>
  <c r="K18" i="3" s="1"/>
  <c r="R29" i="3"/>
  <c r="J31" i="3"/>
  <c r="R45" i="3"/>
  <c r="Q30" i="3"/>
  <c r="I32" i="3"/>
  <c r="J19" i="3"/>
  <c r="Q45" i="3"/>
  <c r="I49" i="3"/>
  <c r="J36" i="3"/>
  <c r="R30" i="3"/>
  <c r="J32" i="3"/>
  <c r="B17" i="1"/>
  <c r="B20" i="1"/>
  <c r="O46" i="1"/>
  <c r="P42" i="1"/>
  <c r="P35" i="1"/>
  <c r="O29" i="1"/>
  <c r="P18" i="1"/>
  <c r="F11" i="1"/>
  <c r="G11" i="1" s="1"/>
  <c r="F10" i="1"/>
  <c r="G10" i="1" s="1"/>
  <c r="F12" i="1"/>
  <c r="G12" i="1" s="1"/>
  <c r="F55" i="1" s="1"/>
  <c r="F8" i="1"/>
  <c r="G8" i="1" s="1"/>
  <c r="E10" i="1"/>
  <c r="F13" i="1"/>
  <c r="P47" i="1"/>
  <c r="F3" i="1"/>
  <c r="F4" i="1"/>
  <c r="F2" i="1"/>
  <c r="J20" i="3" l="1"/>
  <c r="K19" i="3"/>
  <c r="J37" i="3"/>
  <c r="K36" i="3"/>
  <c r="G42" i="1"/>
  <c r="G43" i="1" s="1"/>
  <c r="G21" i="1"/>
  <c r="G22" i="1" s="1"/>
  <c r="F41" i="1"/>
  <c r="F43" i="1" s="1"/>
  <c r="P28" i="1"/>
  <c r="O19" i="1"/>
  <c r="P20" i="1"/>
  <c r="P21" i="1"/>
  <c r="O21" i="1"/>
  <c r="O23" i="1"/>
  <c r="P23" i="1"/>
  <c r="P26" i="1"/>
  <c r="P27" i="1"/>
  <c r="O27" i="1"/>
  <c r="O28" i="1"/>
  <c r="O30" i="1"/>
  <c r="P30" i="1"/>
  <c r="O36" i="1"/>
  <c r="P37" i="1"/>
  <c r="P38" i="1"/>
  <c r="O38" i="1"/>
  <c r="O40" i="1"/>
  <c r="P40" i="1"/>
  <c r="P43" i="1"/>
  <c r="P44" i="1"/>
  <c r="O44" i="1"/>
  <c r="O45" i="1"/>
  <c r="P45" i="1"/>
  <c r="O47" i="1"/>
  <c r="B14" i="1"/>
  <c r="G13" i="1" s="1"/>
  <c r="G52" i="1"/>
  <c r="F34" i="1"/>
  <c r="F45" i="1" l="1"/>
  <c r="G23" i="1"/>
  <c r="F9" i="1"/>
  <c r="F20" i="1"/>
  <c r="F22" i="1" s="1"/>
  <c r="F28" i="1"/>
  <c r="O48" i="1"/>
  <c r="P48" i="1"/>
  <c r="P41" i="1"/>
  <c r="O41" i="1"/>
  <c r="O31" i="1"/>
  <c r="P31" i="1"/>
  <c r="P24" i="1"/>
  <c r="O24" i="1"/>
  <c r="G51" i="1"/>
  <c r="G44" i="1"/>
  <c r="G56" i="1"/>
  <c r="F56" i="1"/>
  <c r="G49" i="1"/>
  <c r="F49" i="1"/>
  <c r="G54" i="1"/>
  <c r="F54" i="1"/>
  <c r="G47" i="1"/>
  <c r="F47" i="1"/>
  <c r="G53" i="1"/>
  <c r="F53" i="1"/>
  <c r="F57" i="1" s="1"/>
  <c r="I48" i="1" s="1"/>
  <c r="G46" i="1"/>
  <c r="G35" i="1"/>
  <c r="F35" i="1"/>
  <c r="G28" i="1"/>
  <c r="G33" i="1"/>
  <c r="F33" i="1"/>
  <c r="G26" i="1"/>
  <c r="F26" i="1"/>
  <c r="G25" i="1"/>
  <c r="G32" i="1"/>
  <c r="F32" i="1"/>
  <c r="F50" i="1" l="1"/>
  <c r="I41" i="1" s="1"/>
  <c r="G9" i="1"/>
  <c r="G31" i="1" s="1"/>
  <c r="G36" i="1" s="1"/>
  <c r="J31" i="1" s="1"/>
  <c r="G50" i="1"/>
  <c r="J41" i="1" s="1"/>
  <c r="O32" i="1"/>
  <c r="O49" i="1"/>
  <c r="G57" i="1"/>
  <c r="J48" i="1" s="1"/>
  <c r="G29" i="1"/>
  <c r="J24" i="1" s="1"/>
  <c r="P32" i="1"/>
  <c r="P49" i="1"/>
  <c r="Q48" i="1"/>
  <c r="Q41" i="1"/>
  <c r="F36" i="1"/>
  <c r="I31" i="1" s="1"/>
  <c r="F58" i="1" l="1"/>
  <c r="I49" i="1" s="1"/>
  <c r="F24" i="1"/>
  <c r="F29" i="1" s="1"/>
  <c r="I24" i="1"/>
  <c r="J18" i="1"/>
  <c r="K18" i="1" s="1"/>
  <c r="J35" i="1"/>
  <c r="K35" i="1" s="1"/>
  <c r="R41" i="1"/>
  <c r="G58" i="1"/>
  <c r="J49" i="1" s="1"/>
  <c r="R48" i="1"/>
  <c r="R24" i="1"/>
  <c r="Q31" i="1"/>
  <c r="Q24" i="1"/>
  <c r="G37" i="1"/>
  <c r="J32" i="1" s="1"/>
  <c r="R31" i="1"/>
  <c r="F37" i="1"/>
  <c r="I32" i="1" s="1"/>
  <c r="Q49" i="1" l="1"/>
  <c r="J36" i="1"/>
  <c r="R49" i="1"/>
  <c r="Q32" i="1"/>
  <c r="R32" i="1"/>
  <c r="J19" i="1"/>
  <c r="K19" i="1" s="1"/>
  <c r="K36" i="1" l="1"/>
  <c r="J37" i="1"/>
  <c r="J20" i="1"/>
</calcChain>
</file>

<file path=xl/comments1.xml><?xml version="1.0" encoding="utf-8"?>
<comments xmlns="http://schemas.openxmlformats.org/spreadsheetml/2006/main">
  <authors>
    <author>Johannes Behl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Johannes Behl:</t>
        </r>
        <r>
          <rPr>
            <sz val="9"/>
            <color indexed="81"/>
            <rFont val="Tahoma"/>
            <family val="2"/>
          </rPr>
          <t xml:space="preserve">
N should not be included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>Johannes Behl:</t>
        </r>
        <r>
          <rPr>
            <sz val="9"/>
            <color indexed="81"/>
            <rFont val="Tahoma"/>
            <family val="2"/>
          </rPr>
          <t xml:space="preserve">
Would be 128 for a real signature.</t>
        </r>
      </text>
    </comment>
  </commentList>
</comments>
</file>

<file path=xl/comments2.xml><?xml version="1.0" encoding="utf-8"?>
<comments xmlns="http://schemas.openxmlformats.org/spreadsheetml/2006/main">
  <authors>
    <author>Johannes Behl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Johannes Behl:</t>
        </r>
        <r>
          <rPr>
            <sz val="9"/>
            <color indexed="81"/>
            <rFont val="Tahoma"/>
            <family val="2"/>
          </rPr>
          <t xml:space="preserve">
N should not be included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>Johannes Behl:</t>
        </r>
        <r>
          <rPr>
            <sz val="9"/>
            <color indexed="81"/>
            <rFont val="Tahoma"/>
            <family val="2"/>
          </rPr>
          <t xml:space="preserve">
Would be 128 for a real signature.</t>
        </r>
      </text>
    </comment>
  </commentList>
</comments>
</file>

<file path=xl/sharedStrings.xml><?xml version="1.0" encoding="utf-8"?>
<sst xmlns="http://schemas.openxmlformats.org/spreadsheetml/2006/main" count="261" uniqueCount="54">
  <si>
    <t>Message</t>
  </si>
  <si>
    <t>Header</t>
  </si>
  <si>
    <t>REQUEST</t>
  </si>
  <si>
    <t>PREPREPARE</t>
  </si>
  <si>
    <t>PREPARE</t>
  </si>
  <si>
    <t>COMMIT</t>
  </si>
  <si>
    <t>REPLY</t>
  </si>
  <si>
    <t>Digest</t>
  </si>
  <si>
    <t>Size</t>
  </si>
  <si>
    <t>Authenticator</t>
  </si>
  <si>
    <t>MD5</t>
  </si>
  <si>
    <t>SHA1</t>
  </si>
  <si>
    <t>SHA256</t>
  </si>
  <si>
    <t>Number of Requests</t>
  </si>
  <si>
    <t>Batch Size</t>
  </si>
  <si>
    <t>Process</t>
  </si>
  <si>
    <t>Send</t>
  </si>
  <si>
    <t>Recv</t>
  </si>
  <si>
    <t>Leader</t>
  </si>
  <si>
    <t>Follower</t>
  </si>
  <si>
    <t>Phase</t>
  </si>
  <si>
    <t>Payload Request</t>
  </si>
  <si>
    <t>Payload Reply</t>
  </si>
  <si>
    <t>Total</t>
  </si>
  <si>
    <t>Number of Replicas</t>
  </si>
  <si>
    <t>Number of Instances</t>
  </si>
  <si>
    <t>Max. Bandwidth</t>
  </si>
  <si>
    <t>CHECKPOINT</t>
  </si>
  <si>
    <t>Checkpoint Interval</t>
  </si>
  <si>
    <t>Number or Clients</t>
  </si>
  <si>
    <t>Rotating</t>
  </si>
  <si>
    <t>PREPREPARElight</t>
  </si>
  <si>
    <t>Hash</t>
  </si>
  <si>
    <t>Payload Checkpoint</t>
  </si>
  <si>
    <t>Payload</t>
  </si>
  <si>
    <t>MAC Size</t>
  </si>
  <si>
    <t>Signature</t>
  </si>
  <si>
    <t>Ethernet</t>
  </si>
  <si>
    <t>Packet Size</t>
  </si>
  <si>
    <t>Number of NICs</t>
  </si>
  <si>
    <t>Max</t>
  </si>
  <si>
    <t>Data Rate</t>
  </si>
  <si>
    <t>Message Size</t>
  </si>
  <si>
    <t>Packet Rate</t>
  </si>
  <si>
    <t>Fixed</t>
  </si>
  <si>
    <t>TCP Overhead</t>
  </si>
  <si>
    <t>Request ID Size</t>
  </si>
  <si>
    <t>Requests distributed by leader</t>
  </si>
  <si>
    <t>Client</t>
  </si>
  <si>
    <t>Number of Client Hosts</t>
  </si>
  <si>
    <t>Number of Replies</t>
  </si>
  <si>
    <t>Requests distributed by clients</t>
  </si>
  <si>
    <t>Replica Cert</t>
  </si>
  <si>
    <t>Client 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</si>
</sst>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/>
    <xf numFmtId="0" fontId="0" fillId="0" borderId="0" xfId="0" applyFont="1"/>
    <xf numFmtId="9" fontId="0" fillId="0" borderId="0" xfId="2" applyFont="1"/>
    <xf numFmtId="164" fontId="0" fillId="0" borderId="0" xfId="1" applyNumberFormat="1" applyFont="1"/>
    <xf numFmtId="164" fontId="3" fillId="0" borderId="2" xfId="1" applyNumberFormat="1" applyFont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/>
    <xf numFmtId="9" fontId="0" fillId="0" borderId="0" xfId="0" applyNumberFormat="1"/>
    <xf numFmtId="0" fontId="6" fillId="0" borderId="0" xfId="0" applyFont="1"/>
    <xf numFmtId="0" fontId="3" fillId="0" borderId="3" xfId="0" applyFont="1" applyBorder="1"/>
    <xf numFmtId="0" fontId="0" fillId="0" borderId="3" xfId="0" applyBorder="1"/>
    <xf numFmtId="164" fontId="0" fillId="0" borderId="3" xfId="0" applyNumberFormat="1" applyBorder="1"/>
    <xf numFmtId="0" fontId="7" fillId="0" borderId="0" xfId="0" applyFont="1"/>
    <xf numFmtId="164" fontId="7" fillId="0" borderId="0" xfId="1" applyNumberFormat="1" applyFont="1"/>
    <xf numFmtId="164" fontId="9" fillId="0" borderId="0" xfId="1" applyNumberFormat="1" applyFont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0" xfId="1" applyNumberFormat="1" applyFont="1" applyFill="1" applyBorder="1"/>
    <xf numFmtId="0" fontId="0" fillId="0" borderId="0" xfId="0" applyFont="1" applyFill="1" applyBorder="1" applyAlignment="1"/>
    <xf numFmtId="0" fontId="8" fillId="0" borderId="0" xfId="0" applyFont="1" applyAlignment="1">
      <alignment horizontal="center"/>
    </xf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9"/>
  <sheetViews>
    <sheetView tabSelected="1" workbookViewId="0">
      <selection activeCell="A17" sqref="A17"/>
    </sheetView>
  </sheetViews>
  <sheetFormatPr baseColWidth="10" defaultRowHeight="15" x14ac:dyDescent="0.25"/>
  <cols>
    <col min="1" max="1" width="21.85546875" bestFit="1" customWidth="1"/>
    <col min="2" max="2" width="14" bestFit="1" customWidth="1"/>
    <col min="4" max="4" width="16.28515625" bestFit="1" customWidth="1"/>
    <col min="5" max="5" width="12.28515625" bestFit="1" customWidth="1"/>
    <col min="6" max="7" width="16.140625" bestFit="1" customWidth="1"/>
    <col min="8" max="8" width="13" bestFit="1" customWidth="1"/>
    <col min="9" max="10" width="15.85546875" customWidth="1"/>
    <col min="11" max="11" width="12" bestFit="1" customWidth="1"/>
    <col min="12" max="13" width="9.140625" bestFit="1" customWidth="1"/>
    <col min="14" max="14" width="12.28515625" bestFit="1" customWidth="1"/>
    <col min="15" max="16" width="12.5703125" bestFit="1" customWidth="1"/>
    <col min="17" max="17" width="10.42578125" bestFit="1" customWidth="1"/>
    <col min="18" max="18" width="8.42578125" bestFit="1" customWidth="1"/>
  </cols>
  <sheetData>
    <row r="1" spans="1:16" x14ac:dyDescent="0.25">
      <c r="A1" t="s">
        <v>24</v>
      </c>
      <c r="B1" s="6">
        <v>4</v>
      </c>
      <c r="D1" s="1" t="s">
        <v>7</v>
      </c>
      <c r="E1" s="1" t="s">
        <v>8</v>
      </c>
      <c r="F1" s="1" t="s">
        <v>9</v>
      </c>
    </row>
    <row r="2" spans="1:16" x14ac:dyDescent="0.25">
      <c r="A2" t="s">
        <v>49</v>
      </c>
      <c r="B2" s="20">
        <v>4</v>
      </c>
      <c r="D2" t="s">
        <v>10</v>
      </c>
      <c r="E2">
        <v>16</v>
      </c>
      <c r="F2">
        <f>E2*4</f>
        <v>64</v>
      </c>
    </row>
    <row r="3" spans="1:16" x14ac:dyDescent="0.25">
      <c r="A3" t="s">
        <v>29</v>
      </c>
      <c r="B3" s="21">
        <v>24</v>
      </c>
      <c r="D3" t="s">
        <v>11</v>
      </c>
      <c r="E3">
        <v>20</v>
      </c>
      <c r="F3">
        <f>E3*4</f>
        <v>80</v>
      </c>
    </row>
    <row r="4" spans="1:16" x14ac:dyDescent="0.25">
      <c r="A4" t="s">
        <v>13</v>
      </c>
      <c r="B4" s="21">
        <v>2400000</v>
      </c>
      <c r="D4" t="s">
        <v>12</v>
      </c>
      <c r="E4">
        <v>32</v>
      </c>
      <c r="F4">
        <f>E4*4</f>
        <v>128</v>
      </c>
    </row>
    <row r="5" spans="1:16" x14ac:dyDescent="0.25">
      <c r="A5" t="s">
        <v>14</v>
      </c>
      <c r="B5" s="22">
        <v>200</v>
      </c>
    </row>
    <row r="6" spans="1:16" x14ac:dyDescent="0.25">
      <c r="A6" t="s">
        <v>25</v>
      </c>
      <c r="B6" s="6">
        <f>T/B</f>
        <v>12000</v>
      </c>
      <c r="D6" s="25" t="s">
        <v>42</v>
      </c>
      <c r="E6" s="25"/>
      <c r="F6" s="25"/>
      <c r="G6" s="25"/>
    </row>
    <row r="7" spans="1:16" x14ac:dyDescent="0.25">
      <c r="A7" t="s">
        <v>21</v>
      </c>
      <c r="B7" s="20">
        <v>0</v>
      </c>
      <c r="D7" s="1" t="s">
        <v>0</v>
      </c>
      <c r="E7" s="1" t="s">
        <v>1</v>
      </c>
      <c r="F7" s="1" t="s">
        <v>34</v>
      </c>
      <c r="G7" s="1" t="s">
        <v>23</v>
      </c>
    </row>
    <row r="8" spans="1:16" x14ac:dyDescent="0.25">
      <c r="A8" t="s">
        <v>22</v>
      </c>
      <c r="B8" s="21">
        <v>0</v>
      </c>
      <c r="D8" t="s">
        <v>2</v>
      </c>
      <c r="E8">
        <v>22</v>
      </c>
      <c r="F8">
        <f>PREQ</f>
        <v>0</v>
      </c>
      <c r="G8">
        <f>HREQ+F8+A</f>
        <v>102</v>
      </c>
    </row>
    <row r="9" spans="1:16" x14ac:dyDescent="0.25">
      <c r="A9" t="s">
        <v>50</v>
      </c>
      <c r="B9" s="22">
        <v>3</v>
      </c>
      <c r="D9" t="s">
        <v>3</v>
      </c>
      <c r="E9" s="12">
        <v>33</v>
      </c>
      <c r="F9" s="12">
        <f>IF(B&gt;1,B*SREQ+24,SREQ)</f>
        <v>20424</v>
      </c>
      <c r="G9">
        <f>SUM(E9:F9)+RCERT</f>
        <v>20537</v>
      </c>
    </row>
    <row r="10" spans="1:16" x14ac:dyDescent="0.25">
      <c r="A10" t="s">
        <v>33</v>
      </c>
      <c r="B10" s="6">
        <f>(NC+N)*8</f>
        <v>224</v>
      </c>
      <c r="D10" t="s">
        <v>4</v>
      </c>
      <c r="E10" s="12">
        <f>33</f>
        <v>33</v>
      </c>
      <c r="F10" s="12">
        <f>IF(AND(B=1,PREQ&lt;H),PREQ,H)</f>
        <v>16</v>
      </c>
      <c r="G10">
        <f>SUM(E10:F10)+RCERT</f>
        <v>129</v>
      </c>
    </row>
    <row r="11" spans="1:16" x14ac:dyDescent="0.25">
      <c r="A11" t="s">
        <v>28</v>
      </c>
      <c r="B11" s="6">
        <v>1000</v>
      </c>
      <c r="D11" t="s">
        <v>5</v>
      </c>
      <c r="E11" s="12">
        <v>33</v>
      </c>
      <c r="F11" s="12">
        <f>IF(AND(B=1,PREQ&lt;H),PREQ,H)</f>
        <v>16</v>
      </c>
      <c r="G11">
        <f>SUM(E11:F11)+RCERT</f>
        <v>129</v>
      </c>
    </row>
    <row r="12" spans="1:16" x14ac:dyDescent="0.25">
      <c r="A12" t="s">
        <v>35</v>
      </c>
      <c r="B12" s="19">
        <v>20</v>
      </c>
      <c r="D12" t="s">
        <v>6</v>
      </c>
      <c r="E12" s="12">
        <v>22</v>
      </c>
      <c r="F12" s="12">
        <f>PREP</f>
        <v>0</v>
      </c>
      <c r="G12">
        <f>SUM(E12:F12)+D</f>
        <v>42</v>
      </c>
    </row>
    <row r="13" spans="1:16" x14ac:dyDescent="0.25">
      <c r="A13" t="s">
        <v>53</v>
      </c>
      <c r="B13" s="6">
        <f>D*4</f>
        <v>80</v>
      </c>
      <c r="D13" t="s">
        <v>27</v>
      </c>
      <c r="E13" s="12">
        <v>22</v>
      </c>
      <c r="F13" s="12">
        <f>PCHK</f>
        <v>224</v>
      </c>
      <c r="G13">
        <f>SUM(E13:F13)+SIG</f>
        <v>326</v>
      </c>
    </row>
    <row r="14" spans="1:16" x14ac:dyDescent="0.25">
      <c r="A14" t="s">
        <v>36</v>
      </c>
      <c r="B14" s="6">
        <f>A</f>
        <v>80</v>
      </c>
      <c r="D14" t="s">
        <v>31</v>
      </c>
      <c r="E14" s="12">
        <v>33</v>
      </c>
      <c r="F14" s="12">
        <f>B*(SREQID+H)</f>
        <v>5200</v>
      </c>
      <c r="G14">
        <f>SUM(E14:F14)+RCERT</f>
        <v>5313</v>
      </c>
    </row>
    <row r="15" spans="1:16" x14ac:dyDescent="0.25">
      <c r="A15" t="s">
        <v>52</v>
      </c>
      <c r="B15" s="19">
        <v>80</v>
      </c>
    </row>
    <row r="16" spans="1:16" x14ac:dyDescent="0.25">
      <c r="A16" t="s">
        <v>39</v>
      </c>
      <c r="B16" s="6">
        <v>4</v>
      </c>
      <c r="D16" s="25" t="s">
        <v>41</v>
      </c>
      <c r="E16" s="25"/>
      <c r="F16" s="25"/>
      <c r="G16" s="25"/>
      <c r="M16" s="25" t="s">
        <v>43</v>
      </c>
      <c r="N16" s="25"/>
      <c r="O16" s="25"/>
      <c r="P16" s="25"/>
    </row>
    <row r="17" spans="1:18" x14ac:dyDescent="0.25">
      <c r="A17" t="s">
        <v>26</v>
      </c>
      <c r="B17" s="6">
        <f>118*10^6*NICs</f>
        <v>472000000</v>
      </c>
      <c r="I17" s="8" t="s">
        <v>40</v>
      </c>
      <c r="M17" s="1" t="s">
        <v>15</v>
      </c>
      <c r="N17" s="1" t="s">
        <v>20</v>
      </c>
      <c r="O17" s="1" t="s">
        <v>16</v>
      </c>
      <c r="P17" s="1" t="s">
        <v>17</v>
      </c>
    </row>
    <row r="18" spans="1:18" x14ac:dyDescent="0.25">
      <c r="A18" t="s">
        <v>32</v>
      </c>
      <c r="B18" s="6">
        <v>16</v>
      </c>
      <c r="D18" s="25" t="s">
        <v>47</v>
      </c>
      <c r="E18" s="25"/>
      <c r="F18" s="25"/>
      <c r="G18" s="25"/>
      <c r="I18" s="3" t="s">
        <v>44</v>
      </c>
      <c r="J18" s="5">
        <f>MNET/MAX(F29:G29,F36:G36)</f>
        <v>0.63441905983245939</v>
      </c>
      <c r="K18" s="6">
        <f>J18*T</f>
        <v>1522605.7435979026</v>
      </c>
      <c r="M18" s="3" t="s">
        <v>18</v>
      </c>
      <c r="N18" t="s">
        <v>2</v>
      </c>
      <c r="O18" s="6"/>
      <c r="P18" s="6">
        <f>T</f>
        <v>2400000</v>
      </c>
    </row>
    <row r="19" spans="1:18" x14ac:dyDescent="0.25">
      <c r="A19" t="s">
        <v>38</v>
      </c>
      <c r="B19" s="19">
        <v>400</v>
      </c>
      <c r="D19" s="1" t="s">
        <v>15</v>
      </c>
      <c r="E19" s="1" t="s">
        <v>20</v>
      </c>
      <c r="F19" s="1" t="s">
        <v>16</v>
      </c>
      <c r="G19" s="1" t="s">
        <v>17</v>
      </c>
      <c r="I19" s="3" t="s">
        <v>30</v>
      </c>
      <c r="J19" s="5">
        <f>MNET/MAX(F37:G37)</f>
        <v>1.7574447967972326</v>
      </c>
      <c r="K19" s="18">
        <f>J19*T</f>
        <v>4217867.5123133585</v>
      </c>
      <c r="M19" s="4"/>
      <c r="N19" t="s">
        <v>3</v>
      </c>
      <c r="O19" s="6">
        <f>(N-1)*I</f>
        <v>36000</v>
      </c>
      <c r="P19" s="6"/>
    </row>
    <row r="20" spans="1:18" x14ac:dyDescent="0.25">
      <c r="A20" t="s">
        <v>45</v>
      </c>
      <c r="B20" s="5">
        <f>PS/(PS-40)-1</f>
        <v>0.11111111111111116</v>
      </c>
      <c r="D20" s="3" t="s">
        <v>48</v>
      </c>
      <c r="E20" t="s">
        <v>2</v>
      </c>
      <c r="F20" s="6">
        <f>T/NCH*SREQ</f>
        <v>61200000</v>
      </c>
      <c r="G20" s="6"/>
      <c r="J20" s="11">
        <f>J19/J18</f>
        <v>2.7701639311740531</v>
      </c>
      <c r="M20" s="4"/>
      <c r="N20" t="s">
        <v>4</v>
      </c>
      <c r="O20" s="6"/>
      <c r="P20" s="6">
        <f>(N-1)*I</f>
        <v>36000</v>
      </c>
    </row>
    <row r="21" spans="1:18" x14ac:dyDescent="0.25">
      <c r="A21" t="s">
        <v>46</v>
      </c>
      <c r="B21" s="23">
        <v>10</v>
      </c>
      <c r="E21" s="24" t="s">
        <v>6</v>
      </c>
      <c r="F21" s="10"/>
      <c r="G21" s="10">
        <f>T/NCH*SREP*NREP</f>
        <v>75600000</v>
      </c>
      <c r="M21" s="4"/>
      <c r="N21" t="s">
        <v>5</v>
      </c>
      <c r="O21" s="6">
        <f>(N-1)*I</f>
        <v>36000</v>
      </c>
      <c r="P21" s="6">
        <f>(N-1)*I</f>
        <v>36000</v>
      </c>
    </row>
    <row r="22" spans="1:18" ht="15.75" thickBot="1" x14ac:dyDescent="0.3">
      <c r="D22" s="2"/>
      <c r="E22" s="2"/>
      <c r="F22" s="7">
        <f>SUM(F20:F21)</f>
        <v>61200000</v>
      </c>
      <c r="G22" s="7">
        <f>SUM(G20:G21)</f>
        <v>75600000</v>
      </c>
      <c r="M22" s="4"/>
      <c r="N22" t="s">
        <v>6</v>
      </c>
      <c r="O22" s="6"/>
      <c r="P22" s="6"/>
    </row>
    <row r="23" spans="1:18" ht="15.75" thickTop="1" x14ac:dyDescent="0.25">
      <c r="D23" s="3" t="s">
        <v>18</v>
      </c>
      <c r="E23" t="s">
        <v>2</v>
      </c>
      <c r="F23" s="6"/>
      <c r="G23" s="6">
        <f>T*SREQ</f>
        <v>244800000</v>
      </c>
      <c r="I23" s="16" t="s">
        <v>37</v>
      </c>
      <c r="J23" s="16"/>
      <c r="N23" s="9" t="s">
        <v>27</v>
      </c>
      <c r="O23" s="10">
        <f>I/CHKINT</f>
        <v>12</v>
      </c>
      <c r="P23" s="10">
        <f>I/CHKINT</f>
        <v>12</v>
      </c>
    </row>
    <row r="24" spans="1:18" ht="15.75" thickBot="1" x14ac:dyDescent="0.3">
      <c r="D24" s="4"/>
      <c r="E24" t="s">
        <v>3</v>
      </c>
      <c r="F24" s="6">
        <f>(N-1)*SPPR*I</f>
        <v>739332000</v>
      </c>
      <c r="G24" s="6"/>
      <c r="I24" s="17">
        <f>F29*(1+EO)/NICs</f>
        <v>206663260</v>
      </c>
      <c r="J24" s="17">
        <f>G29*(1+EO)/NICs</f>
        <v>70583260</v>
      </c>
      <c r="M24" s="2"/>
      <c r="N24" s="2"/>
      <c r="O24" s="7">
        <f>SUM(O18:O23)</f>
        <v>72012</v>
      </c>
      <c r="P24" s="7">
        <f>SUM(P18:P23)</f>
        <v>2472012</v>
      </c>
      <c r="Q24" s="6">
        <f>F29/O24</f>
        <v>10331.441093151141</v>
      </c>
      <c r="R24" s="6">
        <f>G29/P24</f>
        <v>102.7906563560371</v>
      </c>
    </row>
    <row r="25" spans="1:18" ht="15.75" thickTop="1" x14ac:dyDescent="0.25">
      <c r="D25" s="4"/>
      <c r="E25" t="s">
        <v>4</v>
      </c>
      <c r="F25" s="6"/>
      <c r="G25" s="6">
        <f>(N-1)*SPRE*I</f>
        <v>4644000</v>
      </c>
      <c r="I25" s="16"/>
      <c r="J25" s="16"/>
      <c r="M25" s="3" t="s">
        <v>19</v>
      </c>
      <c r="N25" t="s">
        <v>2</v>
      </c>
      <c r="O25" s="6"/>
      <c r="P25" s="6"/>
      <c r="Q25" s="6"/>
      <c r="R25" s="6"/>
    </row>
    <row r="26" spans="1:18" x14ac:dyDescent="0.25">
      <c r="D26" s="4"/>
      <c r="E26" t="s">
        <v>5</v>
      </c>
      <c r="F26" s="6">
        <f>(N-1)*SCOM*I</f>
        <v>4644000</v>
      </c>
      <c r="G26" s="6">
        <f>(N-1)*SCOM*I</f>
        <v>4644000</v>
      </c>
      <c r="I26" s="16"/>
      <c r="J26" s="16"/>
      <c r="N26" t="s">
        <v>3</v>
      </c>
      <c r="O26" s="6"/>
      <c r="P26" s="6">
        <f>I</f>
        <v>12000</v>
      </c>
      <c r="Q26" s="6"/>
      <c r="R26" s="6"/>
    </row>
    <row r="27" spans="1:18" x14ac:dyDescent="0.25">
      <c r="D27" s="4"/>
      <c r="E27" t="s">
        <v>6</v>
      </c>
      <c r="F27" s="6">
        <f>IF(NREP=N,T*SREP,0)</f>
        <v>0</v>
      </c>
      <c r="G27" s="6"/>
      <c r="I27" s="16"/>
      <c r="J27" s="16"/>
      <c r="N27" t="s">
        <v>4</v>
      </c>
      <c r="O27" s="6">
        <f>(N-1)*I</f>
        <v>36000</v>
      </c>
      <c r="P27" s="6">
        <f>(N-2)*I</f>
        <v>24000</v>
      </c>
      <c r="Q27" s="6"/>
      <c r="R27" s="6"/>
    </row>
    <row r="28" spans="1:18" x14ac:dyDescent="0.25">
      <c r="E28" s="9" t="s">
        <v>27</v>
      </c>
      <c r="F28" s="10">
        <f>(N-1)*SCHK*I/CHKINT</f>
        <v>11736</v>
      </c>
      <c r="G28" s="10">
        <f>(N-1)*SCHK*I/CHKINT</f>
        <v>11736</v>
      </c>
      <c r="I28" s="16"/>
      <c r="J28" s="16"/>
      <c r="N28" t="s">
        <v>5</v>
      </c>
      <c r="O28" s="6">
        <f>(N-1)*I</f>
        <v>36000</v>
      </c>
      <c r="P28" s="6">
        <f>(N-1)*SCOM*I</f>
        <v>4644000</v>
      </c>
      <c r="Q28" s="6"/>
      <c r="R28" s="6"/>
    </row>
    <row r="29" spans="1:18" ht="15.75" thickBot="1" x14ac:dyDescent="0.3">
      <c r="D29" s="2"/>
      <c r="E29" s="2"/>
      <c r="F29" s="7">
        <f>SUM(F23:F28)</f>
        <v>743987736</v>
      </c>
      <c r="G29" s="7">
        <f>SUM(G23:G28)</f>
        <v>254099736</v>
      </c>
      <c r="I29" s="16"/>
      <c r="J29" s="16"/>
      <c r="N29" t="s">
        <v>6</v>
      </c>
      <c r="O29" s="6">
        <f>T</f>
        <v>2400000</v>
      </c>
      <c r="Q29" s="6"/>
      <c r="R29" s="6"/>
    </row>
    <row r="30" spans="1:18" ht="15.75" thickTop="1" x14ac:dyDescent="0.25">
      <c r="D30" s="3" t="s">
        <v>19</v>
      </c>
      <c r="E30" t="s">
        <v>2</v>
      </c>
      <c r="F30" s="6"/>
      <c r="G30" s="6"/>
      <c r="I30" s="16" t="s">
        <v>37</v>
      </c>
      <c r="J30" s="16"/>
      <c r="N30" s="9" t="s">
        <v>27</v>
      </c>
      <c r="O30" s="10">
        <f>I/CHKINT</f>
        <v>12</v>
      </c>
      <c r="P30" s="10">
        <f>I/CHKINT</f>
        <v>12</v>
      </c>
      <c r="Q30" s="6"/>
      <c r="R30" s="6"/>
    </row>
    <row r="31" spans="1:18" ht="15.75" thickBot="1" x14ac:dyDescent="0.3">
      <c r="E31" t="s">
        <v>3</v>
      </c>
      <c r="F31" s="6"/>
      <c r="G31" s="6">
        <f>SPPR*I</f>
        <v>246444000</v>
      </c>
      <c r="I31" s="17">
        <f>F36*(1+EO)/NICs</f>
        <v>30583260</v>
      </c>
      <c r="J31" s="17">
        <f>G36*(1+EO)/NICs</f>
        <v>70609926.666666672</v>
      </c>
      <c r="M31" s="2"/>
      <c r="N31" s="2"/>
      <c r="O31" s="7">
        <f>SUM(O25:O30)</f>
        <v>2472012</v>
      </c>
      <c r="P31" s="7">
        <f>SUM(P25:P30)</f>
        <v>4680012</v>
      </c>
      <c r="Q31" s="6">
        <f>F36/O31</f>
        <v>44.53851194897112</v>
      </c>
      <c r="R31" s="6">
        <f>G36/P31</f>
        <v>54.315188935412984</v>
      </c>
    </row>
    <row r="32" spans="1:18" ht="16.5" thickTop="1" thickBot="1" x14ac:dyDescent="0.3">
      <c r="C32" s="10"/>
      <c r="E32" t="s">
        <v>4</v>
      </c>
      <c r="F32" s="6">
        <f>(N-1)*SPRE*I</f>
        <v>4644000</v>
      </c>
      <c r="G32" s="6">
        <f>(N-2)*SPRE*I</f>
        <v>3096000</v>
      </c>
      <c r="H32" s="10"/>
      <c r="I32" s="17">
        <f>F37*(1+EO)/NICs</f>
        <v>74603260</v>
      </c>
      <c r="J32" s="17">
        <f>G37*(1+EO)/NICs</f>
        <v>70603260</v>
      </c>
      <c r="M32" s="13" t="s">
        <v>30</v>
      </c>
      <c r="N32" s="14"/>
      <c r="O32" s="15">
        <f>(O24+O31*(N-1))/N</f>
        <v>1872012</v>
      </c>
      <c r="P32" s="15">
        <f>(P24+P31*(N-1))/N</f>
        <v>4128012</v>
      </c>
      <c r="Q32" s="6">
        <f>F37/O32</f>
        <v>143.46688803276902</v>
      </c>
      <c r="R32" s="6">
        <f>G37/P32</f>
        <v>61.5724314754899</v>
      </c>
    </row>
    <row r="33" spans="1:18" ht="15.75" thickTop="1" x14ac:dyDescent="0.25">
      <c r="A33" s="10"/>
      <c r="B33" s="10"/>
      <c r="E33" t="s">
        <v>5</v>
      </c>
      <c r="F33" s="6">
        <f>(N-1)*SCOM*I</f>
        <v>4644000</v>
      </c>
      <c r="G33" s="6">
        <f>(N-1)*SCOM*I</f>
        <v>4644000</v>
      </c>
    </row>
    <row r="34" spans="1:18" x14ac:dyDescent="0.25">
      <c r="E34" t="s">
        <v>6</v>
      </c>
      <c r="F34" s="6">
        <f>T*SREP</f>
        <v>100800000</v>
      </c>
      <c r="I34" s="8" t="s">
        <v>40</v>
      </c>
      <c r="M34" s="1" t="s">
        <v>15</v>
      </c>
      <c r="N34" s="1" t="s">
        <v>20</v>
      </c>
      <c r="O34" s="1" t="s">
        <v>16</v>
      </c>
      <c r="P34" s="1" t="s">
        <v>17</v>
      </c>
    </row>
    <row r="35" spans="1:18" x14ac:dyDescent="0.25">
      <c r="E35" s="9" t="s">
        <v>27</v>
      </c>
      <c r="F35" s="10">
        <f>(N-1)*SCHK*I/CHKINT</f>
        <v>11736</v>
      </c>
      <c r="G35" s="10">
        <f>(N-1)*SCHK*I/CHKINT</f>
        <v>11736</v>
      </c>
      <c r="I35" s="3" t="s">
        <v>44</v>
      </c>
      <c r="J35" s="5">
        <f>MNET/MAX(F50:G50,F57:G57)</f>
        <v>1.4922176927092292</v>
      </c>
      <c r="K35" s="6">
        <f>J35*T</f>
        <v>3581322.4625021503</v>
      </c>
      <c r="M35" s="3" t="s">
        <v>18</v>
      </c>
      <c r="N35" t="s">
        <v>2</v>
      </c>
      <c r="O35" s="6"/>
      <c r="P35" s="6">
        <f>T</f>
        <v>2400000</v>
      </c>
    </row>
    <row r="36" spans="1:18" ht="15.75" thickBot="1" x14ac:dyDescent="0.3">
      <c r="D36" s="2"/>
      <c r="E36" s="2"/>
      <c r="F36" s="7">
        <f>SUM(F30:F35)</f>
        <v>110099736</v>
      </c>
      <c r="G36" s="7">
        <f>SUM(G30:G35)</f>
        <v>254195736</v>
      </c>
      <c r="I36" s="3" t="s">
        <v>30</v>
      </c>
      <c r="J36" s="5">
        <f>MNET/MAX(F58:G58)</f>
        <v>1.5693798770973399</v>
      </c>
      <c r="K36" s="18">
        <f>J36*T</f>
        <v>3766511.7050336157</v>
      </c>
      <c r="M36" s="4"/>
      <c r="N36" t="s">
        <v>3</v>
      </c>
      <c r="O36" s="6">
        <f>(N-1)*I</f>
        <v>36000</v>
      </c>
      <c r="P36" s="6"/>
    </row>
    <row r="37" spans="1:18" ht="16.5" thickTop="1" thickBot="1" x14ac:dyDescent="0.3">
      <c r="D37" s="13" t="s">
        <v>30</v>
      </c>
      <c r="E37" s="14"/>
      <c r="F37" s="15">
        <f>(F29+F36*(N-1))/N</f>
        <v>268571736</v>
      </c>
      <c r="G37" s="15">
        <f>(G29+G36*(N-1))/N</f>
        <v>254171736</v>
      </c>
      <c r="J37" s="11">
        <f>J36/J35</f>
        <v>1.0517097369674107</v>
      </c>
      <c r="M37" s="4"/>
      <c r="N37" t="s">
        <v>4</v>
      </c>
      <c r="O37" s="6"/>
      <c r="P37" s="6">
        <f>(N-1)*I</f>
        <v>36000</v>
      </c>
    </row>
    <row r="38" spans="1:18" ht="15.75" thickTop="1" x14ac:dyDescent="0.25">
      <c r="M38" s="4"/>
      <c r="N38" t="s">
        <v>5</v>
      </c>
      <c r="O38" s="6">
        <f>(N-1)*I</f>
        <v>36000</v>
      </c>
      <c r="P38" s="6">
        <f>(N-1)*I</f>
        <v>36000</v>
      </c>
    </row>
    <row r="39" spans="1:18" x14ac:dyDescent="0.25">
      <c r="D39" s="25" t="s">
        <v>51</v>
      </c>
      <c r="E39" s="25"/>
      <c r="F39" s="25"/>
      <c r="G39" s="25"/>
      <c r="M39" s="4"/>
      <c r="N39" t="s">
        <v>6</v>
      </c>
      <c r="O39" s="6"/>
      <c r="P39" s="6"/>
    </row>
    <row r="40" spans="1:18" x14ac:dyDescent="0.25">
      <c r="D40" s="1" t="s">
        <v>15</v>
      </c>
      <c r="E40" s="1" t="s">
        <v>20</v>
      </c>
      <c r="F40" s="1" t="s">
        <v>16</v>
      </c>
      <c r="G40" s="1" t="s">
        <v>17</v>
      </c>
      <c r="I40" s="16" t="s">
        <v>37</v>
      </c>
      <c r="J40" s="16"/>
      <c r="N40" s="9" t="s">
        <v>27</v>
      </c>
      <c r="O40" s="10">
        <f>I/CHKINT</f>
        <v>12</v>
      </c>
      <c r="P40" s="10">
        <f>I/CHKINT</f>
        <v>12</v>
      </c>
    </row>
    <row r="41" spans="1:18" ht="15.75" thickBot="1" x14ac:dyDescent="0.3">
      <c r="D41" s="3" t="s">
        <v>48</v>
      </c>
      <c r="E41" t="s">
        <v>2</v>
      </c>
      <c r="F41" s="6">
        <f>T/NCH*SREQ*N</f>
        <v>244800000</v>
      </c>
      <c r="G41" s="6"/>
      <c r="I41" s="17">
        <f>F50*(1+EO)/NICs</f>
        <v>54423260</v>
      </c>
      <c r="J41" s="17">
        <f>G50*(1+EO)/NICs</f>
        <v>70583260</v>
      </c>
      <c r="M41" s="2"/>
      <c r="N41" s="2"/>
      <c r="O41" s="7">
        <f>SUM(O35:O40)</f>
        <v>72012</v>
      </c>
      <c r="P41" s="7">
        <f>SUM(P35:P40)</f>
        <v>2472012</v>
      </c>
      <c r="Q41" s="6">
        <f>F50/O41</f>
        <v>2720.7095484085985</v>
      </c>
      <c r="R41" s="6">
        <f>G50/P41</f>
        <v>102.7906563560371</v>
      </c>
    </row>
    <row r="42" spans="1:18" ht="15.75" thickTop="1" x14ac:dyDescent="0.25">
      <c r="E42" s="24" t="s">
        <v>6</v>
      </c>
      <c r="F42" s="10"/>
      <c r="G42" s="10">
        <f>T/NCH*SREP*NREP</f>
        <v>75600000</v>
      </c>
      <c r="I42" s="16"/>
      <c r="J42" s="16"/>
      <c r="M42" s="3" t="s">
        <v>19</v>
      </c>
      <c r="N42" t="s">
        <v>2</v>
      </c>
      <c r="O42" s="6"/>
      <c r="P42" s="6">
        <f>T</f>
        <v>2400000</v>
      </c>
      <c r="Q42" s="6"/>
      <c r="R42" s="6"/>
    </row>
    <row r="43" spans="1:18" ht="15.75" thickBot="1" x14ac:dyDescent="0.3">
      <c r="D43" s="2"/>
      <c r="E43" s="2"/>
      <c r="F43" s="7">
        <f>SUM(F41:F42)</f>
        <v>244800000</v>
      </c>
      <c r="G43" s="7">
        <f>SUM(G41:G42)</f>
        <v>75600000</v>
      </c>
      <c r="I43" s="16"/>
      <c r="J43" s="16"/>
      <c r="N43" t="s">
        <v>3</v>
      </c>
      <c r="O43" s="6"/>
      <c r="P43" s="6">
        <f>I</f>
        <v>12000</v>
      </c>
      <c r="Q43" s="6"/>
      <c r="R43" s="6"/>
    </row>
    <row r="44" spans="1:18" ht="15.75" thickTop="1" x14ac:dyDescent="0.25">
      <c r="D44" s="3" t="s">
        <v>18</v>
      </c>
      <c r="E44" t="s">
        <v>2</v>
      </c>
      <c r="F44" s="6"/>
      <c r="G44" s="6">
        <f>T*SREQ</f>
        <v>244800000</v>
      </c>
      <c r="I44" s="16"/>
      <c r="J44" s="16"/>
      <c r="N44" t="s">
        <v>4</v>
      </c>
      <c r="O44" s="6">
        <f>(N-1)*I</f>
        <v>36000</v>
      </c>
      <c r="P44" s="6">
        <f>(N-2)*I</f>
        <v>24000</v>
      </c>
      <c r="Q44" s="6"/>
      <c r="R44" s="6"/>
    </row>
    <row r="45" spans="1:18" x14ac:dyDescent="0.25">
      <c r="D45" s="4"/>
      <c r="E45" t="s">
        <v>3</v>
      </c>
      <c r="F45" s="6">
        <f>(N-1)*SPPL*I</f>
        <v>191268000</v>
      </c>
      <c r="G45" s="6"/>
      <c r="I45" s="16"/>
      <c r="J45" s="16"/>
      <c r="N45" t="s">
        <v>5</v>
      </c>
      <c r="O45" s="6">
        <f>(N-1)*I</f>
        <v>36000</v>
      </c>
      <c r="P45" s="6">
        <f>(N-1)*I</f>
        <v>36000</v>
      </c>
      <c r="Q45" s="6"/>
      <c r="R45" s="6"/>
    </row>
    <row r="46" spans="1:18" x14ac:dyDescent="0.25">
      <c r="D46" s="4"/>
      <c r="E46" t="s">
        <v>4</v>
      </c>
      <c r="F46" s="6"/>
      <c r="G46" s="6">
        <f>(N-1)*SPRE*I</f>
        <v>4644000</v>
      </c>
      <c r="I46" s="16"/>
      <c r="J46" s="16"/>
      <c r="N46" t="s">
        <v>6</v>
      </c>
      <c r="O46" s="6">
        <f>T</f>
        <v>2400000</v>
      </c>
      <c r="P46" s="6"/>
      <c r="Q46" s="6"/>
      <c r="R46" s="6"/>
    </row>
    <row r="47" spans="1:18" x14ac:dyDescent="0.25">
      <c r="D47" s="4"/>
      <c r="E47" t="s">
        <v>5</v>
      </c>
      <c r="F47" s="6">
        <f>(N-1)*SCOM*I</f>
        <v>4644000</v>
      </c>
      <c r="G47" s="6">
        <f>(N-1)*SCOM*I</f>
        <v>4644000</v>
      </c>
      <c r="I47" s="16" t="s">
        <v>37</v>
      </c>
      <c r="J47" s="16"/>
      <c r="N47" s="9" t="s">
        <v>27</v>
      </c>
      <c r="O47" s="10">
        <f>I/CHKINT</f>
        <v>12</v>
      </c>
      <c r="P47" s="10">
        <f>I/CHKINT</f>
        <v>12</v>
      </c>
      <c r="Q47" s="6"/>
      <c r="R47" s="6"/>
    </row>
    <row r="48" spans="1:18" ht="15.75" thickBot="1" x14ac:dyDescent="0.3">
      <c r="D48" s="4"/>
      <c r="E48" t="s">
        <v>6</v>
      </c>
      <c r="F48" s="6">
        <f>IF(NREP=N,T*SREP,0)</f>
        <v>0</v>
      </c>
      <c r="G48" s="6"/>
      <c r="I48" s="17">
        <f>F57*(1+EO)/NICs</f>
        <v>30583260</v>
      </c>
      <c r="J48" s="17">
        <f>G57*(1+EO)/NICs</f>
        <v>87863260</v>
      </c>
      <c r="M48" s="2"/>
      <c r="N48" s="2"/>
      <c r="O48" s="7">
        <f>SUM(O42:O47)</f>
        <v>2472012</v>
      </c>
      <c r="P48" s="7">
        <f>SUM(P42:P47)</f>
        <v>2472012</v>
      </c>
      <c r="Q48" s="6">
        <f>F57/O48</f>
        <v>44.53851194897112</v>
      </c>
      <c r="R48" s="6">
        <f>G57/P48</f>
        <v>127.95558273988961</v>
      </c>
    </row>
    <row r="49" spans="4:18" ht="16.5" thickTop="1" thickBot="1" x14ac:dyDescent="0.3">
      <c r="E49" s="9" t="s">
        <v>27</v>
      </c>
      <c r="F49" s="10">
        <f>(N-1)*SCHK*I/CHKINT</f>
        <v>11736</v>
      </c>
      <c r="G49" s="10">
        <f>(N-1)*SCHK*I/CHKINT</f>
        <v>11736</v>
      </c>
      <c r="I49" s="17">
        <f>F58*(1+EO)/NICs</f>
        <v>36543260</v>
      </c>
      <c r="J49" s="17">
        <f>G58*(1+EO)/NICs</f>
        <v>83543260</v>
      </c>
      <c r="M49" s="13" t="s">
        <v>30</v>
      </c>
      <c r="N49" s="14"/>
      <c r="O49" s="15">
        <f>(O41+O48*(N-1))/N</f>
        <v>1872012</v>
      </c>
      <c r="P49" s="15">
        <f>(P41+P48*(N-1))/N</f>
        <v>2472012</v>
      </c>
      <c r="Q49" s="6">
        <f>F58/O49</f>
        <v>70.275049518913335</v>
      </c>
      <c r="R49" s="6">
        <f>G58/P49</f>
        <v>121.66435114392648</v>
      </c>
    </row>
    <row r="50" spans="4:18" ht="16.5" thickTop="1" thickBot="1" x14ac:dyDescent="0.3">
      <c r="D50" s="2"/>
      <c r="E50" s="2"/>
      <c r="F50" s="7">
        <f>SUM(F44:F49)</f>
        <v>195923736</v>
      </c>
      <c r="G50" s="7">
        <f>SUM(G44:G49)</f>
        <v>254099736</v>
      </c>
      <c r="I50" s="6"/>
      <c r="J50" s="6"/>
    </row>
    <row r="51" spans="4:18" ht="15.75" thickTop="1" x14ac:dyDescent="0.25">
      <c r="D51" s="3" t="s">
        <v>19</v>
      </c>
      <c r="E51" t="s">
        <v>2</v>
      </c>
      <c r="F51" s="6"/>
      <c r="G51" s="6">
        <f>T*SREQ</f>
        <v>244800000</v>
      </c>
    </row>
    <row r="52" spans="4:18" x14ac:dyDescent="0.25">
      <c r="E52" t="s">
        <v>3</v>
      </c>
      <c r="F52" s="6"/>
      <c r="G52" s="6">
        <f>SPPL*I</f>
        <v>63756000</v>
      </c>
    </row>
    <row r="53" spans="4:18" x14ac:dyDescent="0.25">
      <c r="E53" t="s">
        <v>4</v>
      </c>
      <c r="F53" s="6">
        <f>(N-1)*SPRE*I</f>
        <v>4644000</v>
      </c>
      <c r="G53" s="6">
        <f>(N-2)*SPRE*I</f>
        <v>3096000</v>
      </c>
    </row>
    <row r="54" spans="4:18" x14ac:dyDescent="0.25">
      <c r="E54" t="s">
        <v>5</v>
      </c>
      <c r="F54" s="6">
        <f>(N-1)*SCOM*I</f>
        <v>4644000</v>
      </c>
      <c r="G54" s="6">
        <f>(N-1)*SCOM*I</f>
        <v>4644000</v>
      </c>
    </row>
    <row r="55" spans="4:18" x14ac:dyDescent="0.25">
      <c r="E55" t="s">
        <v>6</v>
      </c>
      <c r="F55" s="6">
        <f>T*SREP</f>
        <v>100800000</v>
      </c>
      <c r="G55" s="6"/>
    </row>
    <row r="56" spans="4:18" x14ac:dyDescent="0.25">
      <c r="E56" s="9" t="s">
        <v>27</v>
      </c>
      <c r="F56" s="10">
        <f>(N-1)*SCHK*I/CHKINT</f>
        <v>11736</v>
      </c>
      <c r="G56" s="10">
        <f>(N-1)*SCHK*I/CHKINT</f>
        <v>11736</v>
      </c>
    </row>
    <row r="57" spans="4:18" ht="15.75" thickBot="1" x14ac:dyDescent="0.3">
      <c r="D57" s="2"/>
      <c r="E57" s="2"/>
      <c r="F57" s="7">
        <f>SUM(F51:F56)</f>
        <v>110099736</v>
      </c>
      <c r="G57" s="7">
        <f>SUM(G51:G56)</f>
        <v>316307736</v>
      </c>
    </row>
    <row r="58" spans="4:18" ht="16.5" thickTop="1" thickBot="1" x14ac:dyDescent="0.3">
      <c r="D58" s="13" t="s">
        <v>30</v>
      </c>
      <c r="E58" s="14"/>
      <c r="F58" s="15">
        <f>(F50+F57*(N-1))/N</f>
        <v>131555736</v>
      </c>
      <c r="G58" s="15">
        <f>(G50+G57*(N-1))/N</f>
        <v>300755736</v>
      </c>
    </row>
    <row r="59" spans="4:18" ht="15.75" thickTop="1" x14ac:dyDescent="0.25"/>
  </sheetData>
  <mergeCells count="5">
    <mergeCell ref="D16:G16"/>
    <mergeCell ref="D6:G6"/>
    <mergeCell ref="M16:P16"/>
    <mergeCell ref="D18:G18"/>
    <mergeCell ref="D39:G39"/>
  </mergeCells>
  <pageMargins left="0.7" right="0.7" top="0.78740157499999996" bottom="0.78740157499999996" header="0.3" footer="0.3"/>
  <pageSetup orientation="portrait" horizontalDpi="75" verticalDpi="75" r:id="rId1"/>
  <ignoredErrors>
    <ignoredError sqref="G12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5"/>
  <sheetViews>
    <sheetView workbookViewId="0">
      <selection activeCell="B16" sqref="B16"/>
    </sheetView>
  </sheetViews>
  <sheetFormatPr baseColWidth="10" defaultRowHeight="15" x14ac:dyDescent="0.25"/>
  <cols>
    <col min="1" max="1" width="21.85546875" bestFit="1" customWidth="1"/>
    <col min="2" max="2" width="14" bestFit="1" customWidth="1"/>
    <col min="4" max="4" width="16.28515625" bestFit="1" customWidth="1"/>
    <col min="5" max="5" width="12.28515625" bestFit="1" customWidth="1"/>
    <col min="6" max="7" width="16.140625" bestFit="1" customWidth="1"/>
    <col min="8" max="8" width="13" bestFit="1" customWidth="1"/>
    <col min="9" max="10" width="15.85546875" customWidth="1"/>
    <col min="11" max="11" width="17.85546875" customWidth="1"/>
    <col min="12" max="13" width="9.140625" bestFit="1" customWidth="1"/>
    <col min="14" max="14" width="12.28515625" bestFit="1" customWidth="1"/>
    <col min="15" max="16" width="12.5703125" bestFit="1" customWidth="1"/>
    <col min="17" max="17" width="10.42578125" bestFit="1" customWidth="1"/>
    <col min="18" max="18" width="8.42578125" bestFit="1" customWidth="1"/>
  </cols>
  <sheetData>
    <row r="1" spans="1:16" x14ac:dyDescent="0.25">
      <c r="A1" t="s">
        <v>24</v>
      </c>
      <c r="B1" s="6">
        <v>3</v>
      </c>
      <c r="D1" s="1" t="s">
        <v>7</v>
      </c>
      <c r="E1" s="1" t="s">
        <v>8</v>
      </c>
      <c r="F1" s="1" t="s">
        <v>9</v>
      </c>
    </row>
    <row r="2" spans="1:16" x14ac:dyDescent="0.25">
      <c r="A2" t="s">
        <v>49</v>
      </c>
      <c r="B2" s="20">
        <v>4</v>
      </c>
      <c r="D2" t="s">
        <v>10</v>
      </c>
      <c r="E2">
        <v>16</v>
      </c>
      <c r="F2">
        <f>E2*4</f>
        <v>64</v>
      </c>
    </row>
    <row r="3" spans="1:16" x14ac:dyDescent="0.25">
      <c r="A3" t="s">
        <v>29</v>
      </c>
      <c r="B3" s="21">
        <v>24</v>
      </c>
      <c r="D3" t="s">
        <v>11</v>
      </c>
      <c r="E3">
        <v>20</v>
      </c>
      <c r="F3">
        <f>E3*4</f>
        <v>80</v>
      </c>
    </row>
    <row r="4" spans="1:16" x14ac:dyDescent="0.25">
      <c r="A4" t="s">
        <v>13</v>
      </c>
      <c r="B4" s="21">
        <v>2400000</v>
      </c>
      <c r="D4" t="s">
        <v>12</v>
      </c>
      <c r="E4">
        <v>32</v>
      </c>
      <c r="F4">
        <f>E4*4</f>
        <v>128</v>
      </c>
    </row>
    <row r="5" spans="1:16" x14ac:dyDescent="0.25">
      <c r="A5" t="s">
        <v>14</v>
      </c>
      <c r="B5" s="22">
        <v>200</v>
      </c>
    </row>
    <row r="6" spans="1:16" x14ac:dyDescent="0.25">
      <c r="A6" t="s">
        <v>25</v>
      </c>
      <c r="B6" s="6">
        <f>T/B</f>
        <v>12000</v>
      </c>
      <c r="D6" s="25" t="s">
        <v>42</v>
      </c>
      <c r="E6" s="25"/>
      <c r="F6" s="25"/>
      <c r="G6" s="25"/>
    </row>
    <row r="7" spans="1:16" x14ac:dyDescent="0.25">
      <c r="A7" t="s">
        <v>21</v>
      </c>
      <c r="B7" s="20">
        <v>0</v>
      </c>
      <c r="D7" s="1" t="s">
        <v>0</v>
      </c>
      <c r="E7" s="1" t="s">
        <v>1</v>
      </c>
      <c r="F7" s="1" t="s">
        <v>34</v>
      </c>
      <c r="G7" s="1" t="s">
        <v>23</v>
      </c>
    </row>
    <row r="8" spans="1:16" x14ac:dyDescent="0.25">
      <c r="A8" t="s">
        <v>22</v>
      </c>
      <c r="B8" s="21">
        <v>0</v>
      </c>
      <c r="D8" t="s">
        <v>2</v>
      </c>
      <c r="E8">
        <v>22</v>
      </c>
      <c r="F8">
        <f>PREQ</f>
        <v>0</v>
      </c>
      <c r="G8">
        <f>HREQ+F8+A</f>
        <v>102</v>
      </c>
    </row>
    <row r="9" spans="1:16" x14ac:dyDescent="0.25">
      <c r="A9" t="s">
        <v>50</v>
      </c>
      <c r="B9" s="22">
        <v>2</v>
      </c>
      <c r="D9" t="s">
        <v>4</v>
      </c>
      <c r="E9" s="12">
        <v>33</v>
      </c>
      <c r="F9" s="12">
        <f>IF(B&gt;1,B*SREQ+24,SREQ)</f>
        <v>20424</v>
      </c>
      <c r="G9">
        <f>SUM(E9:F9)+RCERT</f>
        <v>20493</v>
      </c>
    </row>
    <row r="10" spans="1:16" x14ac:dyDescent="0.25">
      <c r="A10" t="s">
        <v>33</v>
      </c>
      <c r="B10" s="6">
        <f>(NC+N)*8</f>
        <v>216</v>
      </c>
      <c r="D10" t="s">
        <v>5</v>
      </c>
      <c r="E10" s="12">
        <v>33</v>
      </c>
      <c r="F10" s="12">
        <f>IF(AND(B=1,PREQ&lt;H),PREQ,H)</f>
        <v>16</v>
      </c>
      <c r="G10">
        <f>SUM(E10:F10)+RCERT</f>
        <v>85</v>
      </c>
    </row>
    <row r="11" spans="1:16" x14ac:dyDescent="0.25">
      <c r="A11" t="s">
        <v>28</v>
      </c>
      <c r="B11" s="6">
        <v>1000</v>
      </c>
      <c r="D11" t="s">
        <v>6</v>
      </c>
      <c r="E11" s="12">
        <v>22</v>
      </c>
      <c r="F11" s="12">
        <f>PREP</f>
        <v>0</v>
      </c>
      <c r="G11">
        <f>SUM(E11:F11)+D</f>
        <v>42</v>
      </c>
    </row>
    <row r="12" spans="1:16" x14ac:dyDescent="0.25">
      <c r="A12" t="s">
        <v>35</v>
      </c>
      <c r="B12" s="19">
        <v>20</v>
      </c>
      <c r="D12" t="s">
        <v>27</v>
      </c>
      <c r="E12" s="12">
        <v>22</v>
      </c>
      <c r="F12" s="12">
        <f>PCHK</f>
        <v>216</v>
      </c>
      <c r="G12">
        <f>SUM(E12:F12)+SIG</f>
        <v>318</v>
      </c>
    </row>
    <row r="13" spans="1:16" x14ac:dyDescent="0.25">
      <c r="A13" t="s">
        <v>53</v>
      </c>
      <c r="B13" s="6">
        <f>D*4</f>
        <v>80</v>
      </c>
      <c r="D13" t="s">
        <v>31</v>
      </c>
      <c r="E13" s="12">
        <v>33</v>
      </c>
      <c r="F13" s="12">
        <f>B*(SREQID+H)</f>
        <v>5200</v>
      </c>
      <c r="G13">
        <f>SUM(E13:F13)+RCERT</f>
        <v>5269</v>
      </c>
    </row>
    <row r="14" spans="1:16" x14ac:dyDescent="0.25">
      <c r="A14" t="s">
        <v>36</v>
      </c>
      <c r="B14" s="6">
        <f>A</f>
        <v>80</v>
      </c>
    </row>
    <row r="15" spans="1:16" x14ac:dyDescent="0.25">
      <c r="A15" t="s">
        <v>52</v>
      </c>
      <c r="B15" s="19">
        <v>36</v>
      </c>
    </row>
    <row r="16" spans="1:16" x14ac:dyDescent="0.25">
      <c r="A16" t="s">
        <v>39</v>
      </c>
      <c r="B16" s="6">
        <v>4</v>
      </c>
      <c r="D16" s="25" t="s">
        <v>41</v>
      </c>
      <c r="E16" s="25"/>
      <c r="F16" s="25"/>
      <c r="G16" s="25"/>
      <c r="M16" s="25" t="s">
        <v>43</v>
      </c>
      <c r="N16" s="25"/>
      <c r="O16" s="25"/>
      <c r="P16" s="25"/>
    </row>
    <row r="17" spans="1:18" x14ac:dyDescent="0.25">
      <c r="A17" t="s">
        <v>26</v>
      </c>
      <c r="B17" s="6">
        <f>118*10^6*NICs</f>
        <v>472000000</v>
      </c>
      <c r="I17" s="8" t="s">
        <v>40</v>
      </c>
      <c r="M17" s="1" t="s">
        <v>15</v>
      </c>
      <c r="N17" s="1" t="s">
        <v>20</v>
      </c>
      <c r="O17" s="1" t="s">
        <v>16</v>
      </c>
      <c r="P17" s="1" t="s">
        <v>17</v>
      </c>
    </row>
    <row r="18" spans="1:18" x14ac:dyDescent="0.25">
      <c r="A18" t="s">
        <v>32</v>
      </c>
      <c r="B18" s="6">
        <v>16</v>
      </c>
      <c r="D18" s="25" t="s">
        <v>47</v>
      </c>
      <c r="E18" s="25"/>
      <c r="F18" s="25"/>
      <c r="G18" s="25"/>
      <c r="I18" s="3" t="s">
        <v>44</v>
      </c>
      <c r="J18" s="5">
        <f>MNET/MAX(F28:G28,F34:G34)</f>
        <v>0.95569845245207441</v>
      </c>
      <c r="K18" s="6">
        <f>J18*T</f>
        <v>2293676.2858849787</v>
      </c>
      <c r="M18" s="3" t="s">
        <v>18</v>
      </c>
      <c r="N18" t="s">
        <v>2</v>
      </c>
      <c r="O18" s="6"/>
      <c r="P18" s="6">
        <f>T</f>
        <v>2400000</v>
      </c>
    </row>
    <row r="19" spans="1:18" x14ac:dyDescent="0.25">
      <c r="A19" t="s">
        <v>38</v>
      </c>
      <c r="B19" s="19">
        <v>400</v>
      </c>
      <c r="D19" s="1" t="s">
        <v>15</v>
      </c>
      <c r="E19" s="1" t="s">
        <v>20</v>
      </c>
      <c r="F19" s="1" t="s">
        <v>16</v>
      </c>
      <c r="G19" s="1" t="s">
        <v>17</v>
      </c>
      <c r="I19" s="3" t="s">
        <v>30</v>
      </c>
      <c r="J19" s="5">
        <f>MNET/MAX(F35:G35)</f>
        <v>1.9063649130112765</v>
      </c>
      <c r="K19" s="18">
        <f>J19*T</f>
        <v>4575275.7912270641</v>
      </c>
      <c r="M19" s="4"/>
      <c r="N19" t="s">
        <v>4</v>
      </c>
      <c r="O19" s="6">
        <f>(N-1)*I</f>
        <v>24000</v>
      </c>
      <c r="P19" s="6"/>
    </row>
    <row r="20" spans="1:18" x14ac:dyDescent="0.25">
      <c r="A20" t="s">
        <v>45</v>
      </c>
      <c r="B20" s="5">
        <f>PS/(PS-40)-1</f>
        <v>0.11111111111111116</v>
      </c>
      <c r="D20" s="3" t="s">
        <v>48</v>
      </c>
      <c r="E20" t="s">
        <v>2</v>
      </c>
      <c r="F20" s="6">
        <f>T/NCH*SREQ</f>
        <v>61200000</v>
      </c>
      <c r="G20" s="6"/>
      <c r="J20" s="11">
        <f>J19/J18</f>
        <v>1.9947347493553416</v>
      </c>
      <c r="M20" s="4"/>
      <c r="N20" t="s">
        <v>5</v>
      </c>
      <c r="O20" s="6">
        <f>(N-1)*I</f>
        <v>24000</v>
      </c>
      <c r="P20" s="6">
        <f>(N-1)*I</f>
        <v>24000</v>
      </c>
    </row>
    <row r="21" spans="1:18" x14ac:dyDescent="0.25">
      <c r="A21" t="s">
        <v>46</v>
      </c>
      <c r="B21" s="23">
        <v>10</v>
      </c>
      <c r="E21" s="24" t="s">
        <v>6</v>
      </c>
      <c r="F21" s="10"/>
      <c r="G21" s="10">
        <f>T/NCH*SREP*NREP</f>
        <v>50400000</v>
      </c>
      <c r="M21" s="4"/>
      <c r="N21" t="s">
        <v>6</v>
      </c>
      <c r="O21" s="6"/>
      <c r="P21" s="6"/>
    </row>
    <row r="22" spans="1:18" ht="15.75" thickBot="1" x14ac:dyDescent="0.3">
      <c r="D22" s="2"/>
      <c r="E22" s="2"/>
      <c r="F22" s="7">
        <f>SUM(F20:F21)</f>
        <v>61200000</v>
      </c>
      <c r="G22" s="7">
        <f>SUM(G20:G21)</f>
        <v>50400000</v>
      </c>
      <c r="N22" s="9" t="s">
        <v>27</v>
      </c>
      <c r="O22" s="10">
        <f>I/CHKINT</f>
        <v>12</v>
      </c>
      <c r="P22" s="10">
        <f>I/CHKINT</f>
        <v>12</v>
      </c>
    </row>
    <row r="23" spans="1:18" ht="16.5" thickTop="1" thickBot="1" x14ac:dyDescent="0.3">
      <c r="D23" s="3" t="s">
        <v>18</v>
      </c>
      <c r="E23" t="s">
        <v>2</v>
      </c>
      <c r="F23" s="6"/>
      <c r="G23" s="6">
        <f>T*SREQ</f>
        <v>244800000</v>
      </c>
      <c r="I23" s="16" t="s">
        <v>37</v>
      </c>
      <c r="J23" s="16"/>
      <c r="M23" s="2"/>
      <c r="N23" s="2"/>
      <c r="O23" s="7">
        <f>SUM(O18:O22)</f>
        <v>48012</v>
      </c>
      <c r="P23" s="7">
        <f>SUM(P18:P22)</f>
        <v>2424012</v>
      </c>
      <c r="Q23" s="6">
        <f>F28/O23</f>
        <v>10286.587353161709</v>
      </c>
      <c r="R23" s="6">
        <f>G28/P23</f>
        <v>101.8343275528339</v>
      </c>
    </row>
    <row r="24" spans="1:18" ht="15.75" thickTop="1" x14ac:dyDescent="0.25">
      <c r="D24" s="4"/>
      <c r="E24" t="s">
        <v>4</v>
      </c>
      <c r="F24" s="6">
        <f>(N-1)*SPPR*I</f>
        <v>491832000</v>
      </c>
      <c r="G24" s="6"/>
      <c r="I24" s="17">
        <f>F28*(1+EO)/NICs</f>
        <v>137188786.66666669</v>
      </c>
      <c r="J24" s="17">
        <f>G28*(1+EO)/NICs</f>
        <v>68568786.666666672</v>
      </c>
      <c r="M24" s="3" t="s">
        <v>19</v>
      </c>
      <c r="N24" t="s">
        <v>2</v>
      </c>
      <c r="O24" s="6"/>
      <c r="P24" s="6"/>
      <c r="Q24" s="6"/>
      <c r="R24" s="6"/>
    </row>
    <row r="25" spans="1:18" x14ac:dyDescent="0.25">
      <c r="D25" s="4"/>
      <c r="E25" t="s">
        <v>5</v>
      </c>
      <c r="F25" s="6">
        <f>(N-1)*SCOM*I</f>
        <v>2040000</v>
      </c>
      <c r="G25" s="6">
        <f>(N-1)*SCOM*I</f>
        <v>2040000</v>
      </c>
      <c r="I25" s="16"/>
      <c r="J25" s="16"/>
      <c r="N25" t="s">
        <v>4</v>
      </c>
      <c r="O25" s="6"/>
      <c r="P25" s="6">
        <f>I</f>
        <v>12000</v>
      </c>
      <c r="Q25" s="6"/>
      <c r="R25" s="6"/>
    </row>
    <row r="26" spans="1:18" x14ac:dyDescent="0.25">
      <c r="D26" s="4"/>
      <c r="E26" t="s">
        <v>6</v>
      </c>
      <c r="F26" s="6">
        <f>IF(NREP=N,T*SREP,0)</f>
        <v>0</v>
      </c>
      <c r="G26" s="6"/>
      <c r="I26" s="16"/>
      <c r="J26" s="16"/>
      <c r="N26" t="s">
        <v>5</v>
      </c>
      <c r="O26" s="6">
        <f>(N-1)*I</f>
        <v>24000</v>
      </c>
      <c r="P26" s="6">
        <f>(N-1)*SCOM*I</f>
        <v>2040000</v>
      </c>
      <c r="Q26" s="6"/>
      <c r="R26" s="6"/>
    </row>
    <row r="27" spans="1:18" x14ac:dyDescent="0.25">
      <c r="E27" s="9" t="s">
        <v>27</v>
      </c>
      <c r="F27" s="10">
        <f>(N-1)*SCHK*I/CHKINT</f>
        <v>7632</v>
      </c>
      <c r="G27" s="10">
        <f>(N-1)*SCHK*I/CHKINT</f>
        <v>7632</v>
      </c>
      <c r="I27" s="16"/>
      <c r="J27" s="16"/>
      <c r="N27" t="s">
        <v>6</v>
      </c>
      <c r="O27" s="6">
        <f>T</f>
        <v>2400000</v>
      </c>
      <c r="Q27" s="6"/>
      <c r="R27" s="6"/>
    </row>
    <row r="28" spans="1:18" ht="15.75" thickBot="1" x14ac:dyDescent="0.3">
      <c r="D28" s="2"/>
      <c r="E28" s="2"/>
      <c r="F28" s="7">
        <f>SUM(F23:F27)</f>
        <v>493879632</v>
      </c>
      <c r="G28" s="7">
        <f>SUM(G23:G27)</f>
        <v>246847632</v>
      </c>
      <c r="I28" s="16"/>
      <c r="J28" s="16"/>
      <c r="N28" s="9" t="s">
        <v>27</v>
      </c>
      <c r="O28" s="10">
        <f>I/CHKINT</f>
        <v>12</v>
      </c>
      <c r="P28" s="10">
        <f>I/CHKINT</f>
        <v>12</v>
      </c>
      <c r="Q28" s="6"/>
      <c r="R28" s="6"/>
    </row>
    <row r="29" spans="1:18" ht="16.5" thickTop="1" thickBot="1" x14ac:dyDescent="0.3">
      <c r="D29" s="3" t="s">
        <v>19</v>
      </c>
      <c r="E29" t="s">
        <v>2</v>
      </c>
      <c r="F29" s="6"/>
      <c r="G29" s="6"/>
      <c r="I29" s="16"/>
      <c r="J29" s="16"/>
      <c r="M29" s="2"/>
      <c r="N29" s="2"/>
      <c r="O29" s="7">
        <f>SUM(O24:O28)</f>
        <v>2424012</v>
      </c>
      <c r="P29" s="7">
        <f>SUM(P24:P28)</f>
        <v>2052012</v>
      </c>
      <c r="Q29" s="6">
        <f>F34/O29</f>
        <v>42.428681046133434</v>
      </c>
      <c r="R29" s="6">
        <f>G34/P29</f>
        <v>120.83926994578979</v>
      </c>
    </row>
    <row r="30" spans="1:18" ht="16.5" thickTop="1" thickBot="1" x14ac:dyDescent="0.3">
      <c r="E30" t="s">
        <v>4</v>
      </c>
      <c r="F30" s="6"/>
      <c r="G30" s="6">
        <f>SPPR*I</f>
        <v>245916000</v>
      </c>
      <c r="I30" s="16" t="s">
        <v>37</v>
      </c>
      <c r="J30" s="16"/>
      <c r="M30" s="13" t="s">
        <v>30</v>
      </c>
      <c r="N30" s="14"/>
      <c r="O30" s="15">
        <f>(O23+O29*(N-1))/N</f>
        <v>1632012</v>
      </c>
      <c r="P30" s="15">
        <f>(P23+P29*(N-1))/N</f>
        <v>2176012</v>
      </c>
      <c r="Q30" s="6">
        <f>F35/O30</f>
        <v>142.88597877956781</v>
      </c>
      <c r="R30" s="6">
        <f>G35/P30</f>
        <v>113.78229164177404</v>
      </c>
    </row>
    <row r="31" spans="1:18" ht="15.75" thickTop="1" x14ac:dyDescent="0.25">
      <c r="E31" t="s">
        <v>5</v>
      </c>
      <c r="F31" s="6">
        <f>(N-1)*SCOM*I</f>
        <v>2040000</v>
      </c>
      <c r="G31" s="6">
        <f>(N-1)*SCOM*I</f>
        <v>2040000</v>
      </c>
      <c r="I31" s="17">
        <f>F34*(1+EO)/NICs</f>
        <v>28568786.666666668</v>
      </c>
      <c r="J31" s="17">
        <f>G34*(1+EO)/NICs</f>
        <v>68878786.666666672</v>
      </c>
    </row>
    <row r="32" spans="1:18" x14ac:dyDescent="0.25">
      <c r="C32" s="10"/>
      <c r="E32" t="s">
        <v>6</v>
      </c>
      <c r="F32" s="6">
        <f>T*SREP</f>
        <v>100800000</v>
      </c>
      <c r="H32" s="10"/>
      <c r="I32" s="17">
        <f>F35*(1+EO)/NICs</f>
        <v>64775453.333333336</v>
      </c>
      <c r="J32" s="17">
        <f>G35*(1+EO)/NICs</f>
        <v>68775453.333333343</v>
      </c>
      <c r="M32" s="1" t="s">
        <v>15</v>
      </c>
      <c r="N32" s="1" t="s">
        <v>20</v>
      </c>
      <c r="O32" s="1" t="s">
        <v>16</v>
      </c>
      <c r="P32" s="1" t="s">
        <v>17</v>
      </c>
    </row>
    <row r="33" spans="1:18" x14ac:dyDescent="0.25">
      <c r="A33" s="10"/>
      <c r="B33" s="10"/>
      <c r="E33" s="9" t="s">
        <v>27</v>
      </c>
      <c r="F33" s="10">
        <f>(N-1)*SCHK*I/CHKINT</f>
        <v>7632</v>
      </c>
      <c r="G33" s="10">
        <f>(N-1)*SCHK*I/CHKINT</f>
        <v>7632</v>
      </c>
      <c r="M33" s="3" t="s">
        <v>18</v>
      </c>
      <c r="N33" t="s">
        <v>2</v>
      </c>
      <c r="O33" s="6"/>
      <c r="P33" s="6">
        <f>T</f>
        <v>2400000</v>
      </c>
    </row>
    <row r="34" spans="1:18" ht="15.75" thickBot="1" x14ac:dyDescent="0.3">
      <c r="D34" s="2"/>
      <c r="E34" s="2"/>
      <c r="F34" s="7">
        <f>SUM(F29:F33)</f>
        <v>102847632</v>
      </c>
      <c r="G34" s="7">
        <f>SUM(G29:G33)</f>
        <v>247963632</v>
      </c>
      <c r="I34" s="8" t="s">
        <v>40</v>
      </c>
      <c r="M34" s="4"/>
      <c r="N34" t="s">
        <v>4</v>
      </c>
      <c r="O34" s="6">
        <f>(N-1)*I</f>
        <v>24000</v>
      </c>
      <c r="P34" s="6"/>
    </row>
    <row r="35" spans="1:18" ht="16.5" thickTop="1" thickBot="1" x14ac:dyDescent="0.3">
      <c r="D35" s="13" t="s">
        <v>30</v>
      </c>
      <c r="E35" s="14"/>
      <c r="F35" s="15">
        <f>(F28+F34*(N-1))/N</f>
        <v>233191632</v>
      </c>
      <c r="G35" s="15">
        <f>(G28+G34*(N-1))/N</f>
        <v>247591632</v>
      </c>
      <c r="I35" s="3" t="s">
        <v>44</v>
      </c>
      <c r="J35" s="5">
        <f>MNET/MAX(F47:G47,F53:G53)</f>
        <v>1.5222092653833565</v>
      </c>
      <c r="K35" s="6">
        <f>J35*T</f>
        <v>3653302.2369200559</v>
      </c>
      <c r="M35" s="4"/>
      <c r="N35" t="s">
        <v>5</v>
      </c>
      <c r="O35" s="6">
        <f>(N-1)*I</f>
        <v>24000</v>
      </c>
      <c r="P35" s="6">
        <f>(N-1)*I</f>
        <v>24000</v>
      </c>
    </row>
    <row r="36" spans="1:18" ht="15.75" thickTop="1" x14ac:dyDescent="0.25">
      <c r="I36" s="3" t="s">
        <v>30</v>
      </c>
      <c r="J36" s="5">
        <f>MNET/MAX(F54:G54)</f>
        <v>1.6332200727508193</v>
      </c>
      <c r="K36" s="18">
        <f>J36*T</f>
        <v>3919728.174601966</v>
      </c>
      <c r="M36" s="4"/>
      <c r="N36" t="s">
        <v>6</v>
      </c>
      <c r="O36" s="6"/>
      <c r="P36" s="6"/>
    </row>
    <row r="37" spans="1:18" x14ac:dyDescent="0.25">
      <c r="D37" s="25" t="s">
        <v>51</v>
      </c>
      <c r="E37" s="25"/>
      <c r="F37" s="25"/>
      <c r="G37" s="25"/>
      <c r="J37" s="11">
        <f>J36/J35</f>
        <v>1.0729274285027464</v>
      </c>
      <c r="N37" s="9" t="s">
        <v>27</v>
      </c>
      <c r="O37" s="10">
        <f>I/CHKINT</f>
        <v>12</v>
      </c>
      <c r="P37" s="10">
        <f>I/CHKINT</f>
        <v>12</v>
      </c>
    </row>
    <row r="38" spans="1:18" ht="15.75" thickBot="1" x14ac:dyDescent="0.3">
      <c r="D38" s="1" t="s">
        <v>15</v>
      </c>
      <c r="E38" s="1" t="s">
        <v>20</v>
      </c>
      <c r="F38" s="1" t="s">
        <v>16</v>
      </c>
      <c r="G38" s="1" t="s">
        <v>17</v>
      </c>
      <c r="M38" s="2"/>
      <c r="N38" s="2"/>
      <c r="O38" s="7">
        <f>SUM(O33:O37)</f>
        <v>48012</v>
      </c>
      <c r="P38" s="7">
        <f>SUM(P33:P37)</f>
        <v>2424012</v>
      </c>
      <c r="Q38" s="6">
        <f>F47/O38</f>
        <v>2676.4898775306174</v>
      </c>
      <c r="R38" s="6">
        <f>G47/P38</f>
        <v>101.8343275528339</v>
      </c>
    </row>
    <row r="39" spans="1:18" ht="15.75" thickTop="1" x14ac:dyDescent="0.25">
      <c r="D39" s="3" t="s">
        <v>48</v>
      </c>
      <c r="E39" t="s">
        <v>2</v>
      </c>
      <c r="F39" s="6">
        <f>T/NCH*SREQ*N</f>
        <v>183600000</v>
      </c>
      <c r="G39" s="6"/>
      <c r="M39" s="3" t="s">
        <v>19</v>
      </c>
      <c r="N39" t="s">
        <v>2</v>
      </c>
      <c r="O39" s="6"/>
      <c r="P39" s="6">
        <f>T</f>
        <v>2400000</v>
      </c>
      <c r="Q39" s="6"/>
      <c r="R39" s="6"/>
    </row>
    <row r="40" spans="1:18" x14ac:dyDescent="0.25">
      <c r="E40" s="24" t="s">
        <v>6</v>
      </c>
      <c r="F40" s="10"/>
      <c r="G40" s="10">
        <f>T/NCH*SREP*NREP</f>
        <v>50400000</v>
      </c>
      <c r="I40" s="16" t="s">
        <v>37</v>
      </c>
      <c r="J40" s="16"/>
      <c r="N40" t="s">
        <v>4</v>
      </c>
      <c r="O40" s="6"/>
      <c r="P40" s="6">
        <f>I</f>
        <v>12000</v>
      </c>
      <c r="Q40" s="6"/>
      <c r="R40" s="6"/>
    </row>
    <row r="41" spans="1:18" ht="15.75" thickBot="1" x14ac:dyDescent="0.3">
      <c r="D41" s="2"/>
      <c r="E41" s="2"/>
      <c r="F41" s="7">
        <f>SUM(F39:F40)</f>
        <v>183600000</v>
      </c>
      <c r="G41" s="7">
        <f>SUM(G39:G40)</f>
        <v>50400000</v>
      </c>
      <c r="I41" s="17">
        <f>F47*(1+EO)/NICs</f>
        <v>35695453.333333336</v>
      </c>
      <c r="J41" s="17">
        <f>G47*(1+EO)/NICs</f>
        <v>68568786.666666672</v>
      </c>
      <c r="N41" t="s">
        <v>5</v>
      </c>
      <c r="O41" s="6">
        <f>(N-1)*I</f>
        <v>24000</v>
      </c>
      <c r="P41" s="6">
        <f>(N-1)*I</f>
        <v>24000</v>
      </c>
      <c r="Q41" s="6"/>
      <c r="R41" s="6"/>
    </row>
    <row r="42" spans="1:18" ht="15.75" thickTop="1" x14ac:dyDescent="0.25">
      <c r="D42" s="3" t="s">
        <v>18</v>
      </c>
      <c r="E42" t="s">
        <v>2</v>
      </c>
      <c r="F42" s="6"/>
      <c r="G42" s="6">
        <f>T*SREQ</f>
        <v>244800000</v>
      </c>
      <c r="I42" s="16"/>
      <c r="J42" s="16"/>
      <c r="N42" t="s">
        <v>6</v>
      </c>
      <c r="O42" s="6">
        <f>T</f>
        <v>2400000</v>
      </c>
      <c r="P42" s="6"/>
      <c r="Q42" s="6"/>
      <c r="R42" s="6"/>
    </row>
    <row r="43" spans="1:18" x14ac:dyDescent="0.25">
      <c r="D43" s="4"/>
      <c r="E43" t="s">
        <v>4</v>
      </c>
      <c r="F43" s="6">
        <f>(N-1)*SPPL*I</f>
        <v>126456000</v>
      </c>
      <c r="G43" s="6"/>
      <c r="I43" s="16"/>
      <c r="J43" s="16"/>
      <c r="N43" s="9" t="s">
        <v>27</v>
      </c>
      <c r="O43" s="10">
        <f>I/CHKINT</f>
        <v>12</v>
      </c>
      <c r="P43" s="10">
        <f>I/CHKINT</f>
        <v>12</v>
      </c>
      <c r="Q43" s="6"/>
      <c r="R43" s="6"/>
    </row>
    <row r="44" spans="1:18" ht="15.75" thickBot="1" x14ac:dyDescent="0.3">
      <c r="D44" s="4"/>
      <c r="E44" t="s">
        <v>5</v>
      </c>
      <c r="F44" s="6">
        <f>(N-1)*SCOM*I</f>
        <v>2040000</v>
      </c>
      <c r="G44" s="6">
        <f>(N-1)*SCOM*I</f>
        <v>2040000</v>
      </c>
      <c r="I44" s="16"/>
      <c r="J44" s="16"/>
      <c r="M44" s="2"/>
      <c r="N44" s="2"/>
      <c r="O44" s="7">
        <f>SUM(O39:O43)</f>
        <v>2424012</v>
      </c>
      <c r="P44" s="7">
        <f>SUM(P39:P43)</f>
        <v>2436012</v>
      </c>
      <c r="Q44" s="6">
        <f>F53/O44</f>
        <v>42.428681046133434</v>
      </c>
      <c r="R44" s="6">
        <f>G53/P44</f>
        <v>127.28822025507263</v>
      </c>
    </row>
    <row r="45" spans="1:18" ht="16.5" thickTop="1" thickBot="1" x14ac:dyDescent="0.3">
      <c r="D45" s="4"/>
      <c r="E45" t="s">
        <v>6</v>
      </c>
      <c r="F45" s="6">
        <f>IF(NREP=N,T*SREP,0)</f>
        <v>0</v>
      </c>
      <c r="G45" s="6"/>
      <c r="I45" s="16"/>
      <c r="J45" s="16"/>
      <c r="M45" s="13" t="s">
        <v>30</v>
      </c>
      <c r="N45" s="14"/>
      <c r="O45" s="15">
        <f>(O38+O44*(N-1))/N</f>
        <v>1632012</v>
      </c>
      <c r="P45" s="15">
        <f>(P38+P44*(N-1))/N</f>
        <v>2432012</v>
      </c>
      <c r="Q45" s="6">
        <f>F54/O45</f>
        <v>68.25907652639809</v>
      </c>
      <c r="R45" s="6">
        <f>G54/P45</f>
        <v>118.83149918668164</v>
      </c>
    </row>
    <row r="46" spans="1:18" ht="15.75" thickTop="1" x14ac:dyDescent="0.25">
      <c r="E46" s="9" t="s">
        <v>27</v>
      </c>
      <c r="F46" s="10">
        <f>(N-1)*SCHK*I/CHKINT</f>
        <v>7632</v>
      </c>
      <c r="G46" s="10">
        <f>(N-1)*SCHK*I/CHKINT</f>
        <v>7632</v>
      </c>
      <c r="I46" s="16"/>
      <c r="J46" s="16"/>
    </row>
    <row r="47" spans="1:18" ht="15.75" thickBot="1" x14ac:dyDescent="0.3">
      <c r="D47" s="2"/>
      <c r="E47" s="2"/>
      <c r="F47" s="7">
        <f>SUM(F42:F46)</f>
        <v>128503632</v>
      </c>
      <c r="G47" s="7">
        <f>SUM(G42:G46)</f>
        <v>246847632</v>
      </c>
      <c r="I47" s="16" t="s">
        <v>37</v>
      </c>
      <c r="J47" s="16"/>
    </row>
    <row r="48" spans="1:18" ht="15.75" thickTop="1" x14ac:dyDescent="0.25">
      <c r="D48" s="3" t="s">
        <v>19</v>
      </c>
      <c r="E48" t="s">
        <v>2</v>
      </c>
      <c r="F48" s="6"/>
      <c r="G48" s="6">
        <f>T*SREQ</f>
        <v>244800000</v>
      </c>
      <c r="I48" s="17">
        <f>F53*(1+EO)/NICs</f>
        <v>28568786.666666668</v>
      </c>
      <c r="J48" s="17">
        <f>G53*(1+EO)/NICs</f>
        <v>86132120</v>
      </c>
    </row>
    <row r="49" spans="4:10" x14ac:dyDescent="0.25">
      <c r="E49" t="s">
        <v>4</v>
      </c>
      <c r="F49" s="6"/>
      <c r="G49" s="6">
        <f>SPPL*I</f>
        <v>63228000</v>
      </c>
      <c r="I49" s="17">
        <f>F54*(1+EO)/NICs</f>
        <v>30944342.222222224</v>
      </c>
      <c r="J49" s="17">
        <f>G54*(1+EO)/NICs</f>
        <v>80277675.555555552</v>
      </c>
    </row>
    <row r="50" spans="4:10" x14ac:dyDescent="0.25">
      <c r="E50" t="s">
        <v>5</v>
      </c>
      <c r="F50" s="6">
        <f>(N-1)*SCOM*I</f>
        <v>2040000</v>
      </c>
      <c r="G50" s="6">
        <f>(N-1)*SCOM*I</f>
        <v>2040000</v>
      </c>
      <c r="I50" s="6"/>
      <c r="J50" s="6"/>
    </row>
    <row r="51" spans="4:10" x14ac:dyDescent="0.25">
      <c r="E51" t="s">
        <v>6</v>
      </c>
      <c r="F51" s="6">
        <f>T*SREP</f>
        <v>100800000</v>
      </c>
      <c r="G51" s="6"/>
    </row>
    <row r="52" spans="4:10" x14ac:dyDescent="0.25">
      <c r="E52" s="9" t="s">
        <v>27</v>
      </c>
      <c r="F52" s="10">
        <f>(N-1)*SCHK*I/CHKINT</f>
        <v>7632</v>
      </c>
      <c r="G52" s="10">
        <f>(N-1)*SCHK*I/CHKINT</f>
        <v>7632</v>
      </c>
    </row>
    <row r="53" spans="4:10" ht="15.75" thickBot="1" x14ac:dyDescent="0.3">
      <c r="D53" s="2"/>
      <c r="E53" s="2"/>
      <c r="F53" s="7">
        <f>SUM(F48:F52)</f>
        <v>102847632</v>
      </c>
      <c r="G53" s="7">
        <f>SUM(G48:G52)</f>
        <v>310075632</v>
      </c>
    </row>
    <row r="54" spans="4:10" ht="16.5" thickTop="1" thickBot="1" x14ac:dyDescent="0.3">
      <c r="D54" s="13" t="s">
        <v>30</v>
      </c>
      <c r="E54" s="14"/>
      <c r="F54" s="15">
        <f>(F47+F53*(N-1))/N</f>
        <v>111399632</v>
      </c>
      <c r="G54" s="15">
        <f>(G47+G53*(N-1))/N</f>
        <v>288999632</v>
      </c>
    </row>
    <row r="55" spans="4:10" ht="15.75" thickTop="1" x14ac:dyDescent="0.25"/>
  </sheetData>
  <mergeCells count="5">
    <mergeCell ref="D6:G6"/>
    <mergeCell ref="D16:G16"/>
    <mergeCell ref="M16:P16"/>
    <mergeCell ref="D18:G18"/>
    <mergeCell ref="D37:G37"/>
  </mergeCells>
  <pageMargins left="0.7" right="0.7" top="0.78740157499999996" bottom="0.78740157499999996" header="0.3" footer="0.3"/>
  <pageSetup orientation="portrait" horizontalDpi="75" verticalDpi="7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66</vt:i4>
      </vt:variant>
    </vt:vector>
  </HeadingPairs>
  <TitlesOfParts>
    <vt:vector size="68" baseType="lpstr">
      <vt:lpstr>Network-PBFT</vt:lpstr>
      <vt:lpstr>Network-Hybster</vt:lpstr>
      <vt:lpstr>'Network-Hybster'!A</vt:lpstr>
      <vt:lpstr>A</vt:lpstr>
      <vt:lpstr>'Network-Hybster'!B</vt:lpstr>
      <vt:lpstr>B</vt:lpstr>
      <vt:lpstr>'Network-Hybster'!CHKINT</vt:lpstr>
      <vt:lpstr>CHKINT</vt:lpstr>
      <vt:lpstr>'Network-Hybster'!D</vt:lpstr>
      <vt:lpstr>D</vt:lpstr>
      <vt:lpstr>'Network-Hybster'!EO</vt:lpstr>
      <vt:lpstr>EO</vt:lpstr>
      <vt:lpstr>'Network-Hybster'!H</vt:lpstr>
      <vt:lpstr>H</vt:lpstr>
      <vt:lpstr>'Network-Hybster'!HCHK</vt:lpstr>
      <vt:lpstr>HCHK</vt:lpstr>
      <vt:lpstr>'Network-Hybster'!HCOM</vt:lpstr>
      <vt:lpstr>HCOM</vt:lpstr>
      <vt:lpstr>'Network-Hybster'!HPPR</vt:lpstr>
      <vt:lpstr>HPPR</vt:lpstr>
      <vt:lpstr>HPRE</vt:lpstr>
      <vt:lpstr>'Network-Hybster'!HREP</vt:lpstr>
      <vt:lpstr>HREP</vt:lpstr>
      <vt:lpstr>'Network-Hybster'!HREQ</vt:lpstr>
      <vt:lpstr>HREQ</vt:lpstr>
      <vt:lpstr>'Network-Hybster'!I</vt:lpstr>
      <vt:lpstr>I</vt:lpstr>
      <vt:lpstr>'Network-Hybster'!MNET</vt:lpstr>
      <vt:lpstr>MNET</vt:lpstr>
      <vt:lpstr>'Network-Hybster'!N</vt:lpstr>
      <vt:lpstr>N</vt:lpstr>
      <vt:lpstr>'Network-Hybster'!NC</vt:lpstr>
      <vt:lpstr>NC</vt:lpstr>
      <vt:lpstr>'Network-Hybster'!NCH</vt:lpstr>
      <vt:lpstr>NCH</vt:lpstr>
      <vt:lpstr>'Network-Hybster'!NICs</vt:lpstr>
      <vt:lpstr>NICs</vt:lpstr>
      <vt:lpstr>'Network-Hybster'!NREP</vt:lpstr>
      <vt:lpstr>NREP</vt:lpstr>
      <vt:lpstr>'Network-Hybster'!PCHK</vt:lpstr>
      <vt:lpstr>PCHK</vt:lpstr>
      <vt:lpstr>'Network-Hybster'!PREP</vt:lpstr>
      <vt:lpstr>PREP</vt:lpstr>
      <vt:lpstr>'Network-Hybster'!PREQ</vt:lpstr>
      <vt:lpstr>PREQ</vt:lpstr>
      <vt:lpstr>'Network-Hybster'!PS</vt:lpstr>
      <vt:lpstr>PS</vt:lpstr>
      <vt:lpstr>'Network-Hybster'!RCERT</vt:lpstr>
      <vt:lpstr>RCERT</vt:lpstr>
      <vt:lpstr>'Network-Hybster'!SCHK</vt:lpstr>
      <vt:lpstr>SCHK</vt:lpstr>
      <vt:lpstr>'Network-Hybster'!SCOM</vt:lpstr>
      <vt:lpstr>SCOM</vt:lpstr>
      <vt:lpstr>'Network-Hybster'!SIG</vt:lpstr>
      <vt:lpstr>SIG</vt:lpstr>
      <vt:lpstr>'Network-Hybster'!SPPL</vt:lpstr>
      <vt:lpstr>SPPL</vt:lpstr>
      <vt:lpstr>'Network-Hybster'!SPPR</vt:lpstr>
      <vt:lpstr>SPPR</vt:lpstr>
      <vt:lpstr>SPRE</vt:lpstr>
      <vt:lpstr>'Network-Hybster'!SREP</vt:lpstr>
      <vt:lpstr>SREP</vt:lpstr>
      <vt:lpstr>'Network-Hybster'!SREQ</vt:lpstr>
      <vt:lpstr>SREQ</vt:lpstr>
      <vt:lpstr>'Network-Hybster'!SREQID</vt:lpstr>
      <vt:lpstr>SREQID</vt:lpstr>
      <vt:lpstr>'Network-Hybster'!T</vt:lpstr>
      <vt:lpstr>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Behl</dc:creator>
  <cp:lastModifiedBy>Johannes Behl</cp:lastModifiedBy>
  <dcterms:created xsi:type="dcterms:W3CDTF">2015-04-28T14:07:36Z</dcterms:created>
  <dcterms:modified xsi:type="dcterms:W3CDTF">2016-04-12T15:13:55Z</dcterms:modified>
</cp:coreProperties>
</file>