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05" windowWidth="22575" windowHeight="9090"/>
  </bookViews>
  <sheets>
    <sheet name="Cover" sheetId="5" r:id="rId1"/>
    <sheet name="Geopolitical_Entities" sheetId="1" r:id="rId2"/>
    <sheet name="Administrative_Subdivisions" sheetId="6" r:id="rId3"/>
  </sheets>
  <externalReferences>
    <externalReference r:id="rId4"/>
    <externalReference r:id="rId5"/>
    <externalReference r:id="rId6"/>
    <externalReference r:id="rId7"/>
  </externalReferences>
  <definedNames>
    <definedName name="_xlnm._FilterDatabase" localSheetId="1" hidden="1">Geopolitical_Entities!$A$3:$F$3</definedName>
    <definedName name="Feature_Def" localSheetId="0">'[1]Feature Types'!#REF!</definedName>
    <definedName name="Feature_Def">[2]Entity_Types!#REF!</definedName>
    <definedName name="ignore_me">[3]Info_Types!#REF!</definedName>
    <definedName name="ignore_me2">[3]Info_Types!#REF!</definedName>
    <definedName name="IHO_T_FeatureType">#REF!</definedName>
    <definedName name="_xlnm.Print_Titles" localSheetId="1">Geopolitical_Entities!$1:$3</definedName>
    <definedName name="tblClassISO">#REF!</definedName>
    <definedName name="TEMPER">[4]DVOF_Map!$A$1:$AB$187</definedName>
  </definedNames>
  <calcPr calcId="145621"/>
</workbook>
</file>

<file path=xl/calcChain.xml><?xml version="1.0" encoding="utf-8"?>
<calcChain xmlns="http://schemas.openxmlformats.org/spreadsheetml/2006/main">
  <c r="G283" i="1" l="1"/>
  <c r="G282" i="1"/>
  <c r="G281" i="1"/>
  <c r="G274" i="1"/>
  <c r="G273" i="1"/>
  <c r="G271" i="1"/>
  <c r="G270" i="1"/>
  <c r="G269" i="1"/>
  <c r="G267" i="1"/>
  <c r="G266" i="1"/>
  <c r="G265" i="1"/>
  <c r="G264" i="1"/>
  <c r="G263" i="1"/>
  <c r="G262" i="1"/>
  <c r="G260" i="1"/>
  <c r="G259" i="1"/>
  <c r="G258" i="1"/>
  <c r="G256" i="1"/>
  <c r="G255" i="1"/>
  <c r="G253" i="1"/>
  <c r="G252" i="1"/>
  <c r="G251" i="1"/>
  <c r="G250" i="1"/>
  <c r="G249" i="1"/>
  <c r="G248" i="1"/>
  <c r="G247" i="1"/>
  <c r="G246" i="1"/>
  <c r="G245" i="1"/>
  <c r="G244" i="1"/>
  <c r="G242" i="1"/>
  <c r="G241" i="1"/>
  <c r="G240" i="1"/>
  <c r="G238" i="1"/>
  <c r="G237" i="1"/>
  <c r="G235" i="1"/>
  <c r="G234" i="1"/>
  <c r="G233" i="1"/>
  <c r="G232" i="1"/>
  <c r="G231" i="1"/>
  <c r="G229" i="1"/>
  <c r="G228" i="1"/>
  <c r="G227" i="1"/>
  <c r="G226" i="1"/>
  <c r="G225" i="1"/>
  <c r="G224" i="1"/>
  <c r="G223" i="1"/>
  <c r="G222" i="1"/>
  <c r="G221" i="1"/>
  <c r="G220" i="1"/>
  <c r="G217" i="1"/>
  <c r="G216" i="1"/>
  <c r="G215" i="1"/>
  <c r="G213" i="1"/>
  <c r="G212" i="1"/>
  <c r="G211" i="1"/>
  <c r="G209" i="1"/>
  <c r="G207" i="1"/>
  <c r="G206" i="1"/>
  <c r="G204" i="1"/>
  <c r="G203" i="1"/>
  <c r="G202" i="1"/>
  <c r="G200" i="1"/>
  <c r="G199" i="1"/>
  <c r="G197" i="1"/>
  <c r="G196" i="1"/>
  <c r="G195" i="1"/>
  <c r="G194" i="1"/>
  <c r="G190" i="1"/>
  <c r="G189" i="1"/>
  <c r="G188" i="1"/>
  <c r="G187" i="1"/>
  <c r="G185" i="1"/>
  <c r="G184" i="1"/>
  <c r="G182" i="1"/>
  <c r="G181" i="1"/>
  <c r="G180" i="1"/>
  <c r="G179" i="1"/>
  <c r="G178" i="1"/>
  <c r="G177" i="1"/>
  <c r="G176" i="1"/>
  <c r="G175" i="1"/>
  <c r="G174" i="1"/>
  <c r="G172" i="1"/>
  <c r="G171" i="1"/>
  <c r="G169" i="1"/>
  <c r="G168" i="1"/>
  <c r="G166" i="1"/>
  <c r="G165" i="1"/>
  <c r="G164" i="1"/>
  <c r="G163" i="1"/>
  <c r="G162" i="1"/>
  <c r="G161" i="1"/>
  <c r="G160" i="1"/>
  <c r="G159" i="1"/>
  <c r="G157" i="1"/>
  <c r="G156" i="1"/>
  <c r="G155" i="1"/>
  <c r="G154" i="1"/>
  <c r="G153" i="1"/>
  <c r="G152" i="1"/>
  <c r="G151" i="1"/>
  <c r="G150" i="1"/>
  <c r="G149" i="1"/>
  <c r="G148" i="1"/>
  <c r="G147" i="1"/>
  <c r="G146" i="1"/>
  <c r="G145" i="1"/>
  <c r="G144" i="1"/>
  <c r="G143" i="1"/>
  <c r="G141" i="1"/>
  <c r="G140" i="1"/>
  <c r="G138" i="1"/>
  <c r="G134" i="1"/>
  <c r="G132" i="1"/>
  <c r="G131" i="1"/>
  <c r="G130" i="1"/>
  <c r="G128" i="1"/>
  <c r="G127" i="1"/>
  <c r="G126" i="1"/>
  <c r="G125" i="1"/>
  <c r="G124" i="1"/>
  <c r="G123" i="1"/>
  <c r="G122" i="1"/>
  <c r="G119" i="1"/>
  <c r="G117" i="1"/>
  <c r="G116" i="1"/>
  <c r="G115" i="1"/>
  <c r="G114" i="1"/>
  <c r="G112" i="1"/>
  <c r="G108" i="1"/>
  <c r="G107" i="1"/>
  <c r="G106" i="1"/>
  <c r="G103" i="1"/>
  <c r="G102" i="1"/>
  <c r="G101" i="1"/>
  <c r="G99" i="1"/>
  <c r="G98" i="1"/>
  <c r="G94" i="1"/>
  <c r="G93" i="1"/>
  <c r="G92" i="1"/>
  <c r="G88" i="1"/>
  <c r="G87" i="1"/>
  <c r="G86" i="1"/>
  <c r="G85" i="1"/>
  <c r="G78" i="1"/>
  <c r="G77" i="1"/>
  <c r="G76" i="1"/>
  <c r="G75" i="1"/>
  <c r="G74" i="1"/>
  <c r="G73" i="1"/>
  <c r="G70" i="1"/>
  <c r="G69" i="1"/>
  <c r="G68" i="1"/>
  <c r="G66" i="1"/>
  <c r="G65" i="1"/>
  <c r="G64" i="1"/>
  <c r="G63" i="1"/>
  <c r="G60" i="1"/>
  <c r="G59" i="1"/>
  <c r="G58" i="1"/>
  <c r="G57" i="1"/>
  <c r="G53" i="1"/>
  <c r="G52" i="1"/>
  <c r="G51" i="1"/>
  <c r="G50" i="1"/>
  <c r="G48" i="1"/>
  <c r="G47" i="1"/>
  <c r="G46" i="1"/>
  <c r="G45" i="1"/>
  <c r="G44" i="1"/>
  <c r="G43" i="1"/>
  <c r="G42" i="1"/>
  <c r="G41" i="1"/>
  <c r="G40" i="1"/>
  <c r="G38" i="1"/>
  <c r="G36" i="1"/>
  <c r="G35" i="1"/>
  <c r="G34" i="1"/>
  <c r="G33" i="1"/>
  <c r="G32" i="1"/>
  <c r="G31" i="1"/>
  <c r="G30" i="1"/>
  <c r="G29" i="1"/>
  <c r="G28" i="1"/>
  <c r="G27" i="1"/>
  <c r="G25" i="1"/>
  <c r="G24" i="1"/>
  <c r="G22" i="1"/>
  <c r="G21" i="1"/>
  <c r="G20" i="1"/>
  <c r="G19" i="1"/>
  <c r="G18" i="1"/>
  <c r="G15" i="1"/>
  <c r="G14" i="1"/>
  <c r="G13" i="1"/>
  <c r="G10" i="1"/>
  <c r="G9" i="1"/>
  <c r="G7" i="1"/>
  <c r="G6" i="1"/>
  <c r="G4" i="1"/>
  <c r="A5213" i="6"/>
  <c r="A5203" i="6"/>
  <c r="A5182" i="6"/>
  <c r="A5118" i="6"/>
  <c r="A5093" i="6"/>
  <c r="A5087" i="6"/>
  <c r="A5073" i="6"/>
  <c r="A5054" i="6"/>
  <c r="A4997" i="6"/>
  <c r="A4761" i="6"/>
  <c r="A4754" i="6"/>
  <c r="A4727" i="6"/>
  <c r="A4611" i="6"/>
  <c r="A4603" i="6"/>
  <c r="A4597" i="6"/>
  <c r="A4516" i="6"/>
  <c r="A4492" i="6"/>
  <c r="A4475" i="6"/>
  <c r="A4470" i="6"/>
  <c r="A4465" i="6"/>
  <c r="A4452" i="6"/>
  <c r="A4374" i="6"/>
  <c r="A4344" i="6"/>
  <c r="A4339" i="6"/>
  <c r="A4314" i="6"/>
  <c r="A4300" i="6"/>
  <c r="A4274" i="6"/>
  <c r="A4253" i="6"/>
  <c r="A4249" i="6"/>
  <c r="A4239" i="6"/>
  <c r="A4222" i="6"/>
  <c r="A4188" i="6"/>
  <c r="A4119" i="6"/>
  <c r="A4109" i="6"/>
  <c r="A4100" i="6"/>
  <c r="A4082" i="6"/>
  <c r="A4072" i="6"/>
  <c r="A3861" i="6"/>
  <c r="A3853" i="6"/>
  <c r="A3848" i="6"/>
  <c r="A3844" i="6"/>
  <c r="A3819" i="6"/>
  <c r="A3643" i="6"/>
  <c r="A3629" i="6"/>
  <c r="A3616" i="6"/>
  <c r="A3614" i="6"/>
  <c r="A3605" i="6"/>
  <c r="A3594" i="6"/>
  <c r="A3588" i="6"/>
  <c r="A3576" i="6"/>
  <c r="A3560" i="6"/>
  <c r="A3557" i="6"/>
  <c r="A3552" i="6"/>
  <c r="A3469" i="6"/>
  <c r="A3427" i="6"/>
  <c r="A3420" i="6"/>
  <c r="A3400" i="6"/>
  <c r="A3384" i="6"/>
  <c r="A3248" i="6"/>
  <c r="A3222" i="6"/>
  <c r="A3204" i="6"/>
  <c r="A3182" i="6"/>
  <c r="A3170" i="6"/>
  <c r="A3154" i="6"/>
  <c r="A3146" i="6"/>
  <c r="A3133" i="6"/>
  <c r="A3112" i="6"/>
  <c r="A3075" i="6"/>
  <c r="A3067" i="6"/>
  <c r="A3050" i="6"/>
  <c r="A3031" i="6"/>
  <c r="A3013" i="6"/>
  <c r="A2994" i="6"/>
  <c r="A2980" i="6"/>
  <c r="A2965" i="6"/>
  <c r="A2954" i="6"/>
  <c r="A2875" i="6"/>
  <c r="A2872" i="6"/>
  <c r="A2851" i="6"/>
  <c r="A2829" i="6"/>
  <c r="A2812" i="6"/>
  <c r="A2775" i="6"/>
  <c r="A2771" i="6"/>
  <c r="A2739" i="6"/>
  <c r="A2722" i="6"/>
  <c r="A2709" i="6"/>
  <c r="A2683" i="6"/>
  <c r="A2615" i="6"/>
  <c r="A2606" i="6"/>
  <c r="A2578" i="6"/>
  <c r="A2562" i="6"/>
  <c r="A2531" i="6"/>
  <c r="A2525" i="6"/>
  <c r="A2440" i="6"/>
  <c r="A2437" i="6"/>
  <c r="A2427" i="6"/>
  <c r="A2416" i="6"/>
  <c r="A2394" i="6"/>
  <c r="A2379" i="6"/>
  <c r="A2369" i="6"/>
  <c r="A2361" i="6"/>
  <c r="A2242" i="6"/>
  <c r="A2224" i="6"/>
  <c r="A2215" i="6"/>
  <c r="A2209" i="6"/>
  <c r="A2172" i="6"/>
  <c r="A2155" i="6"/>
  <c r="A2144" i="6"/>
  <c r="A2141" i="6"/>
  <c r="A2086" i="6"/>
  <c r="A2069" i="6"/>
  <c r="A2057" i="6"/>
  <c r="A2010" i="6"/>
  <c r="A1996" i="6"/>
  <c r="A1866" i="6"/>
  <c r="A1860" i="6"/>
  <c r="A1820" i="6"/>
  <c r="A1802" i="6"/>
  <c r="A1771" i="6"/>
  <c r="A1730" i="6"/>
  <c r="A1695" i="6"/>
  <c r="A1686" i="6"/>
  <c r="A1643" i="6"/>
  <c r="A1625" i="6"/>
  <c r="A1615" i="6"/>
  <c r="A1605" i="6"/>
  <c r="A1593" i="6"/>
  <c r="A1552" i="6"/>
  <c r="A1530" i="6"/>
  <c r="A1523" i="6"/>
  <c r="A1519" i="6"/>
  <c r="A1454" i="6"/>
  <c r="A1444" i="6"/>
  <c r="A1428" i="6"/>
  <c r="A1416" i="6"/>
  <c r="A1410" i="6"/>
  <c r="A1401" i="6"/>
  <c r="A1270" i="6"/>
  <c r="A1251" i="6"/>
  <c r="A1246" i="6"/>
  <c r="A1235" i="6"/>
  <c r="A1220" i="6"/>
  <c r="A1214" i="6"/>
  <c r="A1205" i="6"/>
  <c r="A1191" i="6"/>
  <c r="A1162" i="6"/>
  <c r="A1138" i="6"/>
  <c r="A1096" i="6"/>
  <c r="A1086" i="6"/>
  <c r="A1080" i="6"/>
  <c r="A1075" i="6"/>
  <c r="A970" i="6"/>
  <c r="A964" i="6"/>
  <c r="A947" i="6"/>
  <c r="A926" i="6"/>
  <c r="A901" i="6"/>
  <c r="A894" i="6"/>
  <c r="A883" i="6"/>
  <c r="A871" i="6"/>
  <c r="A868" i="6"/>
  <c r="A835" i="6"/>
  <c r="A801" i="6"/>
  <c r="A786" i="6"/>
  <c r="A762" i="6"/>
  <c r="A745" i="6"/>
  <c r="A732" i="6"/>
  <c r="A722" i="6"/>
  <c r="A698" i="6"/>
  <c r="A674" i="6"/>
  <c r="A657" i="6"/>
  <c r="A642" i="6"/>
  <c r="A584" i="6"/>
  <c r="A556" i="6"/>
  <c r="A552" i="6"/>
  <c r="A525" i="6"/>
  <c r="A509" i="6"/>
  <c r="A496" i="6"/>
  <c r="A493" i="6"/>
  <c r="A484" i="6"/>
  <c r="A464" i="6"/>
  <c r="A453" i="6"/>
  <c r="A441" i="6"/>
  <c r="A435" i="6"/>
  <c r="A422" i="6"/>
  <c r="A415" i="6"/>
  <c r="A404" i="6"/>
  <c r="A333" i="6"/>
  <c r="A328" i="6"/>
  <c r="A297" i="6"/>
  <c r="A219" i="6"/>
  <c r="A210" i="6"/>
  <c r="A202" i="6"/>
  <c r="A191" i="6"/>
  <c r="A167" i="6"/>
  <c r="A159" i="6"/>
  <c r="A141" i="6"/>
  <c r="A134" i="6"/>
  <c r="A86" i="6"/>
  <c r="A38" i="6"/>
  <c r="A4" i="6"/>
  <c r="H5222" i="6"/>
  <c r="G5222" i="6"/>
  <c r="H5221" i="6"/>
  <c r="G5221" i="6"/>
  <c r="H5220" i="6"/>
  <c r="G5220" i="6"/>
  <c r="H5219" i="6"/>
  <c r="G5219" i="6"/>
  <c r="H5218" i="6"/>
  <c r="G5218" i="6"/>
  <c r="H5217" i="6"/>
  <c r="G5217" i="6"/>
  <c r="H5216" i="6"/>
  <c r="G5216" i="6"/>
  <c r="H5215" i="6"/>
  <c r="G5215" i="6"/>
  <c r="H5214" i="6"/>
  <c r="G5214" i="6"/>
  <c r="H5213" i="6"/>
  <c r="G5213" i="6"/>
  <c r="H5212" i="6"/>
  <c r="G5212" i="6"/>
  <c r="H5211" i="6"/>
  <c r="G5211" i="6"/>
  <c r="H5210" i="6"/>
  <c r="G5210" i="6"/>
  <c r="H5209" i="6"/>
  <c r="G5209" i="6"/>
  <c r="H5208" i="6"/>
  <c r="G5208" i="6"/>
  <c r="H5207" i="6"/>
  <c r="G5207" i="6"/>
  <c r="H5206" i="6"/>
  <c r="G5206" i="6"/>
  <c r="H5205" i="6"/>
  <c r="G5205" i="6"/>
  <c r="H5204" i="6"/>
  <c r="G5204" i="6"/>
  <c r="H5203" i="6"/>
  <c r="G5203" i="6"/>
  <c r="H5202" i="6"/>
  <c r="G5202" i="6"/>
  <c r="H5201" i="6"/>
  <c r="G5201" i="6"/>
  <c r="H5200" i="6"/>
  <c r="G5200" i="6"/>
  <c r="H5199" i="6"/>
  <c r="G5199" i="6"/>
  <c r="H5198" i="6"/>
  <c r="G5198" i="6"/>
  <c r="H5197" i="6"/>
  <c r="G5197" i="6"/>
  <c r="H5196" i="6"/>
  <c r="G5196" i="6"/>
  <c r="H5195" i="6"/>
  <c r="G5195" i="6"/>
  <c r="H5194" i="6"/>
  <c r="G5194" i="6"/>
  <c r="H5193" i="6"/>
  <c r="G5193" i="6"/>
  <c r="H5192" i="6"/>
  <c r="G5192" i="6"/>
  <c r="H5191" i="6"/>
  <c r="G5191" i="6"/>
  <c r="H5190" i="6"/>
  <c r="G5190" i="6"/>
  <c r="H5189" i="6"/>
  <c r="G5189" i="6"/>
  <c r="H5188" i="6"/>
  <c r="G5188" i="6"/>
  <c r="H5187" i="6"/>
  <c r="G5187" i="6"/>
  <c r="H5186" i="6"/>
  <c r="G5186" i="6"/>
  <c r="H5185" i="6"/>
  <c r="G5185" i="6"/>
  <c r="H5184" i="6"/>
  <c r="G5184" i="6"/>
  <c r="H5183" i="6"/>
  <c r="G5183" i="6"/>
  <c r="H5182" i="6"/>
  <c r="G5182" i="6"/>
  <c r="H5181" i="6"/>
  <c r="G5181" i="6"/>
  <c r="H5180" i="6"/>
  <c r="G5180" i="6"/>
  <c r="H5179" i="6"/>
  <c r="G5179" i="6"/>
  <c r="H5178" i="6"/>
  <c r="G5178" i="6"/>
  <c r="H5177" i="6"/>
  <c r="G5177" i="6"/>
  <c r="H5176" i="6"/>
  <c r="G5176" i="6"/>
  <c r="H5175" i="6"/>
  <c r="G5175" i="6"/>
  <c r="H5174" i="6"/>
  <c r="G5174" i="6"/>
  <c r="H5173" i="6"/>
  <c r="G5173" i="6"/>
  <c r="H5172" i="6"/>
  <c r="G5172" i="6"/>
  <c r="H5171" i="6"/>
  <c r="G5171" i="6"/>
  <c r="H5170" i="6"/>
  <c r="G5170" i="6"/>
  <c r="H5169" i="6"/>
  <c r="G5169" i="6"/>
  <c r="H5168" i="6"/>
  <c r="G5168" i="6"/>
  <c r="H5167" i="6"/>
  <c r="G5167" i="6"/>
  <c r="H5166" i="6"/>
  <c r="G5166" i="6"/>
  <c r="H5165" i="6"/>
  <c r="G5165" i="6"/>
  <c r="H5164" i="6"/>
  <c r="G5164" i="6"/>
  <c r="H5163" i="6"/>
  <c r="G5163" i="6"/>
  <c r="H5162" i="6"/>
  <c r="G5162" i="6"/>
  <c r="H5161" i="6"/>
  <c r="G5161" i="6"/>
  <c r="H5160" i="6"/>
  <c r="G5160" i="6"/>
  <c r="H5159" i="6"/>
  <c r="G5159" i="6"/>
  <c r="H5158" i="6"/>
  <c r="G5158" i="6"/>
  <c r="H5157" i="6"/>
  <c r="G5157" i="6"/>
  <c r="H5156" i="6"/>
  <c r="G5156" i="6"/>
  <c r="H5155" i="6"/>
  <c r="G5155" i="6"/>
  <c r="H5154" i="6"/>
  <c r="G5154" i="6"/>
  <c r="H5153" i="6"/>
  <c r="G5153" i="6"/>
  <c r="H5152" i="6"/>
  <c r="G5152" i="6"/>
  <c r="H5151" i="6"/>
  <c r="G5151" i="6"/>
  <c r="H5150" i="6"/>
  <c r="G5150" i="6"/>
  <c r="H5149" i="6"/>
  <c r="G5149" i="6"/>
  <c r="H5148" i="6"/>
  <c r="G5148" i="6"/>
  <c r="H5147" i="6"/>
  <c r="G5147" i="6"/>
  <c r="H5146" i="6"/>
  <c r="G5146" i="6"/>
  <c r="H5145" i="6"/>
  <c r="G5145" i="6"/>
  <c r="H5144" i="6"/>
  <c r="G5144" i="6"/>
  <c r="H5143" i="6"/>
  <c r="G5143" i="6"/>
  <c r="H5142" i="6"/>
  <c r="G5142" i="6"/>
  <c r="H5141" i="6"/>
  <c r="G5141" i="6"/>
  <c r="H5140" i="6"/>
  <c r="G5140" i="6"/>
  <c r="H5139" i="6"/>
  <c r="G5139" i="6"/>
  <c r="H5138" i="6"/>
  <c r="G5138" i="6"/>
  <c r="H5137" i="6"/>
  <c r="G5137" i="6"/>
  <c r="H5136" i="6"/>
  <c r="G5136" i="6"/>
  <c r="H5135" i="6"/>
  <c r="G5135" i="6"/>
  <c r="H5134" i="6"/>
  <c r="G5134" i="6"/>
  <c r="H5133" i="6"/>
  <c r="G5133" i="6"/>
  <c r="H5132" i="6"/>
  <c r="G5132" i="6"/>
  <c r="H5131" i="6"/>
  <c r="G5131" i="6"/>
  <c r="H5130" i="6"/>
  <c r="G5130" i="6"/>
  <c r="H5129" i="6"/>
  <c r="G5129" i="6"/>
  <c r="H5128" i="6"/>
  <c r="G5128" i="6"/>
  <c r="H5127" i="6"/>
  <c r="G5127" i="6"/>
  <c r="H5126" i="6"/>
  <c r="G5126" i="6"/>
  <c r="H5125" i="6"/>
  <c r="G5125" i="6"/>
  <c r="H5124" i="6"/>
  <c r="G5124" i="6"/>
  <c r="H5123" i="6"/>
  <c r="G5123" i="6"/>
  <c r="H5122" i="6"/>
  <c r="G5122" i="6"/>
  <c r="H5121" i="6"/>
  <c r="G5121" i="6"/>
  <c r="H5120" i="6"/>
  <c r="G5120" i="6"/>
  <c r="H5119" i="6"/>
  <c r="G5119" i="6"/>
  <c r="H5118" i="6"/>
  <c r="G5118" i="6"/>
  <c r="H5117" i="6"/>
  <c r="G5117" i="6"/>
  <c r="H5116" i="6"/>
  <c r="G5116" i="6"/>
  <c r="H5115" i="6"/>
  <c r="G5115" i="6"/>
  <c r="H5114" i="6"/>
  <c r="G5114" i="6"/>
  <c r="H5113" i="6"/>
  <c r="G5113" i="6"/>
  <c r="H5112" i="6"/>
  <c r="G5112" i="6"/>
  <c r="H5111" i="6"/>
  <c r="G5111" i="6"/>
  <c r="H5110" i="6"/>
  <c r="G5110" i="6"/>
  <c r="H5109" i="6"/>
  <c r="G5109" i="6"/>
  <c r="H5108" i="6"/>
  <c r="G5108" i="6"/>
  <c r="H5107" i="6"/>
  <c r="G5107" i="6"/>
  <c r="H5106" i="6"/>
  <c r="G5106" i="6"/>
  <c r="H5105" i="6"/>
  <c r="G5105" i="6"/>
  <c r="H5104" i="6"/>
  <c r="G5104" i="6"/>
  <c r="H5103" i="6"/>
  <c r="G5103" i="6"/>
  <c r="H5102" i="6"/>
  <c r="G5102" i="6"/>
  <c r="H5101" i="6"/>
  <c r="G5101" i="6"/>
  <c r="H5100" i="6"/>
  <c r="G5100" i="6"/>
  <c r="H5099" i="6"/>
  <c r="G5099" i="6"/>
  <c r="H5098" i="6"/>
  <c r="G5098" i="6"/>
  <c r="H5097" i="6"/>
  <c r="G5097" i="6"/>
  <c r="H5096" i="6"/>
  <c r="G5096" i="6"/>
  <c r="H5095" i="6"/>
  <c r="G5095" i="6"/>
  <c r="H5094" i="6"/>
  <c r="G5094" i="6"/>
  <c r="H5093" i="6"/>
  <c r="G5093" i="6"/>
  <c r="H5092" i="6"/>
  <c r="G5092" i="6"/>
  <c r="H5091" i="6"/>
  <c r="G5091" i="6"/>
  <c r="H5090" i="6"/>
  <c r="G5090" i="6"/>
  <c r="H5089" i="6"/>
  <c r="G5089" i="6"/>
  <c r="H5088" i="6"/>
  <c r="G5088" i="6"/>
  <c r="H5087" i="6"/>
  <c r="G5087" i="6"/>
  <c r="H5086" i="6"/>
  <c r="G5086" i="6"/>
  <c r="H5085" i="6"/>
  <c r="G5085" i="6"/>
  <c r="H5084" i="6"/>
  <c r="G5084" i="6"/>
  <c r="H5083" i="6"/>
  <c r="G5083" i="6"/>
  <c r="H5082" i="6"/>
  <c r="G5082" i="6"/>
  <c r="H5081" i="6"/>
  <c r="G5081" i="6"/>
  <c r="H5080" i="6"/>
  <c r="G5080" i="6"/>
  <c r="H5079" i="6"/>
  <c r="G5079" i="6"/>
  <c r="H5078" i="6"/>
  <c r="G5078" i="6"/>
  <c r="H5077" i="6"/>
  <c r="G5077" i="6"/>
  <c r="H5076" i="6"/>
  <c r="G5076" i="6"/>
  <c r="H5075" i="6"/>
  <c r="G5075" i="6"/>
  <c r="H5074" i="6"/>
  <c r="G5074" i="6"/>
  <c r="H5073" i="6"/>
  <c r="G5073" i="6"/>
  <c r="H5072" i="6"/>
  <c r="G5072" i="6"/>
  <c r="H5071" i="6"/>
  <c r="G5071" i="6"/>
  <c r="H5070" i="6"/>
  <c r="G5070" i="6"/>
  <c r="H5069" i="6"/>
  <c r="G5069" i="6"/>
  <c r="H5068" i="6"/>
  <c r="G5068" i="6"/>
  <c r="H5067" i="6"/>
  <c r="G5067" i="6"/>
  <c r="H5066" i="6"/>
  <c r="G5066" i="6"/>
  <c r="H5065" i="6"/>
  <c r="G5065" i="6"/>
  <c r="H5064" i="6"/>
  <c r="G5064" i="6"/>
  <c r="H5063" i="6"/>
  <c r="G5063" i="6"/>
  <c r="H5062" i="6"/>
  <c r="G5062" i="6"/>
  <c r="H5061" i="6"/>
  <c r="G5061" i="6"/>
  <c r="H5060" i="6"/>
  <c r="G5060" i="6"/>
  <c r="H5059" i="6"/>
  <c r="G5059" i="6"/>
  <c r="H5058" i="6"/>
  <c r="G5058" i="6"/>
  <c r="H5057" i="6"/>
  <c r="G5057" i="6"/>
  <c r="H5056" i="6"/>
  <c r="G5056" i="6"/>
  <c r="H5055" i="6"/>
  <c r="G5055" i="6"/>
  <c r="H5054" i="6"/>
  <c r="G5054" i="6"/>
  <c r="H5053" i="6"/>
  <c r="G5053" i="6"/>
  <c r="H5052" i="6"/>
  <c r="G5052" i="6"/>
  <c r="H5051" i="6"/>
  <c r="G5051" i="6"/>
  <c r="H5050" i="6"/>
  <c r="G5050" i="6"/>
  <c r="H5049" i="6"/>
  <c r="G5049" i="6"/>
  <c r="H5048" i="6"/>
  <c r="G5048" i="6"/>
  <c r="H5047" i="6"/>
  <c r="G5047" i="6"/>
  <c r="H5046" i="6"/>
  <c r="G5046" i="6"/>
  <c r="H5045" i="6"/>
  <c r="G5045" i="6"/>
  <c r="H5044" i="6"/>
  <c r="G5044" i="6"/>
  <c r="H5043" i="6"/>
  <c r="G5043" i="6"/>
  <c r="H5042" i="6"/>
  <c r="G5042" i="6"/>
  <c r="H5041" i="6"/>
  <c r="G5041" i="6"/>
  <c r="H5040" i="6"/>
  <c r="G5040" i="6"/>
  <c r="H5039" i="6"/>
  <c r="G5039" i="6"/>
  <c r="H5038" i="6"/>
  <c r="G5038" i="6"/>
  <c r="H5037" i="6"/>
  <c r="G5037" i="6"/>
  <c r="H5036" i="6"/>
  <c r="G5036" i="6"/>
  <c r="H5035" i="6"/>
  <c r="G5035" i="6"/>
  <c r="H5034" i="6"/>
  <c r="G5034" i="6"/>
  <c r="H5033" i="6"/>
  <c r="G5033" i="6"/>
  <c r="H5032" i="6"/>
  <c r="G5032" i="6"/>
  <c r="H5031" i="6"/>
  <c r="G5031" i="6"/>
  <c r="H5030" i="6"/>
  <c r="G5030" i="6"/>
  <c r="H5029" i="6"/>
  <c r="G5029" i="6"/>
  <c r="H5028" i="6"/>
  <c r="G5028" i="6"/>
  <c r="H5027" i="6"/>
  <c r="G5027" i="6"/>
  <c r="H5026" i="6"/>
  <c r="G5026" i="6"/>
  <c r="H5025" i="6"/>
  <c r="G5025" i="6"/>
  <c r="H5024" i="6"/>
  <c r="G5024" i="6"/>
  <c r="H5023" i="6"/>
  <c r="G5023" i="6"/>
  <c r="H5022" i="6"/>
  <c r="G5022" i="6"/>
  <c r="H5021" i="6"/>
  <c r="G5021" i="6"/>
  <c r="H5020" i="6"/>
  <c r="G5020" i="6"/>
  <c r="H5019" i="6"/>
  <c r="G5019" i="6"/>
  <c r="H5018" i="6"/>
  <c r="G5018" i="6"/>
  <c r="H5017" i="6"/>
  <c r="G5017" i="6"/>
  <c r="H5016" i="6"/>
  <c r="G5016" i="6"/>
  <c r="H5015" i="6"/>
  <c r="G5015" i="6"/>
  <c r="H5014" i="6"/>
  <c r="G5014" i="6"/>
  <c r="H5013" i="6"/>
  <c r="G5013" i="6"/>
  <c r="H5012" i="6"/>
  <c r="G5012" i="6"/>
  <c r="H5011" i="6"/>
  <c r="G5011" i="6"/>
  <c r="H5010" i="6"/>
  <c r="G5010" i="6"/>
  <c r="H5009" i="6"/>
  <c r="G5009" i="6"/>
  <c r="H5008" i="6"/>
  <c r="G5008" i="6"/>
  <c r="H5007" i="6"/>
  <c r="G5007" i="6"/>
  <c r="H5006" i="6"/>
  <c r="G5006" i="6"/>
  <c r="H5005" i="6"/>
  <c r="G5005" i="6"/>
  <c r="H5004" i="6"/>
  <c r="G5004" i="6"/>
  <c r="H5003" i="6"/>
  <c r="G5003" i="6"/>
  <c r="H5002" i="6"/>
  <c r="G5002" i="6"/>
  <c r="H5001" i="6"/>
  <c r="G5001" i="6"/>
  <c r="H5000" i="6"/>
  <c r="G5000" i="6"/>
  <c r="H4999" i="6"/>
  <c r="G4999" i="6"/>
  <c r="H4998" i="6"/>
  <c r="G4998" i="6"/>
  <c r="H4997" i="6"/>
  <c r="G4997" i="6"/>
  <c r="H4996" i="6"/>
  <c r="G4996" i="6"/>
  <c r="H4995" i="6"/>
  <c r="G4995" i="6"/>
  <c r="H4994" i="6"/>
  <c r="G4994" i="6"/>
  <c r="H4993" i="6"/>
  <c r="G4993" i="6"/>
  <c r="H4992" i="6"/>
  <c r="G4992" i="6"/>
  <c r="H4991" i="6"/>
  <c r="G4991" i="6"/>
  <c r="H4990" i="6"/>
  <c r="G4990" i="6"/>
  <c r="H4989" i="6"/>
  <c r="G4989" i="6"/>
  <c r="H4988" i="6"/>
  <c r="G4988" i="6"/>
  <c r="H4987" i="6"/>
  <c r="G4987" i="6"/>
  <c r="H4986" i="6"/>
  <c r="G4986" i="6"/>
  <c r="H4985" i="6"/>
  <c r="G4985" i="6"/>
  <c r="H4984" i="6"/>
  <c r="G4984" i="6"/>
  <c r="H4983" i="6"/>
  <c r="G4983" i="6"/>
  <c r="H4982" i="6"/>
  <c r="G4982" i="6"/>
  <c r="H4981" i="6"/>
  <c r="G4981" i="6"/>
  <c r="H4980" i="6"/>
  <c r="G4980" i="6"/>
  <c r="H4979" i="6"/>
  <c r="G4979" i="6"/>
  <c r="H4978" i="6"/>
  <c r="G4978" i="6"/>
  <c r="H4977" i="6"/>
  <c r="G4977" i="6"/>
  <c r="H4976" i="6"/>
  <c r="G4976" i="6"/>
  <c r="H4975" i="6"/>
  <c r="G4975" i="6"/>
  <c r="H4974" i="6"/>
  <c r="G4974" i="6"/>
  <c r="H4973" i="6"/>
  <c r="G4973" i="6"/>
  <c r="H4972" i="6"/>
  <c r="G4972" i="6"/>
  <c r="H4971" i="6"/>
  <c r="G4971" i="6"/>
  <c r="H4970" i="6"/>
  <c r="G4970" i="6"/>
  <c r="H4969" i="6"/>
  <c r="G4969" i="6"/>
  <c r="H4968" i="6"/>
  <c r="G4968" i="6"/>
  <c r="H4967" i="6"/>
  <c r="G4967" i="6"/>
  <c r="H4966" i="6"/>
  <c r="G4966" i="6"/>
  <c r="H4965" i="6"/>
  <c r="G4965" i="6"/>
  <c r="H4964" i="6"/>
  <c r="G4964" i="6"/>
  <c r="H4963" i="6"/>
  <c r="G4963" i="6"/>
  <c r="H4962" i="6"/>
  <c r="G4962" i="6"/>
  <c r="H4961" i="6"/>
  <c r="G4961" i="6"/>
  <c r="H4960" i="6"/>
  <c r="G4960" i="6"/>
  <c r="H4959" i="6"/>
  <c r="G4959" i="6"/>
  <c r="H4958" i="6"/>
  <c r="G4958" i="6"/>
  <c r="H4957" i="6"/>
  <c r="G4957" i="6"/>
  <c r="H4956" i="6"/>
  <c r="G4956" i="6"/>
  <c r="H4955" i="6"/>
  <c r="G4955" i="6"/>
  <c r="H4954" i="6"/>
  <c r="G4954" i="6"/>
  <c r="H4953" i="6"/>
  <c r="G4953" i="6"/>
  <c r="H4952" i="6"/>
  <c r="G4952" i="6"/>
  <c r="H4951" i="6"/>
  <c r="G4951" i="6"/>
  <c r="H4950" i="6"/>
  <c r="G4950" i="6"/>
  <c r="H4949" i="6"/>
  <c r="G4949" i="6"/>
  <c r="H4948" i="6"/>
  <c r="G4948" i="6"/>
  <c r="H4947" i="6"/>
  <c r="G4947" i="6"/>
  <c r="H4946" i="6"/>
  <c r="G4946" i="6"/>
  <c r="H4945" i="6"/>
  <c r="G4945" i="6"/>
  <c r="H4944" i="6"/>
  <c r="G4944" i="6"/>
  <c r="H4943" i="6"/>
  <c r="G4943" i="6"/>
  <c r="H4942" i="6"/>
  <c r="G4942" i="6"/>
  <c r="H4941" i="6"/>
  <c r="G4941" i="6"/>
  <c r="H4940" i="6"/>
  <c r="G4940" i="6"/>
  <c r="H4939" i="6"/>
  <c r="G4939" i="6"/>
  <c r="H4938" i="6"/>
  <c r="G4938" i="6"/>
  <c r="H4937" i="6"/>
  <c r="G4937" i="6"/>
  <c r="H4936" i="6"/>
  <c r="G4936" i="6"/>
  <c r="H4935" i="6"/>
  <c r="G4935" i="6"/>
  <c r="H4934" i="6"/>
  <c r="G4934" i="6"/>
  <c r="H4933" i="6"/>
  <c r="G4933" i="6"/>
  <c r="H4932" i="6"/>
  <c r="G4932" i="6"/>
  <c r="H4931" i="6"/>
  <c r="G4931" i="6"/>
  <c r="H4930" i="6"/>
  <c r="G4930" i="6"/>
  <c r="H4929" i="6"/>
  <c r="G4929" i="6"/>
  <c r="H4928" i="6"/>
  <c r="G4928" i="6"/>
  <c r="H4927" i="6"/>
  <c r="G4927" i="6"/>
  <c r="H4926" i="6"/>
  <c r="G4926" i="6"/>
  <c r="H4925" i="6"/>
  <c r="G4925" i="6"/>
  <c r="H4924" i="6"/>
  <c r="G4924" i="6"/>
  <c r="H4923" i="6"/>
  <c r="G4923" i="6"/>
  <c r="H4922" i="6"/>
  <c r="G4922" i="6"/>
  <c r="H4921" i="6"/>
  <c r="G4921" i="6"/>
  <c r="H4920" i="6"/>
  <c r="G4920" i="6"/>
  <c r="H4919" i="6"/>
  <c r="G4919" i="6"/>
  <c r="H4918" i="6"/>
  <c r="G4918" i="6"/>
  <c r="H4917" i="6"/>
  <c r="G4917" i="6"/>
  <c r="H4916" i="6"/>
  <c r="G4916" i="6"/>
  <c r="H4915" i="6"/>
  <c r="G4915" i="6"/>
  <c r="H4914" i="6"/>
  <c r="G4914" i="6"/>
  <c r="H4913" i="6"/>
  <c r="G4913" i="6"/>
  <c r="H4912" i="6"/>
  <c r="G4912" i="6"/>
  <c r="H4911" i="6"/>
  <c r="G4911" i="6"/>
  <c r="H4910" i="6"/>
  <c r="G4910" i="6"/>
  <c r="H4909" i="6"/>
  <c r="G4909" i="6"/>
  <c r="H4908" i="6"/>
  <c r="G4908" i="6"/>
  <c r="H4907" i="6"/>
  <c r="G4907" i="6"/>
  <c r="H4906" i="6"/>
  <c r="G4906" i="6"/>
  <c r="H4905" i="6"/>
  <c r="G4905" i="6"/>
  <c r="H4904" i="6"/>
  <c r="G4904" i="6"/>
  <c r="H4903" i="6"/>
  <c r="G4903" i="6"/>
  <c r="H4902" i="6"/>
  <c r="G4902" i="6"/>
  <c r="H4901" i="6"/>
  <c r="G4901" i="6"/>
  <c r="H4900" i="6"/>
  <c r="G4900" i="6"/>
  <c r="H4899" i="6"/>
  <c r="G4899" i="6"/>
  <c r="H4898" i="6"/>
  <c r="G4898" i="6"/>
  <c r="H4897" i="6"/>
  <c r="G4897" i="6"/>
  <c r="H4896" i="6"/>
  <c r="G4896" i="6"/>
  <c r="H4895" i="6"/>
  <c r="G4895" i="6"/>
  <c r="H4894" i="6"/>
  <c r="G4894" i="6"/>
  <c r="H4893" i="6"/>
  <c r="G4893" i="6"/>
  <c r="H4892" i="6"/>
  <c r="G4892" i="6"/>
  <c r="H4891" i="6"/>
  <c r="G4891" i="6"/>
  <c r="H4890" i="6"/>
  <c r="G4890" i="6"/>
  <c r="H4889" i="6"/>
  <c r="G4889" i="6"/>
  <c r="H4888" i="6"/>
  <c r="G4888" i="6"/>
  <c r="H4887" i="6"/>
  <c r="G4887" i="6"/>
  <c r="H4886" i="6"/>
  <c r="G4886" i="6"/>
  <c r="H4885" i="6"/>
  <c r="G4885" i="6"/>
  <c r="H4884" i="6"/>
  <c r="G4884" i="6"/>
  <c r="H4883" i="6"/>
  <c r="G4883" i="6"/>
  <c r="H4882" i="6"/>
  <c r="G4882" i="6"/>
  <c r="H4881" i="6"/>
  <c r="G4881" i="6"/>
  <c r="H4880" i="6"/>
  <c r="G4880" i="6"/>
  <c r="H4879" i="6"/>
  <c r="G4879" i="6"/>
  <c r="H4878" i="6"/>
  <c r="G4878" i="6"/>
  <c r="H4877" i="6"/>
  <c r="G4877" i="6"/>
  <c r="H4876" i="6"/>
  <c r="G4876" i="6"/>
  <c r="H4875" i="6"/>
  <c r="G4875" i="6"/>
  <c r="H4874" i="6"/>
  <c r="G4874" i="6"/>
  <c r="H4873" i="6"/>
  <c r="G4873" i="6"/>
  <c r="H4872" i="6"/>
  <c r="G4872" i="6"/>
  <c r="H4871" i="6"/>
  <c r="G4871" i="6"/>
  <c r="H4870" i="6"/>
  <c r="G4870" i="6"/>
  <c r="H4869" i="6"/>
  <c r="G4869" i="6"/>
  <c r="H4868" i="6"/>
  <c r="G4868" i="6"/>
  <c r="H4867" i="6"/>
  <c r="G4867" i="6"/>
  <c r="H4866" i="6"/>
  <c r="G4866" i="6"/>
  <c r="H4865" i="6"/>
  <c r="G4865" i="6"/>
  <c r="H4864" i="6"/>
  <c r="G4864" i="6"/>
  <c r="H4863" i="6"/>
  <c r="G4863" i="6"/>
  <c r="H4862" i="6"/>
  <c r="G4862" i="6"/>
  <c r="H4861" i="6"/>
  <c r="G4861" i="6"/>
  <c r="H4860" i="6"/>
  <c r="G4860" i="6"/>
  <c r="H4859" i="6"/>
  <c r="G4859" i="6"/>
  <c r="H4858" i="6"/>
  <c r="G4858" i="6"/>
  <c r="H4857" i="6"/>
  <c r="G4857" i="6"/>
  <c r="H4856" i="6"/>
  <c r="G4856" i="6"/>
  <c r="H4855" i="6"/>
  <c r="G4855" i="6"/>
  <c r="H4854" i="6"/>
  <c r="G4854" i="6"/>
  <c r="H4853" i="6"/>
  <c r="G4853" i="6"/>
  <c r="H4852" i="6"/>
  <c r="G4852" i="6"/>
  <c r="H4851" i="6"/>
  <c r="G4851" i="6"/>
  <c r="H4850" i="6"/>
  <c r="G4850" i="6"/>
  <c r="H4849" i="6"/>
  <c r="G4849" i="6"/>
  <c r="H4848" i="6"/>
  <c r="G4848" i="6"/>
  <c r="H4847" i="6"/>
  <c r="G4847" i="6"/>
  <c r="H4846" i="6"/>
  <c r="G4846" i="6"/>
  <c r="H4845" i="6"/>
  <c r="G4845" i="6"/>
  <c r="H4844" i="6"/>
  <c r="G4844" i="6"/>
  <c r="H4843" i="6"/>
  <c r="G4843" i="6"/>
  <c r="H4842" i="6"/>
  <c r="G4842" i="6"/>
  <c r="H4841" i="6"/>
  <c r="G4841" i="6"/>
  <c r="H4840" i="6"/>
  <c r="G4840" i="6"/>
  <c r="H4839" i="6"/>
  <c r="G4839" i="6"/>
  <c r="H4838" i="6"/>
  <c r="G4838" i="6"/>
  <c r="H4837" i="6"/>
  <c r="G4837" i="6"/>
  <c r="H4836" i="6"/>
  <c r="G4836" i="6"/>
  <c r="H4835" i="6"/>
  <c r="G4835" i="6"/>
  <c r="H4834" i="6"/>
  <c r="G4834" i="6"/>
  <c r="H4833" i="6"/>
  <c r="G4833" i="6"/>
  <c r="H4832" i="6"/>
  <c r="G4832" i="6"/>
  <c r="H4831" i="6"/>
  <c r="G4831" i="6"/>
  <c r="H4830" i="6"/>
  <c r="G4830" i="6"/>
  <c r="H4829" i="6"/>
  <c r="G4829" i="6"/>
  <c r="H4828" i="6"/>
  <c r="G4828" i="6"/>
  <c r="H4827" i="6"/>
  <c r="G4827" i="6"/>
  <c r="H4826" i="6"/>
  <c r="G4826" i="6"/>
  <c r="H4825" i="6"/>
  <c r="G4825" i="6"/>
  <c r="H4824" i="6"/>
  <c r="G4824" i="6"/>
  <c r="H4823" i="6"/>
  <c r="G4823" i="6"/>
  <c r="H4822" i="6"/>
  <c r="G4822" i="6"/>
  <c r="H4821" i="6"/>
  <c r="G4821" i="6"/>
  <c r="H4820" i="6"/>
  <c r="G4820" i="6"/>
  <c r="H4819" i="6"/>
  <c r="G4819" i="6"/>
  <c r="H4818" i="6"/>
  <c r="G4818" i="6"/>
  <c r="H4817" i="6"/>
  <c r="G4817" i="6"/>
  <c r="H4816" i="6"/>
  <c r="G4816" i="6"/>
  <c r="H4815" i="6"/>
  <c r="G4815" i="6"/>
  <c r="H4814" i="6"/>
  <c r="G4814" i="6"/>
  <c r="H4813" i="6"/>
  <c r="G4813" i="6"/>
  <c r="H4812" i="6"/>
  <c r="G4812" i="6"/>
  <c r="H4811" i="6"/>
  <c r="G4811" i="6"/>
  <c r="H4810" i="6"/>
  <c r="G4810" i="6"/>
  <c r="H4809" i="6"/>
  <c r="G4809" i="6"/>
  <c r="H4808" i="6"/>
  <c r="G4808" i="6"/>
  <c r="H4807" i="6"/>
  <c r="G4807" i="6"/>
  <c r="H4806" i="6"/>
  <c r="G4806" i="6"/>
  <c r="H4805" i="6"/>
  <c r="G4805" i="6"/>
  <c r="H4804" i="6"/>
  <c r="G4804" i="6"/>
  <c r="H4803" i="6"/>
  <c r="G4803" i="6"/>
  <c r="H4802" i="6"/>
  <c r="G4802" i="6"/>
  <c r="H4801" i="6"/>
  <c r="G4801" i="6"/>
  <c r="H4800" i="6"/>
  <c r="G4800" i="6"/>
  <c r="H4799" i="6"/>
  <c r="G4799" i="6"/>
  <c r="H4798" i="6"/>
  <c r="G4798" i="6"/>
  <c r="H4797" i="6"/>
  <c r="G4797" i="6"/>
  <c r="H4796" i="6"/>
  <c r="G4796" i="6"/>
  <c r="H4795" i="6"/>
  <c r="G4795" i="6"/>
  <c r="H4794" i="6"/>
  <c r="G4794" i="6"/>
  <c r="H4793" i="6"/>
  <c r="G4793" i="6"/>
  <c r="H4792" i="6"/>
  <c r="G4792" i="6"/>
  <c r="H4791" i="6"/>
  <c r="G4791" i="6"/>
  <c r="H4790" i="6"/>
  <c r="G4790" i="6"/>
  <c r="H4789" i="6"/>
  <c r="G4789" i="6"/>
  <c r="H4788" i="6"/>
  <c r="G4788" i="6"/>
  <c r="H4787" i="6"/>
  <c r="G4787" i="6"/>
  <c r="H4786" i="6"/>
  <c r="G4786" i="6"/>
  <c r="H4785" i="6"/>
  <c r="G4785" i="6"/>
  <c r="H4784" i="6"/>
  <c r="G4784" i="6"/>
  <c r="H4783" i="6"/>
  <c r="G4783" i="6"/>
  <c r="H4782" i="6"/>
  <c r="G4782" i="6"/>
  <c r="H4781" i="6"/>
  <c r="G4781" i="6"/>
  <c r="H4780" i="6"/>
  <c r="G4780" i="6"/>
  <c r="H4779" i="6"/>
  <c r="G4779" i="6"/>
  <c r="H4778" i="6"/>
  <c r="G4778" i="6"/>
  <c r="H4777" i="6"/>
  <c r="G4777" i="6"/>
  <c r="H4776" i="6"/>
  <c r="G4776" i="6"/>
  <c r="H4775" i="6"/>
  <c r="G4775" i="6"/>
  <c r="H4774" i="6"/>
  <c r="G4774" i="6"/>
  <c r="H4773" i="6"/>
  <c r="G4773" i="6"/>
  <c r="H4772" i="6"/>
  <c r="G4772" i="6"/>
  <c r="H4771" i="6"/>
  <c r="G4771" i="6"/>
  <c r="H4770" i="6"/>
  <c r="G4770" i="6"/>
  <c r="H4769" i="6"/>
  <c r="G4769" i="6"/>
  <c r="H4768" i="6"/>
  <c r="G4768" i="6"/>
  <c r="H4767" i="6"/>
  <c r="G4767" i="6"/>
  <c r="H4766" i="6"/>
  <c r="G4766" i="6"/>
  <c r="H4765" i="6"/>
  <c r="G4765" i="6"/>
  <c r="H4764" i="6"/>
  <c r="G4764" i="6"/>
  <c r="H4763" i="6"/>
  <c r="G4763" i="6"/>
  <c r="H4762" i="6"/>
  <c r="G4762" i="6"/>
  <c r="H4761" i="6"/>
  <c r="G4761" i="6"/>
  <c r="H4760" i="6"/>
  <c r="G4760" i="6"/>
  <c r="H4759" i="6"/>
  <c r="G4759" i="6"/>
  <c r="H4758" i="6"/>
  <c r="G4758" i="6"/>
  <c r="H4757" i="6"/>
  <c r="G4757" i="6"/>
  <c r="H4756" i="6"/>
  <c r="G4756" i="6"/>
  <c r="H4755" i="6"/>
  <c r="G4755" i="6"/>
  <c r="H4754" i="6"/>
  <c r="G4754" i="6"/>
  <c r="H4753" i="6"/>
  <c r="G4753" i="6"/>
  <c r="H4752" i="6"/>
  <c r="G4752" i="6"/>
  <c r="H4751" i="6"/>
  <c r="G4751" i="6"/>
  <c r="H4750" i="6"/>
  <c r="G4750" i="6"/>
  <c r="H4749" i="6"/>
  <c r="G4749" i="6"/>
  <c r="H4748" i="6"/>
  <c r="G4748" i="6"/>
  <c r="H4747" i="6"/>
  <c r="G4747" i="6"/>
  <c r="H4746" i="6"/>
  <c r="G4746" i="6"/>
  <c r="H4745" i="6"/>
  <c r="G4745" i="6"/>
  <c r="H4744" i="6"/>
  <c r="G4744" i="6"/>
  <c r="H4743" i="6"/>
  <c r="G4743" i="6"/>
  <c r="H4742" i="6"/>
  <c r="G4742" i="6"/>
  <c r="H4741" i="6"/>
  <c r="G4741" i="6"/>
  <c r="H4740" i="6"/>
  <c r="G4740" i="6"/>
  <c r="H4739" i="6"/>
  <c r="G4739" i="6"/>
  <c r="H4738" i="6"/>
  <c r="G4738" i="6"/>
  <c r="H4737" i="6"/>
  <c r="G4737" i="6"/>
  <c r="H4736" i="6"/>
  <c r="G4736" i="6"/>
  <c r="H4735" i="6"/>
  <c r="G4735" i="6"/>
  <c r="H4734" i="6"/>
  <c r="G4734" i="6"/>
  <c r="H4733" i="6"/>
  <c r="G4733" i="6"/>
  <c r="H4732" i="6"/>
  <c r="G4732" i="6"/>
  <c r="H4731" i="6"/>
  <c r="G4731" i="6"/>
  <c r="H4730" i="6"/>
  <c r="G4730" i="6"/>
  <c r="H4729" i="6"/>
  <c r="G4729" i="6"/>
  <c r="H4728" i="6"/>
  <c r="G4728" i="6"/>
  <c r="H4727" i="6"/>
  <c r="G4727" i="6"/>
  <c r="H4726" i="6"/>
  <c r="G4726" i="6"/>
  <c r="H4725" i="6"/>
  <c r="G4725" i="6"/>
  <c r="H4724" i="6"/>
  <c r="G4724" i="6"/>
  <c r="H4723" i="6"/>
  <c r="G4723" i="6"/>
  <c r="H4722" i="6"/>
  <c r="G4722" i="6"/>
  <c r="H4721" i="6"/>
  <c r="G4721" i="6"/>
  <c r="H4720" i="6"/>
  <c r="G4720" i="6"/>
  <c r="H4719" i="6"/>
  <c r="G4719" i="6"/>
  <c r="H4718" i="6"/>
  <c r="G4718" i="6"/>
  <c r="H4717" i="6"/>
  <c r="G4717" i="6"/>
  <c r="H4716" i="6"/>
  <c r="G4716" i="6"/>
  <c r="H4715" i="6"/>
  <c r="G4715" i="6"/>
  <c r="H4714" i="6"/>
  <c r="G4714" i="6"/>
  <c r="H4713" i="6"/>
  <c r="G4713" i="6"/>
  <c r="H4712" i="6"/>
  <c r="G4712" i="6"/>
  <c r="H4711" i="6"/>
  <c r="G4711" i="6"/>
  <c r="H4710" i="6"/>
  <c r="G4710" i="6"/>
  <c r="H4709" i="6"/>
  <c r="G4709" i="6"/>
  <c r="H4708" i="6"/>
  <c r="G4708" i="6"/>
  <c r="H4707" i="6"/>
  <c r="G4707" i="6"/>
  <c r="H4706" i="6"/>
  <c r="G4706" i="6"/>
  <c r="H4705" i="6"/>
  <c r="G4705" i="6"/>
  <c r="H4704" i="6"/>
  <c r="G4704" i="6"/>
  <c r="H4703" i="6"/>
  <c r="G4703" i="6"/>
  <c r="H4702" i="6"/>
  <c r="G4702" i="6"/>
  <c r="H4701" i="6"/>
  <c r="G4701" i="6"/>
  <c r="H4700" i="6"/>
  <c r="G4700" i="6"/>
  <c r="H4699" i="6"/>
  <c r="G4699" i="6"/>
  <c r="H4698" i="6"/>
  <c r="G4698" i="6"/>
  <c r="H4697" i="6"/>
  <c r="G4697" i="6"/>
  <c r="H4696" i="6"/>
  <c r="G4696" i="6"/>
  <c r="H4695" i="6"/>
  <c r="G4695" i="6"/>
  <c r="H4694" i="6"/>
  <c r="G4694" i="6"/>
  <c r="H4693" i="6"/>
  <c r="G4693" i="6"/>
  <c r="H4692" i="6"/>
  <c r="G4692" i="6"/>
  <c r="H4691" i="6"/>
  <c r="G4691" i="6"/>
  <c r="H4690" i="6"/>
  <c r="G4690" i="6"/>
  <c r="H4689" i="6"/>
  <c r="G4689" i="6"/>
  <c r="H4688" i="6"/>
  <c r="G4688" i="6"/>
  <c r="H4687" i="6"/>
  <c r="G4687" i="6"/>
  <c r="H4686" i="6"/>
  <c r="G4686" i="6"/>
  <c r="H4685" i="6"/>
  <c r="G4685" i="6"/>
  <c r="H4684" i="6"/>
  <c r="G4684" i="6"/>
  <c r="H4683" i="6"/>
  <c r="G4683" i="6"/>
  <c r="H4682" i="6"/>
  <c r="G4682" i="6"/>
  <c r="H4681" i="6"/>
  <c r="G4681" i="6"/>
  <c r="H4680" i="6"/>
  <c r="G4680" i="6"/>
  <c r="H4679" i="6"/>
  <c r="G4679" i="6"/>
  <c r="H4678" i="6"/>
  <c r="G4678" i="6"/>
  <c r="H4677" i="6"/>
  <c r="G4677" i="6"/>
  <c r="H4676" i="6"/>
  <c r="G4676" i="6"/>
  <c r="H4675" i="6"/>
  <c r="G4675" i="6"/>
  <c r="H4674" i="6"/>
  <c r="G4674" i="6"/>
  <c r="H4673" i="6"/>
  <c r="G4673" i="6"/>
  <c r="H4672" i="6"/>
  <c r="G4672" i="6"/>
  <c r="H4671" i="6"/>
  <c r="G4671" i="6"/>
  <c r="H4670" i="6"/>
  <c r="G4670" i="6"/>
  <c r="H4669" i="6"/>
  <c r="G4669" i="6"/>
  <c r="H4668" i="6"/>
  <c r="G4668" i="6"/>
  <c r="H4667" i="6"/>
  <c r="G4667" i="6"/>
  <c r="H4666" i="6"/>
  <c r="G4666" i="6"/>
  <c r="H4665" i="6"/>
  <c r="G4665" i="6"/>
  <c r="H4664" i="6"/>
  <c r="G4664" i="6"/>
  <c r="H4663" i="6"/>
  <c r="G4663" i="6"/>
  <c r="H4662" i="6"/>
  <c r="G4662" i="6"/>
  <c r="H4661" i="6"/>
  <c r="G4661" i="6"/>
  <c r="H4660" i="6"/>
  <c r="G4660" i="6"/>
  <c r="H4659" i="6"/>
  <c r="G4659" i="6"/>
  <c r="H4658" i="6"/>
  <c r="G4658" i="6"/>
  <c r="H4657" i="6"/>
  <c r="G4657" i="6"/>
  <c r="H4656" i="6"/>
  <c r="G4656" i="6"/>
  <c r="H4655" i="6"/>
  <c r="G4655" i="6"/>
  <c r="H4654" i="6"/>
  <c r="G4654" i="6"/>
  <c r="H4653" i="6"/>
  <c r="G4653" i="6"/>
  <c r="H4652" i="6"/>
  <c r="G4652" i="6"/>
  <c r="H4651" i="6"/>
  <c r="G4651" i="6"/>
  <c r="H4650" i="6"/>
  <c r="G4650" i="6"/>
  <c r="H4649" i="6"/>
  <c r="G4649" i="6"/>
  <c r="H4648" i="6"/>
  <c r="G4648" i="6"/>
  <c r="H4647" i="6"/>
  <c r="G4647" i="6"/>
  <c r="H4646" i="6"/>
  <c r="G4646" i="6"/>
  <c r="H4645" i="6"/>
  <c r="G4645" i="6"/>
  <c r="H4644" i="6"/>
  <c r="G4644" i="6"/>
  <c r="H4643" i="6"/>
  <c r="G4643" i="6"/>
  <c r="H4642" i="6"/>
  <c r="G4642" i="6"/>
  <c r="H4641" i="6"/>
  <c r="G4641" i="6"/>
  <c r="H4640" i="6"/>
  <c r="G4640" i="6"/>
  <c r="H4639" i="6"/>
  <c r="G4639" i="6"/>
  <c r="H4638" i="6"/>
  <c r="G4638" i="6"/>
  <c r="H4637" i="6"/>
  <c r="G4637" i="6"/>
  <c r="H4636" i="6"/>
  <c r="G4636" i="6"/>
  <c r="H4635" i="6"/>
  <c r="G4635" i="6"/>
  <c r="H4634" i="6"/>
  <c r="G4634" i="6"/>
  <c r="H4633" i="6"/>
  <c r="G4633" i="6"/>
  <c r="H4632" i="6"/>
  <c r="G4632" i="6"/>
  <c r="H4631" i="6"/>
  <c r="G4631" i="6"/>
  <c r="H4630" i="6"/>
  <c r="G4630" i="6"/>
  <c r="H4629" i="6"/>
  <c r="G4629" i="6"/>
  <c r="H4628" i="6"/>
  <c r="G4628" i="6"/>
  <c r="H4627" i="6"/>
  <c r="G4627" i="6"/>
  <c r="H4626" i="6"/>
  <c r="G4626" i="6"/>
  <c r="H4625" i="6"/>
  <c r="G4625" i="6"/>
  <c r="H4624" i="6"/>
  <c r="G4624" i="6"/>
  <c r="H4623" i="6"/>
  <c r="G4623" i="6"/>
  <c r="H4622" i="6"/>
  <c r="G4622" i="6"/>
  <c r="H4621" i="6"/>
  <c r="G4621" i="6"/>
  <c r="H4620" i="6"/>
  <c r="G4620" i="6"/>
  <c r="H4619" i="6"/>
  <c r="G4619" i="6"/>
  <c r="H4618" i="6"/>
  <c r="G4618" i="6"/>
  <c r="H4617" i="6"/>
  <c r="G4617" i="6"/>
  <c r="H4616" i="6"/>
  <c r="G4616" i="6"/>
  <c r="H4615" i="6"/>
  <c r="G4615" i="6"/>
  <c r="H4614" i="6"/>
  <c r="G4614" i="6"/>
  <c r="H4613" i="6"/>
  <c r="G4613" i="6"/>
  <c r="H4612" i="6"/>
  <c r="G4612" i="6"/>
  <c r="H4611" i="6"/>
  <c r="G4611" i="6"/>
  <c r="H4610" i="6"/>
  <c r="G4610" i="6"/>
  <c r="H4609" i="6"/>
  <c r="G4609" i="6"/>
  <c r="H4608" i="6"/>
  <c r="G4608" i="6"/>
  <c r="H4607" i="6"/>
  <c r="G4607" i="6"/>
  <c r="H4606" i="6"/>
  <c r="G4606" i="6"/>
  <c r="H4605" i="6"/>
  <c r="G4605" i="6"/>
  <c r="H4604" i="6"/>
  <c r="G4604" i="6"/>
  <c r="H4603" i="6"/>
  <c r="G4603" i="6"/>
  <c r="H4602" i="6"/>
  <c r="G4602" i="6"/>
  <c r="H4601" i="6"/>
  <c r="G4601" i="6"/>
  <c r="H4600" i="6"/>
  <c r="G4600" i="6"/>
  <c r="H4599" i="6"/>
  <c r="G4599" i="6"/>
  <c r="H4598" i="6"/>
  <c r="G4598" i="6"/>
  <c r="H4597" i="6"/>
  <c r="G4597" i="6"/>
  <c r="H4596" i="6"/>
  <c r="G4596" i="6"/>
  <c r="H4595" i="6"/>
  <c r="G4595" i="6"/>
  <c r="H4594" i="6"/>
  <c r="G4594" i="6"/>
  <c r="H4593" i="6"/>
  <c r="G4593" i="6"/>
  <c r="H4592" i="6"/>
  <c r="G4592" i="6"/>
  <c r="H4591" i="6"/>
  <c r="G4591" i="6"/>
  <c r="H4590" i="6"/>
  <c r="G4590" i="6"/>
  <c r="H4589" i="6"/>
  <c r="G4589" i="6"/>
  <c r="H4588" i="6"/>
  <c r="G4588" i="6"/>
  <c r="H4587" i="6"/>
  <c r="G4587" i="6"/>
  <c r="H4586" i="6"/>
  <c r="G4586" i="6"/>
  <c r="H4585" i="6"/>
  <c r="G4585" i="6"/>
  <c r="H4584" i="6"/>
  <c r="G4584" i="6"/>
  <c r="H4583" i="6"/>
  <c r="G4583" i="6"/>
  <c r="H4582" i="6"/>
  <c r="G4582" i="6"/>
  <c r="H4581" i="6"/>
  <c r="G4581" i="6"/>
  <c r="H4580" i="6"/>
  <c r="G4580" i="6"/>
  <c r="H4579" i="6"/>
  <c r="G4579" i="6"/>
  <c r="H4578" i="6"/>
  <c r="G4578" i="6"/>
  <c r="H4577" i="6"/>
  <c r="G4577" i="6"/>
  <c r="H4576" i="6"/>
  <c r="G4576" i="6"/>
  <c r="H4575" i="6"/>
  <c r="G4575" i="6"/>
  <c r="H4574" i="6"/>
  <c r="G4574" i="6"/>
  <c r="H4573" i="6"/>
  <c r="G4573" i="6"/>
  <c r="H4572" i="6"/>
  <c r="G4572" i="6"/>
  <c r="H4571" i="6"/>
  <c r="G4571" i="6"/>
  <c r="H4570" i="6"/>
  <c r="G4570" i="6"/>
  <c r="H4569" i="6"/>
  <c r="G4569" i="6"/>
  <c r="H4568" i="6"/>
  <c r="G4568" i="6"/>
  <c r="H4567" i="6"/>
  <c r="G4567" i="6"/>
  <c r="H4566" i="6"/>
  <c r="G4566" i="6"/>
  <c r="H4565" i="6"/>
  <c r="G4565" i="6"/>
  <c r="H4564" i="6"/>
  <c r="G4564" i="6"/>
  <c r="H4563" i="6"/>
  <c r="G4563" i="6"/>
  <c r="H4562" i="6"/>
  <c r="G4562" i="6"/>
  <c r="H4561" i="6"/>
  <c r="G4561" i="6"/>
  <c r="H4560" i="6"/>
  <c r="G4560" i="6"/>
  <c r="H4559" i="6"/>
  <c r="G4559" i="6"/>
  <c r="H4558" i="6"/>
  <c r="G4558" i="6"/>
  <c r="H4557" i="6"/>
  <c r="G4557" i="6"/>
  <c r="H4556" i="6"/>
  <c r="G4556" i="6"/>
  <c r="H4555" i="6"/>
  <c r="G4555" i="6"/>
  <c r="H4554" i="6"/>
  <c r="G4554" i="6"/>
  <c r="H4553" i="6"/>
  <c r="G4553" i="6"/>
  <c r="H4552" i="6"/>
  <c r="G4552" i="6"/>
  <c r="H4551" i="6"/>
  <c r="G4551" i="6"/>
  <c r="H4550" i="6"/>
  <c r="G4550" i="6"/>
  <c r="H4549" i="6"/>
  <c r="G4549" i="6"/>
  <c r="H4548" i="6"/>
  <c r="G4548" i="6"/>
  <c r="H4547" i="6"/>
  <c r="G4547" i="6"/>
  <c r="H4546" i="6"/>
  <c r="G4546" i="6"/>
  <c r="H4545" i="6"/>
  <c r="G4545" i="6"/>
  <c r="H4544" i="6"/>
  <c r="G4544" i="6"/>
  <c r="H4543" i="6"/>
  <c r="G4543" i="6"/>
  <c r="H4542" i="6"/>
  <c r="G4542" i="6"/>
  <c r="H4541" i="6"/>
  <c r="G4541" i="6"/>
  <c r="H4540" i="6"/>
  <c r="G4540" i="6"/>
  <c r="H4539" i="6"/>
  <c r="G4539" i="6"/>
  <c r="H4538" i="6"/>
  <c r="G4538" i="6"/>
  <c r="H4537" i="6"/>
  <c r="G4537" i="6"/>
  <c r="H4536" i="6"/>
  <c r="G4536" i="6"/>
  <c r="H4535" i="6"/>
  <c r="G4535" i="6"/>
  <c r="H4534" i="6"/>
  <c r="G4534" i="6"/>
  <c r="H4533" i="6"/>
  <c r="G4533" i="6"/>
  <c r="H4532" i="6"/>
  <c r="G4532" i="6"/>
  <c r="H4531" i="6"/>
  <c r="G4531" i="6"/>
  <c r="H4530" i="6"/>
  <c r="G4530" i="6"/>
  <c r="H4529" i="6"/>
  <c r="G4529" i="6"/>
  <c r="H4528" i="6"/>
  <c r="G4528" i="6"/>
  <c r="H4527" i="6"/>
  <c r="G4527" i="6"/>
  <c r="H4526" i="6"/>
  <c r="G4526" i="6"/>
  <c r="H4525" i="6"/>
  <c r="G4525" i="6"/>
  <c r="H4524" i="6"/>
  <c r="G4524" i="6"/>
  <c r="H4523" i="6"/>
  <c r="G4523" i="6"/>
  <c r="H4522" i="6"/>
  <c r="G4522" i="6"/>
  <c r="H4521" i="6"/>
  <c r="G4521" i="6"/>
  <c r="H4520" i="6"/>
  <c r="G4520" i="6"/>
  <c r="H4519" i="6"/>
  <c r="G4519" i="6"/>
  <c r="H4518" i="6"/>
  <c r="G4518" i="6"/>
  <c r="H4517" i="6"/>
  <c r="G4517" i="6"/>
  <c r="H4516" i="6"/>
  <c r="G4516" i="6"/>
  <c r="H4515" i="6"/>
  <c r="G4515" i="6"/>
  <c r="H4514" i="6"/>
  <c r="G4514" i="6"/>
  <c r="H4513" i="6"/>
  <c r="G4513" i="6"/>
  <c r="H4512" i="6"/>
  <c r="G4512" i="6"/>
  <c r="H4511" i="6"/>
  <c r="G4511" i="6"/>
  <c r="H4510" i="6"/>
  <c r="G4510" i="6"/>
  <c r="H4509" i="6"/>
  <c r="G4509" i="6"/>
  <c r="H4508" i="6"/>
  <c r="G4508" i="6"/>
  <c r="H4507" i="6"/>
  <c r="G4507" i="6"/>
  <c r="H4506" i="6"/>
  <c r="G4506" i="6"/>
  <c r="H4505" i="6"/>
  <c r="G4505" i="6"/>
  <c r="H4504" i="6"/>
  <c r="G4504" i="6"/>
  <c r="H4503" i="6"/>
  <c r="G4503" i="6"/>
  <c r="H4502" i="6"/>
  <c r="G4502" i="6"/>
  <c r="H4501" i="6"/>
  <c r="G4501" i="6"/>
  <c r="H4500" i="6"/>
  <c r="G4500" i="6"/>
  <c r="H4499" i="6"/>
  <c r="G4499" i="6"/>
  <c r="H4498" i="6"/>
  <c r="G4498" i="6"/>
  <c r="H4497" i="6"/>
  <c r="G4497" i="6"/>
  <c r="H4496" i="6"/>
  <c r="G4496" i="6"/>
  <c r="H4495" i="6"/>
  <c r="G4495" i="6"/>
  <c r="H4494" i="6"/>
  <c r="G4494" i="6"/>
  <c r="H4493" i="6"/>
  <c r="G4493" i="6"/>
  <c r="H4492" i="6"/>
  <c r="G4492" i="6"/>
  <c r="H4491" i="6"/>
  <c r="G4491" i="6"/>
  <c r="H4490" i="6"/>
  <c r="G4490" i="6"/>
  <c r="H4489" i="6"/>
  <c r="G4489" i="6"/>
  <c r="H4488" i="6"/>
  <c r="G4488" i="6"/>
  <c r="H4487" i="6"/>
  <c r="G4487" i="6"/>
  <c r="H4486" i="6"/>
  <c r="G4486" i="6"/>
  <c r="H4485" i="6"/>
  <c r="G4485" i="6"/>
  <c r="H4484" i="6"/>
  <c r="G4484" i="6"/>
  <c r="H4483" i="6"/>
  <c r="G4483" i="6"/>
  <c r="H4482" i="6"/>
  <c r="G4482" i="6"/>
  <c r="H4481" i="6"/>
  <c r="G4481" i="6"/>
  <c r="H4480" i="6"/>
  <c r="G4480" i="6"/>
  <c r="H4479" i="6"/>
  <c r="G4479" i="6"/>
  <c r="H4478" i="6"/>
  <c r="G4478" i="6"/>
  <c r="H4477" i="6"/>
  <c r="G4477" i="6"/>
  <c r="H4476" i="6"/>
  <c r="G4476" i="6"/>
  <c r="H4475" i="6"/>
  <c r="G4475" i="6"/>
  <c r="H4474" i="6"/>
  <c r="G4474" i="6"/>
  <c r="H4473" i="6"/>
  <c r="G4473" i="6"/>
  <c r="H4472" i="6"/>
  <c r="G4472" i="6"/>
  <c r="H4471" i="6"/>
  <c r="G4471" i="6"/>
  <c r="H4470" i="6"/>
  <c r="G4470" i="6"/>
  <c r="H4469" i="6"/>
  <c r="G4469" i="6"/>
  <c r="H4468" i="6"/>
  <c r="G4468" i="6"/>
  <c r="H4467" i="6"/>
  <c r="G4467" i="6"/>
  <c r="H4466" i="6"/>
  <c r="G4466" i="6"/>
  <c r="H4465" i="6"/>
  <c r="G4465" i="6"/>
  <c r="H4464" i="6"/>
  <c r="G4464" i="6"/>
  <c r="H4463" i="6"/>
  <c r="G4463" i="6"/>
  <c r="H4462" i="6"/>
  <c r="G4462" i="6"/>
  <c r="H4461" i="6"/>
  <c r="G4461" i="6"/>
  <c r="H4460" i="6"/>
  <c r="G4460" i="6"/>
  <c r="H4459" i="6"/>
  <c r="G4459" i="6"/>
  <c r="H4458" i="6"/>
  <c r="G4458" i="6"/>
  <c r="H4457" i="6"/>
  <c r="G4457" i="6"/>
  <c r="H4456" i="6"/>
  <c r="G4456" i="6"/>
  <c r="H4455" i="6"/>
  <c r="G4455" i="6"/>
  <c r="H4454" i="6"/>
  <c r="G4454" i="6"/>
  <c r="H4453" i="6"/>
  <c r="G4453" i="6"/>
  <c r="H4452" i="6"/>
  <c r="G4452" i="6"/>
  <c r="H4451" i="6"/>
  <c r="G4451" i="6"/>
  <c r="H4450" i="6"/>
  <c r="G4450" i="6"/>
  <c r="H4449" i="6"/>
  <c r="G4449" i="6"/>
  <c r="H4448" i="6"/>
  <c r="G4448" i="6"/>
  <c r="H4447" i="6"/>
  <c r="G4447" i="6"/>
  <c r="H4446" i="6"/>
  <c r="G4446" i="6"/>
  <c r="H4445" i="6"/>
  <c r="G4445" i="6"/>
  <c r="H4444" i="6"/>
  <c r="G4444" i="6"/>
  <c r="H4443" i="6"/>
  <c r="G4443" i="6"/>
  <c r="H4442" i="6"/>
  <c r="G4442" i="6"/>
  <c r="H4441" i="6"/>
  <c r="G4441" i="6"/>
  <c r="H4440" i="6"/>
  <c r="G4440" i="6"/>
  <c r="H4439" i="6"/>
  <c r="G4439" i="6"/>
  <c r="H4438" i="6"/>
  <c r="G4438" i="6"/>
  <c r="H4437" i="6"/>
  <c r="G4437" i="6"/>
  <c r="H4436" i="6"/>
  <c r="G4436" i="6"/>
  <c r="H4435" i="6"/>
  <c r="G4435" i="6"/>
  <c r="H4434" i="6"/>
  <c r="G4434" i="6"/>
  <c r="H4433" i="6"/>
  <c r="G4433" i="6"/>
  <c r="H4432" i="6"/>
  <c r="G4432" i="6"/>
  <c r="H4431" i="6"/>
  <c r="G4431" i="6"/>
  <c r="H4430" i="6"/>
  <c r="G4430" i="6"/>
  <c r="H4429" i="6"/>
  <c r="G4429" i="6"/>
  <c r="H4428" i="6"/>
  <c r="G4428" i="6"/>
  <c r="H4427" i="6"/>
  <c r="G4427" i="6"/>
  <c r="H4426" i="6"/>
  <c r="G4426" i="6"/>
  <c r="H4425" i="6"/>
  <c r="G4425" i="6"/>
  <c r="H4424" i="6"/>
  <c r="G4424" i="6"/>
  <c r="H4423" i="6"/>
  <c r="G4423" i="6"/>
  <c r="H4422" i="6"/>
  <c r="G4422" i="6"/>
  <c r="H4421" i="6"/>
  <c r="G4421" i="6"/>
  <c r="H4420" i="6"/>
  <c r="G4420" i="6"/>
  <c r="H4419" i="6"/>
  <c r="G4419" i="6"/>
  <c r="H4418" i="6"/>
  <c r="G4418" i="6"/>
  <c r="H4417" i="6"/>
  <c r="G4417" i="6"/>
  <c r="H4416" i="6"/>
  <c r="G4416" i="6"/>
  <c r="H4415" i="6"/>
  <c r="G4415" i="6"/>
  <c r="H4414" i="6"/>
  <c r="G4414" i="6"/>
  <c r="H4413" i="6"/>
  <c r="G4413" i="6"/>
  <c r="H4412" i="6"/>
  <c r="G4412" i="6"/>
  <c r="H4411" i="6"/>
  <c r="G4411" i="6"/>
  <c r="H4410" i="6"/>
  <c r="G4410" i="6"/>
  <c r="H4409" i="6"/>
  <c r="G4409" i="6"/>
  <c r="H4408" i="6"/>
  <c r="G4408" i="6"/>
  <c r="H4407" i="6"/>
  <c r="G4407" i="6"/>
  <c r="H4406" i="6"/>
  <c r="G4406" i="6"/>
  <c r="H4405" i="6"/>
  <c r="G4405" i="6"/>
  <c r="H4404" i="6"/>
  <c r="G4404" i="6"/>
  <c r="H4403" i="6"/>
  <c r="G4403" i="6"/>
  <c r="H4402" i="6"/>
  <c r="G4402" i="6"/>
  <c r="H4401" i="6"/>
  <c r="G4401" i="6"/>
  <c r="H4400" i="6"/>
  <c r="G4400" i="6"/>
  <c r="H4399" i="6"/>
  <c r="G4399" i="6"/>
  <c r="H4398" i="6"/>
  <c r="G4398" i="6"/>
  <c r="H4397" i="6"/>
  <c r="G4397" i="6"/>
  <c r="H4396" i="6"/>
  <c r="G4396" i="6"/>
  <c r="H4395" i="6"/>
  <c r="G4395" i="6"/>
  <c r="H4394" i="6"/>
  <c r="G4394" i="6"/>
  <c r="H4393" i="6"/>
  <c r="G4393" i="6"/>
  <c r="H4392" i="6"/>
  <c r="G4392" i="6"/>
  <c r="H4391" i="6"/>
  <c r="G4391" i="6"/>
  <c r="H4390" i="6"/>
  <c r="G4390" i="6"/>
  <c r="H4389" i="6"/>
  <c r="G4389" i="6"/>
  <c r="H4388" i="6"/>
  <c r="G4388" i="6"/>
  <c r="H4387" i="6"/>
  <c r="G4387" i="6"/>
  <c r="H4386" i="6"/>
  <c r="G4386" i="6"/>
  <c r="H4385" i="6"/>
  <c r="G4385" i="6"/>
  <c r="H4384" i="6"/>
  <c r="G4384" i="6"/>
  <c r="H4383" i="6"/>
  <c r="G4383" i="6"/>
  <c r="H4382" i="6"/>
  <c r="G4382" i="6"/>
  <c r="H4381" i="6"/>
  <c r="G4381" i="6"/>
  <c r="H4380" i="6"/>
  <c r="G4380" i="6"/>
  <c r="H4379" i="6"/>
  <c r="G4379" i="6"/>
  <c r="H4378" i="6"/>
  <c r="G4378" i="6"/>
  <c r="H4377" i="6"/>
  <c r="G4377" i="6"/>
  <c r="H4376" i="6"/>
  <c r="G4376" i="6"/>
  <c r="H4375" i="6"/>
  <c r="G4375" i="6"/>
  <c r="H4374" i="6"/>
  <c r="G4374" i="6"/>
  <c r="H4373" i="6"/>
  <c r="G4373" i="6"/>
  <c r="H4372" i="6"/>
  <c r="G4372" i="6"/>
  <c r="H4371" i="6"/>
  <c r="G4371" i="6"/>
  <c r="H4370" i="6"/>
  <c r="G4370" i="6"/>
  <c r="H4369" i="6"/>
  <c r="G4369" i="6"/>
  <c r="H4368" i="6"/>
  <c r="G4368" i="6"/>
  <c r="H4367" i="6"/>
  <c r="G4367" i="6"/>
  <c r="H4366" i="6"/>
  <c r="G4366" i="6"/>
  <c r="H4365" i="6"/>
  <c r="G4365" i="6"/>
  <c r="H4364" i="6"/>
  <c r="G4364" i="6"/>
  <c r="H4363" i="6"/>
  <c r="G4363" i="6"/>
  <c r="H4362" i="6"/>
  <c r="G4362" i="6"/>
  <c r="H4361" i="6"/>
  <c r="G4361" i="6"/>
  <c r="H4360" i="6"/>
  <c r="G4360" i="6"/>
  <c r="H4359" i="6"/>
  <c r="G4359" i="6"/>
  <c r="H4358" i="6"/>
  <c r="G4358" i="6"/>
  <c r="H4357" i="6"/>
  <c r="G4357" i="6"/>
  <c r="H4356" i="6"/>
  <c r="G4356" i="6"/>
  <c r="H4355" i="6"/>
  <c r="G4355" i="6"/>
  <c r="H4354" i="6"/>
  <c r="G4354" i="6"/>
  <c r="H4353" i="6"/>
  <c r="G4353" i="6"/>
  <c r="H4352" i="6"/>
  <c r="G4352" i="6"/>
  <c r="H4351" i="6"/>
  <c r="G4351" i="6"/>
  <c r="H4350" i="6"/>
  <c r="G4350" i="6"/>
  <c r="H4349" i="6"/>
  <c r="G4349" i="6"/>
  <c r="H4348" i="6"/>
  <c r="G4348" i="6"/>
  <c r="H4347" i="6"/>
  <c r="G4347" i="6"/>
  <c r="H4346" i="6"/>
  <c r="G4346" i="6"/>
  <c r="H4345" i="6"/>
  <c r="G4345" i="6"/>
  <c r="H4344" i="6"/>
  <c r="G4344" i="6"/>
  <c r="H4343" i="6"/>
  <c r="G4343" i="6"/>
  <c r="H4342" i="6"/>
  <c r="G4342" i="6"/>
  <c r="H4341" i="6"/>
  <c r="G4341" i="6"/>
  <c r="H4340" i="6"/>
  <c r="G4340" i="6"/>
  <c r="H4339" i="6"/>
  <c r="G4339" i="6"/>
  <c r="H4338" i="6"/>
  <c r="G4338" i="6"/>
  <c r="H4337" i="6"/>
  <c r="G4337" i="6"/>
  <c r="H4336" i="6"/>
  <c r="G4336" i="6"/>
  <c r="H4335" i="6"/>
  <c r="G4335" i="6"/>
  <c r="H4334" i="6"/>
  <c r="G4334" i="6"/>
  <c r="H4333" i="6"/>
  <c r="G4333" i="6"/>
  <c r="H4332" i="6"/>
  <c r="G4332" i="6"/>
  <c r="H4331" i="6"/>
  <c r="G4331" i="6"/>
  <c r="H4330" i="6"/>
  <c r="G4330" i="6"/>
  <c r="H4329" i="6"/>
  <c r="G4329" i="6"/>
  <c r="H4328" i="6"/>
  <c r="G4328" i="6"/>
  <c r="H4327" i="6"/>
  <c r="G4327" i="6"/>
  <c r="H4326" i="6"/>
  <c r="G4326" i="6"/>
  <c r="H4325" i="6"/>
  <c r="G4325" i="6"/>
  <c r="H4324" i="6"/>
  <c r="G4324" i="6"/>
  <c r="H4323" i="6"/>
  <c r="G4323" i="6"/>
  <c r="H4322" i="6"/>
  <c r="G4322" i="6"/>
  <c r="H4321" i="6"/>
  <c r="G4321" i="6"/>
  <c r="H4320" i="6"/>
  <c r="G4320" i="6"/>
  <c r="H4319" i="6"/>
  <c r="G4319" i="6"/>
  <c r="H4318" i="6"/>
  <c r="G4318" i="6"/>
  <c r="H4317" i="6"/>
  <c r="G4317" i="6"/>
  <c r="H4316" i="6"/>
  <c r="G4316" i="6"/>
  <c r="H4315" i="6"/>
  <c r="G4315" i="6"/>
  <c r="H4314" i="6"/>
  <c r="G4314" i="6"/>
  <c r="H4313" i="6"/>
  <c r="G4313" i="6"/>
  <c r="H4312" i="6"/>
  <c r="G4312" i="6"/>
  <c r="H4311" i="6"/>
  <c r="G4311" i="6"/>
  <c r="H4310" i="6"/>
  <c r="G4310" i="6"/>
  <c r="H4309" i="6"/>
  <c r="G4309" i="6"/>
  <c r="H4308" i="6"/>
  <c r="G4308" i="6"/>
  <c r="H4307" i="6"/>
  <c r="G4307" i="6"/>
  <c r="H4306" i="6"/>
  <c r="G4306" i="6"/>
  <c r="H4305" i="6"/>
  <c r="G4305" i="6"/>
  <c r="H4304" i="6"/>
  <c r="G4304" i="6"/>
  <c r="H4303" i="6"/>
  <c r="G4303" i="6"/>
  <c r="H4302" i="6"/>
  <c r="G4302" i="6"/>
  <c r="H4301" i="6"/>
  <c r="G4301" i="6"/>
  <c r="H4300" i="6"/>
  <c r="G4300" i="6"/>
  <c r="H4299" i="6"/>
  <c r="G4299" i="6"/>
  <c r="H4298" i="6"/>
  <c r="G4298" i="6"/>
  <c r="H4297" i="6"/>
  <c r="G4297" i="6"/>
  <c r="H4296" i="6"/>
  <c r="G4296" i="6"/>
  <c r="H4295" i="6"/>
  <c r="G4295" i="6"/>
  <c r="H4294" i="6"/>
  <c r="G4294" i="6"/>
  <c r="H4293" i="6"/>
  <c r="G4293" i="6"/>
  <c r="H4292" i="6"/>
  <c r="G4292" i="6"/>
  <c r="H4291" i="6"/>
  <c r="G4291" i="6"/>
  <c r="H4290" i="6"/>
  <c r="G4290" i="6"/>
  <c r="H4289" i="6"/>
  <c r="G4289" i="6"/>
  <c r="H4288" i="6"/>
  <c r="G4288" i="6"/>
  <c r="H4287" i="6"/>
  <c r="G4287" i="6"/>
  <c r="H4286" i="6"/>
  <c r="G4286" i="6"/>
  <c r="H4285" i="6"/>
  <c r="G4285" i="6"/>
  <c r="H4284" i="6"/>
  <c r="G4284" i="6"/>
  <c r="H4283" i="6"/>
  <c r="G4283" i="6"/>
  <c r="H4282" i="6"/>
  <c r="G4282" i="6"/>
  <c r="H4281" i="6"/>
  <c r="G4281" i="6"/>
  <c r="H4280" i="6"/>
  <c r="G4280" i="6"/>
  <c r="H4279" i="6"/>
  <c r="G4279" i="6"/>
  <c r="H4278" i="6"/>
  <c r="G4278" i="6"/>
  <c r="H4277" i="6"/>
  <c r="G4277" i="6"/>
  <c r="H4276" i="6"/>
  <c r="G4276" i="6"/>
  <c r="H4275" i="6"/>
  <c r="G4275" i="6"/>
  <c r="H4274" i="6"/>
  <c r="G4274" i="6"/>
  <c r="H4273" i="6"/>
  <c r="G4273" i="6"/>
  <c r="H4272" i="6"/>
  <c r="G4272" i="6"/>
  <c r="H4271" i="6"/>
  <c r="G4271" i="6"/>
  <c r="H4270" i="6"/>
  <c r="G4270" i="6"/>
  <c r="H4269" i="6"/>
  <c r="G4269" i="6"/>
  <c r="H4268" i="6"/>
  <c r="G4268" i="6"/>
  <c r="H4267" i="6"/>
  <c r="G4267" i="6"/>
  <c r="H4266" i="6"/>
  <c r="G4266" i="6"/>
  <c r="H4265" i="6"/>
  <c r="G4265" i="6"/>
  <c r="H4264" i="6"/>
  <c r="G4264" i="6"/>
  <c r="H4263" i="6"/>
  <c r="G4263" i="6"/>
  <c r="H4262" i="6"/>
  <c r="G4262" i="6"/>
  <c r="H4261" i="6"/>
  <c r="G4261" i="6"/>
  <c r="H4260" i="6"/>
  <c r="G4260" i="6"/>
  <c r="H4259" i="6"/>
  <c r="G4259" i="6"/>
  <c r="H4258" i="6"/>
  <c r="G4258" i="6"/>
  <c r="H4257" i="6"/>
  <c r="G4257" i="6"/>
  <c r="H4256" i="6"/>
  <c r="G4256" i="6"/>
  <c r="H4255" i="6"/>
  <c r="G4255" i="6"/>
  <c r="H4254" i="6"/>
  <c r="G4254" i="6"/>
  <c r="H4253" i="6"/>
  <c r="G4253" i="6"/>
  <c r="H4252" i="6"/>
  <c r="G4252" i="6"/>
  <c r="H4251" i="6"/>
  <c r="G4251" i="6"/>
  <c r="H4250" i="6"/>
  <c r="G4250" i="6"/>
  <c r="H4249" i="6"/>
  <c r="G4249" i="6"/>
  <c r="H4248" i="6"/>
  <c r="G4248" i="6"/>
  <c r="H4247" i="6"/>
  <c r="G4247" i="6"/>
  <c r="H4246" i="6"/>
  <c r="G4246" i="6"/>
  <c r="H4245" i="6"/>
  <c r="G4245" i="6"/>
  <c r="H4244" i="6"/>
  <c r="G4244" i="6"/>
  <c r="H4243" i="6"/>
  <c r="G4243" i="6"/>
  <c r="H4242" i="6"/>
  <c r="G4242" i="6"/>
  <c r="H4241" i="6"/>
  <c r="G4241" i="6"/>
  <c r="H4240" i="6"/>
  <c r="G4240" i="6"/>
  <c r="H4239" i="6"/>
  <c r="G4239" i="6"/>
  <c r="H4238" i="6"/>
  <c r="G4238" i="6"/>
  <c r="H4237" i="6"/>
  <c r="G4237" i="6"/>
  <c r="H4236" i="6"/>
  <c r="G4236" i="6"/>
  <c r="H4235" i="6"/>
  <c r="G4235" i="6"/>
  <c r="H4234" i="6"/>
  <c r="G4234" i="6"/>
  <c r="H4233" i="6"/>
  <c r="G4233" i="6"/>
  <c r="H4232" i="6"/>
  <c r="G4232" i="6"/>
  <c r="H4231" i="6"/>
  <c r="G4231" i="6"/>
  <c r="H4230" i="6"/>
  <c r="G4230" i="6"/>
  <c r="H4229" i="6"/>
  <c r="G4229" i="6"/>
  <c r="H4228" i="6"/>
  <c r="G4228" i="6"/>
  <c r="H4227" i="6"/>
  <c r="G4227" i="6"/>
  <c r="H4226" i="6"/>
  <c r="G4226" i="6"/>
  <c r="H4225" i="6"/>
  <c r="G4225" i="6"/>
  <c r="H4224" i="6"/>
  <c r="G4224" i="6"/>
  <c r="H4223" i="6"/>
  <c r="G4223" i="6"/>
  <c r="H4222" i="6"/>
  <c r="G4222" i="6"/>
  <c r="H4221" i="6"/>
  <c r="G4221" i="6"/>
  <c r="H4220" i="6"/>
  <c r="G4220" i="6"/>
  <c r="H4219" i="6"/>
  <c r="G4219" i="6"/>
  <c r="H4218" i="6"/>
  <c r="G4218" i="6"/>
  <c r="H4217" i="6"/>
  <c r="G4217" i="6"/>
  <c r="H4216" i="6"/>
  <c r="G4216" i="6"/>
  <c r="H4215" i="6"/>
  <c r="G4215" i="6"/>
  <c r="H4214" i="6"/>
  <c r="G4214" i="6"/>
  <c r="H4213" i="6"/>
  <c r="G4213" i="6"/>
  <c r="H4212" i="6"/>
  <c r="G4212" i="6"/>
  <c r="H4211" i="6"/>
  <c r="G4211" i="6"/>
  <c r="H4210" i="6"/>
  <c r="G4210" i="6"/>
  <c r="H4209" i="6"/>
  <c r="G4209" i="6"/>
  <c r="H4208" i="6"/>
  <c r="G4208" i="6"/>
  <c r="H4207" i="6"/>
  <c r="G4207" i="6"/>
  <c r="H4206" i="6"/>
  <c r="G4206" i="6"/>
  <c r="H4205" i="6"/>
  <c r="G4205" i="6"/>
  <c r="H4204" i="6"/>
  <c r="G4204" i="6"/>
  <c r="H4203" i="6"/>
  <c r="G4203" i="6"/>
  <c r="H4202" i="6"/>
  <c r="G4202" i="6"/>
  <c r="H4201" i="6"/>
  <c r="G4201" i="6"/>
  <c r="H4200" i="6"/>
  <c r="G4200" i="6"/>
  <c r="H4199" i="6"/>
  <c r="G4199" i="6"/>
  <c r="H4198" i="6"/>
  <c r="G4198" i="6"/>
  <c r="H4197" i="6"/>
  <c r="G4197" i="6"/>
  <c r="H4196" i="6"/>
  <c r="G4196" i="6"/>
  <c r="H4195" i="6"/>
  <c r="G4195" i="6"/>
  <c r="H4194" i="6"/>
  <c r="G4194" i="6"/>
  <c r="H4193" i="6"/>
  <c r="G4193" i="6"/>
  <c r="H4192" i="6"/>
  <c r="G4192" i="6"/>
  <c r="H4191" i="6"/>
  <c r="G4191" i="6"/>
  <c r="H4190" i="6"/>
  <c r="G4190" i="6"/>
  <c r="H4189" i="6"/>
  <c r="G4189" i="6"/>
  <c r="H4188" i="6"/>
  <c r="G4188" i="6"/>
  <c r="H4187" i="6"/>
  <c r="G4187" i="6"/>
  <c r="H4186" i="6"/>
  <c r="G4186" i="6"/>
  <c r="H4185" i="6"/>
  <c r="G4185" i="6"/>
  <c r="H4184" i="6"/>
  <c r="G4184" i="6"/>
  <c r="H4183" i="6"/>
  <c r="G4183" i="6"/>
  <c r="H4182" i="6"/>
  <c r="G4182" i="6"/>
  <c r="H4181" i="6"/>
  <c r="G4181" i="6"/>
  <c r="H4180" i="6"/>
  <c r="G4180" i="6"/>
  <c r="H4179" i="6"/>
  <c r="G4179" i="6"/>
  <c r="H4178" i="6"/>
  <c r="G4178" i="6"/>
  <c r="H4177" i="6"/>
  <c r="G4177" i="6"/>
  <c r="H4176" i="6"/>
  <c r="G4176" i="6"/>
  <c r="H4175" i="6"/>
  <c r="G4175" i="6"/>
  <c r="H4174" i="6"/>
  <c r="G4174" i="6"/>
  <c r="H4173" i="6"/>
  <c r="G4173" i="6"/>
  <c r="H4172" i="6"/>
  <c r="G4172" i="6"/>
  <c r="H4171" i="6"/>
  <c r="G4171" i="6"/>
  <c r="H4170" i="6"/>
  <c r="G4170" i="6"/>
  <c r="H4169" i="6"/>
  <c r="G4169" i="6"/>
  <c r="H4168" i="6"/>
  <c r="G4168" i="6"/>
  <c r="H4167" i="6"/>
  <c r="G4167" i="6"/>
  <c r="H4166" i="6"/>
  <c r="G4166" i="6"/>
  <c r="H4165" i="6"/>
  <c r="G4165" i="6"/>
  <c r="H4164" i="6"/>
  <c r="G4164" i="6"/>
  <c r="H4163" i="6"/>
  <c r="G4163" i="6"/>
  <c r="H4162" i="6"/>
  <c r="G4162" i="6"/>
  <c r="H4161" i="6"/>
  <c r="G4161" i="6"/>
  <c r="H4160" i="6"/>
  <c r="G4160" i="6"/>
  <c r="H4159" i="6"/>
  <c r="G4159" i="6"/>
  <c r="H4158" i="6"/>
  <c r="G4158" i="6"/>
  <c r="H4157" i="6"/>
  <c r="G4157" i="6"/>
  <c r="H4156" i="6"/>
  <c r="G4156" i="6"/>
  <c r="H4155" i="6"/>
  <c r="G4155" i="6"/>
  <c r="H4154" i="6"/>
  <c r="G4154" i="6"/>
  <c r="H4153" i="6"/>
  <c r="G4153" i="6"/>
  <c r="H4152" i="6"/>
  <c r="G4152" i="6"/>
  <c r="H4151" i="6"/>
  <c r="G4151" i="6"/>
  <c r="H4150" i="6"/>
  <c r="G4150" i="6"/>
  <c r="H4149" i="6"/>
  <c r="G4149" i="6"/>
  <c r="H4148" i="6"/>
  <c r="G4148" i="6"/>
  <c r="H4147" i="6"/>
  <c r="G4147" i="6"/>
  <c r="H4146" i="6"/>
  <c r="G4146" i="6"/>
  <c r="H4145" i="6"/>
  <c r="G4145" i="6"/>
  <c r="H4144" i="6"/>
  <c r="G4144" i="6"/>
  <c r="H4143" i="6"/>
  <c r="G4143" i="6"/>
  <c r="H4142" i="6"/>
  <c r="G4142" i="6"/>
  <c r="H4141" i="6"/>
  <c r="G4141" i="6"/>
  <c r="H4140" i="6"/>
  <c r="G4140" i="6"/>
  <c r="H4139" i="6"/>
  <c r="G4139" i="6"/>
  <c r="H4138" i="6"/>
  <c r="G4138" i="6"/>
  <c r="H4137" i="6"/>
  <c r="G4137" i="6"/>
  <c r="H4136" i="6"/>
  <c r="G4136" i="6"/>
  <c r="H4135" i="6"/>
  <c r="G4135" i="6"/>
  <c r="H4134" i="6"/>
  <c r="G4134" i="6"/>
  <c r="H4133" i="6"/>
  <c r="G4133" i="6"/>
  <c r="H4132" i="6"/>
  <c r="G4132" i="6"/>
  <c r="H4131" i="6"/>
  <c r="G4131" i="6"/>
  <c r="H4130" i="6"/>
  <c r="G4130" i="6"/>
  <c r="H4129" i="6"/>
  <c r="G4129" i="6"/>
  <c r="H4128" i="6"/>
  <c r="G4128" i="6"/>
  <c r="H4127" i="6"/>
  <c r="G4127" i="6"/>
  <c r="H4126" i="6"/>
  <c r="G4126" i="6"/>
  <c r="H4125" i="6"/>
  <c r="G4125" i="6"/>
  <c r="H4124" i="6"/>
  <c r="G4124" i="6"/>
  <c r="H4123" i="6"/>
  <c r="G4123" i="6"/>
  <c r="H4122" i="6"/>
  <c r="G4122" i="6"/>
  <c r="H4121" i="6"/>
  <c r="G4121" i="6"/>
  <c r="H4120" i="6"/>
  <c r="G4120" i="6"/>
  <c r="H4119" i="6"/>
  <c r="G4119" i="6"/>
  <c r="H4118" i="6"/>
  <c r="G4118" i="6"/>
  <c r="H4117" i="6"/>
  <c r="G4117" i="6"/>
  <c r="H4116" i="6"/>
  <c r="G4116" i="6"/>
  <c r="H4115" i="6"/>
  <c r="G4115" i="6"/>
  <c r="H4114" i="6"/>
  <c r="G4114" i="6"/>
  <c r="H4113" i="6"/>
  <c r="G4113" i="6"/>
  <c r="H4112" i="6"/>
  <c r="G4112" i="6"/>
  <c r="H4111" i="6"/>
  <c r="G4111" i="6"/>
  <c r="H4110" i="6"/>
  <c r="G4110" i="6"/>
  <c r="H4109" i="6"/>
  <c r="G4109" i="6"/>
  <c r="H4108" i="6"/>
  <c r="G4108" i="6"/>
  <c r="H4107" i="6"/>
  <c r="G4107" i="6"/>
  <c r="H4106" i="6"/>
  <c r="G4106" i="6"/>
  <c r="H4105" i="6"/>
  <c r="G4105" i="6"/>
  <c r="H4104" i="6"/>
  <c r="G4104" i="6"/>
  <c r="H4103" i="6"/>
  <c r="G4103" i="6"/>
  <c r="H4102" i="6"/>
  <c r="G4102" i="6"/>
  <c r="H4101" i="6"/>
  <c r="G4101" i="6"/>
  <c r="H4100" i="6"/>
  <c r="G4100" i="6"/>
  <c r="H4099" i="6"/>
  <c r="G4099" i="6"/>
  <c r="H4098" i="6"/>
  <c r="G4098" i="6"/>
  <c r="H4097" i="6"/>
  <c r="G4097" i="6"/>
  <c r="H4096" i="6"/>
  <c r="G4096" i="6"/>
  <c r="H4095" i="6"/>
  <c r="G4095" i="6"/>
  <c r="H4094" i="6"/>
  <c r="G4094" i="6"/>
  <c r="H4093" i="6"/>
  <c r="G4093" i="6"/>
  <c r="H4092" i="6"/>
  <c r="G4092" i="6"/>
  <c r="H4091" i="6"/>
  <c r="G4091" i="6"/>
  <c r="H4090" i="6"/>
  <c r="G4090" i="6"/>
  <c r="H4089" i="6"/>
  <c r="G4089" i="6"/>
  <c r="H4088" i="6"/>
  <c r="G4088" i="6"/>
  <c r="H4087" i="6"/>
  <c r="G4087" i="6"/>
  <c r="H4086" i="6"/>
  <c r="G4086" i="6"/>
  <c r="H4085" i="6"/>
  <c r="G4085" i="6"/>
  <c r="H4084" i="6"/>
  <c r="G4084" i="6"/>
  <c r="H4083" i="6"/>
  <c r="G4083" i="6"/>
  <c r="H4082" i="6"/>
  <c r="G4082" i="6"/>
  <c r="H4081" i="6"/>
  <c r="G4081" i="6"/>
  <c r="H4080" i="6"/>
  <c r="G4080" i="6"/>
  <c r="H4079" i="6"/>
  <c r="G4079" i="6"/>
  <c r="H4078" i="6"/>
  <c r="G4078" i="6"/>
  <c r="H4077" i="6"/>
  <c r="G4077" i="6"/>
  <c r="H4076" i="6"/>
  <c r="G4076" i="6"/>
  <c r="H4075" i="6"/>
  <c r="G4075" i="6"/>
  <c r="H4074" i="6"/>
  <c r="G4074" i="6"/>
  <c r="H4073" i="6"/>
  <c r="G4073" i="6"/>
  <c r="H4072" i="6"/>
  <c r="G4072" i="6"/>
  <c r="H4071" i="6"/>
  <c r="G4071" i="6"/>
  <c r="H4070" i="6"/>
  <c r="G4070" i="6"/>
  <c r="H4069" i="6"/>
  <c r="G4069" i="6"/>
  <c r="H4068" i="6"/>
  <c r="G4068" i="6"/>
  <c r="H4067" i="6"/>
  <c r="G4067" i="6"/>
  <c r="H4066" i="6"/>
  <c r="G4066" i="6"/>
  <c r="H4065" i="6"/>
  <c r="G4065" i="6"/>
  <c r="H4064" i="6"/>
  <c r="G4064" i="6"/>
  <c r="H4063" i="6"/>
  <c r="G4063" i="6"/>
  <c r="H4062" i="6"/>
  <c r="G4062" i="6"/>
  <c r="H4061" i="6"/>
  <c r="G4061" i="6"/>
  <c r="H4060" i="6"/>
  <c r="G4060" i="6"/>
  <c r="H4059" i="6"/>
  <c r="G4059" i="6"/>
  <c r="H4058" i="6"/>
  <c r="G4058" i="6"/>
  <c r="H4057" i="6"/>
  <c r="G4057" i="6"/>
  <c r="H4056" i="6"/>
  <c r="G4056" i="6"/>
  <c r="H4055" i="6"/>
  <c r="G4055" i="6"/>
  <c r="H4054" i="6"/>
  <c r="G4054" i="6"/>
  <c r="H4053" i="6"/>
  <c r="G4053" i="6"/>
  <c r="H4052" i="6"/>
  <c r="G4052" i="6"/>
  <c r="H4051" i="6"/>
  <c r="G4051" i="6"/>
  <c r="H4050" i="6"/>
  <c r="G4050" i="6"/>
  <c r="H4049" i="6"/>
  <c r="G4049" i="6"/>
  <c r="H4048" i="6"/>
  <c r="G4048" i="6"/>
  <c r="H4047" i="6"/>
  <c r="G4047" i="6"/>
  <c r="H4046" i="6"/>
  <c r="G4046" i="6"/>
  <c r="H4045" i="6"/>
  <c r="G4045" i="6"/>
  <c r="H4044" i="6"/>
  <c r="G4044" i="6"/>
  <c r="H4043" i="6"/>
  <c r="G4043" i="6"/>
  <c r="H4042" i="6"/>
  <c r="G4042" i="6"/>
  <c r="H4041" i="6"/>
  <c r="G4041" i="6"/>
  <c r="H4040" i="6"/>
  <c r="G4040" i="6"/>
  <c r="H4039" i="6"/>
  <c r="G4039" i="6"/>
  <c r="H4038" i="6"/>
  <c r="G4038" i="6"/>
  <c r="H4037" i="6"/>
  <c r="G4037" i="6"/>
  <c r="H4036" i="6"/>
  <c r="G4036" i="6"/>
  <c r="H4035" i="6"/>
  <c r="G4035" i="6"/>
  <c r="H4034" i="6"/>
  <c r="G4034" i="6"/>
  <c r="H4033" i="6"/>
  <c r="G4033" i="6"/>
  <c r="H4032" i="6"/>
  <c r="G4032" i="6"/>
  <c r="H4031" i="6"/>
  <c r="G4031" i="6"/>
  <c r="H4030" i="6"/>
  <c r="G4030" i="6"/>
  <c r="H4029" i="6"/>
  <c r="G4029" i="6"/>
  <c r="H4028" i="6"/>
  <c r="G4028" i="6"/>
  <c r="H4027" i="6"/>
  <c r="G4027" i="6"/>
  <c r="H4026" i="6"/>
  <c r="G4026" i="6"/>
  <c r="H4025" i="6"/>
  <c r="G4025" i="6"/>
  <c r="H4024" i="6"/>
  <c r="G4024" i="6"/>
  <c r="H4023" i="6"/>
  <c r="G4023" i="6"/>
  <c r="H4022" i="6"/>
  <c r="G4022" i="6"/>
  <c r="H4021" i="6"/>
  <c r="G4021" i="6"/>
  <c r="H4020" i="6"/>
  <c r="G4020" i="6"/>
  <c r="H4019" i="6"/>
  <c r="G4019" i="6"/>
  <c r="H4018" i="6"/>
  <c r="G4018" i="6"/>
  <c r="H4017" i="6"/>
  <c r="G4017" i="6"/>
  <c r="H4016" i="6"/>
  <c r="G4016" i="6"/>
  <c r="H4015" i="6"/>
  <c r="G4015" i="6"/>
  <c r="H4014" i="6"/>
  <c r="G4014" i="6"/>
  <c r="H4013" i="6"/>
  <c r="G4013" i="6"/>
  <c r="H4012" i="6"/>
  <c r="G4012" i="6"/>
  <c r="H4011" i="6"/>
  <c r="G4011" i="6"/>
  <c r="H4010" i="6"/>
  <c r="G4010" i="6"/>
  <c r="H4009" i="6"/>
  <c r="G4009" i="6"/>
  <c r="H4008" i="6"/>
  <c r="G4008" i="6"/>
  <c r="H4007" i="6"/>
  <c r="G4007" i="6"/>
  <c r="H4006" i="6"/>
  <c r="G4006" i="6"/>
  <c r="H4005" i="6"/>
  <c r="G4005" i="6"/>
  <c r="H4004" i="6"/>
  <c r="G4004" i="6"/>
  <c r="H4003" i="6"/>
  <c r="G4003" i="6"/>
  <c r="H4002" i="6"/>
  <c r="G4002" i="6"/>
  <c r="H4001" i="6"/>
  <c r="G4001" i="6"/>
  <c r="H4000" i="6"/>
  <c r="G4000" i="6"/>
  <c r="H3999" i="6"/>
  <c r="G3999" i="6"/>
  <c r="H3998" i="6"/>
  <c r="G3998" i="6"/>
  <c r="H3997" i="6"/>
  <c r="G3997" i="6"/>
  <c r="H3996" i="6"/>
  <c r="G3996" i="6"/>
  <c r="H3995" i="6"/>
  <c r="G3995" i="6"/>
  <c r="H3994" i="6"/>
  <c r="G3994" i="6"/>
  <c r="H3993" i="6"/>
  <c r="G3993" i="6"/>
  <c r="H3992" i="6"/>
  <c r="G3992" i="6"/>
  <c r="H3991" i="6"/>
  <c r="G3991" i="6"/>
  <c r="H3990" i="6"/>
  <c r="G3990" i="6"/>
  <c r="H3989" i="6"/>
  <c r="G3989" i="6"/>
  <c r="H3988" i="6"/>
  <c r="G3988" i="6"/>
  <c r="H3987" i="6"/>
  <c r="G3987" i="6"/>
  <c r="H3986" i="6"/>
  <c r="G3986" i="6"/>
  <c r="H3985" i="6"/>
  <c r="G3985" i="6"/>
  <c r="H3984" i="6"/>
  <c r="G3984" i="6"/>
  <c r="H3983" i="6"/>
  <c r="G3983" i="6"/>
  <c r="H3982" i="6"/>
  <c r="G3982" i="6"/>
  <c r="H3981" i="6"/>
  <c r="G3981" i="6"/>
  <c r="H3980" i="6"/>
  <c r="G3980" i="6"/>
  <c r="H3979" i="6"/>
  <c r="G3979" i="6"/>
  <c r="H3978" i="6"/>
  <c r="G3978" i="6"/>
  <c r="H3977" i="6"/>
  <c r="G3977" i="6"/>
  <c r="H3976" i="6"/>
  <c r="G3976" i="6"/>
  <c r="H3975" i="6"/>
  <c r="G3975" i="6"/>
  <c r="H3974" i="6"/>
  <c r="G3974" i="6"/>
  <c r="H3973" i="6"/>
  <c r="G3973" i="6"/>
  <c r="H3972" i="6"/>
  <c r="G3972" i="6"/>
  <c r="H3971" i="6"/>
  <c r="G3971" i="6"/>
  <c r="H3970" i="6"/>
  <c r="G3970" i="6"/>
  <c r="H3969" i="6"/>
  <c r="G3969" i="6"/>
  <c r="H3968" i="6"/>
  <c r="G3968" i="6"/>
  <c r="H3967" i="6"/>
  <c r="G3967" i="6"/>
  <c r="H3966" i="6"/>
  <c r="G3966" i="6"/>
  <c r="H3965" i="6"/>
  <c r="G3965" i="6"/>
  <c r="H3964" i="6"/>
  <c r="G3964" i="6"/>
  <c r="H3963" i="6"/>
  <c r="G3963" i="6"/>
  <c r="H3962" i="6"/>
  <c r="G3962" i="6"/>
  <c r="H3961" i="6"/>
  <c r="G3961" i="6"/>
  <c r="H3960" i="6"/>
  <c r="G3960" i="6"/>
  <c r="H3959" i="6"/>
  <c r="G3959" i="6"/>
  <c r="H3958" i="6"/>
  <c r="G3958" i="6"/>
  <c r="H3957" i="6"/>
  <c r="G3957" i="6"/>
  <c r="H3956" i="6"/>
  <c r="G3956" i="6"/>
  <c r="H3955" i="6"/>
  <c r="G3955" i="6"/>
  <c r="H3954" i="6"/>
  <c r="G3954" i="6"/>
  <c r="H3953" i="6"/>
  <c r="G3953" i="6"/>
  <c r="H3952" i="6"/>
  <c r="G3952" i="6"/>
  <c r="H3951" i="6"/>
  <c r="G3951" i="6"/>
  <c r="H3950" i="6"/>
  <c r="G3950" i="6"/>
  <c r="H3949" i="6"/>
  <c r="G3949" i="6"/>
  <c r="H3948" i="6"/>
  <c r="G3948" i="6"/>
  <c r="H3947" i="6"/>
  <c r="G3947" i="6"/>
  <c r="H3946" i="6"/>
  <c r="G3946" i="6"/>
  <c r="H3945" i="6"/>
  <c r="G3945" i="6"/>
  <c r="H3944" i="6"/>
  <c r="G3944" i="6"/>
  <c r="H3943" i="6"/>
  <c r="G3943" i="6"/>
  <c r="H3942" i="6"/>
  <c r="G3942" i="6"/>
  <c r="H3941" i="6"/>
  <c r="G3941" i="6"/>
  <c r="H3940" i="6"/>
  <c r="G3940" i="6"/>
  <c r="H3939" i="6"/>
  <c r="G3939" i="6"/>
  <c r="H3938" i="6"/>
  <c r="G3938" i="6"/>
  <c r="H3937" i="6"/>
  <c r="G3937" i="6"/>
  <c r="H3936" i="6"/>
  <c r="G3936" i="6"/>
  <c r="H3935" i="6"/>
  <c r="G3935" i="6"/>
  <c r="H3934" i="6"/>
  <c r="G3934" i="6"/>
  <c r="H3933" i="6"/>
  <c r="G3933" i="6"/>
  <c r="H3932" i="6"/>
  <c r="G3932" i="6"/>
  <c r="H3931" i="6"/>
  <c r="G3931" i="6"/>
  <c r="H3930" i="6"/>
  <c r="G3930" i="6"/>
  <c r="H3929" i="6"/>
  <c r="G3929" i="6"/>
  <c r="H3928" i="6"/>
  <c r="G3928" i="6"/>
  <c r="H3927" i="6"/>
  <c r="G3927" i="6"/>
  <c r="H3926" i="6"/>
  <c r="G3926" i="6"/>
  <c r="H3925" i="6"/>
  <c r="G3925" i="6"/>
  <c r="H3924" i="6"/>
  <c r="G3924" i="6"/>
  <c r="H3923" i="6"/>
  <c r="G3923" i="6"/>
  <c r="H3922" i="6"/>
  <c r="G3922" i="6"/>
  <c r="H3921" i="6"/>
  <c r="G3921" i="6"/>
  <c r="H3920" i="6"/>
  <c r="G3920" i="6"/>
  <c r="H3919" i="6"/>
  <c r="G3919" i="6"/>
  <c r="H3918" i="6"/>
  <c r="G3918" i="6"/>
  <c r="H3917" i="6"/>
  <c r="G3917" i="6"/>
  <c r="H3916" i="6"/>
  <c r="G3916" i="6"/>
  <c r="H3915" i="6"/>
  <c r="G3915" i="6"/>
  <c r="H3914" i="6"/>
  <c r="G3914" i="6"/>
  <c r="H3913" i="6"/>
  <c r="G3913" i="6"/>
  <c r="H3912" i="6"/>
  <c r="G3912" i="6"/>
  <c r="H3911" i="6"/>
  <c r="G3911" i="6"/>
  <c r="H3910" i="6"/>
  <c r="G3910" i="6"/>
  <c r="H3909" i="6"/>
  <c r="G3909" i="6"/>
  <c r="H3908" i="6"/>
  <c r="G3908" i="6"/>
  <c r="H3907" i="6"/>
  <c r="G3907" i="6"/>
  <c r="H3906" i="6"/>
  <c r="G3906" i="6"/>
  <c r="H3905" i="6"/>
  <c r="G3905" i="6"/>
  <c r="H3904" i="6"/>
  <c r="G3904" i="6"/>
  <c r="H3903" i="6"/>
  <c r="G3903" i="6"/>
  <c r="H3902" i="6"/>
  <c r="G3902" i="6"/>
  <c r="H3901" i="6"/>
  <c r="G3901" i="6"/>
  <c r="H3900" i="6"/>
  <c r="G3900" i="6"/>
  <c r="H3899" i="6"/>
  <c r="G3899" i="6"/>
  <c r="H3898" i="6"/>
  <c r="G3898" i="6"/>
  <c r="H3897" i="6"/>
  <c r="G3897" i="6"/>
  <c r="H3896" i="6"/>
  <c r="G3896" i="6"/>
  <c r="H3895" i="6"/>
  <c r="G3895" i="6"/>
  <c r="H3894" i="6"/>
  <c r="G3894" i="6"/>
  <c r="H3893" i="6"/>
  <c r="G3893" i="6"/>
  <c r="H3892" i="6"/>
  <c r="G3892" i="6"/>
  <c r="H3891" i="6"/>
  <c r="G3891" i="6"/>
  <c r="H3890" i="6"/>
  <c r="G3890" i="6"/>
  <c r="H3889" i="6"/>
  <c r="G3889" i="6"/>
  <c r="H3888" i="6"/>
  <c r="G3888" i="6"/>
  <c r="H3887" i="6"/>
  <c r="G3887" i="6"/>
  <c r="H3886" i="6"/>
  <c r="G3886" i="6"/>
  <c r="H3885" i="6"/>
  <c r="G3885" i="6"/>
  <c r="H3884" i="6"/>
  <c r="G3884" i="6"/>
  <c r="H3883" i="6"/>
  <c r="G3883" i="6"/>
  <c r="H3882" i="6"/>
  <c r="G3882" i="6"/>
  <c r="H3881" i="6"/>
  <c r="G3881" i="6"/>
  <c r="H3880" i="6"/>
  <c r="G3880" i="6"/>
  <c r="H3879" i="6"/>
  <c r="G3879" i="6"/>
  <c r="H3878" i="6"/>
  <c r="G3878" i="6"/>
  <c r="H3877" i="6"/>
  <c r="G3877" i="6"/>
  <c r="H3876" i="6"/>
  <c r="G3876" i="6"/>
  <c r="H3875" i="6"/>
  <c r="G3875" i="6"/>
  <c r="H3874" i="6"/>
  <c r="G3874" i="6"/>
  <c r="H3873" i="6"/>
  <c r="G3873" i="6"/>
  <c r="H3872" i="6"/>
  <c r="G3872" i="6"/>
  <c r="H3871" i="6"/>
  <c r="G3871" i="6"/>
  <c r="H3870" i="6"/>
  <c r="G3870" i="6"/>
  <c r="H3869" i="6"/>
  <c r="G3869" i="6"/>
  <c r="H3868" i="6"/>
  <c r="G3868" i="6"/>
  <c r="H3867" i="6"/>
  <c r="G3867" i="6"/>
  <c r="H3866" i="6"/>
  <c r="G3866" i="6"/>
  <c r="H3865" i="6"/>
  <c r="G3865" i="6"/>
  <c r="H3864" i="6"/>
  <c r="G3864" i="6"/>
  <c r="H3863" i="6"/>
  <c r="G3863" i="6"/>
  <c r="H3862" i="6"/>
  <c r="G3862" i="6"/>
  <c r="H3861" i="6"/>
  <c r="G3861" i="6"/>
  <c r="H3860" i="6"/>
  <c r="G3860" i="6"/>
  <c r="H3859" i="6"/>
  <c r="G3859" i="6"/>
  <c r="H3858" i="6"/>
  <c r="G3858" i="6"/>
  <c r="H3857" i="6"/>
  <c r="G3857" i="6"/>
  <c r="H3856" i="6"/>
  <c r="G3856" i="6"/>
  <c r="H3855" i="6"/>
  <c r="G3855" i="6"/>
  <c r="H3854" i="6"/>
  <c r="G3854" i="6"/>
  <c r="H3853" i="6"/>
  <c r="G3853" i="6"/>
  <c r="H3852" i="6"/>
  <c r="G3852" i="6"/>
  <c r="H3851" i="6"/>
  <c r="G3851" i="6"/>
  <c r="H3850" i="6"/>
  <c r="G3850" i="6"/>
  <c r="H3849" i="6"/>
  <c r="G3849" i="6"/>
  <c r="H3848" i="6"/>
  <c r="G3848" i="6"/>
  <c r="H3847" i="6"/>
  <c r="G3847" i="6"/>
  <c r="H3846" i="6"/>
  <c r="G3846" i="6"/>
  <c r="H3845" i="6"/>
  <c r="G3845" i="6"/>
  <c r="H3844" i="6"/>
  <c r="G3844" i="6"/>
  <c r="H3843" i="6"/>
  <c r="G3843" i="6"/>
  <c r="H3842" i="6"/>
  <c r="G3842" i="6"/>
  <c r="H3841" i="6"/>
  <c r="G3841" i="6"/>
  <c r="H3840" i="6"/>
  <c r="G3840" i="6"/>
  <c r="H3839" i="6"/>
  <c r="G3839" i="6"/>
  <c r="H3838" i="6"/>
  <c r="G3838" i="6"/>
  <c r="H3837" i="6"/>
  <c r="G3837" i="6"/>
  <c r="H3836" i="6"/>
  <c r="G3836" i="6"/>
  <c r="H3835" i="6"/>
  <c r="G3835" i="6"/>
  <c r="H3834" i="6"/>
  <c r="G3834" i="6"/>
  <c r="H3833" i="6"/>
  <c r="G3833" i="6"/>
  <c r="H3832" i="6"/>
  <c r="G3832" i="6"/>
  <c r="H3831" i="6"/>
  <c r="G3831" i="6"/>
  <c r="H3830" i="6"/>
  <c r="G3830" i="6"/>
  <c r="H3829" i="6"/>
  <c r="G3829" i="6"/>
  <c r="H3828" i="6"/>
  <c r="G3828" i="6"/>
  <c r="H3827" i="6"/>
  <c r="G3827" i="6"/>
  <c r="H3826" i="6"/>
  <c r="G3826" i="6"/>
  <c r="H3825" i="6"/>
  <c r="G3825" i="6"/>
  <c r="H3824" i="6"/>
  <c r="G3824" i="6"/>
  <c r="H3823" i="6"/>
  <c r="G3823" i="6"/>
  <c r="H3822" i="6"/>
  <c r="G3822" i="6"/>
  <c r="H3821" i="6"/>
  <c r="G3821" i="6"/>
  <c r="H3820" i="6"/>
  <c r="G3820" i="6"/>
  <c r="H3819" i="6"/>
  <c r="G3819" i="6"/>
  <c r="H3818" i="6"/>
  <c r="G3818" i="6"/>
  <c r="H3817" i="6"/>
  <c r="G3817" i="6"/>
  <c r="H3816" i="6"/>
  <c r="G3816" i="6"/>
  <c r="H3815" i="6"/>
  <c r="G3815" i="6"/>
  <c r="H3814" i="6"/>
  <c r="G3814" i="6"/>
  <c r="H3813" i="6"/>
  <c r="G3813" i="6"/>
  <c r="H3812" i="6"/>
  <c r="G3812" i="6"/>
  <c r="H3811" i="6"/>
  <c r="G3811" i="6"/>
  <c r="H3810" i="6"/>
  <c r="G3810" i="6"/>
  <c r="H3809" i="6"/>
  <c r="G3809" i="6"/>
  <c r="H3808" i="6"/>
  <c r="G3808" i="6"/>
  <c r="H3807" i="6"/>
  <c r="G3807" i="6"/>
  <c r="H3806" i="6"/>
  <c r="G3806" i="6"/>
  <c r="H3805" i="6"/>
  <c r="G3805" i="6"/>
  <c r="H3804" i="6"/>
  <c r="G3804" i="6"/>
  <c r="H3803" i="6"/>
  <c r="G3803" i="6"/>
  <c r="H3802" i="6"/>
  <c r="G3802" i="6"/>
  <c r="H3801" i="6"/>
  <c r="G3801" i="6"/>
  <c r="H3800" i="6"/>
  <c r="G3800" i="6"/>
  <c r="H3799" i="6"/>
  <c r="G3799" i="6"/>
  <c r="H3798" i="6"/>
  <c r="G3798" i="6"/>
  <c r="H3797" i="6"/>
  <c r="G3797" i="6"/>
  <c r="H3796" i="6"/>
  <c r="G3796" i="6"/>
  <c r="H3795" i="6"/>
  <c r="G3795" i="6"/>
  <c r="H3794" i="6"/>
  <c r="G3794" i="6"/>
  <c r="H3793" i="6"/>
  <c r="G3793" i="6"/>
  <c r="H3792" i="6"/>
  <c r="G3792" i="6"/>
  <c r="H3791" i="6"/>
  <c r="G3791" i="6"/>
  <c r="H3790" i="6"/>
  <c r="G3790" i="6"/>
  <c r="H3789" i="6"/>
  <c r="G3789" i="6"/>
  <c r="H3788" i="6"/>
  <c r="G3788" i="6"/>
  <c r="H3787" i="6"/>
  <c r="G3787" i="6"/>
  <c r="H3786" i="6"/>
  <c r="G3786" i="6"/>
  <c r="H3785" i="6"/>
  <c r="G3785" i="6"/>
  <c r="H3784" i="6"/>
  <c r="G3784" i="6"/>
  <c r="H3783" i="6"/>
  <c r="G3783" i="6"/>
  <c r="H3782" i="6"/>
  <c r="G3782" i="6"/>
  <c r="H3781" i="6"/>
  <c r="G3781" i="6"/>
  <c r="H3780" i="6"/>
  <c r="G3780" i="6"/>
  <c r="H3779" i="6"/>
  <c r="G3779" i="6"/>
  <c r="H3778" i="6"/>
  <c r="G3778" i="6"/>
  <c r="H3777" i="6"/>
  <c r="G3777" i="6"/>
  <c r="H3776" i="6"/>
  <c r="G3776" i="6"/>
  <c r="H3775" i="6"/>
  <c r="G3775" i="6"/>
  <c r="H3774" i="6"/>
  <c r="G3774" i="6"/>
  <c r="H3773" i="6"/>
  <c r="G3773" i="6"/>
  <c r="H3772" i="6"/>
  <c r="G3772" i="6"/>
  <c r="H3771" i="6"/>
  <c r="G3771" i="6"/>
  <c r="H3770" i="6"/>
  <c r="G3770" i="6"/>
  <c r="H3769" i="6"/>
  <c r="G3769" i="6"/>
  <c r="H3768" i="6"/>
  <c r="G3768" i="6"/>
  <c r="H3767" i="6"/>
  <c r="G3767" i="6"/>
  <c r="H3766" i="6"/>
  <c r="G3766" i="6"/>
  <c r="H3765" i="6"/>
  <c r="G3765" i="6"/>
  <c r="H3764" i="6"/>
  <c r="G3764" i="6"/>
  <c r="H3763" i="6"/>
  <c r="G3763" i="6"/>
  <c r="H3762" i="6"/>
  <c r="G3762" i="6"/>
  <c r="H3761" i="6"/>
  <c r="G3761" i="6"/>
  <c r="H3760" i="6"/>
  <c r="G3760" i="6"/>
  <c r="H3759" i="6"/>
  <c r="G3759" i="6"/>
  <c r="H3758" i="6"/>
  <c r="G3758" i="6"/>
  <c r="H3757" i="6"/>
  <c r="G3757" i="6"/>
  <c r="H3756" i="6"/>
  <c r="G3756" i="6"/>
  <c r="H3755" i="6"/>
  <c r="G3755" i="6"/>
  <c r="H3754" i="6"/>
  <c r="G3754" i="6"/>
  <c r="H3753" i="6"/>
  <c r="G3753" i="6"/>
  <c r="H3752" i="6"/>
  <c r="G3752" i="6"/>
  <c r="H3751" i="6"/>
  <c r="G3751" i="6"/>
  <c r="H3750" i="6"/>
  <c r="G3750" i="6"/>
  <c r="H3749" i="6"/>
  <c r="G3749" i="6"/>
  <c r="H3748" i="6"/>
  <c r="G3748" i="6"/>
  <c r="H3747" i="6"/>
  <c r="G3747" i="6"/>
  <c r="H3746" i="6"/>
  <c r="G3746" i="6"/>
  <c r="H3745" i="6"/>
  <c r="G3745" i="6"/>
  <c r="H3744" i="6"/>
  <c r="G3744" i="6"/>
  <c r="H3743" i="6"/>
  <c r="G3743" i="6"/>
  <c r="H3742" i="6"/>
  <c r="G3742" i="6"/>
  <c r="H3741" i="6"/>
  <c r="G3741" i="6"/>
  <c r="H3740" i="6"/>
  <c r="G3740" i="6"/>
  <c r="H3739" i="6"/>
  <c r="G3739" i="6"/>
  <c r="H3738" i="6"/>
  <c r="G3738" i="6"/>
  <c r="H3737" i="6"/>
  <c r="G3737" i="6"/>
  <c r="H3736" i="6"/>
  <c r="G3736" i="6"/>
  <c r="H3735" i="6"/>
  <c r="G3735" i="6"/>
  <c r="H3734" i="6"/>
  <c r="G3734" i="6"/>
  <c r="H3733" i="6"/>
  <c r="G3733" i="6"/>
  <c r="H3732" i="6"/>
  <c r="G3732" i="6"/>
  <c r="H3731" i="6"/>
  <c r="G3731" i="6"/>
  <c r="H3730" i="6"/>
  <c r="G3730" i="6"/>
  <c r="H3729" i="6"/>
  <c r="G3729" i="6"/>
  <c r="H3728" i="6"/>
  <c r="G3728" i="6"/>
  <c r="H3727" i="6"/>
  <c r="G3727" i="6"/>
  <c r="H3726" i="6"/>
  <c r="G3726" i="6"/>
  <c r="H3725" i="6"/>
  <c r="G3725" i="6"/>
  <c r="H3724" i="6"/>
  <c r="G3724" i="6"/>
  <c r="H3723" i="6"/>
  <c r="G3723" i="6"/>
  <c r="H3722" i="6"/>
  <c r="G3722" i="6"/>
  <c r="H3721" i="6"/>
  <c r="G3721" i="6"/>
  <c r="H3720" i="6"/>
  <c r="G3720" i="6"/>
  <c r="H3719" i="6"/>
  <c r="G3719" i="6"/>
  <c r="H3718" i="6"/>
  <c r="G3718" i="6"/>
  <c r="H3717" i="6"/>
  <c r="G3717" i="6"/>
  <c r="H3716" i="6"/>
  <c r="G3716" i="6"/>
  <c r="H3715" i="6"/>
  <c r="G3715" i="6"/>
  <c r="H3714" i="6"/>
  <c r="G3714" i="6"/>
  <c r="H3713" i="6"/>
  <c r="G3713" i="6"/>
  <c r="H3712" i="6"/>
  <c r="G3712" i="6"/>
  <c r="H3711" i="6"/>
  <c r="G3711" i="6"/>
  <c r="H3710" i="6"/>
  <c r="G3710" i="6"/>
  <c r="H3709" i="6"/>
  <c r="G3709" i="6"/>
  <c r="H3708" i="6"/>
  <c r="G3708" i="6"/>
  <c r="H3707" i="6"/>
  <c r="G3707" i="6"/>
  <c r="H3706" i="6"/>
  <c r="G3706" i="6"/>
  <c r="H3705" i="6"/>
  <c r="G3705" i="6"/>
  <c r="H3704" i="6"/>
  <c r="G3704" i="6"/>
  <c r="H3703" i="6"/>
  <c r="G3703" i="6"/>
  <c r="H3702" i="6"/>
  <c r="G3702" i="6"/>
  <c r="H3701" i="6"/>
  <c r="G3701" i="6"/>
  <c r="H3700" i="6"/>
  <c r="G3700" i="6"/>
  <c r="H3699" i="6"/>
  <c r="G3699" i="6"/>
  <c r="H3698" i="6"/>
  <c r="G3698" i="6"/>
  <c r="H3697" i="6"/>
  <c r="G3697" i="6"/>
  <c r="H3696" i="6"/>
  <c r="G3696" i="6"/>
  <c r="H3695" i="6"/>
  <c r="G3695" i="6"/>
  <c r="H3694" i="6"/>
  <c r="G3694" i="6"/>
  <c r="H3693" i="6"/>
  <c r="G3693" i="6"/>
  <c r="H3692" i="6"/>
  <c r="G3692" i="6"/>
  <c r="H3691" i="6"/>
  <c r="G3691" i="6"/>
  <c r="H3690" i="6"/>
  <c r="G3690" i="6"/>
  <c r="H3689" i="6"/>
  <c r="G3689" i="6"/>
  <c r="H3688" i="6"/>
  <c r="G3688" i="6"/>
  <c r="H3687" i="6"/>
  <c r="G3687" i="6"/>
  <c r="H3686" i="6"/>
  <c r="G3686" i="6"/>
  <c r="H3685" i="6"/>
  <c r="G3685" i="6"/>
  <c r="H3684" i="6"/>
  <c r="G3684" i="6"/>
  <c r="H3683" i="6"/>
  <c r="G3683" i="6"/>
  <c r="H3682" i="6"/>
  <c r="G3682" i="6"/>
  <c r="H3681" i="6"/>
  <c r="G3681" i="6"/>
  <c r="H3680" i="6"/>
  <c r="G3680" i="6"/>
  <c r="H3679" i="6"/>
  <c r="G3679" i="6"/>
  <c r="H3678" i="6"/>
  <c r="G3678" i="6"/>
  <c r="H3677" i="6"/>
  <c r="G3677" i="6"/>
  <c r="H3676" i="6"/>
  <c r="G3676" i="6"/>
  <c r="H3675" i="6"/>
  <c r="G3675" i="6"/>
  <c r="H3674" i="6"/>
  <c r="G3674" i="6"/>
  <c r="H3673" i="6"/>
  <c r="G3673" i="6"/>
  <c r="H3672" i="6"/>
  <c r="G3672" i="6"/>
  <c r="H3671" i="6"/>
  <c r="G3671" i="6"/>
  <c r="H3670" i="6"/>
  <c r="G3670" i="6"/>
  <c r="H3669" i="6"/>
  <c r="G3669" i="6"/>
  <c r="H3668" i="6"/>
  <c r="G3668" i="6"/>
  <c r="H3667" i="6"/>
  <c r="G3667" i="6"/>
  <c r="H3666" i="6"/>
  <c r="G3666" i="6"/>
  <c r="H3665" i="6"/>
  <c r="G3665" i="6"/>
  <c r="H3664" i="6"/>
  <c r="G3664" i="6"/>
  <c r="H3663" i="6"/>
  <c r="G3663" i="6"/>
  <c r="H3662" i="6"/>
  <c r="G3662" i="6"/>
  <c r="H3661" i="6"/>
  <c r="G3661" i="6"/>
  <c r="H3660" i="6"/>
  <c r="G3660" i="6"/>
  <c r="H3659" i="6"/>
  <c r="G3659" i="6"/>
  <c r="H3658" i="6"/>
  <c r="G3658" i="6"/>
  <c r="H3657" i="6"/>
  <c r="G3657" i="6"/>
  <c r="H3656" i="6"/>
  <c r="G3656" i="6"/>
  <c r="H3655" i="6"/>
  <c r="G3655" i="6"/>
  <c r="H3654" i="6"/>
  <c r="G3654" i="6"/>
  <c r="H3653" i="6"/>
  <c r="G3653" i="6"/>
  <c r="H3652" i="6"/>
  <c r="G3652" i="6"/>
  <c r="H3651" i="6"/>
  <c r="G3651" i="6"/>
  <c r="H3650" i="6"/>
  <c r="G3650" i="6"/>
  <c r="H3649" i="6"/>
  <c r="G3649" i="6"/>
  <c r="H3648" i="6"/>
  <c r="G3648" i="6"/>
  <c r="H3647" i="6"/>
  <c r="G3647" i="6"/>
  <c r="H3646" i="6"/>
  <c r="G3646" i="6"/>
  <c r="H3645" i="6"/>
  <c r="G3645" i="6"/>
  <c r="H3644" i="6"/>
  <c r="G3644" i="6"/>
  <c r="H3643" i="6"/>
  <c r="G3643" i="6"/>
  <c r="H3642" i="6"/>
  <c r="G3642" i="6"/>
  <c r="H3641" i="6"/>
  <c r="G3641" i="6"/>
  <c r="H3640" i="6"/>
  <c r="G3640" i="6"/>
  <c r="H3639" i="6"/>
  <c r="G3639" i="6"/>
  <c r="H3638" i="6"/>
  <c r="G3638" i="6"/>
  <c r="H3637" i="6"/>
  <c r="G3637" i="6"/>
  <c r="H3636" i="6"/>
  <c r="G3636" i="6"/>
  <c r="H3635" i="6"/>
  <c r="G3635" i="6"/>
  <c r="H3634" i="6"/>
  <c r="G3634" i="6"/>
  <c r="H3633" i="6"/>
  <c r="G3633" i="6"/>
  <c r="H3632" i="6"/>
  <c r="G3632" i="6"/>
  <c r="H3631" i="6"/>
  <c r="G3631" i="6"/>
  <c r="H3630" i="6"/>
  <c r="G3630" i="6"/>
  <c r="H3629" i="6"/>
  <c r="G3629" i="6"/>
  <c r="H3628" i="6"/>
  <c r="G3628" i="6"/>
  <c r="H3627" i="6"/>
  <c r="G3627" i="6"/>
  <c r="H3626" i="6"/>
  <c r="G3626" i="6"/>
  <c r="H3625" i="6"/>
  <c r="G3625" i="6"/>
  <c r="H3624" i="6"/>
  <c r="G3624" i="6"/>
  <c r="H3623" i="6"/>
  <c r="G3623" i="6"/>
  <c r="H3622" i="6"/>
  <c r="G3622" i="6"/>
  <c r="H3621" i="6"/>
  <c r="G3621" i="6"/>
  <c r="H3620" i="6"/>
  <c r="G3620" i="6"/>
  <c r="H3619" i="6"/>
  <c r="G3619" i="6"/>
  <c r="H3618" i="6"/>
  <c r="G3618" i="6"/>
  <c r="H3617" i="6"/>
  <c r="G3617" i="6"/>
  <c r="H3616" i="6"/>
  <c r="G3616" i="6"/>
  <c r="H3615" i="6"/>
  <c r="G3615" i="6"/>
  <c r="H3614" i="6"/>
  <c r="G3614" i="6"/>
  <c r="H3613" i="6"/>
  <c r="G3613" i="6"/>
  <c r="H3612" i="6"/>
  <c r="G3612" i="6"/>
  <c r="H3611" i="6"/>
  <c r="G3611" i="6"/>
  <c r="H3610" i="6"/>
  <c r="G3610" i="6"/>
  <c r="H3609" i="6"/>
  <c r="G3609" i="6"/>
  <c r="H3608" i="6"/>
  <c r="G3608" i="6"/>
  <c r="H3607" i="6"/>
  <c r="G3607" i="6"/>
  <c r="H3606" i="6"/>
  <c r="G3606" i="6"/>
  <c r="H3605" i="6"/>
  <c r="G3605" i="6"/>
  <c r="H3604" i="6"/>
  <c r="G3604" i="6"/>
  <c r="H3603" i="6"/>
  <c r="G3603" i="6"/>
  <c r="H3602" i="6"/>
  <c r="G3602" i="6"/>
  <c r="H3601" i="6"/>
  <c r="G3601" i="6"/>
  <c r="H3600" i="6"/>
  <c r="G3600" i="6"/>
  <c r="H3599" i="6"/>
  <c r="G3599" i="6"/>
  <c r="H3598" i="6"/>
  <c r="G3598" i="6"/>
  <c r="H3597" i="6"/>
  <c r="G3597" i="6"/>
  <c r="H3596" i="6"/>
  <c r="G3596" i="6"/>
  <c r="H3595" i="6"/>
  <c r="G3595" i="6"/>
  <c r="H3594" i="6"/>
  <c r="G3594" i="6"/>
  <c r="H3593" i="6"/>
  <c r="G3593" i="6"/>
  <c r="H3592" i="6"/>
  <c r="G3592" i="6"/>
  <c r="H3591" i="6"/>
  <c r="G3591" i="6"/>
  <c r="H3590" i="6"/>
  <c r="G3590" i="6"/>
  <c r="H3589" i="6"/>
  <c r="G3589" i="6"/>
  <c r="H3588" i="6"/>
  <c r="G3588" i="6"/>
  <c r="H3587" i="6"/>
  <c r="G3587" i="6"/>
  <c r="H3586" i="6"/>
  <c r="G3586" i="6"/>
  <c r="H3585" i="6"/>
  <c r="G3585" i="6"/>
  <c r="H3584" i="6"/>
  <c r="G3584" i="6"/>
  <c r="H3583" i="6"/>
  <c r="G3583" i="6"/>
  <c r="H3582" i="6"/>
  <c r="G3582" i="6"/>
  <c r="H3581" i="6"/>
  <c r="G3581" i="6"/>
  <c r="H3580" i="6"/>
  <c r="G3580" i="6"/>
  <c r="H3579" i="6"/>
  <c r="G3579" i="6"/>
  <c r="H3578" i="6"/>
  <c r="G3578" i="6"/>
  <c r="H3577" i="6"/>
  <c r="G3577" i="6"/>
  <c r="H3576" i="6"/>
  <c r="G3576" i="6"/>
  <c r="H3575" i="6"/>
  <c r="G3575" i="6"/>
  <c r="H3574" i="6"/>
  <c r="G3574" i="6"/>
  <c r="H3573" i="6"/>
  <c r="G3573" i="6"/>
  <c r="H3572" i="6"/>
  <c r="G3572" i="6"/>
  <c r="H3571" i="6"/>
  <c r="G3571" i="6"/>
  <c r="H3570" i="6"/>
  <c r="G3570" i="6"/>
  <c r="H3569" i="6"/>
  <c r="G3569" i="6"/>
  <c r="H3568" i="6"/>
  <c r="G3568" i="6"/>
  <c r="H3567" i="6"/>
  <c r="G3567" i="6"/>
  <c r="H3566" i="6"/>
  <c r="G3566" i="6"/>
  <c r="H3565" i="6"/>
  <c r="G3565" i="6"/>
  <c r="H3564" i="6"/>
  <c r="G3564" i="6"/>
  <c r="H3563" i="6"/>
  <c r="G3563" i="6"/>
  <c r="H3562" i="6"/>
  <c r="G3562" i="6"/>
  <c r="H3561" i="6"/>
  <c r="G3561" i="6"/>
  <c r="H3560" i="6"/>
  <c r="G3560" i="6"/>
  <c r="H3559" i="6"/>
  <c r="G3559" i="6"/>
  <c r="H3558" i="6"/>
  <c r="G3558" i="6"/>
  <c r="H3557" i="6"/>
  <c r="G3557" i="6"/>
  <c r="H3556" i="6"/>
  <c r="G3556" i="6"/>
  <c r="H3555" i="6"/>
  <c r="G3555" i="6"/>
  <c r="H3554" i="6"/>
  <c r="G3554" i="6"/>
  <c r="H3553" i="6"/>
  <c r="G3553" i="6"/>
  <c r="H3552" i="6"/>
  <c r="G3552" i="6"/>
  <c r="H3551" i="6"/>
  <c r="G3551" i="6"/>
  <c r="H3550" i="6"/>
  <c r="G3550" i="6"/>
  <c r="H3549" i="6"/>
  <c r="G3549" i="6"/>
  <c r="H3548" i="6"/>
  <c r="G3548" i="6"/>
  <c r="H3547" i="6"/>
  <c r="G3547" i="6"/>
  <c r="H3546" i="6"/>
  <c r="G3546" i="6"/>
  <c r="H3545" i="6"/>
  <c r="G3545" i="6"/>
  <c r="H3544" i="6"/>
  <c r="G3544" i="6"/>
  <c r="H3543" i="6"/>
  <c r="G3543" i="6"/>
  <c r="H3542" i="6"/>
  <c r="G3542" i="6"/>
  <c r="H3541" i="6"/>
  <c r="G3541" i="6"/>
  <c r="H3540" i="6"/>
  <c r="G3540" i="6"/>
  <c r="H3539" i="6"/>
  <c r="G3539" i="6"/>
  <c r="H3538" i="6"/>
  <c r="G3538" i="6"/>
  <c r="H3537" i="6"/>
  <c r="G3537" i="6"/>
  <c r="H3536" i="6"/>
  <c r="G3536" i="6"/>
  <c r="H3535" i="6"/>
  <c r="G3535" i="6"/>
  <c r="H3534" i="6"/>
  <c r="G3534" i="6"/>
  <c r="H3533" i="6"/>
  <c r="G3533" i="6"/>
  <c r="H3532" i="6"/>
  <c r="G3532" i="6"/>
  <c r="H3531" i="6"/>
  <c r="G3531" i="6"/>
  <c r="H3530" i="6"/>
  <c r="G3530" i="6"/>
  <c r="H3529" i="6"/>
  <c r="G3529" i="6"/>
  <c r="H3528" i="6"/>
  <c r="G3528" i="6"/>
  <c r="H3527" i="6"/>
  <c r="G3527" i="6"/>
  <c r="H3526" i="6"/>
  <c r="G3526" i="6"/>
  <c r="H3525" i="6"/>
  <c r="G3525" i="6"/>
  <c r="H3524" i="6"/>
  <c r="G3524" i="6"/>
  <c r="H3523" i="6"/>
  <c r="G3523" i="6"/>
  <c r="H3522" i="6"/>
  <c r="G3522" i="6"/>
  <c r="H3521" i="6"/>
  <c r="G3521" i="6"/>
  <c r="H3520" i="6"/>
  <c r="G3520" i="6"/>
  <c r="H3519" i="6"/>
  <c r="G3519" i="6"/>
  <c r="H3518" i="6"/>
  <c r="G3518" i="6"/>
  <c r="H3517" i="6"/>
  <c r="G3517" i="6"/>
  <c r="H3516" i="6"/>
  <c r="G3516" i="6"/>
  <c r="H3515" i="6"/>
  <c r="G3515" i="6"/>
  <c r="H3514" i="6"/>
  <c r="G3514" i="6"/>
  <c r="H3513" i="6"/>
  <c r="G3513" i="6"/>
  <c r="H3512" i="6"/>
  <c r="G3512" i="6"/>
  <c r="H3511" i="6"/>
  <c r="G3511" i="6"/>
  <c r="H3510" i="6"/>
  <c r="G3510" i="6"/>
  <c r="H3509" i="6"/>
  <c r="G3509" i="6"/>
  <c r="H3508" i="6"/>
  <c r="G3508" i="6"/>
  <c r="H3507" i="6"/>
  <c r="G3507" i="6"/>
  <c r="H3506" i="6"/>
  <c r="G3506" i="6"/>
  <c r="H3505" i="6"/>
  <c r="G3505" i="6"/>
  <c r="H3504" i="6"/>
  <c r="G3504" i="6"/>
  <c r="H3503" i="6"/>
  <c r="G3503" i="6"/>
  <c r="H3502" i="6"/>
  <c r="G3502" i="6"/>
  <c r="H3501" i="6"/>
  <c r="G3501" i="6"/>
  <c r="H3500" i="6"/>
  <c r="G3500" i="6"/>
  <c r="H3499" i="6"/>
  <c r="G3499" i="6"/>
  <c r="H3498" i="6"/>
  <c r="G3498" i="6"/>
  <c r="H3497" i="6"/>
  <c r="G3497" i="6"/>
  <c r="H3496" i="6"/>
  <c r="G3496" i="6"/>
  <c r="H3495" i="6"/>
  <c r="G3495" i="6"/>
  <c r="H3494" i="6"/>
  <c r="G3494" i="6"/>
  <c r="H3493" i="6"/>
  <c r="G3493" i="6"/>
  <c r="H3492" i="6"/>
  <c r="G3492" i="6"/>
  <c r="H3491" i="6"/>
  <c r="G3491" i="6"/>
  <c r="H3490" i="6"/>
  <c r="G3490" i="6"/>
  <c r="H3489" i="6"/>
  <c r="G3489" i="6"/>
  <c r="H3488" i="6"/>
  <c r="G3488" i="6"/>
  <c r="H3487" i="6"/>
  <c r="G3487" i="6"/>
  <c r="H3486" i="6"/>
  <c r="G3486" i="6"/>
  <c r="H3485" i="6"/>
  <c r="G3485" i="6"/>
  <c r="H3484" i="6"/>
  <c r="G3484" i="6"/>
  <c r="H3483" i="6"/>
  <c r="G3483" i="6"/>
  <c r="H3482" i="6"/>
  <c r="G3482" i="6"/>
  <c r="H3481" i="6"/>
  <c r="G3481" i="6"/>
  <c r="H3480" i="6"/>
  <c r="G3480" i="6"/>
  <c r="H3479" i="6"/>
  <c r="G3479" i="6"/>
  <c r="H3478" i="6"/>
  <c r="G3478" i="6"/>
  <c r="H3477" i="6"/>
  <c r="G3477" i="6"/>
  <c r="H3476" i="6"/>
  <c r="G3476" i="6"/>
  <c r="H3475" i="6"/>
  <c r="G3475" i="6"/>
  <c r="H3474" i="6"/>
  <c r="G3474" i="6"/>
  <c r="H3473" i="6"/>
  <c r="G3473" i="6"/>
  <c r="H3472" i="6"/>
  <c r="G3472" i="6"/>
  <c r="H3471" i="6"/>
  <c r="G3471" i="6"/>
  <c r="H3470" i="6"/>
  <c r="G3470" i="6"/>
  <c r="H3469" i="6"/>
  <c r="G3469" i="6"/>
  <c r="H3468" i="6"/>
  <c r="G3468" i="6"/>
  <c r="H3467" i="6"/>
  <c r="G3467" i="6"/>
  <c r="H3466" i="6"/>
  <c r="G3466" i="6"/>
  <c r="H3465" i="6"/>
  <c r="G3465" i="6"/>
  <c r="H3464" i="6"/>
  <c r="G3464" i="6"/>
  <c r="H3463" i="6"/>
  <c r="G3463" i="6"/>
  <c r="H3462" i="6"/>
  <c r="G3462" i="6"/>
  <c r="H3461" i="6"/>
  <c r="G3461" i="6"/>
  <c r="H3460" i="6"/>
  <c r="G3460" i="6"/>
  <c r="H3459" i="6"/>
  <c r="G3459" i="6"/>
  <c r="H3458" i="6"/>
  <c r="G3458" i="6"/>
  <c r="H3457" i="6"/>
  <c r="G3457" i="6"/>
  <c r="H3456" i="6"/>
  <c r="G3456" i="6"/>
  <c r="H3455" i="6"/>
  <c r="G3455" i="6"/>
  <c r="H3454" i="6"/>
  <c r="G3454" i="6"/>
  <c r="H3453" i="6"/>
  <c r="G3453" i="6"/>
  <c r="H3452" i="6"/>
  <c r="G3452" i="6"/>
  <c r="H3451" i="6"/>
  <c r="G3451" i="6"/>
  <c r="H3450" i="6"/>
  <c r="G3450" i="6"/>
  <c r="H3449" i="6"/>
  <c r="G3449" i="6"/>
  <c r="H3448" i="6"/>
  <c r="G3448" i="6"/>
  <c r="H3447" i="6"/>
  <c r="G3447" i="6"/>
  <c r="H3446" i="6"/>
  <c r="G3446" i="6"/>
  <c r="H3445" i="6"/>
  <c r="G3445" i="6"/>
  <c r="H3444" i="6"/>
  <c r="G3444" i="6"/>
  <c r="H3443" i="6"/>
  <c r="G3443" i="6"/>
  <c r="H3442" i="6"/>
  <c r="G3442" i="6"/>
  <c r="H3441" i="6"/>
  <c r="G3441" i="6"/>
  <c r="H3440" i="6"/>
  <c r="G3440" i="6"/>
  <c r="H3439" i="6"/>
  <c r="G3439" i="6"/>
  <c r="H3438" i="6"/>
  <c r="G3438" i="6"/>
  <c r="H3437" i="6"/>
  <c r="G3437" i="6"/>
  <c r="H3436" i="6"/>
  <c r="G3436" i="6"/>
  <c r="H3435" i="6"/>
  <c r="G3435" i="6"/>
  <c r="H3434" i="6"/>
  <c r="G3434" i="6"/>
  <c r="H3433" i="6"/>
  <c r="G3433" i="6"/>
  <c r="H3432" i="6"/>
  <c r="G3432" i="6"/>
  <c r="H3431" i="6"/>
  <c r="G3431" i="6"/>
  <c r="H3430" i="6"/>
  <c r="G3430" i="6"/>
  <c r="H3429" i="6"/>
  <c r="G3429" i="6"/>
  <c r="H3428" i="6"/>
  <c r="G3428" i="6"/>
  <c r="H3427" i="6"/>
  <c r="G3427" i="6"/>
  <c r="H3426" i="6"/>
  <c r="G3426" i="6"/>
  <c r="H3425" i="6"/>
  <c r="G3425" i="6"/>
  <c r="H3424" i="6"/>
  <c r="G3424" i="6"/>
  <c r="H3423" i="6"/>
  <c r="G3423" i="6"/>
  <c r="H3422" i="6"/>
  <c r="G3422" i="6"/>
  <c r="H3421" i="6"/>
  <c r="G3421" i="6"/>
  <c r="H3420" i="6"/>
  <c r="G3420" i="6"/>
  <c r="H3419" i="6"/>
  <c r="G3419" i="6"/>
  <c r="H3418" i="6"/>
  <c r="G3418" i="6"/>
  <c r="H3417" i="6"/>
  <c r="G3417" i="6"/>
  <c r="H3416" i="6"/>
  <c r="G3416" i="6"/>
  <c r="H3415" i="6"/>
  <c r="G3415" i="6"/>
  <c r="H3414" i="6"/>
  <c r="G3414" i="6"/>
  <c r="H3413" i="6"/>
  <c r="G3413" i="6"/>
  <c r="H3412" i="6"/>
  <c r="G3412" i="6"/>
  <c r="H3411" i="6"/>
  <c r="G3411" i="6"/>
  <c r="H3410" i="6"/>
  <c r="G3410" i="6"/>
  <c r="H3409" i="6"/>
  <c r="G3409" i="6"/>
  <c r="H3408" i="6"/>
  <c r="G3408" i="6"/>
  <c r="H3407" i="6"/>
  <c r="G3407" i="6"/>
  <c r="H3406" i="6"/>
  <c r="G3406" i="6"/>
  <c r="H3405" i="6"/>
  <c r="G3405" i="6"/>
  <c r="H3404" i="6"/>
  <c r="G3404" i="6"/>
  <c r="H3403" i="6"/>
  <c r="G3403" i="6"/>
  <c r="H3402" i="6"/>
  <c r="G3402" i="6"/>
  <c r="H3401" i="6"/>
  <c r="G3401" i="6"/>
  <c r="H3400" i="6"/>
  <c r="G3400" i="6"/>
  <c r="H3399" i="6"/>
  <c r="G3399" i="6"/>
  <c r="H3398" i="6"/>
  <c r="G3398" i="6"/>
  <c r="H3397" i="6"/>
  <c r="G3397" i="6"/>
  <c r="H3396" i="6"/>
  <c r="G3396" i="6"/>
  <c r="H3395" i="6"/>
  <c r="G3395" i="6"/>
  <c r="H3394" i="6"/>
  <c r="G3394" i="6"/>
  <c r="H3393" i="6"/>
  <c r="G3393" i="6"/>
  <c r="H3392" i="6"/>
  <c r="G3392" i="6"/>
  <c r="H3391" i="6"/>
  <c r="G3391" i="6"/>
  <c r="H3390" i="6"/>
  <c r="G3390" i="6"/>
  <c r="H3389" i="6"/>
  <c r="G3389" i="6"/>
  <c r="H3388" i="6"/>
  <c r="G3388" i="6"/>
  <c r="H3387" i="6"/>
  <c r="G3387" i="6"/>
  <c r="H3386" i="6"/>
  <c r="G3386" i="6"/>
  <c r="H3385" i="6"/>
  <c r="G3385" i="6"/>
  <c r="H3384" i="6"/>
  <c r="G3384" i="6"/>
  <c r="H3383" i="6"/>
  <c r="G3383" i="6"/>
  <c r="H3382" i="6"/>
  <c r="G3382" i="6"/>
  <c r="H3381" i="6"/>
  <c r="G3381" i="6"/>
  <c r="H3380" i="6"/>
  <c r="G3380" i="6"/>
  <c r="H3379" i="6"/>
  <c r="G3379" i="6"/>
  <c r="H3378" i="6"/>
  <c r="G3378" i="6"/>
  <c r="H3377" i="6"/>
  <c r="G3377" i="6"/>
  <c r="H3376" i="6"/>
  <c r="G3376" i="6"/>
  <c r="H3375" i="6"/>
  <c r="G3375" i="6"/>
  <c r="H3374" i="6"/>
  <c r="G3374" i="6"/>
  <c r="H3373" i="6"/>
  <c r="G3373" i="6"/>
  <c r="H3372" i="6"/>
  <c r="G3372" i="6"/>
  <c r="H3371" i="6"/>
  <c r="G3371" i="6"/>
  <c r="H3370" i="6"/>
  <c r="G3370" i="6"/>
  <c r="H3369" i="6"/>
  <c r="G3369" i="6"/>
  <c r="H3368" i="6"/>
  <c r="G3368" i="6"/>
  <c r="H3367" i="6"/>
  <c r="G3367" i="6"/>
  <c r="H3366" i="6"/>
  <c r="G3366" i="6"/>
  <c r="H3365" i="6"/>
  <c r="G3365" i="6"/>
  <c r="H3364" i="6"/>
  <c r="G3364" i="6"/>
  <c r="H3363" i="6"/>
  <c r="G3363" i="6"/>
  <c r="H3362" i="6"/>
  <c r="G3362" i="6"/>
  <c r="H3361" i="6"/>
  <c r="G3361" i="6"/>
  <c r="H3360" i="6"/>
  <c r="G3360" i="6"/>
  <c r="H3359" i="6"/>
  <c r="G3359" i="6"/>
  <c r="H3358" i="6"/>
  <c r="G3358" i="6"/>
  <c r="H3357" i="6"/>
  <c r="G3357" i="6"/>
  <c r="H3356" i="6"/>
  <c r="G3356" i="6"/>
  <c r="H3355" i="6"/>
  <c r="G3355" i="6"/>
  <c r="H3354" i="6"/>
  <c r="G3354" i="6"/>
  <c r="H3353" i="6"/>
  <c r="G3353" i="6"/>
  <c r="H3352" i="6"/>
  <c r="G3352" i="6"/>
  <c r="H3351" i="6"/>
  <c r="G3351" i="6"/>
  <c r="H3350" i="6"/>
  <c r="G3350" i="6"/>
  <c r="H3349" i="6"/>
  <c r="G3349" i="6"/>
  <c r="H3348" i="6"/>
  <c r="G3348" i="6"/>
  <c r="H3347" i="6"/>
  <c r="G3347" i="6"/>
  <c r="H3346" i="6"/>
  <c r="G3346" i="6"/>
  <c r="H3345" i="6"/>
  <c r="G3345" i="6"/>
  <c r="H3344" i="6"/>
  <c r="G3344" i="6"/>
  <c r="H3343" i="6"/>
  <c r="G3343" i="6"/>
  <c r="H3342" i="6"/>
  <c r="G3342" i="6"/>
  <c r="H3341" i="6"/>
  <c r="G3341" i="6"/>
  <c r="H3340" i="6"/>
  <c r="G3340" i="6"/>
  <c r="H3339" i="6"/>
  <c r="G3339" i="6"/>
  <c r="H3338" i="6"/>
  <c r="G3338" i="6"/>
  <c r="H3337" i="6"/>
  <c r="G3337" i="6"/>
  <c r="H3336" i="6"/>
  <c r="G3336" i="6"/>
  <c r="H3335" i="6"/>
  <c r="G3335" i="6"/>
  <c r="H3334" i="6"/>
  <c r="G3334" i="6"/>
  <c r="H3333" i="6"/>
  <c r="G3333" i="6"/>
  <c r="H3332" i="6"/>
  <c r="G3332" i="6"/>
  <c r="H3331" i="6"/>
  <c r="G3331" i="6"/>
  <c r="H3330" i="6"/>
  <c r="G3330" i="6"/>
  <c r="H3329" i="6"/>
  <c r="G3329" i="6"/>
  <c r="H3328" i="6"/>
  <c r="G3328" i="6"/>
  <c r="H3327" i="6"/>
  <c r="G3327" i="6"/>
  <c r="H3326" i="6"/>
  <c r="G3326" i="6"/>
  <c r="H3325" i="6"/>
  <c r="G3325" i="6"/>
  <c r="H3324" i="6"/>
  <c r="G3324" i="6"/>
  <c r="H3323" i="6"/>
  <c r="G3323" i="6"/>
  <c r="H3322" i="6"/>
  <c r="G3322" i="6"/>
  <c r="H3321" i="6"/>
  <c r="G3321" i="6"/>
  <c r="H3320" i="6"/>
  <c r="G3320" i="6"/>
  <c r="H3319" i="6"/>
  <c r="G3319" i="6"/>
  <c r="H3318" i="6"/>
  <c r="G3318" i="6"/>
  <c r="H3317" i="6"/>
  <c r="G3317" i="6"/>
  <c r="H3316" i="6"/>
  <c r="G3316" i="6"/>
  <c r="H3315" i="6"/>
  <c r="G3315" i="6"/>
  <c r="H3314" i="6"/>
  <c r="G3314" i="6"/>
  <c r="H3313" i="6"/>
  <c r="G3313" i="6"/>
  <c r="H3312" i="6"/>
  <c r="G3312" i="6"/>
  <c r="H3311" i="6"/>
  <c r="G3311" i="6"/>
  <c r="H3310" i="6"/>
  <c r="G3310" i="6"/>
  <c r="H3309" i="6"/>
  <c r="G3309" i="6"/>
  <c r="H3308" i="6"/>
  <c r="G3308" i="6"/>
  <c r="H3307" i="6"/>
  <c r="G3307" i="6"/>
  <c r="H3306" i="6"/>
  <c r="G3306" i="6"/>
  <c r="H3305" i="6"/>
  <c r="G3305" i="6"/>
  <c r="H3304" i="6"/>
  <c r="G3304" i="6"/>
  <c r="H3303" i="6"/>
  <c r="G3303" i="6"/>
  <c r="H3302" i="6"/>
  <c r="G3302" i="6"/>
  <c r="H3301" i="6"/>
  <c r="G3301" i="6"/>
  <c r="H3300" i="6"/>
  <c r="G3300" i="6"/>
  <c r="H3299" i="6"/>
  <c r="G3299" i="6"/>
  <c r="H3298" i="6"/>
  <c r="G3298" i="6"/>
  <c r="H3297" i="6"/>
  <c r="G3297" i="6"/>
  <c r="H3296" i="6"/>
  <c r="G3296" i="6"/>
  <c r="H3295" i="6"/>
  <c r="G3295" i="6"/>
  <c r="H3294" i="6"/>
  <c r="G3294" i="6"/>
  <c r="H3293" i="6"/>
  <c r="G3293" i="6"/>
  <c r="H3292" i="6"/>
  <c r="G3292" i="6"/>
  <c r="H3291" i="6"/>
  <c r="G3291" i="6"/>
  <c r="H3290" i="6"/>
  <c r="G3290" i="6"/>
  <c r="H3289" i="6"/>
  <c r="G3289" i="6"/>
  <c r="H3288" i="6"/>
  <c r="G3288" i="6"/>
  <c r="H3287" i="6"/>
  <c r="G3287" i="6"/>
  <c r="H3286" i="6"/>
  <c r="G3286" i="6"/>
  <c r="H3285" i="6"/>
  <c r="G3285" i="6"/>
  <c r="H3284" i="6"/>
  <c r="G3284" i="6"/>
  <c r="H3283" i="6"/>
  <c r="G3283" i="6"/>
  <c r="H3282" i="6"/>
  <c r="G3282" i="6"/>
  <c r="H3281" i="6"/>
  <c r="G3281" i="6"/>
  <c r="H3280" i="6"/>
  <c r="G3280" i="6"/>
  <c r="H3279" i="6"/>
  <c r="G3279" i="6"/>
  <c r="H3278" i="6"/>
  <c r="G3278" i="6"/>
  <c r="H3277" i="6"/>
  <c r="G3277" i="6"/>
  <c r="H3276" i="6"/>
  <c r="G3276" i="6"/>
  <c r="H3275" i="6"/>
  <c r="G3275" i="6"/>
  <c r="H3274" i="6"/>
  <c r="G3274" i="6"/>
  <c r="H3273" i="6"/>
  <c r="G3273" i="6"/>
  <c r="H3272" i="6"/>
  <c r="G3272" i="6"/>
  <c r="H3271" i="6"/>
  <c r="G3271" i="6"/>
  <c r="H3270" i="6"/>
  <c r="G3270" i="6"/>
  <c r="H3269" i="6"/>
  <c r="G3269" i="6"/>
  <c r="H3268" i="6"/>
  <c r="G3268" i="6"/>
  <c r="H3267" i="6"/>
  <c r="G3267" i="6"/>
  <c r="H3266" i="6"/>
  <c r="G3266" i="6"/>
  <c r="H3265" i="6"/>
  <c r="G3265" i="6"/>
  <c r="H3264" i="6"/>
  <c r="G3264" i="6"/>
  <c r="H3263" i="6"/>
  <c r="G3263" i="6"/>
  <c r="H3262" i="6"/>
  <c r="G3262" i="6"/>
  <c r="H3261" i="6"/>
  <c r="G3261" i="6"/>
  <c r="H3260" i="6"/>
  <c r="G3260" i="6"/>
  <c r="H3259" i="6"/>
  <c r="G3259" i="6"/>
  <c r="H3258" i="6"/>
  <c r="G3258" i="6"/>
  <c r="H3257" i="6"/>
  <c r="G3257" i="6"/>
  <c r="H3256" i="6"/>
  <c r="G3256" i="6"/>
  <c r="H3255" i="6"/>
  <c r="G3255" i="6"/>
  <c r="H3254" i="6"/>
  <c r="G3254" i="6"/>
  <c r="H3253" i="6"/>
  <c r="G3253" i="6"/>
  <c r="H3252" i="6"/>
  <c r="G3252" i="6"/>
  <c r="H3251" i="6"/>
  <c r="G3251" i="6"/>
  <c r="H3250" i="6"/>
  <c r="G3250" i="6"/>
  <c r="H3249" i="6"/>
  <c r="G3249" i="6"/>
  <c r="H3248" i="6"/>
  <c r="G3248" i="6"/>
  <c r="H3247" i="6"/>
  <c r="G3247" i="6"/>
  <c r="H3246" i="6"/>
  <c r="G3246" i="6"/>
  <c r="H3245" i="6"/>
  <c r="G3245" i="6"/>
  <c r="H3244" i="6"/>
  <c r="G3244" i="6"/>
  <c r="H3243" i="6"/>
  <c r="G3243" i="6"/>
  <c r="H3242" i="6"/>
  <c r="G3242" i="6"/>
  <c r="H3241" i="6"/>
  <c r="G3241" i="6"/>
  <c r="H3240" i="6"/>
  <c r="G3240" i="6"/>
  <c r="H3239" i="6"/>
  <c r="G3239" i="6"/>
  <c r="H3238" i="6"/>
  <c r="G3238" i="6"/>
  <c r="H3237" i="6"/>
  <c r="G3237" i="6"/>
  <c r="H3236" i="6"/>
  <c r="G3236" i="6"/>
  <c r="H3235" i="6"/>
  <c r="G3235" i="6"/>
  <c r="H3234" i="6"/>
  <c r="G3234" i="6"/>
  <c r="H3233" i="6"/>
  <c r="G3233" i="6"/>
  <c r="H3232" i="6"/>
  <c r="G3232" i="6"/>
  <c r="H3231" i="6"/>
  <c r="G3231" i="6"/>
  <c r="H3230" i="6"/>
  <c r="G3230" i="6"/>
  <c r="H3229" i="6"/>
  <c r="G3229" i="6"/>
  <c r="H3228" i="6"/>
  <c r="G3228" i="6"/>
  <c r="H3227" i="6"/>
  <c r="G3227" i="6"/>
  <c r="H3226" i="6"/>
  <c r="G3226" i="6"/>
  <c r="H3225" i="6"/>
  <c r="G3225" i="6"/>
  <c r="H3224" i="6"/>
  <c r="G3224" i="6"/>
  <c r="H3223" i="6"/>
  <c r="G3223" i="6"/>
  <c r="H3222" i="6"/>
  <c r="G3222" i="6"/>
  <c r="H3221" i="6"/>
  <c r="G3221" i="6"/>
  <c r="H3220" i="6"/>
  <c r="G3220" i="6"/>
  <c r="H3219" i="6"/>
  <c r="G3219" i="6"/>
  <c r="H3218" i="6"/>
  <c r="G3218" i="6"/>
  <c r="H3217" i="6"/>
  <c r="G3217" i="6"/>
  <c r="H3216" i="6"/>
  <c r="G3216" i="6"/>
  <c r="H3215" i="6"/>
  <c r="G3215" i="6"/>
  <c r="H3214" i="6"/>
  <c r="G3214" i="6"/>
  <c r="H3213" i="6"/>
  <c r="G3213" i="6"/>
  <c r="H3212" i="6"/>
  <c r="G3212" i="6"/>
  <c r="H3211" i="6"/>
  <c r="G3211" i="6"/>
  <c r="H3210" i="6"/>
  <c r="G3210" i="6"/>
  <c r="H3209" i="6"/>
  <c r="G3209" i="6"/>
  <c r="H3208" i="6"/>
  <c r="G3208" i="6"/>
  <c r="H3207" i="6"/>
  <c r="G3207" i="6"/>
  <c r="H3206" i="6"/>
  <c r="G3206" i="6"/>
  <c r="H3205" i="6"/>
  <c r="G3205" i="6"/>
  <c r="H3204" i="6"/>
  <c r="G3204" i="6"/>
  <c r="H3203" i="6"/>
  <c r="G3203" i="6"/>
  <c r="H3202" i="6"/>
  <c r="G3202" i="6"/>
  <c r="H3201" i="6"/>
  <c r="G3201" i="6"/>
  <c r="H3200" i="6"/>
  <c r="G3200" i="6"/>
  <c r="H3199" i="6"/>
  <c r="G3199" i="6"/>
  <c r="H3198" i="6"/>
  <c r="G3198" i="6"/>
  <c r="H3197" i="6"/>
  <c r="G3197" i="6"/>
  <c r="H3196" i="6"/>
  <c r="G3196" i="6"/>
  <c r="H3195" i="6"/>
  <c r="G3195" i="6"/>
  <c r="H3194" i="6"/>
  <c r="G3194" i="6"/>
  <c r="H3193" i="6"/>
  <c r="G3193" i="6"/>
  <c r="H3192" i="6"/>
  <c r="G3192" i="6"/>
  <c r="H3191" i="6"/>
  <c r="G3191" i="6"/>
  <c r="H3190" i="6"/>
  <c r="G3190" i="6"/>
  <c r="H3189" i="6"/>
  <c r="G3189" i="6"/>
  <c r="H3188" i="6"/>
  <c r="G3188" i="6"/>
  <c r="H3187" i="6"/>
  <c r="G3187" i="6"/>
  <c r="H3186" i="6"/>
  <c r="G3186" i="6"/>
  <c r="H3185" i="6"/>
  <c r="G3185" i="6"/>
  <c r="H3184" i="6"/>
  <c r="G3184" i="6"/>
  <c r="H3183" i="6"/>
  <c r="G3183" i="6"/>
  <c r="H3182" i="6"/>
  <c r="G3182" i="6"/>
  <c r="H3181" i="6"/>
  <c r="G3181" i="6"/>
  <c r="H3180" i="6"/>
  <c r="G3180" i="6"/>
  <c r="H3179" i="6"/>
  <c r="G3179" i="6"/>
  <c r="H3178" i="6"/>
  <c r="G3178" i="6"/>
  <c r="H3177" i="6"/>
  <c r="G3177" i="6"/>
  <c r="H3176" i="6"/>
  <c r="G3176" i="6"/>
  <c r="H3175" i="6"/>
  <c r="G3175" i="6"/>
  <c r="H3174" i="6"/>
  <c r="G3174" i="6"/>
  <c r="H3173" i="6"/>
  <c r="G3173" i="6"/>
  <c r="H3172" i="6"/>
  <c r="G3172" i="6"/>
  <c r="H3171" i="6"/>
  <c r="G3171" i="6"/>
  <c r="H3170" i="6"/>
  <c r="G3170" i="6"/>
  <c r="H3169" i="6"/>
  <c r="G3169" i="6"/>
  <c r="H3168" i="6"/>
  <c r="G3168" i="6"/>
  <c r="H3167" i="6"/>
  <c r="G3167" i="6"/>
  <c r="H3166" i="6"/>
  <c r="G3166" i="6"/>
  <c r="H3165" i="6"/>
  <c r="G3165" i="6"/>
  <c r="H3164" i="6"/>
  <c r="G3164" i="6"/>
  <c r="H3163" i="6"/>
  <c r="G3163" i="6"/>
  <c r="H3162" i="6"/>
  <c r="G3162" i="6"/>
  <c r="H3161" i="6"/>
  <c r="G3161" i="6"/>
  <c r="H3160" i="6"/>
  <c r="G3160" i="6"/>
  <c r="H3159" i="6"/>
  <c r="G3159" i="6"/>
  <c r="H3158" i="6"/>
  <c r="G3158" i="6"/>
  <c r="H3157" i="6"/>
  <c r="G3157" i="6"/>
  <c r="H3156" i="6"/>
  <c r="G3156" i="6"/>
  <c r="H3155" i="6"/>
  <c r="G3155" i="6"/>
  <c r="H3154" i="6"/>
  <c r="G3154" i="6"/>
  <c r="H3153" i="6"/>
  <c r="G3153" i="6"/>
  <c r="H3152" i="6"/>
  <c r="G3152" i="6"/>
  <c r="H3151" i="6"/>
  <c r="G3151" i="6"/>
  <c r="H3150" i="6"/>
  <c r="G3150" i="6"/>
  <c r="H3149" i="6"/>
  <c r="G3149" i="6"/>
  <c r="H3148" i="6"/>
  <c r="G3148" i="6"/>
  <c r="H3147" i="6"/>
  <c r="G3147" i="6"/>
  <c r="H3146" i="6"/>
  <c r="G3146" i="6"/>
  <c r="H3145" i="6"/>
  <c r="G3145" i="6"/>
  <c r="H3144" i="6"/>
  <c r="G3144" i="6"/>
  <c r="H3143" i="6"/>
  <c r="G3143" i="6"/>
  <c r="H3142" i="6"/>
  <c r="G3142" i="6"/>
  <c r="H3141" i="6"/>
  <c r="G3141" i="6"/>
  <c r="H3140" i="6"/>
  <c r="G3140" i="6"/>
  <c r="H3139" i="6"/>
  <c r="G3139" i="6"/>
  <c r="H3138" i="6"/>
  <c r="G3138" i="6"/>
  <c r="H3137" i="6"/>
  <c r="G3137" i="6"/>
  <c r="H3136" i="6"/>
  <c r="G3136" i="6"/>
  <c r="H3135" i="6"/>
  <c r="G3135" i="6"/>
  <c r="H3134" i="6"/>
  <c r="G3134" i="6"/>
  <c r="H3133" i="6"/>
  <c r="G3133" i="6"/>
  <c r="H3132" i="6"/>
  <c r="G3132" i="6"/>
  <c r="H3131" i="6"/>
  <c r="G3131" i="6"/>
  <c r="H3130" i="6"/>
  <c r="G3130" i="6"/>
  <c r="H3129" i="6"/>
  <c r="G3129" i="6"/>
  <c r="H3128" i="6"/>
  <c r="G3128" i="6"/>
  <c r="H3127" i="6"/>
  <c r="G3127" i="6"/>
  <c r="H3126" i="6"/>
  <c r="G3126" i="6"/>
  <c r="H3125" i="6"/>
  <c r="G3125" i="6"/>
  <c r="H3124" i="6"/>
  <c r="G3124" i="6"/>
  <c r="H3123" i="6"/>
  <c r="G3123" i="6"/>
  <c r="H3122" i="6"/>
  <c r="G3122" i="6"/>
  <c r="H3121" i="6"/>
  <c r="G3121" i="6"/>
  <c r="H3120" i="6"/>
  <c r="G3120" i="6"/>
  <c r="H3119" i="6"/>
  <c r="G3119" i="6"/>
  <c r="H3118" i="6"/>
  <c r="G3118" i="6"/>
  <c r="H3117" i="6"/>
  <c r="G3117" i="6"/>
  <c r="H3116" i="6"/>
  <c r="G3116" i="6"/>
  <c r="H3115" i="6"/>
  <c r="G3115" i="6"/>
  <c r="H3114" i="6"/>
  <c r="G3114" i="6"/>
  <c r="H3113" i="6"/>
  <c r="G3113" i="6"/>
  <c r="H3112" i="6"/>
  <c r="G3112" i="6"/>
  <c r="H3111" i="6"/>
  <c r="G3111" i="6"/>
  <c r="H3110" i="6"/>
  <c r="G3110" i="6"/>
  <c r="H3109" i="6"/>
  <c r="G3109" i="6"/>
  <c r="H3108" i="6"/>
  <c r="G3108" i="6"/>
  <c r="H3107" i="6"/>
  <c r="G3107" i="6"/>
  <c r="H3106" i="6"/>
  <c r="G3106" i="6"/>
  <c r="H3105" i="6"/>
  <c r="G3105" i="6"/>
  <c r="H3104" i="6"/>
  <c r="G3104" i="6"/>
  <c r="H3103" i="6"/>
  <c r="G3103" i="6"/>
  <c r="H3102" i="6"/>
  <c r="G3102" i="6"/>
  <c r="H3101" i="6"/>
  <c r="G3101" i="6"/>
  <c r="H3100" i="6"/>
  <c r="G3100" i="6"/>
  <c r="H3099" i="6"/>
  <c r="G3099" i="6"/>
  <c r="H3098" i="6"/>
  <c r="G3098" i="6"/>
  <c r="H3097" i="6"/>
  <c r="G3097" i="6"/>
  <c r="H3096" i="6"/>
  <c r="G3096" i="6"/>
  <c r="H3095" i="6"/>
  <c r="G3095" i="6"/>
  <c r="H3094" i="6"/>
  <c r="G3094" i="6"/>
  <c r="H3093" i="6"/>
  <c r="G3093" i="6"/>
  <c r="H3092" i="6"/>
  <c r="G3092" i="6"/>
  <c r="H3091" i="6"/>
  <c r="G3091" i="6"/>
  <c r="H3090" i="6"/>
  <c r="G3090" i="6"/>
  <c r="H3089" i="6"/>
  <c r="G3089" i="6"/>
  <c r="H3088" i="6"/>
  <c r="G3088" i="6"/>
  <c r="H3087" i="6"/>
  <c r="G3087" i="6"/>
  <c r="H3086" i="6"/>
  <c r="G3086" i="6"/>
  <c r="H3085" i="6"/>
  <c r="G3085" i="6"/>
  <c r="H3084" i="6"/>
  <c r="G3084" i="6"/>
  <c r="H3083" i="6"/>
  <c r="G3083" i="6"/>
  <c r="H3082" i="6"/>
  <c r="G3082" i="6"/>
  <c r="H3081" i="6"/>
  <c r="G3081" i="6"/>
  <c r="H3080" i="6"/>
  <c r="G3080" i="6"/>
  <c r="H3079" i="6"/>
  <c r="G3079" i="6"/>
  <c r="H3078" i="6"/>
  <c r="G3078" i="6"/>
  <c r="H3077" i="6"/>
  <c r="G3077" i="6"/>
  <c r="H3076" i="6"/>
  <c r="G3076" i="6"/>
  <c r="H3075" i="6"/>
  <c r="G3075" i="6"/>
  <c r="H3074" i="6"/>
  <c r="G3074" i="6"/>
  <c r="H3073" i="6"/>
  <c r="G3073" i="6"/>
  <c r="H3072" i="6"/>
  <c r="G3072" i="6"/>
  <c r="H3071" i="6"/>
  <c r="G3071" i="6"/>
  <c r="H3070" i="6"/>
  <c r="G3070" i="6"/>
  <c r="H3069" i="6"/>
  <c r="G3069" i="6"/>
  <c r="H3068" i="6"/>
  <c r="G3068" i="6"/>
  <c r="H3067" i="6"/>
  <c r="G3067" i="6"/>
  <c r="H3066" i="6"/>
  <c r="G3066" i="6"/>
  <c r="H3065" i="6"/>
  <c r="G3065" i="6"/>
  <c r="H3064" i="6"/>
  <c r="G3064" i="6"/>
  <c r="H3063" i="6"/>
  <c r="G3063" i="6"/>
  <c r="H3062" i="6"/>
  <c r="G3062" i="6"/>
  <c r="H3061" i="6"/>
  <c r="G3061" i="6"/>
  <c r="H3060" i="6"/>
  <c r="G3060" i="6"/>
  <c r="H3059" i="6"/>
  <c r="G3059" i="6"/>
  <c r="H3058" i="6"/>
  <c r="G3058" i="6"/>
  <c r="H3057" i="6"/>
  <c r="G3057" i="6"/>
  <c r="H3056" i="6"/>
  <c r="G3056" i="6"/>
  <c r="H3055" i="6"/>
  <c r="G3055" i="6"/>
  <c r="H3054" i="6"/>
  <c r="G3054" i="6"/>
  <c r="H3053" i="6"/>
  <c r="G3053" i="6"/>
  <c r="H3052" i="6"/>
  <c r="G3052" i="6"/>
  <c r="H3051" i="6"/>
  <c r="G3051" i="6"/>
  <c r="H3050" i="6"/>
  <c r="G3050" i="6"/>
  <c r="H3049" i="6"/>
  <c r="G3049" i="6"/>
  <c r="H3048" i="6"/>
  <c r="G3048" i="6"/>
  <c r="H3047" i="6"/>
  <c r="G3047" i="6"/>
  <c r="H3046" i="6"/>
  <c r="G3046" i="6"/>
  <c r="H3045" i="6"/>
  <c r="G3045" i="6"/>
  <c r="H3044" i="6"/>
  <c r="G3044" i="6"/>
  <c r="H3043" i="6"/>
  <c r="G3043" i="6"/>
  <c r="H3042" i="6"/>
  <c r="G3042" i="6"/>
  <c r="H3041" i="6"/>
  <c r="G3041" i="6"/>
  <c r="H3040" i="6"/>
  <c r="G3040" i="6"/>
  <c r="H3039" i="6"/>
  <c r="G3039" i="6"/>
  <c r="H3038" i="6"/>
  <c r="G3038" i="6"/>
  <c r="H3037" i="6"/>
  <c r="G3037" i="6"/>
  <c r="H3036" i="6"/>
  <c r="G3036" i="6"/>
  <c r="H3035" i="6"/>
  <c r="G3035" i="6"/>
  <c r="H3034" i="6"/>
  <c r="G3034" i="6"/>
  <c r="H3033" i="6"/>
  <c r="G3033" i="6"/>
  <c r="H3032" i="6"/>
  <c r="G3032" i="6"/>
  <c r="H3031" i="6"/>
  <c r="G3031" i="6"/>
  <c r="H3030" i="6"/>
  <c r="G3030" i="6"/>
  <c r="H3029" i="6"/>
  <c r="G3029" i="6"/>
  <c r="H3028" i="6"/>
  <c r="G3028" i="6"/>
  <c r="H3027" i="6"/>
  <c r="G3027" i="6"/>
  <c r="H3026" i="6"/>
  <c r="G3026" i="6"/>
  <c r="H3025" i="6"/>
  <c r="G3025" i="6"/>
  <c r="H3024" i="6"/>
  <c r="G3024" i="6"/>
  <c r="H3023" i="6"/>
  <c r="G3023" i="6"/>
  <c r="H3022" i="6"/>
  <c r="G3022" i="6"/>
  <c r="H3021" i="6"/>
  <c r="G3021" i="6"/>
  <c r="H3020" i="6"/>
  <c r="G3020" i="6"/>
  <c r="H3019" i="6"/>
  <c r="G3019" i="6"/>
  <c r="H3018" i="6"/>
  <c r="G3018" i="6"/>
  <c r="H3017" i="6"/>
  <c r="G3017" i="6"/>
  <c r="H3016" i="6"/>
  <c r="G3016" i="6"/>
  <c r="H3015" i="6"/>
  <c r="G3015" i="6"/>
  <c r="H3014" i="6"/>
  <c r="G3014" i="6"/>
  <c r="H3013" i="6"/>
  <c r="G3013" i="6"/>
  <c r="H3012" i="6"/>
  <c r="G3012" i="6"/>
  <c r="H3011" i="6"/>
  <c r="G3011" i="6"/>
  <c r="H3010" i="6"/>
  <c r="G3010" i="6"/>
  <c r="H3009" i="6"/>
  <c r="G3009" i="6"/>
  <c r="H3008" i="6"/>
  <c r="G3008" i="6"/>
  <c r="H3007" i="6"/>
  <c r="G3007" i="6"/>
  <c r="H3006" i="6"/>
  <c r="G3006" i="6"/>
  <c r="H3005" i="6"/>
  <c r="G3005" i="6"/>
  <c r="H3004" i="6"/>
  <c r="G3004" i="6"/>
  <c r="H3003" i="6"/>
  <c r="G3003" i="6"/>
  <c r="H3002" i="6"/>
  <c r="G3002" i="6"/>
  <c r="H3001" i="6"/>
  <c r="G3001" i="6"/>
  <c r="H3000" i="6"/>
  <c r="G3000" i="6"/>
  <c r="H2999" i="6"/>
  <c r="G2999" i="6"/>
  <c r="H2998" i="6"/>
  <c r="G2998" i="6"/>
  <c r="H2997" i="6"/>
  <c r="G2997" i="6"/>
  <c r="H2996" i="6"/>
  <c r="G2996" i="6"/>
  <c r="H2995" i="6"/>
  <c r="G2995" i="6"/>
  <c r="H2994" i="6"/>
  <c r="G2994" i="6"/>
  <c r="H2993" i="6"/>
  <c r="G2993" i="6"/>
  <c r="H2992" i="6"/>
  <c r="G2992" i="6"/>
  <c r="H2991" i="6"/>
  <c r="G2991" i="6"/>
  <c r="H2990" i="6"/>
  <c r="G2990" i="6"/>
  <c r="H2989" i="6"/>
  <c r="G2989" i="6"/>
  <c r="H2988" i="6"/>
  <c r="G2988" i="6"/>
  <c r="H2987" i="6"/>
  <c r="G2987" i="6"/>
  <c r="H2986" i="6"/>
  <c r="G2986" i="6"/>
  <c r="H2985" i="6"/>
  <c r="G2985" i="6"/>
  <c r="H2984" i="6"/>
  <c r="G2984" i="6"/>
  <c r="H2983" i="6"/>
  <c r="G2983" i="6"/>
  <c r="H2982" i="6"/>
  <c r="G2982" i="6"/>
  <c r="H2981" i="6"/>
  <c r="G2981" i="6"/>
  <c r="H2980" i="6"/>
  <c r="G2980" i="6"/>
  <c r="H2979" i="6"/>
  <c r="G2979" i="6"/>
  <c r="H2978" i="6"/>
  <c r="G2978" i="6"/>
  <c r="H2977" i="6"/>
  <c r="G2977" i="6"/>
  <c r="H2976" i="6"/>
  <c r="G2976" i="6"/>
  <c r="H2975" i="6"/>
  <c r="G2975" i="6"/>
  <c r="H2974" i="6"/>
  <c r="G2974" i="6"/>
  <c r="H2973" i="6"/>
  <c r="G2973" i="6"/>
  <c r="H2972" i="6"/>
  <c r="G2972" i="6"/>
  <c r="H2971" i="6"/>
  <c r="G2971" i="6"/>
  <c r="H2970" i="6"/>
  <c r="G2970" i="6"/>
  <c r="H2969" i="6"/>
  <c r="G2969" i="6"/>
  <c r="H2968" i="6"/>
  <c r="G2968" i="6"/>
  <c r="H2967" i="6"/>
  <c r="G2967" i="6"/>
  <c r="H2966" i="6"/>
  <c r="G2966" i="6"/>
  <c r="H2965" i="6"/>
  <c r="G2965" i="6"/>
  <c r="H2964" i="6"/>
  <c r="G2964" i="6"/>
  <c r="H2963" i="6"/>
  <c r="G2963" i="6"/>
  <c r="H2962" i="6"/>
  <c r="G2962" i="6"/>
  <c r="H2961" i="6"/>
  <c r="G2961" i="6"/>
  <c r="H2960" i="6"/>
  <c r="G2960" i="6"/>
  <c r="H2959" i="6"/>
  <c r="G2959" i="6"/>
  <c r="H2958" i="6"/>
  <c r="G2958" i="6"/>
  <c r="H2957" i="6"/>
  <c r="G2957" i="6"/>
  <c r="H2956" i="6"/>
  <c r="G2956" i="6"/>
  <c r="H2955" i="6"/>
  <c r="G2955" i="6"/>
  <c r="H2954" i="6"/>
  <c r="G2954" i="6"/>
  <c r="H2953" i="6"/>
  <c r="G2953" i="6"/>
  <c r="H2952" i="6"/>
  <c r="G2952" i="6"/>
  <c r="H2951" i="6"/>
  <c r="G2951" i="6"/>
  <c r="H2950" i="6"/>
  <c r="G2950" i="6"/>
  <c r="H2949" i="6"/>
  <c r="G2949" i="6"/>
  <c r="H2948" i="6"/>
  <c r="G2948" i="6"/>
  <c r="H2947" i="6"/>
  <c r="G2947" i="6"/>
  <c r="H2946" i="6"/>
  <c r="G2946" i="6"/>
  <c r="H2945" i="6"/>
  <c r="G2945" i="6"/>
  <c r="H2944" i="6"/>
  <c r="G2944" i="6"/>
  <c r="H2943" i="6"/>
  <c r="G2943" i="6"/>
  <c r="H2942" i="6"/>
  <c r="G2942" i="6"/>
  <c r="H2941" i="6"/>
  <c r="G2941" i="6"/>
  <c r="H2940" i="6"/>
  <c r="G2940" i="6"/>
  <c r="H2939" i="6"/>
  <c r="G2939" i="6"/>
  <c r="H2938" i="6"/>
  <c r="G2938" i="6"/>
  <c r="H2937" i="6"/>
  <c r="G2937" i="6"/>
  <c r="H2936" i="6"/>
  <c r="G2936" i="6"/>
  <c r="H2935" i="6"/>
  <c r="G2935" i="6"/>
  <c r="H2934" i="6"/>
  <c r="G2934" i="6"/>
  <c r="H2933" i="6"/>
  <c r="G2933" i="6"/>
  <c r="H2932" i="6"/>
  <c r="G2932" i="6"/>
  <c r="H2931" i="6"/>
  <c r="G2931" i="6"/>
  <c r="H2930" i="6"/>
  <c r="G2930" i="6"/>
  <c r="H2929" i="6"/>
  <c r="G2929" i="6"/>
  <c r="H2928" i="6"/>
  <c r="G2928" i="6"/>
  <c r="H2927" i="6"/>
  <c r="G2927" i="6"/>
  <c r="H2926" i="6"/>
  <c r="G2926" i="6"/>
  <c r="H2925" i="6"/>
  <c r="G2925" i="6"/>
  <c r="H2924" i="6"/>
  <c r="G2924" i="6"/>
  <c r="H2923" i="6"/>
  <c r="G2923" i="6"/>
  <c r="H2922" i="6"/>
  <c r="G2922" i="6"/>
  <c r="H2921" i="6"/>
  <c r="G2921" i="6"/>
  <c r="H2920" i="6"/>
  <c r="G2920" i="6"/>
  <c r="H2919" i="6"/>
  <c r="G2919" i="6"/>
  <c r="H2918" i="6"/>
  <c r="G2918" i="6"/>
  <c r="H2917" i="6"/>
  <c r="G2917" i="6"/>
  <c r="H2916" i="6"/>
  <c r="G2916" i="6"/>
  <c r="H2915" i="6"/>
  <c r="G2915" i="6"/>
  <c r="H2914" i="6"/>
  <c r="G2914" i="6"/>
  <c r="H2913" i="6"/>
  <c r="G2913" i="6"/>
  <c r="H2912" i="6"/>
  <c r="G2912" i="6"/>
  <c r="H2911" i="6"/>
  <c r="G2911" i="6"/>
  <c r="H2910" i="6"/>
  <c r="G2910" i="6"/>
  <c r="H2909" i="6"/>
  <c r="G2909" i="6"/>
  <c r="H2908" i="6"/>
  <c r="G2908" i="6"/>
  <c r="H2907" i="6"/>
  <c r="G2907" i="6"/>
  <c r="H2906" i="6"/>
  <c r="G2906" i="6"/>
  <c r="H2905" i="6"/>
  <c r="G2905" i="6"/>
  <c r="H2904" i="6"/>
  <c r="G2904" i="6"/>
  <c r="H2903" i="6"/>
  <c r="G2903" i="6"/>
  <c r="H2902" i="6"/>
  <c r="G2902" i="6"/>
  <c r="H2901" i="6"/>
  <c r="G2901" i="6"/>
  <c r="H2900" i="6"/>
  <c r="G2900" i="6"/>
  <c r="H2899" i="6"/>
  <c r="G2899" i="6"/>
  <c r="H2898" i="6"/>
  <c r="G2898" i="6"/>
  <c r="H2897" i="6"/>
  <c r="G2897" i="6"/>
  <c r="H2896" i="6"/>
  <c r="G2896" i="6"/>
  <c r="H2895" i="6"/>
  <c r="G2895" i="6"/>
  <c r="H2894" i="6"/>
  <c r="G2894" i="6"/>
  <c r="H2893" i="6"/>
  <c r="G2893" i="6"/>
  <c r="H2892" i="6"/>
  <c r="G2892" i="6"/>
  <c r="H2891" i="6"/>
  <c r="G2891" i="6"/>
  <c r="H2890" i="6"/>
  <c r="G2890" i="6"/>
  <c r="H2889" i="6"/>
  <c r="G2889" i="6"/>
  <c r="H2888" i="6"/>
  <c r="G2888" i="6"/>
  <c r="H2887" i="6"/>
  <c r="G2887" i="6"/>
  <c r="H2886" i="6"/>
  <c r="G2886" i="6"/>
  <c r="H2885" i="6"/>
  <c r="G2885" i="6"/>
  <c r="H2884" i="6"/>
  <c r="G2884" i="6"/>
  <c r="H2883" i="6"/>
  <c r="G2883" i="6"/>
  <c r="H2882" i="6"/>
  <c r="G2882" i="6"/>
  <c r="H2881" i="6"/>
  <c r="G2881" i="6"/>
  <c r="H2880" i="6"/>
  <c r="G2880" i="6"/>
  <c r="H2879" i="6"/>
  <c r="G2879" i="6"/>
  <c r="H2878" i="6"/>
  <c r="G2878" i="6"/>
  <c r="H2877" i="6"/>
  <c r="G2877" i="6"/>
  <c r="H2876" i="6"/>
  <c r="G2876" i="6"/>
  <c r="H2875" i="6"/>
  <c r="G2875" i="6"/>
  <c r="H2874" i="6"/>
  <c r="G2874" i="6"/>
  <c r="H2873" i="6"/>
  <c r="G2873" i="6"/>
  <c r="H2872" i="6"/>
  <c r="G2872" i="6"/>
  <c r="H2871" i="6"/>
  <c r="G2871" i="6"/>
  <c r="H2870" i="6"/>
  <c r="G2870" i="6"/>
  <c r="H2869" i="6"/>
  <c r="G2869" i="6"/>
  <c r="H2868" i="6"/>
  <c r="G2868" i="6"/>
  <c r="H2867" i="6"/>
  <c r="G2867" i="6"/>
  <c r="H2866" i="6"/>
  <c r="G2866" i="6"/>
  <c r="H2865" i="6"/>
  <c r="G2865" i="6"/>
  <c r="H2864" i="6"/>
  <c r="G2864" i="6"/>
  <c r="H2863" i="6"/>
  <c r="G2863" i="6"/>
  <c r="H2862" i="6"/>
  <c r="G2862" i="6"/>
  <c r="H2861" i="6"/>
  <c r="G2861" i="6"/>
  <c r="H2860" i="6"/>
  <c r="G2860" i="6"/>
  <c r="H2859" i="6"/>
  <c r="G2859" i="6"/>
  <c r="H2858" i="6"/>
  <c r="G2858" i="6"/>
  <c r="H2857" i="6"/>
  <c r="G2857" i="6"/>
  <c r="H2856" i="6"/>
  <c r="G2856" i="6"/>
  <c r="H2855" i="6"/>
  <c r="G2855" i="6"/>
  <c r="H2854" i="6"/>
  <c r="G2854" i="6"/>
  <c r="H2853" i="6"/>
  <c r="G2853" i="6"/>
  <c r="H2852" i="6"/>
  <c r="G2852" i="6"/>
  <c r="H2851" i="6"/>
  <c r="G2851" i="6"/>
  <c r="H2850" i="6"/>
  <c r="G2850" i="6"/>
  <c r="H2849" i="6"/>
  <c r="G2849" i="6"/>
  <c r="H2848" i="6"/>
  <c r="G2848" i="6"/>
  <c r="H2847" i="6"/>
  <c r="G2847" i="6"/>
  <c r="H2846" i="6"/>
  <c r="G2846" i="6"/>
  <c r="H2845" i="6"/>
  <c r="G2845" i="6"/>
  <c r="H2844" i="6"/>
  <c r="G2844" i="6"/>
  <c r="H2843" i="6"/>
  <c r="G2843" i="6"/>
  <c r="H2842" i="6"/>
  <c r="G2842" i="6"/>
  <c r="H2841" i="6"/>
  <c r="G2841" i="6"/>
  <c r="H2840" i="6"/>
  <c r="G2840" i="6"/>
  <c r="H2839" i="6"/>
  <c r="G2839" i="6"/>
  <c r="H2838" i="6"/>
  <c r="G2838" i="6"/>
  <c r="H2837" i="6"/>
  <c r="G2837" i="6"/>
  <c r="H2836" i="6"/>
  <c r="G2836" i="6"/>
  <c r="H2835" i="6"/>
  <c r="G2835" i="6"/>
  <c r="H2834" i="6"/>
  <c r="G2834" i="6"/>
  <c r="H2833" i="6"/>
  <c r="G2833" i="6"/>
  <c r="H2832" i="6"/>
  <c r="G2832" i="6"/>
  <c r="H2831" i="6"/>
  <c r="G2831" i="6"/>
  <c r="H2830" i="6"/>
  <c r="G2830" i="6"/>
  <c r="H2829" i="6"/>
  <c r="G2829" i="6"/>
  <c r="H2828" i="6"/>
  <c r="G2828" i="6"/>
  <c r="H2827" i="6"/>
  <c r="G2827" i="6"/>
  <c r="H2826" i="6"/>
  <c r="G2826" i="6"/>
  <c r="H2825" i="6"/>
  <c r="G2825" i="6"/>
  <c r="H2824" i="6"/>
  <c r="G2824" i="6"/>
  <c r="H2823" i="6"/>
  <c r="G2823" i="6"/>
  <c r="H2822" i="6"/>
  <c r="G2822" i="6"/>
  <c r="H2821" i="6"/>
  <c r="G2821" i="6"/>
  <c r="H2820" i="6"/>
  <c r="G2820" i="6"/>
  <c r="H2819" i="6"/>
  <c r="G2819" i="6"/>
  <c r="H2818" i="6"/>
  <c r="G2818" i="6"/>
  <c r="H2817" i="6"/>
  <c r="G2817" i="6"/>
  <c r="H2816" i="6"/>
  <c r="G2816" i="6"/>
  <c r="H2815" i="6"/>
  <c r="G2815" i="6"/>
  <c r="H2814" i="6"/>
  <c r="G2814" i="6"/>
  <c r="H2813" i="6"/>
  <c r="G2813" i="6"/>
  <c r="H2812" i="6"/>
  <c r="G2812" i="6"/>
  <c r="H2811" i="6"/>
  <c r="G2811" i="6"/>
  <c r="H2810" i="6"/>
  <c r="G2810" i="6"/>
  <c r="H2809" i="6"/>
  <c r="G2809" i="6"/>
  <c r="H2808" i="6"/>
  <c r="G2808" i="6"/>
  <c r="H2807" i="6"/>
  <c r="G2807" i="6"/>
  <c r="H2806" i="6"/>
  <c r="G2806" i="6"/>
  <c r="H2805" i="6"/>
  <c r="G2805" i="6"/>
  <c r="H2804" i="6"/>
  <c r="G2804" i="6"/>
  <c r="H2803" i="6"/>
  <c r="G2803" i="6"/>
  <c r="H2802" i="6"/>
  <c r="G2802" i="6"/>
  <c r="H2801" i="6"/>
  <c r="G2801" i="6"/>
  <c r="H2800" i="6"/>
  <c r="G2800" i="6"/>
  <c r="H2799" i="6"/>
  <c r="G2799" i="6"/>
  <c r="H2798" i="6"/>
  <c r="G2798" i="6"/>
  <c r="H2797" i="6"/>
  <c r="G2797" i="6"/>
  <c r="H2796" i="6"/>
  <c r="G2796" i="6"/>
  <c r="H2795" i="6"/>
  <c r="G2795" i="6"/>
  <c r="H2794" i="6"/>
  <c r="G2794" i="6"/>
  <c r="H2793" i="6"/>
  <c r="G2793" i="6"/>
  <c r="H2792" i="6"/>
  <c r="G2792" i="6"/>
  <c r="H2791" i="6"/>
  <c r="G2791" i="6"/>
  <c r="H2790" i="6"/>
  <c r="G2790" i="6"/>
  <c r="H2789" i="6"/>
  <c r="G2789" i="6"/>
  <c r="H2788" i="6"/>
  <c r="G2788" i="6"/>
  <c r="H2787" i="6"/>
  <c r="G2787" i="6"/>
  <c r="H2786" i="6"/>
  <c r="G2786" i="6"/>
  <c r="H2785" i="6"/>
  <c r="G2785" i="6"/>
  <c r="H2784" i="6"/>
  <c r="G2784" i="6"/>
  <c r="H2783" i="6"/>
  <c r="G2783" i="6"/>
  <c r="H2782" i="6"/>
  <c r="G2782" i="6"/>
  <c r="H2781" i="6"/>
  <c r="G2781" i="6"/>
  <c r="H2780" i="6"/>
  <c r="G2780" i="6"/>
  <c r="H2779" i="6"/>
  <c r="G2779" i="6"/>
  <c r="H2778" i="6"/>
  <c r="G2778" i="6"/>
  <c r="H2777" i="6"/>
  <c r="G2777" i="6"/>
  <c r="H2776" i="6"/>
  <c r="G2776" i="6"/>
  <c r="H2775" i="6"/>
  <c r="G2775" i="6"/>
  <c r="H2774" i="6"/>
  <c r="G2774" i="6"/>
  <c r="H2773" i="6"/>
  <c r="G2773" i="6"/>
  <c r="H2772" i="6"/>
  <c r="G2772" i="6"/>
  <c r="H2771" i="6"/>
  <c r="G2771" i="6"/>
  <c r="H2770" i="6"/>
  <c r="G2770" i="6"/>
  <c r="H2769" i="6"/>
  <c r="G2769" i="6"/>
  <c r="H2768" i="6"/>
  <c r="G2768" i="6"/>
  <c r="H2767" i="6"/>
  <c r="G2767" i="6"/>
  <c r="H2766" i="6"/>
  <c r="G2766" i="6"/>
  <c r="H2765" i="6"/>
  <c r="G2765" i="6"/>
  <c r="H2764" i="6"/>
  <c r="G2764" i="6"/>
  <c r="H2763" i="6"/>
  <c r="G2763" i="6"/>
  <c r="H2762" i="6"/>
  <c r="G2762" i="6"/>
  <c r="H2761" i="6"/>
  <c r="G2761" i="6"/>
  <c r="H2760" i="6"/>
  <c r="G2760" i="6"/>
  <c r="H2759" i="6"/>
  <c r="G2759" i="6"/>
  <c r="H2758" i="6"/>
  <c r="G2758" i="6"/>
  <c r="H2757" i="6"/>
  <c r="G2757" i="6"/>
  <c r="H2756" i="6"/>
  <c r="G2756" i="6"/>
  <c r="H2755" i="6"/>
  <c r="G2755" i="6"/>
  <c r="H2754" i="6"/>
  <c r="G2754" i="6"/>
  <c r="H2753" i="6"/>
  <c r="G2753" i="6"/>
  <c r="H2752" i="6"/>
  <c r="G2752" i="6"/>
  <c r="H2751" i="6"/>
  <c r="G2751" i="6"/>
  <c r="H2750" i="6"/>
  <c r="G2750" i="6"/>
  <c r="H2749" i="6"/>
  <c r="G2749" i="6"/>
  <c r="H2748" i="6"/>
  <c r="G2748" i="6"/>
  <c r="H2747" i="6"/>
  <c r="G2747" i="6"/>
  <c r="H2746" i="6"/>
  <c r="G2746" i="6"/>
  <c r="H2745" i="6"/>
  <c r="G2745" i="6"/>
  <c r="H2744" i="6"/>
  <c r="G2744" i="6"/>
  <c r="H2743" i="6"/>
  <c r="G2743" i="6"/>
  <c r="H2742" i="6"/>
  <c r="G2742" i="6"/>
  <c r="H2741" i="6"/>
  <c r="G2741" i="6"/>
  <c r="H2740" i="6"/>
  <c r="G2740" i="6"/>
  <c r="H2739" i="6"/>
  <c r="G2739" i="6"/>
  <c r="H2738" i="6"/>
  <c r="G2738" i="6"/>
  <c r="H2737" i="6"/>
  <c r="G2737" i="6"/>
  <c r="H2736" i="6"/>
  <c r="G2736" i="6"/>
  <c r="H2735" i="6"/>
  <c r="G2735" i="6"/>
  <c r="H2734" i="6"/>
  <c r="G2734" i="6"/>
  <c r="H2733" i="6"/>
  <c r="G2733" i="6"/>
  <c r="H2732" i="6"/>
  <c r="G2732" i="6"/>
  <c r="H2731" i="6"/>
  <c r="G2731" i="6"/>
  <c r="H2730" i="6"/>
  <c r="G2730" i="6"/>
  <c r="H2729" i="6"/>
  <c r="G2729" i="6"/>
  <c r="H2728" i="6"/>
  <c r="G2728" i="6"/>
  <c r="H2727" i="6"/>
  <c r="G2727" i="6"/>
  <c r="H2726" i="6"/>
  <c r="G2726" i="6"/>
  <c r="H2725" i="6"/>
  <c r="G2725" i="6"/>
  <c r="H2724" i="6"/>
  <c r="G2724" i="6"/>
  <c r="H2723" i="6"/>
  <c r="G2723" i="6"/>
  <c r="H2722" i="6"/>
  <c r="G2722" i="6"/>
  <c r="H2721" i="6"/>
  <c r="G2721" i="6"/>
  <c r="H2720" i="6"/>
  <c r="G2720" i="6"/>
  <c r="H2719" i="6"/>
  <c r="G2719" i="6"/>
  <c r="H2718" i="6"/>
  <c r="G2718" i="6"/>
  <c r="H2717" i="6"/>
  <c r="G2717" i="6"/>
  <c r="H2716" i="6"/>
  <c r="G2716" i="6"/>
  <c r="H2715" i="6"/>
  <c r="G2715" i="6"/>
  <c r="H2714" i="6"/>
  <c r="G2714" i="6"/>
  <c r="H2713" i="6"/>
  <c r="G2713" i="6"/>
  <c r="H2712" i="6"/>
  <c r="G2712" i="6"/>
  <c r="H2711" i="6"/>
  <c r="G2711" i="6"/>
  <c r="H2710" i="6"/>
  <c r="G2710" i="6"/>
  <c r="H2709" i="6"/>
  <c r="G2709" i="6"/>
  <c r="H2708" i="6"/>
  <c r="G2708" i="6"/>
  <c r="H2707" i="6"/>
  <c r="G2707" i="6"/>
  <c r="H2706" i="6"/>
  <c r="G2706" i="6"/>
  <c r="H2705" i="6"/>
  <c r="G2705" i="6"/>
  <c r="H2704" i="6"/>
  <c r="G2704" i="6"/>
  <c r="H2703" i="6"/>
  <c r="G2703" i="6"/>
  <c r="H2702" i="6"/>
  <c r="G2702" i="6"/>
  <c r="H2701" i="6"/>
  <c r="G2701" i="6"/>
  <c r="H2700" i="6"/>
  <c r="G2700" i="6"/>
  <c r="H2699" i="6"/>
  <c r="G2699" i="6"/>
  <c r="H2698" i="6"/>
  <c r="G2698" i="6"/>
  <c r="H2697" i="6"/>
  <c r="G2697" i="6"/>
  <c r="H2696" i="6"/>
  <c r="G2696" i="6"/>
  <c r="H2695" i="6"/>
  <c r="G2695" i="6"/>
  <c r="H2694" i="6"/>
  <c r="G2694" i="6"/>
  <c r="H2693" i="6"/>
  <c r="G2693" i="6"/>
  <c r="H2692" i="6"/>
  <c r="G2692" i="6"/>
  <c r="H2691" i="6"/>
  <c r="G2691" i="6"/>
  <c r="H2690" i="6"/>
  <c r="G2690" i="6"/>
  <c r="H2689" i="6"/>
  <c r="G2689" i="6"/>
  <c r="H2688" i="6"/>
  <c r="G2688" i="6"/>
  <c r="H2687" i="6"/>
  <c r="G2687" i="6"/>
  <c r="H2686" i="6"/>
  <c r="G2686" i="6"/>
  <c r="H2685" i="6"/>
  <c r="G2685" i="6"/>
  <c r="H2684" i="6"/>
  <c r="G2684" i="6"/>
  <c r="H2683" i="6"/>
  <c r="G2683" i="6"/>
  <c r="H2682" i="6"/>
  <c r="G2682" i="6"/>
  <c r="H2681" i="6"/>
  <c r="G2681" i="6"/>
  <c r="H2680" i="6"/>
  <c r="G2680" i="6"/>
  <c r="H2679" i="6"/>
  <c r="G2679" i="6"/>
  <c r="H2678" i="6"/>
  <c r="G2678" i="6"/>
  <c r="H2677" i="6"/>
  <c r="G2677" i="6"/>
  <c r="H2676" i="6"/>
  <c r="G2676" i="6"/>
  <c r="H2675" i="6"/>
  <c r="G2675" i="6"/>
  <c r="H2674" i="6"/>
  <c r="G2674" i="6"/>
  <c r="H2673" i="6"/>
  <c r="G2673" i="6"/>
  <c r="H2672" i="6"/>
  <c r="G2672" i="6"/>
  <c r="H2671" i="6"/>
  <c r="G2671" i="6"/>
  <c r="H2670" i="6"/>
  <c r="G2670" i="6"/>
  <c r="H2669" i="6"/>
  <c r="G2669" i="6"/>
  <c r="H2668" i="6"/>
  <c r="G2668" i="6"/>
  <c r="H2667" i="6"/>
  <c r="G2667" i="6"/>
  <c r="H2666" i="6"/>
  <c r="G2666" i="6"/>
  <c r="H2665" i="6"/>
  <c r="G2665" i="6"/>
  <c r="H2664" i="6"/>
  <c r="G2664" i="6"/>
  <c r="H2663" i="6"/>
  <c r="G2663" i="6"/>
  <c r="H2662" i="6"/>
  <c r="G2662" i="6"/>
  <c r="H2661" i="6"/>
  <c r="G2661" i="6"/>
  <c r="H2660" i="6"/>
  <c r="G2660" i="6"/>
  <c r="H2659" i="6"/>
  <c r="G2659" i="6"/>
  <c r="H2658" i="6"/>
  <c r="G2658" i="6"/>
  <c r="H2657" i="6"/>
  <c r="G2657" i="6"/>
  <c r="H2656" i="6"/>
  <c r="G2656" i="6"/>
  <c r="H2655" i="6"/>
  <c r="G2655" i="6"/>
  <c r="H2654" i="6"/>
  <c r="G2654" i="6"/>
  <c r="H2653" i="6"/>
  <c r="G2653" i="6"/>
  <c r="H2652" i="6"/>
  <c r="G2652" i="6"/>
  <c r="H2651" i="6"/>
  <c r="G2651" i="6"/>
  <c r="H2650" i="6"/>
  <c r="G2650" i="6"/>
  <c r="H2649" i="6"/>
  <c r="G2649" i="6"/>
  <c r="H2648" i="6"/>
  <c r="G2648" i="6"/>
  <c r="H2647" i="6"/>
  <c r="G2647" i="6"/>
  <c r="H2646" i="6"/>
  <c r="G2646" i="6"/>
  <c r="H2645" i="6"/>
  <c r="G2645" i="6"/>
  <c r="H2644" i="6"/>
  <c r="G2644" i="6"/>
  <c r="H2643" i="6"/>
  <c r="G2643" i="6"/>
  <c r="H2642" i="6"/>
  <c r="G2642" i="6"/>
  <c r="H2641" i="6"/>
  <c r="G2641" i="6"/>
  <c r="H2640" i="6"/>
  <c r="G2640" i="6"/>
  <c r="H2639" i="6"/>
  <c r="G2639" i="6"/>
  <c r="H2638" i="6"/>
  <c r="G2638" i="6"/>
  <c r="H2637" i="6"/>
  <c r="G2637" i="6"/>
  <c r="H2636" i="6"/>
  <c r="G2636" i="6"/>
  <c r="H2635" i="6"/>
  <c r="G2635" i="6"/>
  <c r="H2634" i="6"/>
  <c r="G2634" i="6"/>
  <c r="H2633" i="6"/>
  <c r="G2633" i="6"/>
  <c r="H2632" i="6"/>
  <c r="G2632" i="6"/>
  <c r="H2631" i="6"/>
  <c r="G2631" i="6"/>
  <c r="H2630" i="6"/>
  <c r="G2630" i="6"/>
  <c r="H2629" i="6"/>
  <c r="G2629" i="6"/>
  <c r="H2628" i="6"/>
  <c r="G2628" i="6"/>
  <c r="H2627" i="6"/>
  <c r="G2627" i="6"/>
  <c r="H2626" i="6"/>
  <c r="G2626" i="6"/>
  <c r="H2625" i="6"/>
  <c r="G2625" i="6"/>
  <c r="H2624" i="6"/>
  <c r="G2624" i="6"/>
  <c r="H2623" i="6"/>
  <c r="G2623" i="6"/>
  <c r="H2622" i="6"/>
  <c r="G2622" i="6"/>
  <c r="H2621" i="6"/>
  <c r="G2621" i="6"/>
  <c r="H2620" i="6"/>
  <c r="G2620" i="6"/>
  <c r="H2619" i="6"/>
  <c r="G2619" i="6"/>
  <c r="H2618" i="6"/>
  <c r="G2618" i="6"/>
  <c r="H2617" i="6"/>
  <c r="G2617" i="6"/>
  <c r="H2616" i="6"/>
  <c r="G2616" i="6"/>
  <c r="H2615" i="6"/>
  <c r="G2615" i="6"/>
  <c r="H2614" i="6"/>
  <c r="G2614" i="6"/>
  <c r="H2613" i="6"/>
  <c r="G2613" i="6"/>
  <c r="H2612" i="6"/>
  <c r="G2612" i="6"/>
  <c r="H2611" i="6"/>
  <c r="G2611" i="6"/>
  <c r="H2610" i="6"/>
  <c r="G2610" i="6"/>
  <c r="H2609" i="6"/>
  <c r="G2609" i="6"/>
  <c r="H2608" i="6"/>
  <c r="G2608" i="6"/>
  <c r="H2607" i="6"/>
  <c r="G2607" i="6"/>
  <c r="H2606" i="6"/>
  <c r="G2606" i="6"/>
  <c r="H2605" i="6"/>
  <c r="G2605" i="6"/>
  <c r="H2604" i="6"/>
  <c r="G2604" i="6"/>
  <c r="H2603" i="6"/>
  <c r="G2603" i="6"/>
  <c r="H2602" i="6"/>
  <c r="G2602" i="6"/>
  <c r="H2601" i="6"/>
  <c r="G2601" i="6"/>
  <c r="H2600" i="6"/>
  <c r="G2600" i="6"/>
  <c r="H2599" i="6"/>
  <c r="G2599" i="6"/>
  <c r="H2598" i="6"/>
  <c r="G2598" i="6"/>
  <c r="H2597" i="6"/>
  <c r="G2597" i="6"/>
  <c r="H2596" i="6"/>
  <c r="G2596" i="6"/>
  <c r="H2595" i="6"/>
  <c r="G2595" i="6"/>
  <c r="H2594" i="6"/>
  <c r="G2594" i="6"/>
  <c r="H2593" i="6"/>
  <c r="G2593" i="6"/>
  <c r="H2592" i="6"/>
  <c r="G2592" i="6"/>
  <c r="H2591" i="6"/>
  <c r="G2591" i="6"/>
  <c r="H2590" i="6"/>
  <c r="G2590" i="6"/>
  <c r="H2589" i="6"/>
  <c r="G2589" i="6"/>
  <c r="H2588" i="6"/>
  <c r="G2588" i="6"/>
  <c r="H2587" i="6"/>
  <c r="G2587" i="6"/>
  <c r="H2586" i="6"/>
  <c r="G2586" i="6"/>
  <c r="H2585" i="6"/>
  <c r="G2585" i="6"/>
  <c r="H2584" i="6"/>
  <c r="G2584" i="6"/>
  <c r="H2583" i="6"/>
  <c r="G2583" i="6"/>
  <c r="H2582" i="6"/>
  <c r="G2582" i="6"/>
  <c r="H2581" i="6"/>
  <c r="G2581" i="6"/>
  <c r="H2580" i="6"/>
  <c r="G2580" i="6"/>
  <c r="H2579" i="6"/>
  <c r="G2579" i="6"/>
  <c r="H2578" i="6"/>
  <c r="G2578" i="6"/>
  <c r="H2577" i="6"/>
  <c r="G2577" i="6"/>
  <c r="H2576" i="6"/>
  <c r="G2576" i="6"/>
  <c r="H2575" i="6"/>
  <c r="G2575" i="6"/>
  <c r="H2574" i="6"/>
  <c r="G2574" i="6"/>
  <c r="H2573" i="6"/>
  <c r="G2573" i="6"/>
  <c r="H2572" i="6"/>
  <c r="G2572" i="6"/>
  <c r="H2571" i="6"/>
  <c r="G2571" i="6"/>
  <c r="H2570" i="6"/>
  <c r="G2570" i="6"/>
  <c r="H2569" i="6"/>
  <c r="G2569" i="6"/>
  <c r="H2568" i="6"/>
  <c r="G2568" i="6"/>
  <c r="H2567" i="6"/>
  <c r="G2567" i="6"/>
  <c r="H2566" i="6"/>
  <c r="G2566" i="6"/>
  <c r="H2565" i="6"/>
  <c r="G2565" i="6"/>
  <c r="H2564" i="6"/>
  <c r="G2564" i="6"/>
  <c r="H2563" i="6"/>
  <c r="G2563" i="6"/>
  <c r="H2562" i="6"/>
  <c r="G2562" i="6"/>
  <c r="H2561" i="6"/>
  <c r="G2561" i="6"/>
  <c r="H2560" i="6"/>
  <c r="G2560" i="6"/>
  <c r="H2559" i="6"/>
  <c r="G2559" i="6"/>
  <c r="H2558" i="6"/>
  <c r="G2558" i="6"/>
  <c r="H2557" i="6"/>
  <c r="G2557" i="6"/>
  <c r="H2556" i="6"/>
  <c r="G2556" i="6"/>
  <c r="H2555" i="6"/>
  <c r="G2555" i="6"/>
  <c r="H2554" i="6"/>
  <c r="G2554" i="6"/>
  <c r="H2553" i="6"/>
  <c r="G2553" i="6"/>
  <c r="H2552" i="6"/>
  <c r="G2552" i="6"/>
  <c r="H2551" i="6"/>
  <c r="G2551" i="6"/>
  <c r="H2550" i="6"/>
  <c r="G2550" i="6"/>
  <c r="H2549" i="6"/>
  <c r="G2549" i="6"/>
  <c r="H2548" i="6"/>
  <c r="G2548" i="6"/>
  <c r="H2547" i="6"/>
  <c r="G2547" i="6"/>
  <c r="H2546" i="6"/>
  <c r="G2546" i="6"/>
  <c r="H2545" i="6"/>
  <c r="G2545" i="6"/>
  <c r="H2544" i="6"/>
  <c r="G2544" i="6"/>
  <c r="H2543" i="6"/>
  <c r="G2543" i="6"/>
  <c r="H2542" i="6"/>
  <c r="G2542" i="6"/>
  <c r="H2541" i="6"/>
  <c r="G2541" i="6"/>
  <c r="H2540" i="6"/>
  <c r="G2540" i="6"/>
  <c r="H2539" i="6"/>
  <c r="G2539" i="6"/>
  <c r="H2538" i="6"/>
  <c r="G2538" i="6"/>
  <c r="H2537" i="6"/>
  <c r="G2537" i="6"/>
  <c r="H2536" i="6"/>
  <c r="G2536" i="6"/>
  <c r="H2535" i="6"/>
  <c r="G2535" i="6"/>
  <c r="H2534" i="6"/>
  <c r="G2534" i="6"/>
  <c r="H2533" i="6"/>
  <c r="G2533" i="6"/>
  <c r="H2532" i="6"/>
  <c r="G2532" i="6"/>
  <c r="H2531" i="6"/>
  <c r="G2531" i="6"/>
  <c r="H2530" i="6"/>
  <c r="G2530" i="6"/>
  <c r="H2529" i="6"/>
  <c r="G2529" i="6"/>
  <c r="H2528" i="6"/>
  <c r="G2528" i="6"/>
  <c r="H2527" i="6"/>
  <c r="G2527" i="6"/>
  <c r="H2526" i="6"/>
  <c r="G2526" i="6"/>
  <c r="H2525" i="6"/>
  <c r="G2525" i="6"/>
  <c r="H2524" i="6"/>
  <c r="G2524" i="6"/>
  <c r="H2523" i="6"/>
  <c r="G2523" i="6"/>
  <c r="H2522" i="6"/>
  <c r="G2522" i="6"/>
  <c r="H2521" i="6"/>
  <c r="G2521" i="6"/>
  <c r="H2520" i="6"/>
  <c r="G2520" i="6"/>
  <c r="H2519" i="6"/>
  <c r="G2519" i="6"/>
  <c r="H2518" i="6"/>
  <c r="G2518" i="6"/>
  <c r="H2517" i="6"/>
  <c r="G2517" i="6"/>
  <c r="H2516" i="6"/>
  <c r="G2516" i="6"/>
  <c r="H2515" i="6"/>
  <c r="G2515" i="6"/>
  <c r="H2514" i="6"/>
  <c r="G2514" i="6"/>
  <c r="H2513" i="6"/>
  <c r="G2513" i="6"/>
  <c r="H2512" i="6"/>
  <c r="G2512" i="6"/>
  <c r="H2511" i="6"/>
  <c r="G2511" i="6"/>
  <c r="H2510" i="6"/>
  <c r="G2510" i="6"/>
  <c r="H2509" i="6"/>
  <c r="G2509" i="6"/>
  <c r="H2508" i="6"/>
  <c r="G2508" i="6"/>
  <c r="H2507" i="6"/>
  <c r="G2507" i="6"/>
  <c r="H2506" i="6"/>
  <c r="G2506" i="6"/>
  <c r="H2505" i="6"/>
  <c r="G2505" i="6"/>
  <c r="H2504" i="6"/>
  <c r="G2504" i="6"/>
  <c r="H2503" i="6"/>
  <c r="G2503" i="6"/>
  <c r="H2502" i="6"/>
  <c r="G2502" i="6"/>
  <c r="H2501" i="6"/>
  <c r="G2501" i="6"/>
  <c r="H2500" i="6"/>
  <c r="G2500" i="6"/>
  <c r="H2499" i="6"/>
  <c r="G2499" i="6"/>
  <c r="H2498" i="6"/>
  <c r="G2498" i="6"/>
  <c r="H2497" i="6"/>
  <c r="G2497" i="6"/>
  <c r="H2496" i="6"/>
  <c r="G2496" i="6"/>
  <c r="H2495" i="6"/>
  <c r="G2495" i="6"/>
  <c r="H2494" i="6"/>
  <c r="G2494" i="6"/>
  <c r="H2493" i="6"/>
  <c r="G2493" i="6"/>
  <c r="H2492" i="6"/>
  <c r="G2492" i="6"/>
  <c r="H2491" i="6"/>
  <c r="G2491" i="6"/>
  <c r="H2490" i="6"/>
  <c r="G2490" i="6"/>
  <c r="H2489" i="6"/>
  <c r="G2489" i="6"/>
  <c r="H2488" i="6"/>
  <c r="G2488" i="6"/>
  <c r="H2487" i="6"/>
  <c r="G2487" i="6"/>
  <c r="H2486" i="6"/>
  <c r="G2486" i="6"/>
  <c r="H2485" i="6"/>
  <c r="G2485" i="6"/>
  <c r="H2484" i="6"/>
  <c r="G2484" i="6"/>
  <c r="H2483" i="6"/>
  <c r="G2483" i="6"/>
  <c r="H2482" i="6"/>
  <c r="G2482" i="6"/>
  <c r="H2481" i="6"/>
  <c r="G2481" i="6"/>
  <c r="H2480" i="6"/>
  <c r="G2480" i="6"/>
  <c r="H2479" i="6"/>
  <c r="G2479" i="6"/>
  <c r="H2478" i="6"/>
  <c r="G2478" i="6"/>
  <c r="H2477" i="6"/>
  <c r="G2477" i="6"/>
  <c r="H2476" i="6"/>
  <c r="G2476" i="6"/>
  <c r="H2475" i="6"/>
  <c r="G2475" i="6"/>
  <c r="H2474" i="6"/>
  <c r="G2474" i="6"/>
  <c r="H2473" i="6"/>
  <c r="G2473" i="6"/>
  <c r="H2472" i="6"/>
  <c r="G2472" i="6"/>
  <c r="H2471" i="6"/>
  <c r="G2471" i="6"/>
  <c r="H2470" i="6"/>
  <c r="G2470" i="6"/>
  <c r="H2469" i="6"/>
  <c r="G2469" i="6"/>
  <c r="H2468" i="6"/>
  <c r="G2468" i="6"/>
  <c r="H2467" i="6"/>
  <c r="G2467" i="6"/>
  <c r="H2466" i="6"/>
  <c r="G2466" i="6"/>
  <c r="H2465" i="6"/>
  <c r="G2465" i="6"/>
  <c r="H2464" i="6"/>
  <c r="G2464" i="6"/>
  <c r="H2463" i="6"/>
  <c r="G2463" i="6"/>
  <c r="H2462" i="6"/>
  <c r="G2462" i="6"/>
  <c r="H2461" i="6"/>
  <c r="G2461" i="6"/>
  <c r="H2460" i="6"/>
  <c r="G2460" i="6"/>
  <c r="H2459" i="6"/>
  <c r="G2459" i="6"/>
  <c r="H2458" i="6"/>
  <c r="G2458" i="6"/>
  <c r="H2457" i="6"/>
  <c r="G2457" i="6"/>
  <c r="H2456" i="6"/>
  <c r="G2456" i="6"/>
  <c r="H2455" i="6"/>
  <c r="G2455" i="6"/>
  <c r="H2454" i="6"/>
  <c r="G2454" i="6"/>
  <c r="H2453" i="6"/>
  <c r="G2453" i="6"/>
  <c r="H2452" i="6"/>
  <c r="G2452" i="6"/>
  <c r="H2451" i="6"/>
  <c r="G2451" i="6"/>
  <c r="H2450" i="6"/>
  <c r="G2450" i="6"/>
  <c r="H2449" i="6"/>
  <c r="G2449" i="6"/>
  <c r="H2448" i="6"/>
  <c r="G2448" i="6"/>
  <c r="H2447" i="6"/>
  <c r="G2447" i="6"/>
  <c r="H2446" i="6"/>
  <c r="G2446" i="6"/>
  <c r="H2445" i="6"/>
  <c r="G2445" i="6"/>
  <c r="H2444" i="6"/>
  <c r="G2444" i="6"/>
  <c r="H2443" i="6"/>
  <c r="G2443" i="6"/>
  <c r="H2442" i="6"/>
  <c r="G2442" i="6"/>
  <c r="H2441" i="6"/>
  <c r="G2441" i="6"/>
  <c r="H2440" i="6"/>
  <c r="G2440" i="6"/>
  <c r="H2439" i="6"/>
  <c r="G2439" i="6"/>
  <c r="H2438" i="6"/>
  <c r="G2438" i="6"/>
  <c r="H2437" i="6"/>
  <c r="G2437" i="6"/>
  <c r="H2436" i="6"/>
  <c r="G2436" i="6"/>
  <c r="H2435" i="6"/>
  <c r="G2435" i="6"/>
  <c r="H2434" i="6"/>
  <c r="G2434" i="6"/>
  <c r="H2433" i="6"/>
  <c r="G2433" i="6"/>
  <c r="H2432" i="6"/>
  <c r="G2432" i="6"/>
  <c r="H2431" i="6"/>
  <c r="G2431" i="6"/>
  <c r="H2430" i="6"/>
  <c r="G2430" i="6"/>
  <c r="H2429" i="6"/>
  <c r="G2429" i="6"/>
  <c r="H2428" i="6"/>
  <c r="G2428" i="6"/>
  <c r="H2427" i="6"/>
  <c r="G2427" i="6"/>
  <c r="H2426" i="6"/>
  <c r="G2426" i="6"/>
  <c r="H2425" i="6"/>
  <c r="G2425" i="6"/>
  <c r="H2424" i="6"/>
  <c r="G2424" i="6"/>
  <c r="H2423" i="6"/>
  <c r="G2423" i="6"/>
  <c r="H2422" i="6"/>
  <c r="G2422" i="6"/>
  <c r="H2421" i="6"/>
  <c r="G2421" i="6"/>
  <c r="H2420" i="6"/>
  <c r="G2420" i="6"/>
  <c r="H2419" i="6"/>
  <c r="G2419" i="6"/>
  <c r="H2418" i="6"/>
  <c r="G2418" i="6"/>
  <c r="H2417" i="6"/>
  <c r="G2417" i="6"/>
  <c r="H2416" i="6"/>
  <c r="G2416" i="6"/>
  <c r="H2415" i="6"/>
  <c r="G2415" i="6"/>
  <c r="H2414" i="6"/>
  <c r="G2414" i="6"/>
  <c r="H2413" i="6"/>
  <c r="G2413" i="6"/>
  <c r="H2412" i="6"/>
  <c r="G2412" i="6"/>
  <c r="H2411" i="6"/>
  <c r="G2411" i="6"/>
  <c r="H2410" i="6"/>
  <c r="G2410" i="6"/>
  <c r="H2409" i="6"/>
  <c r="G2409" i="6"/>
  <c r="H2408" i="6"/>
  <c r="G2408" i="6"/>
  <c r="H2407" i="6"/>
  <c r="G2407" i="6"/>
  <c r="H2406" i="6"/>
  <c r="G2406" i="6"/>
  <c r="H2405" i="6"/>
  <c r="G2405" i="6"/>
  <c r="H2404" i="6"/>
  <c r="G2404" i="6"/>
  <c r="H2403" i="6"/>
  <c r="G2403" i="6"/>
  <c r="H2402" i="6"/>
  <c r="G2402" i="6"/>
  <c r="H2401" i="6"/>
  <c r="G2401" i="6"/>
  <c r="H2400" i="6"/>
  <c r="G2400" i="6"/>
  <c r="H2399" i="6"/>
  <c r="G2399" i="6"/>
  <c r="H2398" i="6"/>
  <c r="G2398" i="6"/>
  <c r="H2397" i="6"/>
  <c r="G2397" i="6"/>
  <c r="H2396" i="6"/>
  <c r="G2396" i="6"/>
  <c r="H2395" i="6"/>
  <c r="G2395" i="6"/>
  <c r="H2394" i="6"/>
  <c r="G2394" i="6"/>
  <c r="H2393" i="6"/>
  <c r="G2393" i="6"/>
  <c r="H2392" i="6"/>
  <c r="G2392" i="6"/>
  <c r="H2391" i="6"/>
  <c r="G2391" i="6"/>
  <c r="H2390" i="6"/>
  <c r="G2390" i="6"/>
  <c r="H2389" i="6"/>
  <c r="G2389" i="6"/>
  <c r="H2388" i="6"/>
  <c r="G2388" i="6"/>
  <c r="H2387" i="6"/>
  <c r="G2387" i="6"/>
  <c r="H2386" i="6"/>
  <c r="G2386" i="6"/>
  <c r="H2385" i="6"/>
  <c r="G2385" i="6"/>
  <c r="H2384" i="6"/>
  <c r="G2384" i="6"/>
  <c r="H2383" i="6"/>
  <c r="G2383" i="6"/>
  <c r="H2382" i="6"/>
  <c r="G2382" i="6"/>
  <c r="H2381" i="6"/>
  <c r="G2381" i="6"/>
  <c r="H2380" i="6"/>
  <c r="G2380" i="6"/>
  <c r="H2379" i="6"/>
  <c r="G2379" i="6"/>
  <c r="H2378" i="6"/>
  <c r="G2378" i="6"/>
  <c r="H2377" i="6"/>
  <c r="G2377" i="6"/>
  <c r="H2376" i="6"/>
  <c r="G2376" i="6"/>
  <c r="H2375" i="6"/>
  <c r="G2375" i="6"/>
  <c r="H2374" i="6"/>
  <c r="G2374" i="6"/>
  <c r="H2373" i="6"/>
  <c r="G2373" i="6"/>
  <c r="H2372" i="6"/>
  <c r="G2372" i="6"/>
  <c r="H2371" i="6"/>
  <c r="G2371" i="6"/>
  <c r="H2370" i="6"/>
  <c r="G2370" i="6"/>
  <c r="H2369" i="6"/>
  <c r="G2369" i="6"/>
  <c r="H2368" i="6"/>
  <c r="G2368" i="6"/>
  <c r="H2367" i="6"/>
  <c r="G2367" i="6"/>
  <c r="H2366" i="6"/>
  <c r="G2366" i="6"/>
  <c r="H2365" i="6"/>
  <c r="G2365" i="6"/>
  <c r="H2364" i="6"/>
  <c r="G2364" i="6"/>
  <c r="H2363" i="6"/>
  <c r="G2363" i="6"/>
  <c r="H2362" i="6"/>
  <c r="G2362" i="6"/>
  <c r="H2361" i="6"/>
  <c r="G2361" i="6"/>
  <c r="H2360" i="6"/>
  <c r="G2360" i="6"/>
  <c r="H2359" i="6"/>
  <c r="G2359" i="6"/>
  <c r="H2358" i="6"/>
  <c r="G2358" i="6"/>
  <c r="H2357" i="6"/>
  <c r="G2357" i="6"/>
  <c r="H2356" i="6"/>
  <c r="G2356" i="6"/>
  <c r="H2355" i="6"/>
  <c r="G2355" i="6"/>
  <c r="H2354" i="6"/>
  <c r="G2354" i="6"/>
  <c r="H2353" i="6"/>
  <c r="G2353" i="6"/>
  <c r="H2352" i="6"/>
  <c r="G2352" i="6"/>
  <c r="H2351" i="6"/>
  <c r="G2351" i="6"/>
  <c r="H2350" i="6"/>
  <c r="G2350" i="6"/>
  <c r="H2349" i="6"/>
  <c r="G2349" i="6"/>
  <c r="H2348" i="6"/>
  <c r="G2348" i="6"/>
  <c r="H2347" i="6"/>
  <c r="G2347" i="6"/>
  <c r="H2346" i="6"/>
  <c r="G2346" i="6"/>
  <c r="H2345" i="6"/>
  <c r="G2345" i="6"/>
  <c r="H2344" i="6"/>
  <c r="G2344" i="6"/>
  <c r="H2343" i="6"/>
  <c r="G2343" i="6"/>
  <c r="H2342" i="6"/>
  <c r="G2342" i="6"/>
  <c r="H2341" i="6"/>
  <c r="G2341" i="6"/>
  <c r="H2340" i="6"/>
  <c r="G2340" i="6"/>
  <c r="H2339" i="6"/>
  <c r="G2339" i="6"/>
  <c r="H2338" i="6"/>
  <c r="G2338" i="6"/>
  <c r="H2337" i="6"/>
  <c r="G2337" i="6"/>
  <c r="H2336" i="6"/>
  <c r="G2336" i="6"/>
  <c r="H2335" i="6"/>
  <c r="G2335" i="6"/>
  <c r="H2334" i="6"/>
  <c r="G2334" i="6"/>
  <c r="H2333" i="6"/>
  <c r="G2333" i="6"/>
  <c r="H2332" i="6"/>
  <c r="G2332" i="6"/>
  <c r="H2331" i="6"/>
  <c r="G2331" i="6"/>
  <c r="H2330" i="6"/>
  <c r="G2330" i="6"/>
  <c r="H2329" i="6"/>
  <c r="G2329" i="6"/>
  <c r="H2328" i="6"/>
  <c r="G2328" i="6"/>
  <c r="H2327" i="6"/>
  <c r="G2327" i="6"/>
  <c r="H2326" i="6"/>
  <c r="G2326" i="6"/>
  <c r="H2325" i="6"/>
  <c r="G2325" i="6"/>
  <c r="H2324" i="6"/>
  <c r="G2324" i="6"/>
  <c r="H2323" i="6"/>
  <c r="G2323" i="6"/>
  <c r="H2322" i="6"/>
  <c r="G2322" i="6"/>
  <c r="H2321" i="6"/>
  <c r="G2321" i="6"/>
  <c r="H2320" i="6"/>
  <c r="G2320" i="6"/>
  <c r="H2319" i="6"/>
  <c r="G2319" i="6"/>
  <c r="H2318" i="6"/>
  <c r="G2318" i="6"/>
  <c r="H2317" i="6"/>
  <c r="G2317" i="6"/>
  <c r="H2316" i="6"/>
  <c r="G2316" i="6"/>
  <c r="H2315" i="6"/>
  <c r="G2315" i="6"/>
  <c r="H2314" i="6"/>
  <c r="G2314" i="6"/>
  <c r="H2313" i="6"/>
  <c r="G2313" i="6"/>
  <c r="H2312" i="6"/>
  <c r="G2312" i="6"/>
  <c r="H2311" i="6"/>
  <c r="G2311" i="6"/>
  <c r="H2310" i="6"/>
  <c r="G2310" i="6"/>
  <c r="H2309" i="6"/>
  <c r="G2309" i="6"/>
  <c r="H2308" i="6"/>
  <c r="G2308" i="6"/>
  <c r="H2307" i="6"/>
  <c r="G2307" i="6"/>
  <c r="H2306" i="6"/>
  <c r="G2306" i="6"/>
  <c r="H2305" i="6"/>
  <c r="G2305" i="6"/>
  <c r="H2304" i="6"/>
  <c r="G2304" i="6"/>
  <c r="H2303" i="6"/>
  <c r="G2303" i="6"/>
  <c r="H2302" i="6"/>
  <c r="G2302" i="6"/>
  <c r="H2301" i="6"/>
  <c r="G2301" i="6"/>
  <c r="H2300" i="6"/>
  <c r="G2300" i="6"/>
  <c r="H2299" i="6"/>
  <c r="G2299" i="6"/>
  <c r="H2298" i="6"/>
  <c r="G2298" i="6"/>
  <c r="H2297" i="6"/>
  <c r="G2297" i="6"/>
  <c r="H2296" i="6"/>
  <c r="G2296" i="6"/>
  <c r="H2295" i="6"/>
  <c r="G2295" i="6"/>
  <c r="H2294" i="6"/>
  <c r="G2294" i="6"/>
  <c r="H2293" i="6"/>
  <c r="G2293" i="6"/>
  <c r="H2292" i="6"/>
  <c r="G2292" i="6"/>
  <c r="H2291" i="6"/>
  <c r="G2291" i="6"/>
  <c r="H2290" i="6"/>
  <c r="G2290" i="6"/>
  <c r="H2289" i="6"/>
  <c r="G2289" i="6"/>
  <c r="H2288" i="6"/>
  <c r="G2288" i="6"/>
  <c r="H2287" i="6"/>
  <c r="G2287" i="6"/>
  <c r="H2286" i="6"/>
  <c r="G2286" i="6"/>
  <c r="H2285" i="6"/>
  <c r="G2285" i="6"/>
  <c r="H2284" i="6"/>
  <c r="G2284" i="6"/>
  <c r="H2283" i="6"/>
  <c r="G2283" i="6"/>
  <c r="H2282" i="6"/>
  <c r="G2282" i="6"/>
  <c r="H2281" i="6"/>
  <c r="G2281" i="6"/>
  <c r="H2280" i="6"/>
  <c r="G2280" i="6"/>
  <c r="H2279" i="6"/>
  <c r="G2279" i="6"/>
  <c r="H2278" i="6"/>
  <c r="G2278" i="6"/>
  <c r="H2277" i="6"/>
  <c r="G2277" i="6"/>
  <c r="H2276" i="6"/>
  <c r="G2276" i="6"/>
  <c r="H2275" i="6"/>
  <c r="G2275" i="6"/>
  <c r="H2274" i="6"/>
  <c r="G2274" i="6"/>
  <c r="H2273" i="6"/>
  <c r="G2273" i="6"/>
  <c r="H2272" i="6"/>
  <c r="G2272" i="6"/>
  <c r="H2271" i="6"/>
  <c r="G2271" i="6"/>
  <c r="H2270" i="6"/>
  <c r="G2270" i="6"/>
  <c r="H2269" i="6"/>
  <c r="G2269" i="6"/>
  <c r="H2268" i="6"/>
  <c r="G2268" i="6"/>
  <c r="H2267" i="6"/>
  <c r="G2267" i="6"/>
  <c r="H2266" i="6"/>
  <c r="G2266" i="6"/>
  <c r="H2265" i="6"/>
  <c r="G2265" i="6"/>
  <c r="H2264" i="6"/>
  <c r="G2264" i="6"/>
  <c r="H2263" i="6"/>
  <c r="G2263" i="6"/>
  <c r="H2262" i="6"/>
  <c r="G2262" i="6"/>
  <c r="H2261" i="6"/>
  <c r="G2261" i="6"/>
  <c r="H2260" i="6"/>
  <c r="G2260" i="6"/>
  <c r="H2259" i="6"/>
  <c r="G2259" i="6"/>
  <c r="H2258" i="6"/>
  <c r="G2258" i="6"/>
  <c r="H2257" i="6"/>
  <c r="G2257" i="6"/>
  <c r="H2256" i="6"/>
  <c r="G2256" i="6"/>
  <c r="H2255" i="6"/>
  <c r="G2255" i="6"/>
  <c r="H2254" i="6"/>
  <c r="G2254" i="6"/>
  <c r="H2253" i="6"/>
  <c r="G2253" i="6"/>
  <c r="H2252" i="6"/>
  <c r="G2252" i="6"/>
  <c r="H2251" i="6"/>
  <c r="G2251" i="6"/>
  <c r="H2250" i="6"/>
  <c r="G2250" i="6"/>
  <c r="H2249" i="6"/>
  <c r="G2249" i="6"/>
  <c r="H2248" i="6"/>
  <c r="G2248" i="6"/>
  <c r="H2247" i="6"/>
  <c r="G2247" i="6"/>
  <c r="H2246" i="6"/>
  <c r="G2246" i="6"/>
  <c r="H2245" i="6"/>
  <c r="G2245" i="6"/>
  <c r="H2244" i="6"/>
  <c r="G2244" i="6"/>
  <c r="H2243" i="6"/>
  <c r="G2243" i="6"/>
  <c r="H2242" i="6"/>
  <c r="G2242" i="6"/>
  <c r="H2241" i="6"/>
  <c r="G2241" i="6"/>
  <c r="H2240" i="6"/>
  <c r="G2240" i="6"/>
  <c r="H2239" i="6"/>
  <c r="G2239" i="6"/>
  <c r="H2238" i="6"/>
  <c r="G2238" i="6"/>
  <c r="H2237" i="6"/>
  <c r="G2237" i="6"/>
  <c r="H2236" i="6"/>
  <c r="G2236" i="6"/>
  <c r="H2235" i="6"/>
  <c r="G2235" i="6"/>
  <c r="H2234" i="6"/>
  <c r="G2234" i="6"/>
  <c r="H2233" i="6"/>
  <c r="G2233" i="6"/>
  <c r="H2232" i="6"/>
  <c r="G2232" i="6"/>
  <c r="H2231" i="6"/>
  <c r="G2231" i="6"/>
  <c r="H2230" i="6"/>
  <c r="G2230" i="6"/>
  <c r="H2229" i="6"/>
  <c r="G2229" i="6"/>
  <c r="H2228" i="6"/>
  <c r="G2228" i="6"/>
  <c r="H2227" i="6"/>
  <c r="G2227" i="6"/>
  <c r="H2226" i="6"/>
  <c r="G2226" i="6"/>
  <c r="H2225" i="6"/>
  <c r="G2225" i="6"/>
  <c r="H2224" i="6"/>
  <c r="G2224" i="6"/>
  <c r="H2223" i="6"/>
  <c r="G2223" i="6"/>
  <c r="H2222" i="6"/>
  <c r="G2222" i="6"/>
  <c r="H2221" i="6"/>
  <c r="G2221" i="6"/>
  <c r="H2220" i="6"/>
  <c r="G2220" i="6"/>
  <c r="H2219" i="6"/>
  <c r="G2219" i="6"/>
  <c r="H2218" i="6"/>
  <c r="G2218" i="6"/>
  <c r="H2217" i="6"/>
  <c r="G2217" i="6"/>
  <c r="H2216" i="6"/>
  <c r="G2216" i="6"/>
  <c r="H2215" i="6"/>
  <c r="G2215" i="6"/>
  <c r="H2214" i="6"/>
  <c r="G2214" i="6"/>
  <c r="H2213" i="6"/>
  <c r="G2213" i="6"/>
  <c r="H2212" i="6"/>
  <c r="G2212" i="6"/>
  <c r="H2211" i="6"/>
  <c r="G2211" i="6"/>
  <c r="H2210" i="6"/>
  <c r="G2210" i="6"/>
  <c r="H2209" i="6"/>
  <c r="G2209" i="6"/>
  <c r="H2208" i="6"/>
  <c r="G2208" i="6"/>
  <c r="H2207" i="6"/>
  <c r="G2207" i="6"/>
  <c r="H2206" i="6"/>
  <c r="G2206" i="6"/>
  <c r="H2205" i="6"/>
  <c r="G2205" i="6"/>
  <c r="H2204" i="6"/>
  <c r="G2204" i="6"/>
  <c r="H2203" i="6"/>
  <c r="G2203" i="6"/>
  <c r="H2202" i="6"/>
  <c r="G2202" i="6"/>
  <c r="H2201" i="6"/>
  <c r="G2201" i="6"/>
  <c r="H2200" i="6"/>
  <c r="G2200" i="6"/>
  <c r="H2199" i="6"/>
  <c r="G2199" i="6"/>
  <c r="H2198" i="6"/>
  <c r="G2198" i="6"/>
  <c r="H2197" i="6"/>
  <c r="G2197" i="6"/>
  <c r="H2196" i="6"/>
  <c r="G2196" i="6"/>
  <c r="H2195" i="6"/>
  <c r="G2195" i="6"/>
  <c r="H2194" i="6"/>
  <c r="G2194" i="6"/>
  <c r="H2193" i="6"/>
  <c r="G2193" i="6"/>
  <c r="H2192" i="6"/>
  <c r="G2192" i="6"/>
  <c r="H2191" i="6"/>
  <c r="G2191" i="6"/>
  <c r="H2190" i="6"/>
  <c r="G2190" i="6"/>
  <c r="H2189" i="6"/>
  <c r="G2189" i="6"/>
  <c r="H2188" i="6"/>
  <c r="G2188" i="6"/>
  <c r="H2187" i="6"/>
  <c r="G2187" i="6"/>
  <c r="H2186" i="6"/>
  <c r="G2186" i="6"/>
  <c r="H2185" i="6"/>
  <c r="G2185" i="6"/>
  <c r="H2184" i="6"/>
  <c r="G2184" i="6"/>
  <c r="H2183" i="6"/>
  <c r="G2183" i="6"/>
  <c r="H2182" i="6"/>
  <c r="G2182" i="6"/>
  <c r="H2181" i="6"/>
  <c r="G2181" i="6"/>
  <c r="H2180" i="6"/>
  <c r="G2180" i="6"/>
  <c r="H2179" i="6"/>
  <c r="G2179" i="6"/>
  <c r="H2178" i="6"/>
  <c r="G2178" i="6"/>
  <c r="H2177" i="6"/>
  <c r="G2177" i="6"/>
  <c r="H2176" i="6"/>
  <c r="G2176" i="6"/>
  <c r="H2175" i="6"/>
  <c r="G2175" i="6"/>
  <c r="H2174" i="6"/>
  <c r="G2174" i="6"/>
  <c r="H2173" i="6"/>
  <c r="G2173" i="6"/>
  <c r="H2172" i="6"/>
  <c r="G2172" i="6"/>
  <c r="H2171" i="6"/>
  <c r="G2171" i="6"/>
  <c r="H2170" i="6"/>
  <c r="G2170" i="6"/>
  <c r="H2169" i="6"/>
  <c r="G2169" i="6"/>
  <c r="H2168" i="6"/>
  <c r="G2168" i="6"/>
  <c r="H2167" i="6"/>
  <c r="G2167" i="6"/>
  <c r="H2166" i="6"/>
  <c r="G2166" i="6"/>
  <c r="H2165" i="6"/>
  <c r="G2165" i="6"/>
  <c r="H2164" i="6"/>
  <c r="G2164" i="6"/>
  <c r="H2163" i="6"/>
  <c r="G2163" i="6"/>
  <c r="H2162" i="6"/>
  <c r="G2162" i="6"/>
  <c r="H2161" i="6"/>
  <c r="G2161" i="6"/>
  <c r="H2160" i="6"/>
  <c r="G2160" i="6"/>
  <c r="H2159" i="6"/>
  <c r="G2159" i="6"/>
  <c r="H2158" i="6"/>
  <c r="G2158" i="6"/>
  <c r="H2157" i="6"/>
  <c r="G2157" i="6"/>
  <c r="H2156" i="6"/>
  <c r="G2156" i="6"/>
  <c r="H2155" i="6"/>
  <c r="G2155" i="6"/>
  <c r="H2154" i="6"/>
  <c r="G2154" i="6"/>
  <c r="H2153" i="6"/>
  <c r="G2153" i="6"/>
  <c r="H2152" i="6"/>
  <c r="G2152" i="6"/>
  <c r="H2151" i="6"/>
  <c r="G2151" i="6"/>
  <c r="H2150" i="6"/>
  <c r="G2150" i="6"/>
  <c r="H2149" i="6"/>
  <c r="G2149" i="6"/>
  <c r="H2148" i="6"/>
  <c r="G2148" i="6"/>
  <c r="H2147" i="6"/>
  <c r="G2147" i="6"/>
  <c r="H2146" i="6"/>
  <c r="G2146" i="6"/>
  <c r="H2145" i="6"/>
  <c r="G2145" i="6"/>
  <c r="H2144" i="6"/>
  <c r="G2144" i="6"/>
  <c r="H2143" i="6"/>
  <c r="G2143" i="6"/>
  <c r="H2142" i="6"/>
  <c r="G2142" i="6"/>
  <c r="H2141" i="6"/>
  <c r="G2141" i="6"/>
  <c r="H2140" i="6"/>
  <c r="G2140" i="6"/>
  <c r="H2139" i="6"/>
  <c r="G2139" i="6"/>
  <c r="H2138" i="6"/>
  <c r="G2138" i="6"/>
  <c r="H2137" i="6"/>
  <c r="G2137" i="6"/>
  <c r="H2136" i="6"/>
  <c r="G2136" i="6"/>
  <c r="H2135" i="6"/>
  <c r="G2135" i="6"/>
  <c r="H2134" i="6"/>
  <c r="G2134" i="6"/>
  <c r="H2133" i="6"/>
  <c r="G2133" i="6"/>
  <c r="H2132" i="6"/>
  <c r="G2132" i="6"/>
  <c r="H2131" i="6"/>
  <c r="G2131" i="6"/>
  <c r="H2130" i="6"/>
  <c r="G2130" i="6"/>
  <c r="H2129" i="6"/>
  <c r="G2129" i="6"/>
  <c r="H2128" i="6"/>
  <c r="G2128" i="6"/>
  <c r="H2127" i="6"/>
  <c r="G2127" i="6"/>
  <c r="H2126" i="6"/>
  <c r="G2126" i="6"/>
  <c r="H2125" i="6"/>
  <c r="G2125" i="6"/>
  <c r="H2124" i="6"/>
  <c r="G2124" i="6"/>
  <c r="H2123" i="6"/>
  <c r="G2123" i="6"/>
  <c r="H2122" i="6"/>
  <c r="G2122" i="6"/>
  <c r="H2121" i="6"/>
  <c r="G2121" i="6"/>
  <c r="H2120" i="6"/>
  <c r="G2120" i="6"/>
  <c r="H2119" i="6"/>
  <c r="G2119" i="6"/>
  <c r="H2118" i="6"/>
  <c r="G2118" i="6"/>
  <c r="H2117" i="6"/>
  <c r="G2117" i="6"/>
  <c r="H2116" i="6"/>
  <c r="G2116" i="6"/>
  <c r="H2115" i="6"/>
  <c r="G2115" i="6"/>
  <c r="H2114" i="6"/>
  <c r="G2114" i="6"/>
  <c r="H2113" i="6"/>
  <c r="G2113" i="6"/>
  <c r="H2112" i="6"/>
  <c r="G2112" i="6"/>
  <c r="H2111" i="6"/>
  <c r="G2111" i="6"/>
  <c r="H2110" i="6"/>
  <c r="G2110" i="6"/>
  <c r="H2109" i="6"/>
  <c r="G2109" i="6"/>
  <c r="H2108" i="6"/>
  <c r="G2108" i="6"/>
  <c r="H2107" i="6"/>
  <c r="G2107" i="6"/>
  <c r="H2106" i="6"/>
  <c r="G2106" i="6"/>
  <c r="H2105" i="6"/>
  <c r="G2105" i="6"/>
  <c r="H2104" i="6"/>
  <c r="G2104" i="6"/>
  <c r="H2103" i="6"/>
  <c r="G2103" i="6"/>
  <c r="H2102" i="6"/>
  <c r="G2102" i="6"/>
  <c r="H2101" i="6"/>
  <c r="G2101" i="6"/>
  <c r="H2100" i="6"/>
  <c r="G2100" i="6"/>
  <c r="H2099" i="6"/>
  <c r="G2099" i="6"/>
  <c r="H2098" i="6"/>
  <c r="G2098" i="6"/>
  <c r="H2097" i="6"/>
  <c r="G2097" i="6"/>
  <c r="H2096" i="6"/>
  <c r="G2096" i="6"/>
  <c r="H2095" i="6"/>
  <c r="G2095" i="6"/>
  <c r="H2094" i="6"/>
  <c r="G2094" i="6"/>
  <c r="H2093" i="6"/>
  <c r="G2093" i="6"/>
  <c r="H2092" i="6"/>
  <c r="G2092" i="6"/>
  <c r="H2091" i="6"/>
  <c r="G2091" i="6"/>
  <c r="H2090" i="6"/>
  <c r="G2090" i="6"/>
  <c r="H2089" i="6"/>
  <c r="G2089" i="6"/>
  <c r="H2088" i="6"/>
  <c r="G2088" i="6"/>
  <c r="H2087" i="6"/>
  <c r="G2087" i="6"/>
  <c r="H2086" i="6"/>
  <c r="G2086" i="6"/>
  <c r="H2085" i="6"/>
  <c r="G2085" i="6"/>
  <c r="H2084" i="6"/>
  <c r="G2084" i="6"/>
  <c r="H2083" i="6"/>
  <c r="G2083" i="6"/>
  <c r="H2082" i="6"/>
  <c r="G2082" i="6"/>
  <c r="H2081" i="6"/>
  <c r="G2081" i="6"/>
  <c r="H2080" i="6"/>
  <c r="G2080" i="6"/>
  <c r="H2079" i="6"/>
  <c r="G2079" i="6"/>
  <c r="H2078" i="6"/>
  <c r="G2078" i="6"/>
  <c r="H2077" i="6"/>
  <c r="G2077" i="6"/>
  <c r="H2076" i="6"/>
  <c r="G2076" i="6"/>
  <c r="H2075" i="6"/>
  <c r="G2075" i="6"/>
  <c r="H2074" i="6"/>
  <c r="G2074" i="6"/>
  <c r="H2073" i="6"/>
  <c r="G2073" i="6"/>
  <c r="H2072" i="6"/>
  <c r="G2072" i="6"/>
  <c r="H2071" i="6"/>
  <c r="G2071" i="6"/>
  <c r="H2070" i="6"/>
  <c r="G2070" i="6"/>
  <c r="H2069" i="6"/>
  <c r="G2069" i="6"/>
  <c r="H2068" i="6"/>
  <c r="G2068" i="6"/>
  <c r="H2067" i="6"/>
  <c r="G2067" i="6"/>
  <c r="H2066" i="6"/>
  <c r="G2066" i="6"/>
  <c r="H2065" i="6"/>
  <c r="G2065" i="6"/>
  <c r="H2064" i="6"/>
  <c r="G2064" i="6"/>
  <c r="H2063" i="6"/>
  <c r="G2063" i="6"/>
  <c r="H2062" i="6"/>
  <c r="G2062" i="6"/>
  <c r="H2061" i="6"/>
  <c r="G2061" i="6"/>
  <c r="H2060" i="6"/>
  <c r="G2060" i="6"/>
  <c r="H2059" i="6"/>
  <c r="G2059" i="6"/>
  <c r="H2058" i="6"/>
  <c r="G2058" i="6"/>
  <c r="H2057" i="6"/>
  <c r="G2057" i="6"/>
  <c r="H2056" i="6"/>
  <c r="G2056" i="6"/>
  <c r="H2055" i="6"/>
  <c r="G2055" i="6"/>
  <c r="H2054" i="6"/>
  <c r="G2054" i="6"/>
  <c r="H2053" i="6"/>
  <c r="G2053" i="6"/>
  <c r="H2052" i="6"/>
  <c r="G2052" i="6"/>
  <c r="H2051" i="6"/>
  <c r="G2051" i="6"/>
  <c r="H2050" i="6"/>
  <c r="G2050" i="6"/>
  <c r="H2049" i="6"/>
  <c r="G2049" i="6"/>
  <c r="H2048" i="6"/>
  <c r="G2048" i="6"/>
  <c r="H2047" i="6"/>
  <c r="G2047" i="6"/>
  <c r="H2046" i="6"/>
  <c r="G2046" i="6"/>
  <c r="H2045" i="6"/>
  <c r="G2045" i="6"/>
  <c r="H2044" i="6"/>
  <c r="G2044" i="6"/>
  <c r="H2043" i="6"/>
  <c r="G2043" i="6"/>
  <c r="H2042" i="6"/>
  <c r="G2042" i="6"/>
  <c r="H2041" i="6"/>
  <c r="G2041" i="6"/>
  <c r="H2040" i="6"/>
  <c r="G2040" i="6"/>
  <c r="H2039" i="6"/>
  <c r="G2039" i="6"/>
  <c r="H2038" i="6"/>
  <c r="G2038" i="6"/>
  <c r="H2037" i="6"/>
  <c r="G2037" i="6"/>
  <c r="H2036" i="6"/>
  <c r="G2036" i="6"/>
  <c r="H2035" i="6"/>
  <c r="G2035" i="6"/>
  <c r="H2034" i="6"/>
  <c r="G2034" i="6"/>
  <c r="H2033" i="6"/>
  <c r="G2033" i="6"/>
  <c r="H2032" i="6"/>
  <c r="G2032" i="6"/>
  <c r="H2031" i="6"/>
  <c r="G2031" i="6"/>
  <c r="H2030" i="6"/>
  <c r="G2030" i="6"/>
  <c r="H2029" i="6"/>
  <c r="G2029" i="6"/>
  <c r="H2028" i="6"/>
  <c r="G2028" i="6"/>
  <c r="H2027" i="6"/>
  <c r="G2027" i="6"/>
  <c r="H2026" i="6"/>
  <c r="G2026" i="6"/>
  <c r="H2025" i="6"/>
  <c r="G2025" i="6"/>
  <c r="H2024" i="6"/>
  <c r="G2024" i="6"/>
  <c r="H2023" i="6"/>
  <c r="G2023" i="6"/>
  <c r="H2022" i="6"/>
  <c r="G2022" i="6"/>
  <c r="H2021" i="6"/>
  <c r="G2021" i="6"/>
  <c r="H2020" i="6"/>
  <c r="G2020" i="6"/>
  <c r="H2019" i="6"/>
  <c r="G2019" i="6"/>
  <c r="H2018" i="6"/>
  <c r="G2018" i="6"/>
  <c r="H2017" i="6"/>
  <c r="G2017" i="6"/>
  <c r="H2016" i="6"/>
  <c r="G2016" i="6"/>
  <c r="H2015" i="6"/>
  <c r="G2015" i="6"/>
  <c r="H2014" i="6"/>
  <c r="G2014" i="6"/>
  <c r="H2013" i="6"/>
  <c r="G2013" i="6"/>
  <c r="H2012" i="6"/>
  <c r="G2012" i="6"/>
  <c r="H2011" i="6"/>
  <c r="G2011" i="6"/>
  <c r="H2010" i="6"/>
  <c r="G2010" i="6"/>
  <c r="H2009" i="6"/>
  <c r="G2009" i="6"/>
  <c r="H2008" i="6"/>
  <c r="G2008" i="6"/>
  <c r="H2007" i="6"/>
  <c r="G2007" i="6"/>
  <c r="H2006" i="6"/>
  <c r="G2006" i="6"/>
  <c r="H2005" i="6"/>
  <c r="G2005" i="6"/>
  <c r="H2004" i="6"/>
  <c r="G2004" i="6"/>
  <c r="H2003" i="6"/>
  <c r="G2003" i="6"/>
  <c r="H2002" i="6"/>
  <c r="G2002" i="6"/>
  <c r="H2001" i="6"/>
  <c r="G2001" i="6"/>
  <c r="H2000" i="6"/>
  <c r="G2000" i="6"/>
  <c r="H1999" i="6"/>
  <c r="G1999" i="6"/>
  <c r="H1998" i="6"/>
  <c r="G1998" i="6"/>
  <c r="H1997" i="6"/>
  <c r="G1997" i="6"/>
  <c r="H1996" i="6"/>
  <c r="G1996" i="6"/>
  <c r="H1995" i="6"/>
  <c r="G1995" i="6"/>
  <c r="H1994" i="6"/>
  <c r="G1994" i="6"/>
  <c r="H1993" i="6"/>
  <c r="G1993" i="6"/>
  <c r="H1992" i="6"/>
  <c r="G1992" i="6"/>
  <c r="H1991" i="6"/>
  <c r="G1991" i="6"/>
  <c r="H1990" i="6"/>
  <c r="G1990" i="6"/>
  <c r="H1989" i="6"/>
  <c r="G1989" i="6"/>
  <c r="H1988" i="6"/>
  <c r="G1988" i="6"/>
  <c r="H1987" i="6"/>
  <c r="G1987" i="6"/>
  <c r="H1986" i="6"/>
  <c r="G1986" i="6"/>
  <c r="H1985" i="6"/>
  <c r="G1985" i="6"/>
  <c r="H1984" i="6"/>
  <c r="G1984" i="6"/>
  <c r="H1983" i="6"/>
  <c r="G1983" i="6"/>
  <c r="H1982" i="6"/>
  <c r="G1982" i="6"/>
  <c r="H1981" i="6"/>
  <c r="G1981" i="6"/>
  <c r="H1980" i="6"/>
  <c r="G1980" i="6"/>
  <c r="H1979" i="6"/>
  <c r="G1979" i="6"/>
  <c r="H1978" i="6"/>
  <c r="G1978" i="6"/>
  <c r="H1977" i="6"/>
  <c r="G1977" i="6"/>
  <c r="H1976" i="6"/>
  <c r="G1976" i="6"/>
  <c r="H1975" i="6"/>
  <c r="G1975" i="6"/>
  <c r="H1974" i="6"/>
  <c r="G1974" i="6"/>
  <c r="H1973" i="6"/>
  <c r="G1973" i="6"/>
  <c r="H1972" i="6"/>
  <c r="G1972" i="6"/>
  <c r="H1971" i="6"/>
  <c r="G1971" i="6"/>
  <c r="H1970" i="6"/>
  <c r="G1970" i="6"/>
  <c r="H1969" i="6"/>
  <c r="G1969" i="6"/>
  <c r="H1968" i="6"/>
  <c r="G1968" i="6"/>
  <c r="H1967" i="6"/>
  <c r="G1967" i="6"/>
  <c r="H1966" i="6"/>
  <c r="G1966" i="6"/>
  <c r="H1965" i="6"/>
  <c r="G1965" i="6"/>
  <c r="H1964" i="6"/>
  <c r="G1964" i="6"/>
  <c r="H1963" i="6"/>
  <c r="G1963" i="6"/>
  <c r="H1962" i="6"/>
  <c r="G1962" i="6"/>
  <c r="H1961" i="6"/>
  <c r="G1961" i="6"/>
  <c r="H1960" i="6"/>
  <c r="G1960" i="6"/>
  <c r="H1959" i="6"/>
  <c r="G1959" i="6"/>
  <c r="H1958" i="6"/>
  <c r="G1958" i="6"/>
  <c r="H1957" i="6"/>
  <c r="G1957" i="6"/>
  <c r="H1956" i="6"/>
  <c r="G1956" i="6"/>
  <c r="H1955" i="6"/>
  <c r="G1955" i="6"/>
  <c r="H1954" i="6"/>
  <c r="G1954" i="6"/>
  <c r="H1953" i="6"/>
  <c r="G1953" i="6"/>
  <c r="H1952" i="6"/>
  <c r="G1952" i="6"/>
  <c r="H1951" i="6"/>
  <c r="G1951" i="6"/>
  <c r="H1950" i="6"/>
  <c r="G1950" i="6"/>
  <c r="H1949" i="6"/>
  <c r="G1949" i="6"/>
  <c r="H1948" i="6"/>
  <c r="G1948" i="6"/>
  <c r="H1947" i="6"/>
  <c r="G1947" i="6"/>
  <c r="H1946" i="6"/>
  <c r="G1946" i="6"/>
  <c r="H1945" i="6"/>
  <c r="G1945" i="6"/>
  <c r="H1944" i="6"/>
  <c r="G1944" i="6"/>
  <c r="H1943" i="6"/>
  <c r="G1943" i="6"/>
  <c r="H1942" i="6"/>
  <c r="G1942" i="6"/>
  <c r="H1941" i="6"/>
  <c r="G1941" i="6"/>
  <c r="H1940" i="6"/>
  <c r="G1940" i="6"/>
  <c r="H1939" i="6"/>
  <c r="G1939" i="6"/>
  <c r="H1938" i="6"/>
  <c r="G1938" i="6"/>
  <c r="H1937" i="6"/>
  <c r="G1937" i="6"/>
  <c r="H1936" i="6"/>
  <c r="G1936" i="6"/>
  <c r="H1935" i="6"/>
  <c r="G1935" i="6"/>
  <c r="H1934" i="6"/>
  <c r="G1934" i="6"/>
  <c r="H1933" i="6"/>
  <c r="G1933" i="6"/>
  <c r="H1932" i="6"/>
  <c r="G1932" i="6"/>
  <c r="H1931" i="6"/>
  <c r="G1931" i="6"/>
  <c r="H1930" i="6"/>
  <c r="G1930" i="6"/>
  <c r="H1929" i="6"/>
  <c r="G1929" i="6"/>
  <c r="H1928" i="6"/>
  <c r="G1928" i="6"/>
  <c r="H1927" i="6"/>
  <c r="G1927" i="6"/>
  <c r="H1926" i="6"/>
  <c r="G1926" i="6"/>
  <c r="H1925" i="6"/>
  <c r="G1925" i="6"/>
  <c r="H1924" i="6"/>
  <c r="G1924" i="6"/>
  <c r="H1923" i="6"/>
  <c r="G1923" i="6"/>
  <c r="H1922" i="6"/>
  <c r="G1922" i="6"/>
  <c r="H1921" i="6"/>
  <c r="G1921" i="6"/>
  <c r="H1920" i="6"/>
  <c r="G1920" i="6"/>
  <c r="H1919" i="6"/>
  <c r="G1919" i="6"/>
  <c r="H1918" i="6"/>
  <c r="G1918" i="6"/>
  <c r="H1917" i="6"/>
  <c r="G1917" i="6"/>
  <c r="H1916" i="6"/>
  <c r="G1916" i="6"/>
  <c r="H1915" i="6"/>
  <c r="G1915" i="6"/>
  <c r="H1914" i="6"/>
  <c r="G1914" i="6"/>
  <c r="H1913" i="6"/>
  <c r="G1913" i="6"/>
  <c r="H1912" i="6"/>
  <c r="G1912" i="6"/>
  <c r="H1911" i="6"/>
  <c r="G1911" i="6"/>
  <c r="H1910" i="6"/>
  <c r="G1910" i="6"/>
  <c r="H1909" i="6"/>
  <c r="G1909" i="6"/>
  <c r="H1908" i="6"/>
  <c r="G1908" i="6"/>
  <c r="H1907" i="6"/>
  <c r="G1907" i="6"/>
  <c r="H1906" i="6"/>
  <c r="G1906" i="6"/>
  <c r="H1905" i="6"/>
  <c r="G1905" i="6"/>
  <c r="H1904" i="6"/>
  <c r="G1904" i="6"/>
  <c r="H1903" i="6"/>
  <c r="G1903" i="6"/>
  <c r="H1902" i="6"/>
  <c r="G1902" i="6"/>
  <c r="H1901" i="6"/>
  <c r="G1901" i="6"/>
  <c r="H1900" i="6"/>
  <c r="G1900" i="6"/>
  <c r="H1899" i="6"/>
  <c r="G1899" i="6"/>
  <c r="H1898" i="6"/>
  <c r="G1898" i="6"/>
  <c r="H1897" i="6"/>
  <c r="G1897" i="6"/>
  <c r="H1896" i="6"/>
  <c r="G1896" i="6"/>
  <c r="H1895" i="6"/>
  <c r="G1895" i="6"/>
  <c r="H1894" i="6"/>
  <c r="G1894" i="6"/>
  <c r="H1893" i="6"/>
  <c r="G1893" i="6"/>
  <c r="H1892" i="6"/>
  <c r="G1892" i="6"/>
  <c r="H1891" i="6"/>
  <c r="G1891" i="6"/>
  <c r="H1890" i="6"/>
  <c r="G1890" i="6"/>
  <c r="H1889" i="6"/>
  <c r="G1889" i="6"/>
  <c r="H1888" i="6"/>
  <c r="G1888" i="6"/>
  <c r="H1887" i="6"/>
  <c r="G1887" i="6"/>
  <c r="H1886" i="6"/>
  <c r="G1886" i="6"/>
  <c r="H1885" i="6"/>
  <c r="G1885" i="6"/>
  <c r="H1884" i="6"/>
  <c r="G1884" i="6"/>
  <c r="H1883" i="6"/>
  <c r="G1883" i="6"/>
  <c r="H1882" i="6"/>
  <c r="G1882" i="6"/>
  <c r="H1881" i="6"/>
  <c r="G1881" i="6"/>
  <c r="H1880" i="6"/>
  <c r="G1880" i="6"/>
  <c r="H1879" i="6"/>
  <c r="G1879" i="6"/>
  <c r="H1878" i="6"/>
  <c r="G1878" i="6"/>
  <c r="H1877" i="6"/>
  <c r="G1877" i="6"/>
  <c r="H1876" i="6"/>
  <c r="G1876" i="6"/>
  <c r="H1875" i="6"/>
  <c r="G1875" i="6"/>
  <c r="H1874" i="6"/>
  <c r="G1874" i="6"/>
  <c r="H1873" i="6"/>
  <c r="G1873" i="6"/>
  <c r="H1872" i="6"/>
  <c r="G1872" i="6"/>
  <c r="H1871" i="6"/>
  <c r="G1871" i="6"/>
  <c r="H1870" i="6"/>
  <c r="G1870" i="6"/>
  <c r="H1869" i="6"/>
  <c r="G1869" i="6"/>
  <c r="H1868" i="6"/>
  <c r="G1868" i="6"/>
  <c r="H1867" i="6"/>
  <c r="G1867" i="6"/>
  <c r="H1866" i="6"/>
  <c r="G1866" i="6"/>
  <c r="H1865" i="6"/>
  <c r="G1865" i="6"/>
  <c r="H1864" i="6"/>
  <c r="G1864" i="6"/>
  <c r="H1863" i="6"/>
  <c r="G1863" i="6"/>
  <c r="H1862" i="6"/>
  <c r="G1862" i="6"/>
  <c r="H1861" i="6"/>
  <c r="G1861" i="6"/>
  <c r="H1860" i="6"/>
  <c r="G1860" i="6"/>
  <c r="H1859" i="6"/>
  <c r="G1859" i="6"/>
  <c r="H1858" i="6"/>
  <c r="G1858" i="6"/>
  <c r="H1857" i="6"/>
  <c r="G1857" i="6"/>
  <c r="H1856" i="6"/>
  <c r="G1856" i="6"/>
  <c r="H1855" i="6"/>
  <c r="G1855" i="6"/>
  <c r="H1854" i="6"/>
  <c r="G1854" i="6"/>
  <c r="H1853" i="6"/>
  <c r="G1853" i="6"/>
  <c r="H1852" i="6"/>
  <c r="G1852" i="6"/>
  <c r="H1851" i="6"/>
  <c r="G1851" i="6"/>
  <c r="H1850" i="6"/>
  <c r="G1850" i="6"/>
  <c r="H1849" i="6"/>
  <c r="G1849" i="6"/>
  <c r="H1848" i="6"/>
  <c r="G1848" i="6"/>
  <c r="H1847" i="6"/>
  <c r="G1847" i="6"/>
  <c r="H1846" i="6"/>
  <c r="G1846" i="6"/>
  <c r="H1845" i="6"/>
  <c r="G1845" i="6"/>
  <c r="H1844" i="6"/>
  <c r="G1844" i="6"/>
  <c r="H1843" i="6"/>
  <c r="G1843" i="6"/>
  <c r="H1842" i="6"/>
  <c r="G1842" i="6"/>
  <c r="H1841" i="6"/>
  <c r="G1841" i="6"/>
  <c r="H1840" i="6"/>
  <c r="G1840" i="6"/>
  <c r="H1839" i="6"/>
  <c r="G1839" i="6"/>
  <c r="H1838" i="6"/>
  <c r="G1838" i="6"/>
  <c r="H1837" i="6"/>
  <c r="G1837" i="6"/>
  <c r="H1836" i="6"/>
  <c r="G1836" i="6"/>
  <c r="H1835" i="6"/>
  <c r="G1835" i="6"/>
  <c r="H1834" i="6"/>
  <c r="G1834" i="6"/>
  <c r="H1833" i="6"/>
  <c r="G1833" i="6"/>
  <c r="H1832" i="6"/>
  <c r="G1832" i="6"/>
  <c r="H1831" i="6"/>
  <c r="G1831" i="6"/>
  <c r="H1830" i="6"/>
  <c r="G1830" i="6"/>
  <c r="H1829" i="6"/>
  <c r="G1829" i="6"/>
  <c r="H1828" i="6"/>
  <c r="G1828" i="6"/>
  <c r="H1827" i="6"/>
  <c r="G1827" i="6"/>
  <c r="H1826" i="6"/>
  <c r="G1826" i="6"/>
  <c r="H1825" i="6"/>
  <c r="G1825" i="6"/>
  <c r="H1824" i="6"/>
  <c r="G1824" i="6"/>
  <c r="H1823" i="6"/>
  <c r="G1823" i="6"/>
  <c r="H1822" i="6"/>
  <c r="G1822" i="6"/>
  <c r="H1821" i="6"/>
  <c r="G1821" i="6"/>
  <c r="H1820" i="6"/>
  <c r="G1820" i="6"/>
  <c r="H1819" i="6"/>
  <c r="G1819" i="6"/>
  <c r="H1818" i="6"/>
  <c r="G1818" i="6"/>
  <c r="H1817" i="6"/>
  <c r="G1817" i="6"/>
  <c r="H1816" i="6"/>
  <c r="G1816" i="6"/>
  <c r="H1815" i="6"/>
  <c r="G1815" i="6"/>
  <c r="H1814" i="6"/>
  <c r="G1814" i="6"/>
  <c r="H1813" i="6"/>
  <c r="G1813" i="6"/>
  <c r="H1812" i="6"/>
  <c r="G1812" i="6"/>
  <c r="H1811" i="6"/>
  <c r="G1811" i="6"/>
  <c r="H1810" i="6"/>
  <c r="G1810" i="6"/>
  <c r="H1809" i="6"/>
  <c r="G1809" i="6"/>
  <c r="H1808" i="6"/>
  <c r="G1808" i="6"/>
  <c r="H1807" i="6"/>
  <c r="G1807" i="6"/>
  <c r="H1806" i="6"/>
  <c r="G1806" i="6"/>
  <c r="H1805" i="6"/>
  <c r="G1805" i="6"/>
  <c r="H1804" i="6"/>
  <c r="G1804" i="6"/>
  <c r="H1803" i="6"/>
  <c r="G1803" i="6"/>
  <c r="H1802" i="6"/>
  <c r="G1802" i="6"/>
  <c r="H1801" i="6"/>
  <c r="G1801" i="6"/>
  <c r="H1800" i="6"/>
  <c r="G1800" i="6"/>
  <c r="H1799" i="6"/>
  <c r="G1799" i="6"/>
  <c r="H1798" i="6"/>
  <c r="G1798" i="6"/>
  <c r="H1797" i="6"/>
  <c r="G1797" i="6"/>
  <c r="H1796" i="6"/>
  <c r="G1796" i="6"/>
  <c r="H1795" i="6"/>
  <c r="G1795" i="6"/>
  <c r="H1794" i="6"/>
  <c r="G1794" i="6"/>
  <c r="H1793" i="6"/>
  <c r="G1793" i="6"/>
  <c r="H1792" i="6"/>
  <c r="G1792" i="6"/>
  <c r="H1791" i="6"/>
  <c r="G1791" i="6"/>
  <c r="H1790" i="6"/>
  <c r="G1790" i="6"/>
  <c r="H1789" i="6"/>
  <c r="G1789" i="6"/>
  <c r="H1788" i="6"/>
  <c r="G1788" i="6"/>
  <c r="H1787" i="6"/>
  <c r="G1787" i="6"/>
  <c r="H1786" i="6"/>
  <c r="G1786" i="6"/>
  <c r="H1785" i="6"/>
  <c r="G1785" i="6"/>
  <c r="H1784" i="6"/>
  <c r="G1784" i="6"/>
  <c r="H1783" i="6"/>
  <c r="G1783" i="6"/>
  <c r="H1782" i="6"/>
  <c r="G1782" i="6"/>
  <c r="H1781" i="6"/>
  <c r="G1781" i="6"/>
  <c r="H1780" i="6"/>
  <c r="G1780" i="6"/>
  <c r="H1779" i="6"/>
  <c r="G1779" i="6"/>
  <c r="H1778" i="6"/>
  <c r="G1778" i="6"/>
  <c r="H1777" i="6"/>
  <c r="G1777" i="6"/>
  <c r="H1776" i="6"/>
  <c r="G1776" i="6"/>
  <c r="H1775" i="6"/>
  <c r="G1775" i="6"/>
  <c r="H1774" i="6"/>
  <c r="G1774" i="6"/>
  <c r="H1773" i="6"/>
  <c r="G1773" i="6"/>
  <c r="H1772" i="6"/>
  <c r="G1772" i="6"/>
  <c r="H1771" i="6"/>
  <c r="G1771" i="6"/>
  <c r="H1770" i="6"/>
  <c r="G1770" i="6"/>
  <c r="H1769" i="6"/>
  <c r="G1769" i="6"/>
  <c r="H1768" i="6"/>
  <c r="G1768" i="6"/>
  <c r="H1767" i="6"/>
  <c r="G1767" i="6"/>
  <c r="H1766" i="6"/>
  <c r="G1766" i="6"/>
  <c r="H1765" i="6"/>
  <c r="G1765" i="6"/>
  <c r="H1764" i="6"/>
  <c r="G1764" i="6"/>
  <c r="H1763" i="6"/>
  <c r="G1763" i="6"/>
  <c r="H1762" i="6"/>
  <c r="G1762" i="6"/>
  <c r="H1761" i="6"/>
  <c r="G1761" i="6"/>
  <c r="H1760" i="6"/>
  <c r="G1760" i="6"/>
  <c r="H1759" i="6"/>
  <c r="G1759" i="6"/>
  <c r="H1758" i="6"/>
  <c r="G1758" i="6"/>
  <c r="H1757" i="6"/>
  <c r="G1757" i="6"/>
  <c r="H1756" i="6"/>
  <c r="G1756" i="6"/>
  <c r="H1755" i="6"/>
  <c r="G1755" i="6"/>
  <c r="H1754" i="6"/>
  <c r="G1754" i="6"/>
  <c r="H1753" i="6"/>
  <c r="G1753" i="6"/>
  <c r="H1752" i="6"/>
  <c r="G1752" i="6"/>
  <c r="H1751" i="6"/>
  <c r="G1751" i="6"/>
  <c r="H1750" i="6"/>
  <c r="G1750" i="6"/>
  <c r="H1749" i="6"/>
  <c r="G1749" i="6"/>
  <c r="H1748" i="6"/>
  <c r="G1748" i="6"/>
  <c r="H1747" i="6"/>
  <c r="G1747" i="6"/>
  <c r="H1746" i="6"/>
  <c r="G1746" i="6"/>
  <c r="H1745" i="6"/>
  <c r="G1745" i="6"/>
  <c r="H1744" i="6"/>
  <c r="G1744" i="6"/>
  <c r="H1743" i="6"/>
  <c r="G1743" i="6"/>
  <c r="H1742" i="6"/>
  <c r="G1742" i="6"/>
  <c r="H1741" i="6"/>
  <c r="G1741" i="6"/>
  <c r="H1740" i="6"/>
  <c r="G1740" i="6"/>
  <c r="H1739" i="6"/>
  <c r="G1739" i="6"/>
  <c r="H1738" i="6"/>
  <c r="G1738" i="6"/>
  <c r="H1737" i="6"/>
  <c r="G1737" i="6"/>
  <c r="H1736" i="6"/>
  <c r="G1736" i="6"/>
  <c r="H1735" i="6"/>
  <c r="G1735" i="6"/>
  <c r="H1734" i="6"/>
  <c r="G1734" i="6"/>
  <c r="H1733" i="6"/>
  <c r="G1733" i="6"/>
  <c r="H1732" i="6"/>
  <c r="G1732" i="6"/>
  <c r="H1731" i="6"/>
  <c r="G1731" i="6"/>
  <c r="H1730" i="6"/>
  <c r="G1730" i="6"/>
  <c r="H1729" i="6"/>
  <c r="G1729" i="6"/>
  <c r="H1728" i="6"/>
  <c r="G1728" i="6"/>
  <c r="H1727" i="6"/>
  <c r="G1727" i="6"/>
  <c r="H1726" i="6"/>
  <c r="G1726" i="6"/>
  <c r="H1725" i="6"/>
  <c r="G1725" i="6"/>
  <c r="H1724" i="6"/>
  <c r="G1724" i="6"/>
  <c r="H1723" i="6"/>
  <c r="G1723" i="6"/>
  <c r="H1722" i="6"/>
  <c r="G1722" i="6"/>
  <c r="H1721" i="6"/>
  <c r="G1721" i="6"/>
  <c r="H1720" i="6"/>
  <c r="G1720" i="6"/>
  <c r="H1719" i="6"/>
  <c r="G1719" i="6"/>
  <c r="H1718" i="6"/>
  <c r="G1718" i="6"/>
  <c r="H1717" i="6"/>
  <c r="G1717" i="6"/>
  <c r="H1716" i="6"/>
  <c r="G1716" i="6"/>
  <c r="H1715" i="6"/>
  <c r="G1715" i="6"/>
  <c r="H1714" i="6"/>
  <c r="G1714" i="6"/>
  <c r="H1713" i="6"/>
  <c r="G1713" i="6"/>
  <c r="H1712" i="6"/>
  <c r="G1712" i="6"/>
  <c r="H1711" i="6"/>
  <c r="G1711" i="6"/>
  <c r="H1710" i="6"/>
  <c r="G1710" i="6"/>
  <c r="H1709" i="6"/>
  <c r="G1709" i="6"/>
  <c r="H1708" i="6"/>
  <c r="G1708" i="6"/>
  <c r="H1707" i="6"/>
  <c r="G1707" i="6"/>
  <c r="H1706" i="6"/>
  <c r="G1706" i="6"/>
  <c r="H1705" i="6"/>
  <c r="G1705" i="6"/>
  <c r="H1704" i="6"/>
  <c r="G1704" i="6"/>
  <c r="H1703" i="6"/>
  <c r="G1703" i="6"/>
  <c r="H1702" i="6"/>
  <c r="G1702" i="6"/>
  <c r="H1701" i="6"/>
  <c r="G1701" i="6"/>
  <c r="H1700" i="6"/>
  <c r="G1700" i="6"/>
  <c r="H1699" i="6"/>
  <c r="G1699" i="6"/>
  <c r="H1698" i="6"/>
  <c r="G1698" i="6"/>
  <c r="H1697" i="6"/>
  <c r="G1697" i="6"/>
  <c r="H1696" i="6"/>
  <c r="G1696" i="6"/>
  <c r="H1695" i="6"/>
  <c r="G1695" i="6"/>
  <c r="H1694" i="6"/>
  <c r="G1694" i="6"/>
  <c r="H1693" i="6"/>
  <c r="G1693" i="6"/>
  <c r="H1692" i="6"/>
  <c r="G1692" i="6"/>
  <c r="H1691" i="6"/>
  <c r="G1691" i="6"/>
  <c r="H1690" i="6"/>
  <c r="G1690" i="6"/>
  <c r="H1689" i="6"/>
  <c r="G1689" i="6"/>
  <c r="H1688" i="6"/>
  <c r="G1688" i="6"/>
  <c r="H1687" i="6"/>
  <c r="G1687" i="6"/>
  <c r="H1686" i="6"/>
  <c r="G1686" i="6"/>
  <c r="H1685" i="6"/>
  <c r="G1685" i="6"/>
  <c r="H1684" i="6"/>
  <c r="G1684" i="6"/>
  <c r="H1683" i="6"/>
  <c r="G1683" i="6"/>
  <c r="H1682" i="6"/>
  <c r="G1682" i="6"/>
  <c r="H1681" i="6"/>
  <c r="G1681" i="6"/>
  <c r="H1680" i="6"/>
  <c r="G1680" i="6"/>
  <c r="H1679" i="6"/>
  <c r="G1679" i="6"/>
  <c r="H1678" i="6"/>
  <c r="G1678" i="6"/>
  <c r="H1677" i="6"/>
  <c r="G1677" i="6"/>
  <c r="H1676" i="6"/>
  <c r="G1676" i="6"/>
  <c r="H1675" i="6"/>
  <c r="G1675" i="6"/>
  <c r="H1674" i="6"/>
  <c r="G1674" i="6"/>
  <c r="H1673" i="6"/>
  <c r="G1673" i="6"/>
  <c r="H1672" i="6"/>
  <c r="G1672" i="6"/>
  <c r="H1671" i="6"/>
  <c r="G1671" i="6"/>
  <c r="H1670" i="6"/>
  <c r="G1670" i="6"/>
  <c r="H1669" i="6"/>
  <c r="G1669" i="6"/>
  <c r="H1668" i="6"/>
  <c r="G1668" i="6"/>
  <c r="H1667" i="6"/>
  <c r="G1667" i="6"/>
  <c r="H1666" i="6"/>
  <c r="G1666" i="6"/>
  <c r="H1665" i="6"/>
  <c r="G1665" i="6"/>
  <c r="H1664" i="6"/>
  <c r="G1664" i="6"/>
  <c r="H1663" i="6"/>
  <c r="G1663" i="6"/>
  <c r="H1662" i="6"/>
  <c r="G1662" i="6"/>
  <c r="H1661" i="6"/>
  <c r="G1661" i="6"/>
  <c r="H1660" i="6"/>
  <c r="G1660" i="6"/>
  <c r="H1659" i="6"/>
  <c r="G1659" i="6"/>
  <c r="H1658" i="6"/>
  <c r="G1658" i="6"/>
  <c r="H1657" i="6"/>
  <c r="G1657" i="6"/>
  <c r="H1656" i="6"/>
  <c r="G1656" i="6"/>
  <c r="H1655" i="6"/>
  <c r="G1655" i="6"/>
  <c r="H1654" i="6"/>
  <c r="G1654" i="6"/>
  <c r="H1653" i="6"/>
  <c r="G1653" i="6"/>
  <c r="H1652" i="6"/>
  <c r="G1652" i="6"/>
  <c r="H1651" i="6"/>
  <c r="G1651" i="6"/>
  <c r="H1650" i="6"/>
  <c r="G1650" i="6"/>
  <c r="H1649" i="6"/>
  <c r="G1649" i="6"/>
  <c r="H1648" i="6"/>
  <c r="G1648" i="6"/>
  <c r="H1647" i="6"/>
  <c r="G1647" i="6"/>
  <c r="H1646" i="6"/>
  <c r="G1646" i="6"/>
  <c r="H1645" i="6"/>
  <c r="G1645" i="6"/>
  <c r="H1644" i="6"/>
  <c r="G1644" i="6"/>
  <c r="H1643" i="6"/>
  <c r="G1643" i="6"/>
  <c r="H1642" i="6"/>
  <c r="G1642" i="6"/>
  <c r="H1641" i="6"/>
  <c r="G1641" i="6"/>
  <c r="H1640" i="6"/>
  <c r="G1640" i="6"/>
  <c r="H1639" i="6"/>
  <c r="G1639" i="6"/>
  <c r="H1638" i="6"/>
  <c r="G1638" i="6"/>
  <c r="H1637" i="6"/>
  <c r="G1637" i="6"/>
  <c r="H1636" i="6"/>
  <c r="G1636" i="6"/>
  <c r="H1635" i="6"/>
  <c r="G1635" i="6"/>
  <c r="H1634" i="6"/>
  <c r="G1634" i="6"/>
  <c r="H1633" i="6"/>
  <c r="G1633" i="6"/>
  <c r="H1632" i="6"/>
  <c r="G1632" i="6"/>
  <c r="H1631" i="6"/>
  <c r="G1631" i="6"/>
  <c r="H1630" i="6"/>
  <c r="G1630" i="6"/>
  <c r="H1629" i="6"/>
  <c r="G1629" i="6"/>
  <c r="H1628" i="6"/>
  <c r="G1628" i="6"/>
  <c r="H1627" i="6"/>
  <c r="G1627" i="6"/>
  <c r="H1626" i="6"/>
  <c r="G1626" i="6"/>
  <c r="H1625" i="6"/>
  <c r="G1625" i="6"/>
  <c r="H1624" i="6"/>
  <c r="G1624" i="6"/>
  <c r="H1623" i="6"/>
  <c r="G1623" i="6"/>
  <c r="H1622" i="6"/>
  <c r="G1622" i="6"/>
  <c r="H1621" i="6"/>
  <c r="G1621" i="6"/>
  <c r="H1620" i="6"/>
  <c r="G1620" i="6"/>
  <c r="H1619" i="6"/>
  <c r="G1619" i="6"/>
  <c r="H1618" i="6"/>
  <c r="G1618" i="6"/>
  <c r="H1617" i="6"/>
  <c r="G1617" i="6"/>
  <c r="H1616" i="6"/>
  <c r="G1616" i="6"/>
  <c r="H1615" i="6"/>
  <c r="G1615" i="6"/>
  <c r="H1614" i="6"/>
  <c r="G1614" i="6"/>
  <c r="H1613" i="6"/>
  <c r="G1613" i="6"/>
  <c r="H1612" i="6"/>
  <c r="G1612" i="6"/>
  <c r="H1611" i="6"/>
  <c r="G1611" i="6"/>
  <c r="H1610" i="6"/>
  <c r="G1610" i="6"/>
  <c r="H1609" i="6"/>
  <c r="G1609" i="6"/>
  <c r="H1608" i="6"/>
  <c r="G1608" i="6"/>
  <c r="H1607" i="6"/>
  <c r="G1607" i="6"/>
  <c r="H1606" i="6"/>
  <c r="G1606" i="6"/>
  <c r="H1605" i="6"/>
  <c r="G1605" i="6"/>
  <c r="H1604" i="6"/>
  <c r="G1604" i="6"/>
  <c r="H1603" i="6"/>
  <c r="G1603" i="6"/>
  <c r="H1602" i="6"/>
  <c r="G1602" i="6"/>
  <c r="H1601" i="6"/>
  <c r="G1601" i="6"/>
  <c r="H1600" i="6"/>
  <c r="G1600" i="6"/>
  <c r="H1599" i="6"/>
  <c r="G1599" i="6"/>
  <c r="H1598" i="6"/>
  <c r="G1598" i="6"/>
  <c r="H1597" i="6"/>
  <c r="G1597" i="6"/>
  <c r="H1596" i="6"/>
  <c r="G1596" i="6"/>
  <c r="H1595" i="6"/>
  <c r="G1595" i="6"/>
  <c r="H1594" i="6"/>
  <c r="G1594" i="6"/>
  <c r="H1593" i="6"/>
  <c r="G1593" i="6"/>
  <c r="H1592" i="6"/>
  <c r="G1592" i="6"/>
  <c r="H1591" i="6"/>
  <c r="G1591" i="6"/>
  <c r="H1590" i="6"/>
  <c r="G1590" i="6"/>
  <c r="H1589" i="6"/>
  <c r="G1589" i="6"/>
  <c r="H1588" i="6"/>
  <c r="G1588" i="6"/>
  <c r="H1587" i="6"/>
  <c r="G1587" i="6"/>
  <c r="H1586" i="6"/>
  <c r="G1586" i="6"/>
  <c r="H1585" i="6"/>
  <c r="G1585" i="6"/>
  <c r="H1584" i="6"/>
  <c r="G1584" i="6"/>
  <c r="H1583" i="6"/>
  <c r="G1583" i="6"/>
  <c r="H1582" i="6"/>
  <c r="G1582" i="6"/>
  <c r="H1581" i="6"/>
  <c r="G1581" i="6"/>
  <c r="H1580" i="6"/>
  <c r="G1580" i="6"/>
  <c r="H1579" i="6"/>
  <c r="G1579" i="6"/>
  <c r="H1578" i="6"/>
  <c r="G1578" i="6"/>
  <c r="H1577" i="6"/>
  <c r="G1577" i="6"/>
  <c r="H1576" i="6"/>
  <c r="G1576" i="6"/>
  <c r="H1575" i="6"/>
  <c r="G1575" i="6"/>
  <c r="H1574" i="6"/>
  <c r="G1574" i="6"/>
  <c r="H1573" i="6"/>
  <c r="G1573" i="6"/>
  <c r="H1572" i="6"/>
  <c r="G1572" i="6"/>
  <c r="H1571" i="6"/>
  <c r="G1571" i="6"/>
  <c r="H1570" i="6"/>
  <c r="G1570" i="6"/>
  <c r="H1569" i="6"/>
  <c r="G1569" i="6"/>
  <c r="H1568" i="6"/>
  <c r="G1568" i="6"/>
  <c r="H1567" i="6"/>
  <c r="G1567" i="6"/>
  <c r="H1566" i="6"/>
  <c r="G1566" i="6"/>
  <c r="H1565" i="6"/>
  <c r="G1565" i="6"/>
  <c r="H1564" i="6"/>
  <c r="G1564" i="6"/>
  <c r="H1563" i="6"/>
  <c r="G1563" i="6"/>
  <c r="H1562" i="6"/>
  <c r="G1562" i="6"/>
  <c r="H1561" i="6"/>
  <c r="G1561" i="6"/>
  <c r="H1560" i="6"/>
  <c r="G1560" i="6"/>
  <c r="H1559" i="6"/>
  <c r="G1559" i="6"/>
  <c r="H1558" i="6"/>
  <c r="G1558" i="6"/>
  <c r="H1557" i="6"/>
  <c r="G1557" i="6"/>
  <c r="H1556" i="6"/>
  <c r="G1556" i="6"/>
  <c r="H1555" i="6"/>
  <c r="G1555" i="6"/>
  <c r="H1554" i="6"/>
  <c r="G1554" i="6"/>
  <c r="H1553" i="6"/>
  <c r="G1553" i="6"/>
  <c r="H1552" i="6"/>
  <c r="G1552" i="6"/>
  <c r="H1551" i="6"/>
  <c r="G1551" i="6"/>
  <c r="H1550" i="6"/>
  <c r="G1550" i="6"/>
  <c r="H1549" i="6"/>
  <c r="G1549" i="6"/>
  <c r="H1548" i="6"/>
  <c r="G1548" i="6"/>
  <c r="H1547" i="6"/>
  <c r="G1547" i="6"/>
  <c r="H1546" i="6"/>
  <c r="G1546" i="6"/>
  <c r="H1545" i="6"/>
  <c r="G1545" i="6"/>
  <c r="H1544" i="6"/>
  <c r="G1544" i="6"/>
  <c r="H1543" i="6"/>
  <c r="G1543" i="6"/>
  <c r="H1542" i="6"/>
  <c r="G1542" i="6"/>
  <c r="H1541" i="6"/>
  <c r="G1541" i="6"/>
  <c r="H1540" i="6"/>
  <c r="G1540" i="6"/>
  <c r="H1539" i="6"/>
  <c r="G1539" i="6"/>
  <c r="H1538" i="6"/>
  <c r="G1538" i="6"/>
  <c r="H1537" i="6"/>
  <c r="G1537" i="6"/>
  <c r="H1536" i="6"/>
  <c r="G1536" i="6"/>
  <c r="H1535" i="6"/>
  <c r="G1535" i="6"/>
  <c r="H1534" i="6"/>
  <c r="G1534" i="6"/>
  <c r="H1533" i="6"/>
  <c r="G1533" i="6"/>
  <c r="H1532" i="6"/>
  <c r="G1532" i="6"/>
  <c r="H1531" i="6"/>
  <c r="G1531" i="6"/>
  <c r="H1530" i="6"/>
  <c r="G1530" i="6"/>
  <c r="H1529" i="6"/>
  <c r="G1529" i="6"/>
  <c r="H1528" i="6"/>
  <c r="G1528" i="6"/>
  <c r="H1527" i="6"/>
  <c r="G1527" i="6"/>
  <c r="H1526" i="6"/>
  <c r="G1526" i="6"/>
  <c r="H1525" i="6"/>
  <c r="G1525" i="6"/>
  <c r="H1524" i="6"/>
  <c r="G1524" i="6"/>
  <c r="H1523" i="6"/>
  <c r="G1523" i="6"/>
  <c r="H1522" i="6"/>
  <c r="G1522" i="6"/>
  <c r="H1521" i="6"/>
  <c r="G1521" i="6"/>
  <c r="H1520" i="6"/>
  <c r="G1520" i="6"/>
  <c r="H1519" i="6"/>
  <c r="G1519" i="6"/>
  <c r="H1518" i="6"/>
  <c r="G1518" i="6"/>
  <c r="H1517" i="6"/>
  <c r="G1517" i="6"/>
  <c r="H1516" i="6"/>
  <c r="G1516" i="6"/>
  <c r="H1515" i="6"/>
  <c r="G1515" i="6"/>
  <c r="H1514" i="6"/>
  <c r="G1514" i="6"/>
  <c r="H1513" i="6"/>
  <c r="G1513" i="6"/>
  <c r="H1512" i="6"/>
  <c r="G1512" i="6"/>
  <c r="H1511" i="6"/>
  <c r="G1511" i="6"/>
  <c r="H1510" i="6"/>
  <c r="G1510" i="6"/>
  <c r="H1509" i="6"/>
  <c r="G1509" i="6"/>
  <c r="H1508" i="6"/>
  <c r="G1508" i="6"/>
  <c r="H1507" i="6"/>
  <c r="G1507" i="6"/>
  <c r="H1506" i="6"/>
  <c r="G1506" i="6"/>
  <c r="H1505" i="6"/>
  <c r="G1505" i="6"/>
  <c r="H1504" i="6"/>
  <c r="G1504" i="6"/>
  <c r="H1503" i="6"/>
  <c r="G1503" i="6"/>
  <c r="H1502" i="6"/>
  <c r="G1502" i="6"/>
  <c r="H1501" i="6"/>
  <c r="G1501" i="6"/>
  <c r="H1500" i="6"/>
  <c r="G1500" i="6"/>
  <c r="H1499" i="6"/>
  <c r="G1499" i="6"/>
  <c r="H1498" i="6"/>
  <c r="G1498" i="6"/>
  <c r="H1497" i="6"/>
  <c r="G1497" i="6"/>
  <c r="H1496" i="6"/>
  <c r="G1496" i="6"/>
  <c r="H1495" i="6"/>
  <c r="G1495" i="6"/>
  <c r="H1494" i="6"/>
  <c r="G1494" i="6"/>
  <c r="H1493" i="6"/>
  <c r="G1493" i="6"/>
  <c r="H1492" i="6"/>
  <c r="G1492" i="6"/>
  <c r="H1491" i="6"/>
  <c r="G1491" i="6"/>
  <c r="H1490" i="6"/>
  <c r="G1490" i="6"/>
  <c r="H1489" i="6"/>
  <c r="G1489" i="6"/>
  <c r="H1488" i="6"/>
  <c r="G1488" i="6"/>
  <c r="H1487" i="6"/>
  <c r="G1487" i="6"/>
  <c r="H1486" i="6"/>
  <c r="G1486" i="6"/>
  <c r="H1485" i="6"/>
  <c r="G1485" i="6"/>
  <c r="H1484" i="6"/>
  <c r="G1484" i="6"/>
  <c r="H1483" i="6"/>
  <c r="G1483" i="6"/>
  <c r="H1482" i="6"/>
  <c r="G1482" i="6"/>
  <c r="H1481" i="6"/>
  <c r="G1481" i="6"/>
  <c r="H1480" i="6"/>
  <c r="G1480" i="6"/>
  <c r="H1479" i="6"/>
  <c r="G1479" i="6"/>
  <c r="H1478" i="6"/>
  <c r="G1478" i="6"/>
  <c r="H1477" i="6"/>
  <c r="G1477" i="6"/>
  <c r="H1476" i="6"/>
  <c r="G1476" i="6"/>
  <c r="H1475" i="6"/>
  <c r="G1475" i="6"/>
  <c r="H1474" i="6"/>
  <c r="G1474" i="6"/>
  <c r="H1473" i="6"/>
  <c r="G1473" i="6"/>
  <c r="H1472" i="6"/>
  <c r="G1472" i="6"/>
  <c r="H1471" i="6"/>
  <c r="G1471" i="6"/>
  <c r="H1470" i="6"/>
  <c r="G1470" i="6"/>
  <c r="H1469" i="6"/>
  <c r="G1469" i="6"/>
  <c r="H1468" i="6"/>
  <c r="G1468" i="6"/>
  <c r="H1467" i="6"/>
  <c r="G1467" i="6"/>
  <c r="H1466" i="6"/>
  <c r="G1466" i="6"/>
  <c r="H1465" i="6"/>
  <c r="G1465" i="6"/>
  <c r="H1464" i="6"/>
  <c r="G1464" i="6"/>
  <c r="H1463" i="6"/>
  <c r="G1463" i="6"/>
  <c r="H1462" i="6"/>
  <c r="G1462" i="6"/>
  <c r="H1461" i="6"/>
  <c r="G1461" i="6"/>
  <c r="H1460" i="6"/>
  <c r="G1460" i="6"/>
  <c r="H1459" i="6"/>
  <c r="G1459" i="6"/>
  <c r="H1458" i="6"/>
  <c r="G1458" i="6"/>
  <c r="H1457" i="6"/>
  <c r="G1457" i="6"/>
  <c r="H1456" i="6"/>
  <c r="G1456" i="6"/>
  <c r="H1455" i="6"/>
  <c r="G1455" i="6"/>
  <c r="H1454" i="6"/>
  <c r="G1454" i="6"/>
  <c r="H1453" i="6"/>
  <c r="G1453" i="6"/>
  <c r="H1452" i="6"/>
  <c r="G1452" i="6"/>
  <c r="H1451" i="6"/>
  <c r="G1451" i="6"/>
  <c r="H1450" i="6"/>
  <c r="G1450" i="6"/>
  <c r="H1449" i="6"/>
  <c r="G1449" i="6"/>
  <c r="H1448" i="6"/>
  <c r="G1448" i="6"/>
  <c r="H1447" i="6"/>
  <c r="G1447" i="6"/>
  <c r="H1446" i="6"/>
  <c r="G1446" i="6"/>
  <c r="H1445" i="6"/>
  <c r="G1445" i="6"/>
  <c r="H1444" i="6"/>
  <c r="G1444" i="6"/>
  <c r="H1443" i="6"/>
  <c r="G1443" i="6"/>
  <c r="H1442" i="6"/>
  <c r="G1442" i="6"/>
  <c r="H1441" i="6"/>
  <c r="G1441" i="6"/>
  <c r="H1440" i="6"/>
  <c r="G1440" i="6"/>
  <c r="H1439" i="6"/>
  <c r="G1439" i="6"/>
  <c r="H1438" i="6"/>
  <c r="G1438" i="6"/>
  <c r="H1437" i="6"/>
  <c r="G1437" i="6"/>
  <c r="H1436" i="6"/>
  <c r="G1436" i="6"/>
  <c r="H1435" i="6"/>
  <c r="G1435" i="6"/>
  <c r="H1434" i="6"/>
  <c r="G1434" i="6"/>
  <c r="H1433" i="6"/>
  <c r="G1433" i="6"/>
  <c r="H1432" i="6"/>
  <c r="G1432" i="6"/>
  <c r="H1431" i="6"/>
  <c r="G1431" i="6"/>
  <c r="H1430" i="6"/>
  <c r="G1430" i="6"/>
  <c r="H1429" i="6"/>
  <c r="G1429" i="6"/>
  <c r="H1428" i="6"/>
  <c r="G1428" i="6"/>
  <c r="H1427" i="6"/>
  <c r="G1427" i="6"/>
  <c r="H1426" i="6"/>
  <c r="G1426" i="6"/>
  <c r="H1425" i="6"/>
  <c r="G1425" i="6"/>
  <c r="H1424" i="6"/>
  <c r="G1424" i="6"/>
  <c r="H1423" i="6"/>
  <c r="G1423" i="6"/>
  <c r="H1422" i="6"/>
  <c r="G1422" i="6"/>
  <c r="H1421" i="6"/>
  <c r="G1421" i="6"/>
  <c r="H1420" i="6"/>
  <c r="G1420" i="6"/>
  <c r="H1419" i="6"/>
  <c r="G1419" i="6"/>
  <c r="H1418" i="6"/>
  <c r="G1418" i="6"/>
  <c r="H1417" i="6"/>
  <c r="G1417" i="6"/>
  <c r="H1416" i="6"/>
  <c r="G1416" i="6"/>
  <c r="H1415" i="6"/>
  <c r="G1415" i="6"/>
  <c r="H1414" i="6"/>
  <c r="G1414" i="6"/>
  <c r="H1413" i="6"/>
  <c r="G1413" i="6"/>
  <c r="H1412" i="6"/>
  <c r="G1412" i="6"/>
  <c r="H1411" i="6"/>
  <c r="G1411" i="6"/>
  <c r="H1410" i="6"/>
  <c r="G1410" i="6"/>
  <c r="H1409" i="6"/>
  <c r="G1409" i="6"/>
  <c r="H1408" i="6"/>
  <c r="G1408" i="6"/>
  <c r="H1407" i="6"/>
  <c r="G1407" i="6"/>
  <c r="H1406" i="6"/>
  <c r="G1406" i="6"/>
  <c r="H1405" i="6"/>
  <c r="G1405" i="6"/>
  <c r="H1404" i="6"/>
  <c r="G1404" i="6"/>
  <c r="H1403" i="6"/>
  <c r="G1403" i="6"/>
  <c r="H1402" i="6"/>
  <c r="G1402" i="6"/>
  <c r="H1401" i="6"/>
  <c r="G1401" i="6"/>
  <c r="H1400" i="6"/>
  <c r="G1400" i="6"/>
  <c r="H1399" i="6"/>
  <c r="G1399" i="6"/>
  <c r="H1398" i="6"/>
  <c r="G1398" i="6"/>
  <c r="H1397" i="6"/>
  <c r="G1397" i="6"/>
  <c r="H1396" i="6"/>
  <c r="G1396" i="6"/>
  <c r="H1395" i="6"/>
  <c r="G1395" i="6"/>
  <c r="H1394" i="6"/>
  <c r="G1394" i="6"/>
  <c r="H1393" i="6"/>
  <c r="G1393" i="6"/>
  <c r="H1392" i="6"/>
  <c r="G1392" i="6"/>
  <c r="H1391" i="6"/>
  <c r="G1391" i="6"/>
  <c r="H1390" i="6"/>
  <c r="G1390" i="6"/>
  <c r="H1389" i="6"/>
  <c r="G1389" i="6"/>
  <c r="H1388" i="6"/>
  <c r="G1388" i="6"/>
  <c r="H1387" i="6"/>
  <c r="G1387" i="6"/>
  <c r="H1386" i="6"/>
  <c r="G1386" i="6"/>
  <c r="H1385" i="6"/>
  <c r="G1385" i="6"/>
  <c r="H1384" i="6"/>
  <c r="G1384" i="6"/>
  <c r="H1383" i="6"/>
  <c r="G1383" i="6"/>
  <c r="H1382" i="6"/>
  <c r="G1382" i="6"/>
  <c r="H1381" i="6"/>
  <c r="G1381" i="6"/>
  <c r="H1380" i="6"/>
  <c r="G1380" i="6"/>
  <c r="H1379" i="6"/>
  <c r="G1379" i="6"/>
  <c r="H1378" i="6"/>
  <c r="G1378" i="6"/>
  <c r="H1377" i="6"/>
  <c r="G1377" i="6"/>
  <c r="H1376" i="6"/>
  <c r="G1376" i="6"/>
  <c r="H1375" i="6"/>
  <c r="G1375" i="6"/>
  <c r="H1374" i="6"/>
  <c r="G1374" i="6"/>
  <c r="H1373" i="6"/>
  <c r="G1373" i="6"/>
  <c r="H1372" i="6"/>
  <c r="G1372" i="6"/>
  <c r="H1371" i="6"/>
  <c r="G1371" i="6"/>
  <c r="H1370" i="6"/>
  <c r="G1370" i="6"/>
  <c r="H1369" i="6"/>
  <c r="G1369" i="6"/>
  <c r="H1368" i="6"/>
  <c r="G1368" i="6"/>
  <c r="H1367" i="6"/>
  <c r="G1367" i="6"/>
  <c r="H1366" i="6"/>
  <c r="G1366" i="6"/>
  <c r="H1365" i="6"/>
  <c r="G1365" i="6"/>
  <c r="H1364" i="6"/>
  <c r="G1364" i="6"/>
  <c r="H1363" i="6"/>
  <c r="G1363" i="6"/>
  <c r="H1362" i="6"/>
  <c r="G1362" i="6"/>
  <c r="H1361" i="6"/>
  <c r="G1361" i="6"/>
  <c r="H1360" i="6"/>
  <c r="G1360" i="6"/>
  <c r="H1359" i="6"/>
  <c r="G1359" i="6"/>
  <c r="H1358" i="6"/>
  <c r="G1358" i="6"/>
  <c r="H1357" i="6"/>
  <c r="G1357" i="6"/>
  <c r="H1356" i="6"/>
  <c r="G1356" i="6"/>
  <c r="H1355" i="6"/>
  <c r="G1355" i="6"/>
  <c r="H1354" i="6"/>
  <c r="G1354" i="6"/>
  <c r="H1353" i="6"/>
  <c r="G1353" i="6"/>
  <c r="H1352" i="6"/>
  <c r="G1352" i="6"/>
  <c r="H1351" i="6"/>
  <c r="G1351" i="6"/>
  <c r="H1350" i="6"/>
  <c r="G1350" i="6"/>
  <c r="H1349" i="6"/>
  <c r="G1349" i="6"/>
  <c r="H1348" i="6"/>
  <c r="G1348" i="6"/>
  <c r="H1347" i="6"/>
  <c r="G1347" i="6"/>
  <c r="H1346" i="6"/>
  <c r="G1346" i="6"/>
  <c r="H1345" i="6"/>
  <c r="G1345" i="6"/>
  <c r="H1344" i="6"/>
  <c r="G1344" i="6"/>
  <c r="H1343" i="6"/>
  <c r="G1343" i="6"/>
  <c r="H1342" i="6"/>
  <c r="G1342" i="6"/>
  <c r="H1341" i="6"/>
  <c r="G1341" i="6"/>
  <c r="H1340" i="6"/>
  <c r="G1340" i="6"/>
  <c r="H1339" i="6"/>
  <c r="G1339" i="6"/>
  <c r="H1338" i="6"/>
  <c r="G1338" i="6"/>
  <c r="H1337" i="6"/>
  <c r="G1337" i="6"/>
  <c r="H1336" i="6"/>
  <c r="G1336" i="6"/>
  <c r="H1335" i="6"/>
  <c r="G1335" i="6"/>
  <c r="H1334" i="6"/>
  <c r="G1334" i="6"/>
  <c r="H1333" i="6"/>
  <c r="G1333" i="6"/>
  <c r="H1332" i="6"/>
  <c r="G1332" i="6"/>
  <c r="H1331" i="6"/>
  <c r="G1331" i="6"/>
  <c r="H1330" i="6"/>
  <c r="G1330" i="6"/>
  <c r="H1329" i="6"/>
  <c r="G1329" i="6"/>
  <c r="H1328" i="6"/>
  <c r="G1328" i="6"/>
  <c r="H1327" i="6"/>
  <c r="G1327" i="6"/>
  <c r="H1326" i="6"/>
  <c r="G1326" i="6"/>
  <c r="H1325" i="6"/>
  <c r="G1325" i="6"/>
  <c r="H1324" i="6"/>
  <c r="G1324" i="6"/>
  <c r="H1323" i="6"/>
  <c r="G1323" i="6"/>
  <c r="H1322" i="6"/>
  <c r="G1322" i="6"/>
  <c r="H1321" i="6"/>
  <c r="G1321" i="6"/>
  <c r="H1320" i="6"/>
  <c r="G1320" i="6"/>
  <c r="H1319" i="6"/>
  <c r="G1319" i="6"/>
  <c r="H1318" i="6"/>
  <c r="G1318" i="6"/>
  <c r="H1317" i="6"/>
  <c r="G1317" i="6"/>
  <c r="H1316" i="6"/>
  <c r="G1316" i="6"/>
  <c r="H1315" i="6"/>
  <c r="G1315" i="6"/>
  <c r="H1314" i="6"/>
  <c r="G1314" i="6"/>
  <c r="H1313" i="6"/>
  <c r="G1313" i="6"/>
  <c r="H1312" i="6"/>
  <c r="G1312" i="6"/>
  <c r="H1311" i="6"/>
  <c r="G1311" i="6"/>
  <c r="H1310" i="6"/>
  <c r="G1310" i="6"/>
  <c r="H1309" i="6"/>
  <c r="G1309" i="6"/>
  <c r="H1308" i="6"/>
  <c r="G1308" i="6"/>
  <c r="H1307" i="6"/>
  <c r="G1307" i="6"/>
  <c r="H1306" i="6"/>
  <c r="G1306" i="6"/>
  <c r="H1305" i="6"/>
  <c r="G1305" i="6"/>
  <c r="H1304" i="6"/>
  <c r="G1304" i="6"/>
  <c r="H1303" i="6"/>
  <c r="G1303" i="6"/>
  <c r="H1302" i="6"/>
  <c r="G1302" i="6"/>
  <c r="H1301" i="6"/>
  <c r="G1301" i="6"/>
  <c r="H1300" i="6"/>
  <c r="G1300" i="6"/>
  <c r="H1299" i="6"/>
  <c r="G1299" i="6"/>
  <c r="H1298" i="6"/>
  <c r="G1298" i="6"/>
  <c r="H1297" i="6"/>
  <c r="G1297" i="6"/>
  <c r="H1296" i="6"/>
  <c r="G1296" i="6"/>
  <c r="H1295" i="6"/>
  <c r="G1295" i="6"/>
  <c r="H1294" i="6"/>
  <c r="G1294" i="6"/>
  <c r="H1293" i="6"/>
  <c r="G1293" i="6"/>
  <c r="H1292" i="6"/>
  <c r="G1292" i="6"/>
  <c r="H1291" i="6"/>
  <c r="G1291" i="6"/>
  <c r="H1290" i="6"/>
  <c r="G1290" i="6"/>
  <c r="H1289" i="6"/>
  <c r="G1289" i="6"/>
  <c r="H1288" i="6"/>
  <c r="G1288" i="6"/>
  <c r="H1287" i="6"/>
  <c r="G1287" i="6"/>
  <c r="H1286" i="6"/>
  <c r="G1286" i="6"/>
  <c r="H1285" i="6"/>
  <c r="G1285" i="6"/>
  <c r="H1284" i="6"/>
  <c r="G1284" i="6"/>
  <c r="H1283" i="6"/>
  <c r="G1283" i="6"/>
  <c r="H1282" i="6"/>
  <c r="G1282" i="6"/>
  <c r="H1281" i="6"/>
  <c r="G1281" i="6"/>
  <c r="H1280" i="6"/>
  <c r="G1280" i="6"/>
  <c r="H1279" i="6"/>
  <c r="G1279" i="6"/>
  <c r="H1278" i="6"/>
  <c r="G1278" i="6"/>
  <c r="H1277" i="6"/>
  <c r="G1277" i="6"/>
  <c r="H1276" i="6"/>
  <c r="G1276" i="6"/>
  <c r="H1275" i="6"/>
  <c r="G1275" i="6"/>
  <c r="H1274" i="6"/>
  <c r="G1274" i="6"/>
  <c r="H1273" i="6"/>
  <c r="G1273" i="6"/>
  <c r="H1272" i="6"/>
  <c r="G1272" i="6"/>
  <c r="H1271" i="6"/>
  <c r="G1271" i="6"/>
  <c r="H1270" i="6"/>
  <c r="G1270" i="6"/>
  <c r="H1269" i="6"/>
  <c r="G1269" i="6"/>
  <c r="H1268" i="6"/>
  <c r="G1268" i="6"/>
  <c r="H1267" i="6"/>
  <c r="G1267" i="6"/>
  <c r="H1266" i="6"/>
  <c r="G1266" i="6"/>
  <c r="H1265" i="6"/>
  <c r="G1265" i="6"/>
  <c r="H1264" i="6"/>
  <c r="G1264" i="6"/>
  <c r="H1263" i="6"/>
  <c r="G1263" i="6"/>
  <c r="H1262" i="6"/>
  <c r="G1262" i="6"/>
  <c r="H1261" i="6"/>
  <c r="G1261" i="6"/>
  <c r="H1260" i="6"/>
  <c r="G1260" i="6"/>
  <c r="H1259" i="6"/>
  <c r="G1259" i="6"/>
  <c r="H1258" i="6"/>
  <c r="G1258" i="6"/>
  <c r="H1257" i="6"/>
  <c r="G1257" i="6"/>
  <c r="H1256" i="6"/>
  <c r="G1256" i="6"/>
  <c r="H1255" i="6"/>
  <c r="G1255" i="6"/>
  <c r="H1254" i="6"/>
  <c r="G1254" i="6"/>
  <c r="H1253" i="6"/>
  <c r="G1253" i="6"/>
  <c r="H1252" i="6"/>
  <c r="G1252" i="6"/>
  <c r="H1251" i="6"/>
  <c r="G1251" i="6"/>
  <c r="H1250" i="6"/>
  <c r="G1250" i="6"/>
  <c r="H1249" i="6"/>
  <c r="G1249" i="6"/>
  <c r="H1248" i="6"/>
  <c r="G1248" i="6"/>
  <c r="H1247" i="6"/>
  <c r="G1247" i="6"/>
  <c r="H1246" i="6"/>
  <c r="G1246" i="6"/>
  <c r="H1245" i="6"/>
  <c r="G1245" i="6"/>
  <c r="H1244" i="6"/>
  <c r="G1244" i="6"/>
  <c r="H1243" i="6"/>
  <c r="G1243" i="6"/>
  <c r="H1242" i="6"/>
  <c r="G1242" i="6"/>
  <c r="H1241" i="6"/>
  <c r="G1241" i="6"/>
  <c r="H1240" i="6"/>
  <c r="G1240" i="6"/>
  <c r="H1239" i="6"/>
  <c r="G1239" i="6"/>
  <c r="H1238" i="6"/>
  <c r="G1238" i="6"/>
  <c r="H1237" i="6"/>
  <c r="G1237" i="6"/>
  <c r="H1236" i="6"/>
  <c r="G1236" i="6"/>
  <c r="H1235" i="6"/>
  <c r="G1235" i="6"/>
  <c r="H1234" i="6"/>
  <c r="G1234" i="6"/>
  <c r="H1233" i="6"/>
  <c r="G1233" i="6"/>
  <c r="H1232" i="6"/>
  <c r="G1232" i="6"/>
  <c r="H1231" i="6"/>
  <c r="G1231" i="6"/>
  <c r="H1230" i="6"/>
  <c r="G1230" i="6"/>
  <c r="H1229" i="6"/>
  <c r="G1229" i="6"/>
  <c r="H1228" i="6"/>
  <c r="G1228" i="6"/>
  <c r="H1227" i="6"/>
  <c r="G1227" i="6"/>
  <c r="H1226" i="6"/>
  <c r="G1226" i="6"/>
  <c r="H1225" i="6"/>
  <c r="G1225" i="6"/>
  <c r="H1224" i="6"/>
  <c r="G1224" i="6"/>
  <c r="H1223" i="6"/>
  <c r="G1223" i="6"/>
  <c r="H1222" i="6"/>
  <c r="G1222" i="6"/>
  <c r="H1221" i="6"/>
  <c r="G1221" i="6"/>
  <c r="H1220" i="6"/>
  <c r="G1220" i="6"/>
  <c r="H1219" i="6"/>
  <c r="G1219" i="6"/>
  <c r="H1218" i="6"/>
  <c r="G1218" i="6"/>
  <c r="H1217" i="6"/>
  <c r="G1217" i="6"/>
  <c r="H1216" i="6"/>
  <c r="G1216" i="6"/>
  <c r="H1215" i="6"/>
  <c r="G1215" i="6"/>
  <c r="H1214" i="6"/>
  <c r="G1214" i="6"/>
  <c r="H1213" i="6"/>
  <c r="G1213" i="6"/>
  <c r="H1212" i="6"/>
  <c r="G1212" i="6"/>
  <c r="H1211" i="6"/>
  <c r="G1211" i="6"/>
  <c r="H1210" i="6"/>
  <c r="G1210" i="6"/>
  <c r="H1209" i="6"/>
  <c r="G1209" i="6"/>
  <c r="H1208" i="6"/>
  <c r="G1208" i="6"/>
  <c r="H1207" i="6"/>
  <c r="G1207" i="6"/>
  <c r="H1206" i="6"/>
  <c r="G1206" i="6"/>
  <c r="H1205" i="6"/>
  <c r="G1205" i="6"/>
  <c r="H1204" i="6"/>
  <c r="G1204" i="6"/>
  <c r="H1203" i="6"/>
  <c r="G1203" i="6"/>
  <c r="H1202" i="6"/>
  <c r="G1202" i="6"/>
  <c r="H1201" i="6"/>
  <c r="G1201" i="6"/>
  <c r="H1200" i="6"/>
  <c r="G1200" i="6"/>
  <c r="H1199" i="6"/>
  <c r="G1199" i="6"/>
  <c r="H1198" i="6"/>
  <c r="G1198" i="6"/>
  <c r="H1197" i="6"/>
  <c r="G1197" i="6"/>
  <c r="H1196" i="6"/>
  <c r="G1196" i="6"/>
  <c r="H1195" i="6"/>
  <c r="G1195" i="6"/>
  <c r="H1194" i="6"/>
  <c r="G1194" i="6"/>
  <c r="H1193" i="6"/>
  <c r="G1193" i="6"/>
  <c r="H1192" i="6"/>
  <c r="G1192" i="6"/>
  <c r="H1191" i="6"/>
  <c r="G1191" i="6"/>
  <c r="H1190" i="6"/>
  <c r="G1190" i="6"/>
  <c r="H1189" i="6"/>
  <c r="G1189" i="6"/>
  <c r="H1188" i="6"/>
  <c r="G1188" i="6"/>
  <c r="H1187" i="6"/>
  <c r="G1187" i="6"/>
  <c r="H1186" i="6"/>
  <c r="G1186" i="6"/>
  <c r="H1185" i="6"/>
  <c r="G1185" i="6"/>
  <c r="H1184" i="6"/>
  <c r="G1184" i="6"/>
  <c r="H1183" i="6"/>
  <c r="G1183" i="6"/>
  <c r="H1182" i="6"/>
  <c r="G1182" i="6"/>
  <c r="H1181" i="6"/>
  <c r="G1181" i="6"/>
  <c r="H1180" i="6"/>
  <c r="G1180" i="6"/>
  <c r="H1179" i="6"/>
  <c r="G1179" i="6"/>
  <c r="H1178" i="6"/>
  <c r="G1178" i="6"/>
  <c r="H1177" i="6"/>
  <c r="G1177" i="6"/>
  <c r="H1176" i="6"/>
  <c r="G1176" i="6"/>
  <c r="H1175" i="6"/>
  <c r="G1175" i="6"/>
  <c r="H1174" i="6"/>
  <c r="G1174" i="6"/>
  <c r="H1173" i="6"/>
  <c r="G1173" i="6"/>
  <c r="H1172" i="6"/>
  <c r="G1172" i="6"/>
  <c r="H1171" i="6"/>
  <c r="G1171" i="6"/>
  <c r="H1170" i="6"/>
  <c r="G1170" i="6"/>
  <c r="H1169" i="6"/>
  <c r="G1169" i="6"/>
  <c r="H1168" i="6"/>
  <c r="G1168" i="6"/>
  <c r="H1167" i="6"/>
  <c r="G1167" i="6"/>
  <c r="H1166" i="6"/>
  <c r="G1166" i="6"/>
  <c r="H1165" i="6"/>
  <c r="G1165" i="6"/>
  <c r="H1164" i="6"/>
  <c r="G1164" i="6"/>
  <c r="H1163" i="6"/>
  <c r="G1163" i="6"/>
  <c r="H1162" i="6"/>
  <c r="G1162" i="6"/>
  <c r="H1161" i="6"/>
  <c r="G1161" i="6"/>
  <c r="H1160" i="6"/>
  <c r="G1160" i="6"/>
  <c r="H1159" i="6"/>
  <c r="G1159" i="6"/>
  <c r="H1158" i="6"/>
  <c r="G1158" i="6"/>
  <c r="H1157" i="6"/>
  <c r="G1157" i="6"/>
  <c r="H1156" i="6"/>
  <c r="G1156" i="6"/>
  <c r="H1155" i="6"/>
  <c r="G1155" i="6"/>
  <c r="H1154" i="6"/>
  <c r="G1154" i="6"/>
  <c r="H1153" i="6"/>
  <c r="G1153" i="6"/>
  <c r="H1152" i="6"/>
  <c r="G1152" i="6"/>
  <c r="H1151" i="6"/>
  <c r="G1151" i="6"/>
  <c r="H1150" i="6"/>
  <c r="G1150" i="6"/>
  <c r="H1149" i="6"/>
  <c r="G1149" i="6"/>
  <c r="H1148" i="6"/>
  <c r="G1148" i="6"/>
  <c r="H1147" i="6"/>
  <c r="G1147" i="6"/>
  <c r="H1146" i="6"/>
  <c r="G1146" i="6"/>
  <c r="H1145" i="6"/>
  <c r="G1145" i="6"/>
  <c r="H1144" i="6"/>
  <c r="G1144" i="6"/>
  <c r="H1143" i="6"/>
  <c r="G1143" i="6"/>
  <c r="H1142" i="6"/>
  <c r="G1142" i="6"/>
  <c r="H1141" i="6"/>
  <c r="G1141" i="6"/>
  <c r="H1140" i="6"/>
  <c r="G1140" i="6"/>
  <c r="H1139" i="6"/>
  <c r="G1139" i="6"/>
  <c r="H1138" i="6"/>
  <c r="G1138" i="6"/>
  <c r="H1137" i="6"/>
  <c r="G1137" i="6"/>
  <c r="H1136" i="6"/>
  <c r="G1136" i="6"/>
  <c r="H1135" i="6"/>
  <c r="G1135" i="6"/>
  <c r="H1134" i="6"/>
  <c r="G1134" i="6"/>
  <c r="H1133" i="6"/>
  <c r="G1133" i="6"/>
  <c r="H1132" i="6"/>
  <c r="G1132" i="6"/>
  <c r="H1131" i="6"/>
  <c r="G1131" i="6"/>
  <c r="H1130" i="6"/>
  <c r="G1130" i="6"/>
  <c r="H1129" i="6"/>
  <c r="G1129" i="6"/>
  <c r="H1128" i="6"/>
  <c r="G1128" i="6"/>
  <c r="H1127" i="6"/>
  <c r="G1127" i="6"/>
  <c r="H1126" i="6"/>
  <c r="G1126" i="6"/>
  <c r="H1125" i="6"/>
  <c r="G1125" i="6"/>
  <c r="H1124" i="6"/>
  <c r="G1124" i="6"/>
  <c r="H1123" i="6"/>
  <c r="G1123" i="6"/>
  <c r="H1122" i="6"/>
  <c r="G1122" i="6"/>
  <c r="H1121" i="6"/>
  <c r="G1121" i="6"/>
  <c r="H1120" i="6"/>
  <c r="G1120" i="6"/>
  <c r="H1119" i="6"/>
  <c r="G1119" i="6"/>
  <c r="H1118" i="6"/>
  <c r="G1118" i="6"/>
  <c r="H1117" i="6"/>
  <c r="G1117" i="6"/>
  <c r="H1116" i="6"/>
  <c r="G1116" i="6"/>
  <c r="H1115" i="6"/>
  <c r="G1115" i="6"/>
  <c r="H1114" i="6"/>
  <c r="G1114" i="6"/>
  <c r="H1113" i="6"/>
  <c r="G1113" i="6"/>
  <c r="H1112" i="6"/>
  <c r="G1112" i="6"/>
  <c r="H1111" i="6"/>
  <c r="G1111" i="6"/>
  <c r="H1110" i="6"/>
  <c r="G1110" i="6"/>
  <c r="H1109" i="6"/>
  <c r="G1109" i="6"/>
  <c r="H1108" i="6"/>
  <c r="G1108" i="6"/>
  <c r="H1107" i="6"/>
  <c r="G1107" i="6"/>
  <c r="H1106" i="6"/>
  <c r="G1106" i="6"/>
  <c r="H1105" i="6"/>
  <c r="G1105" i="6"/>
  <c r="H1104" i="6"/>
  <c r="G1104" i="6"/>
  <c r="H1103" i="6"/>
  <c r="G1103" i="6"/>
  <c r="H1102" i="6"/>
  <c r="G1102" i="6"/>
  <c r="H1101" i="6"/>
  <c r="G1101" i="6"/>
  <c r="H1100" i="6"/>
  <c r="G1100" i="6"/>
  <c r="H1099" i="6"/>
  <c r="G1099" i="6"/>
  <c r="H1098" i="6"/>
  <c r="G1098" i="6"/>
  <c r="H1097" i="6"/>
  <c r="G1097" i="6"/>
  <c r="H1096" i="6"/>
  <c r="G1096" i="6"/>
  <c r="H1095" i="6"/>
  <c r="G1095" i="6"/>
  <c r="H1094" i="6"/>
  <c r="G1094" i="6"/>
  <c r="H1093" i="6"/>
  <c r="G1093" i="6"/>
  <c r="H1092" i="6"/>
  <c r="G1092" i="6"/>
  <c r="H1091" i="6"/>
  <c r="G1091" i="6"/>
  <c r="H1090" i="6"/>
  <c r="G1090" i="6"/>
  <c r="H1089" i="6"/>
  <c r="G1089" i="6"/>
  <c r="H1088" i="6"/>
  <c r="G1088" i="6"/>
  <c r="H1087" i="6"/>
  <c r="G1087" i="6"/>
  <c r="H1086" i="6"/>
  <c r="G1086" i="6"/>
  <c r="H1085" i="6"/>
  <c r="G1085" i="6"/>
  <c r="H1084" i="6"/>
  <c r="G1084" i="6"/>
  <c r="H1083" i="6"/>
  <c r="G1083" i="6"/>
  <c r="H1082" i="6"/>
  <c r="G1082" i="6"/>
  <c r="H1081" i="6"/>
  <c r="G1081" i="6"/>
  <c r="H1080" i="6"/>
  <c r="G1080" i="6"/>
  <c r="H1079" i="6"/>
  <c r="G1079" i="6"/>
  <c r="H1078" i="6"/>
  <c r="G1078" i="6"/>
  <c r="H1077" i="6"/>
  <c r="G1077" i="6"/>
  <c r="H1076" i="6"/>
  <c r="G1076" i="6"/>
  <c r="H1075" i="6"/>
  <c r="G1075" i="6"/>
  <c r="H1074" i="6"/>
  <c r="G1074" i="6"/>
  <c r="H1073" i="6"/>
  <c r="G1073" i="6"/>
  <c r="H1072" i="6"/>
  <c r="G1072" i="6"/>
  <c r="H1071" i="6"/>
  <c r="G1071" i="6"/>
  <c r="H1070" i="6"/>
  <c r="G1070" i="6"/>
  <c r="H1069" i="6"/>
  <c r="G1069" i="6"/>
  <c r="H1068" i="6"/>
  <c r="G1068" i="6"/>
  <c r="H1067" i="6"/>
  <c r="G1067" i="6"/>
  <c r="H1066" i="6"/>
  <c r="G1066" i="6"/>
  <c r="H1065" i="6"/>
  <c r="G1065" i="6"/>
  <c r="H1064" i="6"/>
  <c r="G1064" i="6"/>
  <c r="H1063" i="6"/>
  <c r="G1063" i="6"/>
  <c r="H1062" i="6"/>
  <c r="G1062" i="6"/>
  <c r="H1061" i="6"/>
  <c r="G1061" i="6"/>
  <c r="H1060" i="6"/>
  <c r="G1060" i="6"/>
  <c r="H1059" i="6"/>
  <c r="G1059" i="6"/>
  <c r="H1058" i="6"/>
  <c r="G1058" i="6"/>
  <c r="H1057" i="6"/>
  <c r="G1057" i="6"/>
  <c r="H1056" i="6"/>
  <c r="G1056" i="6"/>
  <c r="H1055" i="6"/>
  <c r="G1055" i="6"/>
  <c r="H1054" i="6"/>
  <c r="G1054" i="6"/>
  <c r="H1053" i="6"/>
  <c r="G1053" i="6"/>
  <c r="H1052" i="6"/>
  <c r="G1052" i="6"/>
  <c r="H1051" i="6"/>
  <c r="G1051" i="6"/>
  <c r="H1050" i="6"/>
  <c r="G1050" i="6"/>
  <c r="H1049" i="6"/>
  <c r="G1049" i="6"/>
  <c r="H1048" i="6"/>
  <c r="G1048" i="6"/>
  <c r="H1047" i="6"/>
  <c r="G1047" i="6"/>
  <c r="H1046" i="6"/>
  <c r="G1046" i="6"/>
  <c r="H1045" i="6"/>
  <c r="G1045" i="6"/>
  <c r="H1044" i="6"/>
  <c r="G1044" i="6"/>
  <c r="H1043" i="6"/>
  <c r="G1043" i="6"/>
  <c r="H1042" i="6"/>
  <c r="G1042" i="6"/>
  <c r="H1041" i="6"/>
  <c r="G1041" i="6"/>
  <c r="H1040" i="6"/>
  <c r="G1040" i="6"/>
  <c r="H1039" i="6"/>
  <c r="G1039" i="6"/>
  <c r="H1038" i="6"/>
  <c r="G1038" i="6"/>
  <c r="H1037" i="6"/>
  <c r="G1037" i="6"/>
  <c r="H1036" i="6"/>
  <c r="G1036" i="6"/>
  <c r="H1035" i="6"/>
  <c r="G1035" i="6"/>
  <c r="H1034" i="6"/>
  <c r="G1034" i="6"/>
  <c r="H1033" i="6"/>
  <c r="G1033" i="6"/>
  <c r="H1032" i="6"/>
  <c r="G1032" i="6"/>
  <c r="H1031" i="6"/>
  <c r="G1031" i="6"/>
  <c r="H1030" i="6"/>
  <c r="G1030" i="6"/>
  <c r="H1029" i="6"/>
  <c r="G1029" i="6"/>
  <c r="H1028" i="6"/>
  <c r="G1028" i="6"/>
  <c r="H1027" i="6"/>
  <c r="G1027" i="6"/>
  <c r="H1026" i="6"/>
  <c r="G1026" i="6"/>
  <c r="H1025" i="6"/>
  <c r="G1025" i="6"/>
  <c r="H1024" i="6"/>
  <c r="G1024" i="6"/>
  <c r="H1023" i="6"/>
  <c r="G1023" i="6"/>
  <c r="H1022" i="6"/>
  <c r="G1022" i="6"/>
  <c r="H1021" i="6"/>
  <c r="G1021" i="6"/>
  <c r="H1020" i="6"/>
  <c r="G1020" i="6"/>
  <c r="H1019" i="6"/>
  <c r="G1019" i="6"/>
  <c r="H1018" i="6"/>
  <c r="G1018" i="6"/>
  <c r="H1017" i="6"/>
  <c r="G1017" i="6"/>
  <c r="H1016" i="6"/>
  <c r="G1016" i="6"/>
  <c r="H1015" i="6"/>
  <c r="G1015" i="6"/>
  <c r="H1014" i="6"/>
  <c r="G1014" i="6"/>
  <c r="H1013" i="6"/>
  <c r="G1013" i="6"/>
  <c r="H1012" i="6"/>
  <c r="G1012" i="6"/>
  <c r="H1011" i="6"/>
  <c r="G1011" i="6"/>
  <c r="H1010" i="6"/>
  <c r="G1010" i="6"/>
  <c r="H1009" i="6"/>
  <c r="G1009" i="6"/>
  <c r="H1008" i="6"/>
  <c r="G1008" i="6"/>
  <c r="H1007" i="6"/>
  <c r="G1007" i="6"/>
  <c r="H1006" i="6"/>
  <c r="G1006" i="6"/>
  <c r="H1005" i="6"/>
  <c r="G1005" i="6"/>
  <c r="H1004" i="6"/>
  <c r="G1004" i="6"/>
  <c r="H1003" i="6"/>
  <c r="G1003" i="6"/>
  <c r="H1002" i="6"/>
  <c r="G1002" i="6"/>
  <c r="H1001" i="6"/>
  <c r="G1001" i="6"/>
  <c r="H1000" i="6"/>
  <c r="G1000" i="6"/>
  <c r="H999" i="6"/>
  <c r="G999" i="6"/>
  <c r="H998" i="6"/>
  <c r="G998" i="6"/>
  <c r="H997" i="6"/>
  <c r="G997" i="6"/>
  <c r="H996" i="6"/>
  <c r="G996" i="6"/>
  <c r="H995" i="6"/>
  <c r="G995" i="6"/>
  <c r="H994" i="6"/>
  <c r="G994" i="6"/>
  <c r="H993" i="6"/>
  <c r="G993" i="6"/>
  <c r="H992" i="6"/>
  <c r="G992" i="6"/>
  <c r="H991" i="6"/>
  <c r="G991" i="6"/>
  <c r="H990" i="6"/>
  <c r="G990" i="6"/>
  <c r="H989" i="6"/>
  <c r="G989" i="6"/>
  <c r="H988" i="6"/>
  <c r="G988" i="6"/>
  <c r="H987" i="6"/>
  <c r="G987" i="6"/>
  <c r="H986" i="6"/>
  <c r="G986" i="6"/>
  <c r="H985" i="6"/>
  <c r="G985" i="6"/>
  <c r="H984" i="6"/>
  <c r="G984" i="6"/>
  <c r="H983" i="6"/>
  <c r="G983" i="6"/>
  <c r="H982" i="6"/>
  <c r="G982" i="6"/>
  <c r="H981" i="6"/>
  <c r="G981" i="6"/>
  <c r="H980" i="6"/>
  <c r="G980" i="6"/>
  <c r="H979" i="6"/>
  <c r="G979" i="6"/>
  <c r="H978" i="6"/>
  <c r="G978" i="6"/>
  <c r="H977" i="6"/>
  <c r="G977" i="6"/>
  <c r="H976" i="6"/>
  <c r="G976" i="6"/>
  <c r="H975" i="6"/>
  <c r="G975" i="6"/>
  <c r="H974" i="6"/>
  <c r="G974" i="6"/>
  <c r="H973" i="6"/>
  <c r="G973" i="6"/>
  <c r="H972" i="6"/>
  <c r="G972" i="6"/>
  <c r="H971" i="6"/>
  <c r="G971" i="6"/>
  <c r="H970" i="6"/>
  <c r="G970" i="6"/>
  <c r="H969" i="6"/>
  <c r="G969" i="6"/>
  <c r="H968" i="6"/>
  <c r="G968" i="6"/>
  <c r="H967" i="6"/>
  <c r="G967" i="6"/>
  <c r="H966" i="6"/>
  <c r="G966" i="6"/>
  <c r="H965" i="6"/>
  <c r="G965" i="6"/>
  <c r="H964" i="6"/>
  <c r="G964" i="6"/>
  <c r="H963" i="6"/>
  <c r="G963" i="6"/>
  <c r="H962" i="6"/>
  <c r="G962" i="6"/>
  <c r="H961" i="6"/>
  <c r="G961" i="6"/>
  <c r="H960" i="6"/>
  <c r="G960" i="6"/>
  <c r="H959" i="6"/>
  <c r="G959" i="6"/>
  <c r="H958" i="6"/>
  <c r="G958" i="6"/>
  <c r="H957" i="6"/>
  <c r="G957" i="6"/>
  <c r="H956" i="6"/>
  <c r="G956" i="6"/>
  <c r="H955" i="6"/>
  <c r="G955" i="6"/>
  <c r="H954" i="6"/>
  <c r="G954" i="6"/>
  <c r="H953" i="6"/>
  <c r="G953" i="6"/>
  <c r="H952" i="6"/>
  <c r="G952" i="6"/>
  <c r="H951" i="6"/>
  <c r="G951" i="6"/>
  <c r="H950" i="6"/>
  <c r="G950" i="6"/>
  <c r="H949" i="6"/>
  <c r="G949" i="6"/>
  <c r="H948" i="6"/>
  <c r="G948" i="6"/>
  <c r="H947" i="6"/>
  <c r="G947" i="6"/>
  <c r="H946" i="6"/>
  <c r="G946" i="6"/>
  <c r="H945" i="6"/>
  <c r="G945" i="6"/>
  <c r="H944" i="6"/>
  <c r="G944" i="6"/>
  <c r="H943" i="6"/>
  <c r="G943" i="6"/>
  <c r="H942" i="6"/>
  <c r="G942" i="6"/>
  <c r="H941" i="6"/>
  <c r="G941" i="6"/>
  <c r="H940" i="6"/>
  <c r="G940" i="6"/>
  <c r="H939" i="6"/>
  <c r="G939" i="6"/>
  <c r="H938" i="6"/>
  <c r="G938" i="6"/>
  <c r="H937" i="6"/>
  <c r="G937" i="6"/>
  <c r="H936" i="6"/>
  <c r="G936" i="6"/>
  <c r="H935" i="6"/>
  <c r="G935" i="6"/>
  <c r="H934" i="6"/>
  <c r="G934" i="6"/>
  <c r="H933" i="6"/>
  <c r="G933" i="6"/>
  <c r="H932" i="6"/>
  <c r="G932" i="6"/>
  <c r="H931" i="6"/>
  <c r="G931" i="6"/>
  <c r="H930" i="6"/>
  <c r="G930" i="6"/>
  <c r="H929" i="6"/>
  <c r="G929" i="6"/>
  <c r="H928" i="6"/>
  <c r="G928" i="6"/>
  <c r="H927" i="6"/>
  <c r="G927" i="6"/>
  <c r="H926" i="6"/>
  <c r="G926" i="6"/>
  <c r="H925" i="6"/>
  <c r="G925" i="6"/>
  <c r="H924" i="6"/>
  <c r="G924" i="6"/>
  <c r="H923" i="6"/>
  <c r="G923" i="6"/>
  <c r="H922" i="6"/>
  <c r="G922" i="6"/>
  <c r="H921" i="6"/>
  <c r="G921" i="6"/>
  <c r="H920" i="6"/>
  <c r="G920" i="6"/>
  <c r="H919" i="6"/>
  <c r="G919" i="6"/>
  <c r="H918" i="6"/>
  <c r="G918" i="6"/>
  <c r="H917" i="6"/>
  <c r="G917" i="6"/>
  <c r="H916" i="6"/>
  <c r="G916" i="6"/>
  <c r="H915" i="6"/>
  <c r="G915" i="6"/>
  <c r="H914" i="6"/>
  <c r="G914" i="6"/>
  <c r="H913" i="6"/>
  <c r="G913" i="6"/>
  <c r="H912" i="6"/>
  <c r="G912" i="6"/>
  <c r="H911" i="6"/>
  <c r="G911" i="6"/>
  <c r="H910" i="6"/>
  <c r="G910" i="6"/>
  <c r="H909" i="6"/>
  <c r="G909" i="6"/>
  <c r="H908" i="6"/>
  <c r="G908" i="6"/>
  <c r="H907" i="6"/>
  <c r="G907" i="6"/>
  <c r="H906" i="6"/>
  <c r="G906" i="6"/>
  <c r="H905" i="6"/>
  <c r="G905" i="6"/>
  <c r="H904" i="6"/>
  <c r="G904" i="6"/>
  <c r="H903" i="6"/>
  <c r="G903" i="6"/>
  <c r="H902" i="6"/>
  <c r="G902" i="6"/>
  <c r="H901" i="6"/>
  <c r="G901" i="6"/>
  <c r="H900" i="6"/>
  <c r="G900" i="6"/>
  <c r="H899" i="6"/>
  <c r="G899" i="6"/>
  <c r="H898" i="6"/>
  <c r="G898" i="6"/>
  <c r="H897" i="6"/>
  <c r="G897" i="6"/>
  <c r="H896" i="6"/>
  <c r="G896" i="6"/>
  <c r="H895" i="6"/>
  <c r="G895" i="6"/>
  <c r="H894" i="6"/>
  <c r="G894" i="6"/>
  <c r="H893" i="6"/>
  <c r="G893" i="6"/>
  <c r="H892" i="6"/>
  <c r="G892" i="6"/>
  <c r="H891" i="6"/>
  <c r="G891" i="6"/>
  <c r="H890" i="6"/>
  <c r="G890" i="6"/>
  <c r="H889" i="6"/>
  <c r="G889" i="6"/>
  <c r="H888" i="6"/>
  <c r="G888" i="6"/>
  <c r="H887" i="6"/>
  <c r="G887" i="6"/>
  <c r="H886" i="6"/>
  <c r="G886" i="6"/>
  <c r="H885" i="6"/>
  <c r="G885" i="6"/>
  <c r="H884" i="6"/>
  <c r="G884" i="6"/>
  <c r="H883" i="6"/>
  <c r="G883" i="6"/>
  <c r="H882" i="6"/>
  <c r="G882" i="6"/>
  <c r="H881" i="6"/>
  <c r="G881" i="6"/>
  <c r="H880" i="6"/>
  <c r="G880" i="6"/>
  <c r="H879" i="6"/>
  <c r="G879" i="6"/>
  <c r="H878" i="6"/>
  <c r="G878" i="6"/>
  <c r="H877" i="6"/>
  <c r="G877" i="6"/>
  <c r="H876" i="6"/>
  <c r="G876" i="6"/>
  <c r="H875" i="6"/>
  <c r="G875" i="6"/>
  <c r="H874" i="6"/>
  <c r="G874" i="6"/>
  <c r="H873" i="6"/>
  <c r="G873" i="6"/>
  <c r="H872" i="6"/>
  <c r="G872" i="6"/>
  <c r="H871" i="6"/>
  <c r="G871" i="6"/>
  <c r="H870" i="6"/>
  <c r="G870" i="6"/>
  <c r="H869" i="6"/>
  <c r="G869" i="6"/>
  <c r="H868" i="6"/>
  <c r="G868" i="6"/>
  <c r="H867" i="6"/>
  <c r="G867" i="6"/>
  <c r="H866" i="6"/>
  <c r="G866" i="6"/>
  <c r="H865" i="6"/>
  <c r="G865" i="6"/>
  <c r="H864" i="6"/>
  <c r="G864" i="6"/>
  <c r="H863" i="6"/>
  <c r="G863" i="6"/>
  <c r="H862" i="6"/>
  <c r="G862" i="6"/>
  <c r="H861" i="6"/>
  <c r="G861" i="6"/>
  <c r="H860" i="6"/>
  <c r="G860" i="6"/>
  <c r="H859" i="6"/>
  <c r="G859" i="6"/>
  <c r="H858" i="6"/>
  <c r="G858" i="6"/>
  <c r="H857" i="6"/>
  <c r="G857" i="6"/>
  <c r="H856" i="6"/>
  <c r="G856" i="6"/>
  <c r="H855" i="6"/>
  <c r="G855" i="6"/>
  <c r="H854" i="6"/>
  <c r="G854" i="6"/>
  <c r="H853" i="6"/>
  <c r="G853" i="6"/>
  <c r="H852" i="6"/>
  <c r="G852" i="6"/>
  <c r="H851" i="6"/>
  <c r="G851" i="6"/>
  <c r="H850" i="6"/>
  <c r="G850" i="6"/>
  <c r="H849" i="6"/>
  <c r="G849" i="6"/>
  <c r="H848" i="6"/>
  <c r="G848" i="6"/>
  <c r="H847" i="6"/>
  <c r="G847" i="6"/>
  <c r="H846" i="6"/>
  <c r="G846" i="6"/>
  <c r="H845" i="6"/>
  <c r="G845" i="6"/>
  <c r="H844" i="6"/>
  <c r="G844" i="6"/>
  <c r="H843" i="6"/>
  <c r="G843" i="6"/>
  <c r="H842" i="6"/>
  <c r="G842" i="6"/>
  <c r="H841" i="6"/>
  <c r="G841" i="6"/>
  <c r="H840" i="6"/>
  <c r="G840" i="6"/>
  <c r="H839" i="6"/>
  <c r="G839" i="6"/>
  <c r="H838" i="6"/>
  <c r="G838" i="6"/>
  <c r="H837" i="6"/>
  <c r="G837" i="6"/>
  <c r="H836" i="6"/>
  <c r="G836" i="6"/>
  <c r="H835" i="6"/>
  <c r="G835" i="6"/>
  <c r="H834" i="6"/>
  <c r="G834" i="6"/>
  <c r="H833" i="6"/>
  <c r="G833" i="6"/>
  <c r="H832" i="6"/>
  <c r="G832" i="6"/>
  <c r="H831" i="6"/>
  <c r="G831" i="6"/>
  <c r="H830" i="6"/>
  <c r="G830" i="6"/>
  <c r="H829" i="6"/>
  <c r="G829" i="6"/>
  <c r="H828" i="6"/>
  <c r="G828" i="6"/>
  <c r="H827" i="6"/>
  <c r="G827" i="6"/>
  <c r="H826" i="6"/>
  <c r="G826" i="6"/>
  <c r="H825" i="6"/>
  <c r="G825" i="6"/>
  <c r="H824" i="6"/>
  <c r="G824" i="6"/>
  <c r="H823" i="6"/>
  <c r="G823" i="6"/>
  <c r="H822" i="6"/>
  <c r="G822" i="6"/>
  <c r="H821" i="6"/>
  <c r="G821" i="6"/>
  <c r="H820" i="6"/>
  <c r="G820" i="6"/>
  <c r="H819" i="6"/>
  <c r="G819" i="6"/>
  <c r="H818" i="6"/>
  <c r="G818" i="6"/>
  <c r="H817" i="6"/>
  <c r="G817" i="6"/>
  <c r="H816" i="6"/>
  <c r="G816" i="6"/>
  <c r="H815" i="6"/>
  <c r="G815" i="6"/>
  <c r="H814" i="6"/>
  <c r="G814" i="6"/>
  <c r="H813" i="6"/>
  <c r="G813" i="6"/>
  <c r="H812" i="6"/>
  <c r="G812" i="6"/>
  <c r="H811" i="6"/>
  <c r="G811" i="6"/>
  <c r="H810" i="6"/>
  <c r="G810" i="6"/>
  <c r="H809" i="6"/>
  <c r="G809" i="6"/>
  <c r="H808" i="6"/>
  <c r="G808" i="6"/>
  <c r="H807" i="6"/>
  <c r="G807" i="6"/>
  <c r="H806" i="6"/>
  <c r="G806" i="6"/>
  <c r="H805" i="6"/>
  <c r="G805" i="6"/>
  <c r="H804" i="6"/>
  <c r="G804" i="6"/>
  <c r="H803" i="6"/>
  <c r="G803" i="6"/>
  <c r="H802" i="6"/>
  <c r="G802" i="6"/>
  <c r="H801" i="6"/>
  <c r="G801" i="6"/>
  <c r="H800" i="6"/>
  <c r="G800" i="6"/>
  <c r="H799" i="6"/>
  <c r="G799" i="6"/>
  <c r="H798" i="6"/>
  <c r="G798" i="6"/>
  <c r="H797" i="6"/>
  <c r="G797" i="6"/>
  <c r="H796" i="6"/>
  <c r="G796" i="6"/>
  <c r="H795" i="6"/>
  <c r="G795" i="6"/>
  <c r="H794" i="6"/>
  <c r="G794" i="6"/>
  <c r="H793" i="6"/>
  <c r="G793" i="6"/>
  <c r="H792" i="6"/>
  <c r="G792" i="6"/>
  <c r="H791" i="6"/>
  <c r="G791" i="6"/>
  <c r="H790" i="6"/>
  <c r="G790" i="6"/>
  <c r="H789" i="6"/>
  <c r="G789" i="6"/>
  <c r="H788" i="6"/>
  <c r="G788" i="6"/>
  <c r="H787" i="6"/>
  <c r="G787" i="6"/>
  <c r="H786" i="6"/>
  <c r="G786" i="6"/>
  <c r="H785" i="6"/>
  <c r="G785" i="6"/>
  <c r="H784" i="6"/>
  <c r="G784" i="6"/>
  <c r="H783" i="6"/>
  <c r="G783" i="6"/>
  <c r="H782" i="6"/>
  <c r="G782" i="6"/>
  <c r="H781" i="6"/>
  <c r="G781" i="6"/>
  <c r="H780" i="6"/>
  <c r="G780" i="6"/>
  <c r="H779" i="6"/>
  <c r="G779" i="6"/>
  <c r="H778" i="6"/>
  <c r="G778" i="6"/>
  <c r="H777" i="6"/>
  <c r="G777" i="6"/>
  <c r="H776" i="6"/>
  <c r="G776" i="6"/>
  <c r="H775" i="6"/>
  <c r="G775" i="6"/>
  <c r="H774" i="6"/>
  <c r="G774" i="6"/>
  <c r="H773" i="6"/>
  <c r="G773" i="6"/>
  <c r="H772" i="6"/>
  <c r="G772" i="6"/>
  <c r="H771" i="6"/>
  <c r="G771" i="6"/>
  <c r="H770" i="6"/>
  <c r="G770" i="6"/>
  <c r="H769" i="6"/>
  <c r="G769" i="6"/>
  <c r="H768" i="6"/>
  <c r="G768" i="6"/>
  <c r="H767" i="6"/>
  <c r="G767" i="6"/>
  <c r="H766" i="6"/>
  <c r="G766" i="6"/>
  <c r="H765" i="6"/>
  <c r="G765" i="6"/>
  <c r="H764" i="6"/>
  <c r="G764" i="6"/>
  <c r="H763" i="6"/>
  <c r="G763" i="6"/>
  <c r="H762" i="6"/>
  <c r="G762" i="6"/>
  <c r="H761" i="6"/>
  <c r="G761" i="6"/>
  <c r="H760" i="6"/>
  <c r="G760" i="6"/>
  <c r="H759" i="6"/>
  <c r="G759" i="6"/>
  <c r="H758" i="6"/>
  <c r="G758" i="6"/>
  <c r="H757" i="6"/>
  <c r="G757" i="6"/>
  <c r="H756" i="6"/>
  <c r="G756" i="6"/>
  <c r="H755" i="6"/>
  <c r="G755" i="6"/>
  <c r="H754" i="6"/>
  <c r="G754" i="6"/>
  <c r="H753" i="6"/>
  <c r="G753" i="6"/>
  <c r="H752" i="6"/>
  <c r="G752" i="6"/>
  <c r="H751" i="6"/>
  <c r="G751" i="6"/>
  <c r="H750" i="6"/>
  <c r="G750" i="6"/>
  <c r="H749" i="6"/>
  <c r="G749" i="6"/>
  <c r="H748" i="6"/>
  <c r="G748" i="6"/>
  <c r="H747" i="6"/>
  <c r="G747" i="6"/>
  <c r="H746" i="6"/>
  <c r="G746" i="6"/>
  <c r="H745" i="6"/>
  <c r="G745" i="6"/>
  <c r="H744" i="6"/>
  <c r="G744" i="6"/>
  <c r="H743" i="6"/>
  <c r="G743" i="6"/>
  <c r="H742" i="6"/>
  <c r="G742" i="6"/>
  <c r="H741" i="6"/>
  <c r="G741" i="6"/>
  <c r="H740" i="6"/>
  <c r="G740" i="6"/>
  <c r="H739" i="6"/>
  <c r="G739" i="6"/>
  <c r="H738" i="6"/>
  <c r="G738" i="6"/>
  <c r="H737" i="6"/>
  <c r="G737" i="6"/>
  <c r="H736" i="6"/>
  <c r="G736" i="6"/>
  <c r="H735" i="6"/>
  <c r="G735" i="6"/>
  <c r="H734" i="6"/>
  <c r="G734" i="6"/>
  <c r="H733" i="6"/>
  <c r="G733" i="6"/>
  <c r="H732" i="6"/>
  <c r="G732" i="6"/>
  <c r="H731" i="6"/>
  <c r="G731" i="6"/>
  <c r="H730" i="6"/>
  <c r="G730" i="6"/>
  <c r="H729" i="6"/>
  <c r="G729" i="6"/>
  <c r="H728" i="6"/>
  <c r="G728" i="6"/>
  <c r="H727" i="6"/>
  <c r="G727" i="6"/>
  <c r="H726" i="6"/>
  <c r="G726" i="6"/>
  <c r="H725" i="6"/>
  <c r="G725" i="6"/>
  <c r="H724" i="6"/>
  <c r="G724" i="6"/>
  <c r="H723" i="6"/>
  <c r="G723" i="6"/>
  <c r="H722" i="6"/>
  <c r="G722" i="6"/>
  <c r="H721" i="6"/>
  <c r="G721" i="6"/>
  <c r="H720" i="6"/>
  <c r="G720" i="6"/>
  <c r="H719" i="6"/>
  <c r="G719" i="6"/>
  <c r="H718" i="6"/>
  <c r="G718" i="6"/>
  <c r="H717" i="6"/>
  <c r="G717" i="6"/>
  <c r="H716" i="6"/>
  <c r="G716" i="6"/>
  <c r="H715" i="6"/>
  <c r="G715" i="6"/>
  <c r="H714" i="6"/>
  <c r="G714" i="6"/>
  <c r="H713" i="6"/>
  <c r="G713" i="6"/>
  <c r="H712" i="6"/>
  <c r="G712" i="6"/>
  <c r="H711" i="6"/>
  <c r="G711" i="6"/>
  <c r="H710" i="6"/>
  <c r="G710" i="6"/>
  <c r="H709" i="6"/>
  <c r="G709" i="6"/>
  <c r="H708" i="6"/>
  <c r="G708" i="6"/>
  <c r="H707" i="6"/>
  <c r="G707" i="6"/>
  <c r="H706" i="6"/>
  <c r="G706" i="6"/>
  <c r="H705" i="6"/>
  <c r="G705" i="6"/>
  <c r="H704" i="6"/>
  <c r="G704" i="6"/>
  <c r="H703" i="6"/>
  <c r="G703" i="6"/>
  <c r="H702" i="6"/>
  <c r="G702" i="6"/>
  <c r="H701" i="6"/>
  <c r="G701" i="6"/>
  <c r="H700" i="6"/>
  <c r="G700" i="6"/>
  <c r="H699" i="6"/>
  <c r="G699" i="6"/>
  <c r="H698" i="6"/>
  <c r="G698" i="6"/>
  <c r="H697" i="6"/>
  <c r="G697" i="6"/>
  <c r="H696" i="6"/>
  <c r="G696" i="6"/>
  <c r="H695" i="6"/>
  <c r="G695" i="6"/>
  <c r="H694" i="6"/>
  <c r="G694" i="6"/>
  <c r="H693" i="6"/>
  <c r="G693" i="6"/>
  <c r="H692" i="6"/>
  <c r="G692" i="6"/>
  <c r="H691" i="6"/>
  <c r="G691" i="6"/>
  <c r="H690" i="6"/>
  <c r="G690" i="6"/>
  <c r="H689" i="6"/>
  <c r="G689" i="6"/>
  <c r="H688" i="6"/>
  <c r="G688" i="6"/>
  <c r="H687" i="6"/>
  <c r="G687" i="6"/>
  <c r="H686" i="6"/>
  <c r="G686" i="6"/>
  <c r="H685" i="6"/>
  <c r="G685" i="6"/>
  <c r="H684" i="6"/>
  <c r="G684" i="6"/>
  <c r="H683" i="6"/>
  <c r="G683" i="6"/>
  <c r="H682" i="6"/>
  <c r="G682" i="6"/>
  <c r="H681" i="6"/>
  <c r="G681" i="6"/>
  <c r="H680" i="6"/>
  <c r="G680" i="6"/>
  <c r="H679" i="6"/>
  <c r="G679" i="6"/>
  <c r="H678" i="6"/>
  <c r="G678" i="6"/>
  <c r="H677" i="6"/>
  <c r="G677" i="6"/>
  <c r="H676" i="6"/>
  <c r="G676" i="6"/>
  <c r="H675" i="6"/>
  <c r="G675" i="6"/>
  <c r="H674" i="6"/>
  <c r="G674" i="6"/>
  <c r="H673" i="6"/>
  <c r="G673" i="6"/>
  <c r="H672" i="6"/>
  <c r="G672" i="6"/>
  <c r="H671" i="6"/>
  <c r="G671" i="6"/>
  <c r="H670" i="6"/>
  <c r="G670" i="6"/>
  <c r="H669" i="6"/>
  <c r="G669" i="6"/>
  <c r="H668" i="6"/>
  <c r="G668" i="6"/>
  <c r="H667" i="6"/>
  <c r="G667" i="6"/>
  <c r="H666" i="6"/>
  <c r="G666" i="6"/>
  <c r="H665" i="6"/>
  <c r="G665" i="6"/>
  <c r="H664" i="6"/>
  <c r="G664" i="6"/>
  <c r="H663" i="6"/>
  <c r="G663" i="6"/>
  <c r="H662" i="6"/>
  <c r="G662" i="6"/>
  <c r="H661" i="6"/>
  <c r="G661" i="6"/>
  <c r="H660" i="6"/>
  <c r="G660" i="6"/>
  <c r="H659" i="6"/>
  <c r="G659" i="6"/>
  <c r="H658" i="6"/>
  <c r="G658" i="6"/>
  <c r="H657" i="6"/>
  <c r="G657" i="6"/>
  <c r="H656" i="6"/>
  <c r="G656" i="6"/>
  <c r="H655" i="6"/>
  <c r="G655" i="6"/>
  <c r="H654" i="6"/>
  <c r="G654" i="6"/>
  <c r="H653" i="6"/>
  <c r="G653" i="6"/>
  <c r="H652" i="6"/>
  <c r="G652" i="6"/>
  <c r="H651" i="6"/>
  <c r="G651" i="6"/>
  <c r="H650" i="6"/>
  <c r="G650" i="6"/>
  <c r="H649" i="6"/>
  <c r="G649" i="6"/>
  <c r="H648" i="6"/>
  <c r="G648" i="6"/>
  <c r="H647" i="6"/>
  <c r="G647" i="6"/>
  <c r="H646" i="6"/>
  <c r="G646" i="6"/>
  <c r="H645" i="6"/>
  <c r="G645" i="6"/>
  <c r="H644" i="6"/>
  <c r="G644" i="6"/>
  <c r="H643" i="6"/>
  <c r="G643" i="6"/>
  <c r="H642" i="6"/>
  <c r="G642" i="6"/>
  <c r="H641" i="6"/>
  <c r="G641" i="6"/>
  <c r="H640" i="6"/>
  <c r="G640" i="6"/>
  <c r="H639" i="6"/>
  <c r="G639" i="6"/>
  <c r="H638" i="6"/>
  <c r="G638" i="6"/>
  <c r="H637" i="6"/>
  <c r="G637" i="6"/>
  <c r="H636" i="6"/>
  <c r="G636" i="6"/>
  <c r="H635" i="6"/>
  <c r="G635" i="6"/>
  <c r="H634" i="6"/>
  <c r="G634" i="6"/>
  <c r="H633" i="6"/>
  <c r="G633" i="6"/>
  <c r="H632" i="6"/>
  <c r="G632" i="6"/>
  <c r="H631" i="6"/>
  <c r="G631" i="6"/>
  <c r="H630" i="6"/>
  <c r="G630" i="6"/>
  <c r="H629" i="6"/>
  <c r="G629" i="6"/>
  <c r="H628" i="6"/>
  <c r="G628" i="6"/>
  <c r="H627" i="6"/>
  <c r="G627" i="6"/>
  <c r="H626" i="6"/>
  <c r="G626" i="6"/>
  <c r="H625" i="6"/>
  <c r="G625" i="6"/>
  <c r="H624" i="6"/>
  <c r="G624" i="6"/>
  <c r="H623" i="6"/>
  <c r="G623" i="6"/>
  <c r="H622" i="6"/>
  <c r="G622" i="6"/>
  <c r="H621" i="6"/>
  <c r="G621" i="6"/>
  <c r="H620" i="6"/>
  <c r="G620" i="6"/>
  <c r="H619" i="6"/>
  <c r="G619" i="6"/>
  <c r="H618" i="6"/>
  <c r="G618" i="6"/>
  <c r="H617" i="6"/>
  <c r="G617" i="6"/>
  <c r="H616" i="6"/>
  <c r="G616" i="6"/>
  <c r="H615" i="6"/>
  <c r="G615" i="6"/>
  <c r="H614" i="6"/>
  <c r="G614" i="6"/>
  <c r="H613" i="6"/>
  <c r="G613" i="6"/>
  <c r="H612" i="6"/>
  <c r="G612" i="6"/>
  <c r="H611" i="6"/>
  <c r="G611" i="6"/>
  <c r="H610" i="6"/>
  <c r="G610" i="6"/>
  <c r="H609" i="6"/>
  <c r="G609" i="6"/>
  <c r="H608" i="6"/>
  <c r="G608" i="6"/>
  <c r="H607" i="6"/>
  <c r="G607" i="6"/>
  <c r="H606" i="6"/>
  <c r="G606" i="6"/>
  <c r="H605" i="6"/>
  <c r="G605" i="6"/>
  <c r="H604" i="6"/>
  <c r="G604" i="6"/>
  <c r="H603" i="6"/>
  <c r="G603" i="6"/>
  <c r="H602" i="6"/>
  <c r="G602" i="6"/>
  <c r="H601" i="6"/>
  <c r="G601" i="6"/>
  <c r="H600" i="6"/>
  <c r="G600" i="6"/>
  <c r="H599" i="6"/>
  <c r="G599" i="6"/>
  <c r="H598" i="6"/>
  <c r="G598" i="6"/>
  <c r="H597" i="6"/>
  <c r="G597" i="6"/>
  <c r="H596" i="6"/>
  <c r="G596" i="6"/>
  <c r="H595" i="6"/>
  <c r="G595" i="6"/>
  <c r="H594" i="6"/>
  <c r="G594" i="6"/>
  <c r="H593" i="6"/>
  <c r="G593" i="6"/>
  <c r="H592" i="6"/>
  <c r="G592" i="6"/>
  <c r="H591" i="6"/>
  <c r="G591" i="6"/>
  <c r="H590" i="6"/>
  <c r="G590" i="6"/>
  <c r="H589" i="6"/>
  <c r="G589" i="6"/>
  <c r="H588" i="6"/>
  <c r="G588" i="6"/>
  <c r="H587" i="6"/>
  <c r="G587" i="6"/>
  <c r="H586" i="6"/>
  <c r="G586" i="6"/>
  <c r="H585" i="6"/>
  <c r="G585" i="6"/>
  <c r="H584" i="6"/>
  <c r="G584" i="6"/>
  <c r="H583" i="6"/>
  <c r="G583" i="6"/>
  <c r="H582" i="6"/>
  <c r="G582" i="6"/>
  <c r="H581" i="6"/>
  <c r="G581" i="6"/>
  <c r="H580" i="6"/>
  <c r="G580" i="6"/>
  <c r="H579" i="6"/>
  <c r="G579" i="6"/>
  <c r="H578" i="6"/>
  <c r="G578" i="6"/>
  <c r="H577" i="6"/>
  <c r="G577" i="6"/>
  <c r="H576" i="6"/>
  <c r="G576" i="6"/>
  <c r="H575" i="6"/>
  <c r="G575" i="6"/>
  <c r="H574" i="6"/>
  <c r="G574" i="6"/>
  <c r="H573" i="6"/>
  <c r="G573" i="6"/>
  <c r="H572" i="6"/>
  <c r="G572" i="6"/>
  <c r="H571" i="6"/>
  <c r="G571" i="6"/>
  <c r="H570" i="6"/>
  <c r="G570" i="6"/>
  <c r="H569" i="6"/>
  <c r="G569" i="6"/>
  <c r="H568" i="6"/>
  <c r="G568" i="6"/>
  <c r="H567" i="6"/>
  <c r="G567" i="6"/>
  <c r="H566" i="6"/>
  <c r="G566" i="6"/>
  <c r="H565" i="6"/>
  <c r="G565" i="6"/>
  <c r="H564" i="6"/>
  <c r="G564" i="6"/>
  <c r="H563" i="6"/>
  <c r="G563" i="6"/>
  <c r="H562" i="6"/>
  <c r="G562" i="6"/>
  <c r="H561" i="6"/>
  <c r="G561" i="6"/>
  <c r="H560" i="6"/>
  <c r="G560" i="6"/>
  <c r="H559" i="6"/>
  <c r="G559" i="6"/>
  <c r="H558" i="6"/>
  <c r="G558" i="6"/>
  <c r="H557" i="6"/>
  <c r="G557" i="6"/>
  <c r="H556" i="6"/>
  <c r="G556" i="6"/>
  <c r="H555" i="6"/>
  <c r="G555" i="6"/>
  <c r="H554" i="6"/>
  <c r="G554" i="6"/>
  <c r="H553" i="6"/>
  <c r="G553" i="6"/>
  <c r="H552" i="6"/>
  <c r="G552" i="6"/>
  <c r="H551" i="6"/>
  <c r="G551" i="6"/>
  <c r="H550" i="6"/>
  <c r="G550" i="6"/>
  <c r="H549" i="6"/>
  <c r="G549" i="6"/>
  <c r="H548" i="6"/>
  <c r="G548" i="6"/>
  <c r="H547" i="6"/>
  <c r="G547" i="6"/>
  <c r="H546" i="6"/>
  <c r="G546" i="6"/>
  <c r="H545" i="6"/>
  <c r="G545" i="6"/>
  <c r="H544" i="6"/>
  <c r="G544" i="6"/>
  <c r="H543" i="6"/>
  <c r="G543" i="6"/>
  <c r="H542" i="6"/>
  <c r="G542" i="6"/>
  <c r="H541" i="6"/>
  <c r="G541" i="6"/>
  <c r="H540" i="6"/>
  <c r="G540" i="6"/>
  <c r="H539" i="6"/>
  <c r="G539" i="6"/>
  <c r="H538" i="6"/>
  <c r="G538" i="6"/>
  <c r="H537" i="6"/>
  <c r="G537" i="6"/>
  <c r="H536" i="6"/>
  <c r="G536" i="6"/>
  <c r="H535" i="6"/>
  <c r="G535" i="6"/>
  <c r="H534" i="6"/>
  <c r="G534" i="6"/>
  <c r="H533" i="6"/>
  <c r="G533" i="6"/>
  <c r="H532" i="6"/>
  <c r="G532" i="6"/>
  <c r="H531" i="6"/>
  <c r="G531" i="6"/>
  <c r="H530" i="6"/>
  <c r="G530" i="6"/>
  <c r="H529" i="6"/>
  <c r="G529" i="6"/>
  <c r="H528" i="6"/>
  <c r="G528" i="6"/>
  <c r="H527" i="6"/>
  <c r="G527" i="6"/>
  <c r="H526" i="6"/>
  <c r="G526" i="6"/>
  <c r="H525" i="6"/>
  <c r="G525" i="6"/>
  <c r="H524" i="6"/>
  <c r="G524" i="6"/>
  <c r="H523" i="6"/>
  <c r="G523" i="6"/>
  <c r="H522" i="6"/>
  <c r="G522" i="6"/>
  <c r="H521" i="6"/>
  <c r="G521" i="6"/>
  <c r="H520" i="6"/>
  <c r="G520" i="6"/>
  <c r="H519" i="6"/>
  <c r="G519" i="6"/>
  <c r="H518" i="6"/>
  <c r="G518" i="6"/>
  <c r="H517" i="6"/>
  <c r="G517" i="6"/>
  <c r="H516" i="6"/>
  <c r="G516" i="6"/>
  <c r="H515" i="6"/>
  <c r="G515" i="6"/>
  <c r="H514" i="6"/>
  <c r="G514" i="6"/>
  <c r="H513" i="6"/>
  <c r="G513" i="6"/>
  <c r="H512" i="6"/>
  <c r="G512" i="6"/>
  <c r="H511" i="6"/>
  <c r="G511" i="6"/>
  <c r="H510" i="6"/>
  <c r="G510" i="6"/>
  <c r="H509" i="6"/>
  <c r="G509" i="6"/>
  <c r="H508" i="6"/>
  <c r="G508" i="6"/>
  <c r="H507" i="6"/>
  <c r="G507" i="6"/>
  <c r="H506" i="6"/>
  <c r="G506" i="6"/>
  <c r="H505" i="6"/>
  <c r="G505" i="6"/>
  <c r="H504" i="6"/>
  <c r="G504" i="6"/>
  <c r="H503" i="6"/>
  <c r="G503" i="6"/>
  <c r="H502" i="6"/>
  <c r="G502" i="6"/>
  <c r="H501" i="6"/>
  <c r="G501" i="6"/>
  <c r="H500" i="6"/>
  <c r="G500" i="6"/>
  <c r="H499" i="6"/>
  <c r="G499" i="6"/>
  <c r="H498" i="6"/>
  <c r="G498" i="6"/>
  <c r="H497" i="6"/>
  <c r="G497" i="6"/>
  <c r="H496" i="6"/>
  <c r="G496" i="6"/>
  <c r="H495" i="6"/>
  <c r="G495" i="6"/>
  <c r="H494" i="6"/>
  <c r="G494" i="6"/>
  <c r="H493" i="6"/>
  <c r="G493" i="6"/>
  <c r="H492" i="6"/>
  <c r="G492" i="6"/>
  <c r="H491" i="6"/>
  <c r="G491" i="6"/>
  <c r="H490" i="6"/>
  <c r="G490" i="6"/>
  <c r="H489" i="6"/>
  <c r="G489" i="6"/>
  <c r="H488" i="6"/>
  <c r="G488" i="6"/>
  <c r="H487" i="6"/>
  <c r="G487" i="6"/>
  <c r="H486" i="6"/>
  <c r="G486" i="6"/>
  <c r="H485" i="6"/>
  <c r="G485" i="6"/>
  <c r="H484" i="6"/>
  <c r="G484" i="6"/>
  <c r="H483" i="6"/>
  <c r="G483" i="6"/>
  <c r="H482" i="6"/>
  <c r="G482" i="6"/>
  <c r="H481" i="6"/>
  <c r="G481" i="6"/>
  <c r="H480" i="6"/>
  <c r="G480" i="6"/>
  <c r="H479" i="6"/>
  <c r="G479" i="6"/>
  <c r="H478" i="6"/>
  <c r="G478" i="6"/>
  <c r="H477" i="6"/>
  <c r="G477" i="6"/>
  <c r="H476" i="6"/>
  <c r="G476" i="6"/>
  <c r="H475" i="6"/>
  <c r="G475" i="6"/>
  <c r="H474" i="6"/>
  <c r="G474" i="6"/>
  <c r="H473" i="6"/>
  <c r="G473" i="6"/>
  <c r="H472" i="6"/>
  <c r="G472" i="6"/>
  <c r="H471" i="6"/>
  <c r="G471" i="6"/>
  <c r="H470" i="6"/>
  <c r="G470" i="6"/>
  <c r="H469" i="6"/>
  <c r="G469" i="6"/>
  <c r="H468" i="6"/>
  <c r="G468" i="6"/>
  <c r="H467" i="6"/>
  <c r="G467" i="6"/>
  <c r="H466" i="6"/>
  <c r="G466" i="6"/>
  <c r="H465" i="6"/>
  <c r="G465" i="6"/>
  <c r="H464" i="6"/>
  <c r="G464" i="6"/>
  <c r="H463" i="6"/>
  <c r="G463" i="6"/>
  <c r="H462" i="6"/>
  <c r="G462" i="6"/>
  <c r="H461" i="6"/>
  <c r="G461" i="6"/>
  <c r="H460" i="6"/>
  <c r="G460" i="6"/>
  <c r="H459" i="6"/>
  <c r="G459" i="6"/>
  <c r="H458" i="6"/>
  <c r="G458" i="6"/>
  <c r="H457" i="6"/>
  <c r="G457" i="6"/>
  <c r="H456" i="6"/>
  <c r="G456" i="6"/>
  <c r="H455" i="6"/>
  <c r="G455" i="6"/>
  <c r="H454" i="6"/>
  <c r="G454" i="6"/>
  <c r="H453" i="6"/>
  <c r="G453" i="6"/>
  <c r="H452" i="6"/>
  <c r="G452" i="6"/>
  <c r="H451" i="6"/>
  <c r="G451" i="6"/>
  <c r="H450" i="6"/>
  <c r="G450" i="6"/>
  <c r="H449" i="6"/>
  <c r="G449" i="6"/>
  <c r="H448" i="6"/>
  <c r="G448" i="6"/>
  <c r="H447" i="6"/>
  <c r="G447" i="6"/>
  <c r="H446" i="6"/>
  <c r="G446" i="6"/>
  <c r="H445" i="6"/>
  <c r="G445" i="6"/>
  <c r="H444" i="6"/>
  <c r="G444" i="6"/>
  <c r="H443" i="6"/>
  <c r="G443" i="6"/>
  <c r="H442" i="6"/>
  <c r="G442" i="6"/>
  <c r="H441" i="6"/>
  <c r="G441" i="6"/>
  <c r="H440" i="6"/>
  <c r="G440" i="6"/>
  <c r="H439" i="6"/>
  <c r="G439" i="6"/>
  <c r="H438" i="6"/>
  <c r="G438" i="6"/>
  <c r="H437" i="6"/>
  <c r="G437" i="6"/>
  <c r="H436" i="6"/>
  <c r="G436" i="6"/>
  <c r="H435" i="6"/>
  <c r="G435" i="6"/>
  <c r="H434" i="6"/>
  <c r="G434" i="6"/>
  <c r="H433" i="6"/>
  <c r="G433" i="6"/>
  <c r="H432" i="6"/>
  <c r="G432" i="6"/>
  <c r="H431" i="6"/>
  <c r="G431" i="6"/>
  <c r="H430" i="6"/>
  <c r="G430" i="6"/>
  <c r="H429" i="6"/>
  <c r="G429" i="6"/>
  <c r="H428" i="6"/>
  <c r="G428" i="6"/>
  <c r="H427" i="6"/>
  <c r="G427" i="6"/>
  <c r="H426" i="6"/>
  <c r="G426" i="6"/>
  <c r="H425" i="6"/>
  <c r="G425" i="6"/>
  <c r="H424" i="6"/>
  <c r="G424" i="6"/>
  <c r="H423" i="6"/>
  <c r="G423" i="6"/>
  <c r="H422" i="6"/>
  <c r="G422" i="6"/>
  <c r="H421" i="6"/>
  <c r="G421" i="6"/>
  <c r="H420" i="6"/>
  <c r="G420" i="6"/>
  <c r="H419" i="6"/>
  <c r="G419" i="6"/>
  <c r="H418" i="6"/>
  <c r="G418" i="6"/>
  <c r="H417" i="6"/>
  <c r="G417" i="6"/>
  <c r="H416" i="6"/>
  <c r="G416" i="6"/>
  <c r="H415" i="6"/>
  <c r="G415" i="6"/>
  <c r="H414" i="6"/>
  <c r="G414" i="6"/>
  <c r="H413" i="6"/>
  <c r="G413" i="6"/>
  <c r="H412" i="6"/>
  <c r="G412" i="6"/>
  <c r="H411" i="6"/>
  <c r="G411" i="6"/>
  <c r="H410" i="6"/>
  <c r="G410" i="6"/>
  <c r="H409" i="6"/>
  <c r="G409" i="6"/>
  <c r="H408" i="6"/>
  <c r="G408" i="6"/>
  <c r="H407" i="6"/>
  <c r="G407" i="6"/>
  <c r="H406" i="6"/>
  <c r="G406" i="6"/>
  <c r="H405" i="6"/>
  <c r="G405" i="6"/>
  <c r="H404" i="6"/>
  <c r="G404" i="6"/>
  <c r="H403" i="6"/>
  <c r="G403" i="6"/>
  <c r="H402" i="6"/>
  <c r="G402" i="6"/>
  <c r="H401" i="6"/>
  <c r="G401" i="6"/>
  <c r="H400" i="6"/>
  <c r="G400" i="6"/>
  <c r="H399" i="6"/>
  <c r="G399" i="6"/>
  <c r="H398" i="6"/>
  <c r="G398" i="6"/>
  <c r="H397" i="6"/>
  <c r="G397" i="6"/>
  <c r="H396" i="6"/>
  <c r="G396" i="6"/>
  <c r="H395" i="6"/>
  <c r="G395" i="6"/>
  <c r="H394" i="6"/>
  <c r="G394" i="6"/>
  <c r="H393" i="6"/>
  <c r="G393" i="6"/>
  <c r="H392" i="6"/>
  <c r="G392" i="6"/>
  <c r="H391" i="6"/>
  <c r="G391" i="6"/>
  <c r="H390" i="6"/>
  <c r="G390" i="6"/>
  <c r="H389" i="6"/>
  <c r="G389" i="6"/>
  <c r="H388" i="6"/>
  <c r="G388" i="6"/>
  <c r="H387" i="6"/>
  <c r="G387" i="6"/>
  <c r="H386" i="6"/>
  <c r="G386" i="6"/>
  <c r="H385" i="6"/>
  <c r="G385" i="6"/>
  <c r="H384" i="6"/>
  <c r="G384" i="6"/>
  <c r="H383" i="6"/>
  <c r="G383" i="6"/>
  <c r="H382" i="6"/>
  <c r="G382" i="6"/>
  <c r="H381" i="6"/>
  <c r="G381" i="6"/>
  <c r="H380" i="6"/>
  <c r="G380" i="6"/>
  <c r="H379" i="6"/>
  <c r="G379" i="6"/>
  <c r="H378" i="6"/>
  <c r="G378" i="6"/>
  <c r="H377" i="6"/>
  <c r="G377" i="6"/>
  <c r="H376" i="6"/>
  <c r="G376" i="6"/>
  <c r="H375" i="6"/>
  <c r="G375" i="6"/>
  <c r="H374" i="6"/>
  <c r="G374" i="6"/>
  <c r="H373" i="6"/>
  <c r="G373" i="6"/>
  <c r="H372" i="6"/>
  <c r="G372" i="6"/>
  <c r="H371" i="6"/>
  <c r="G371" i="6"/>
  <c r="H370" i="6"/>
  <c r="G370" i="6"/>
  <c r="H369" i="6"/>
  <c r="G369" i="6"/>
  <c r="H368" i="6"/>
  <c r="G368" i="6"/>
  <c r="H367" i="6"/>
  <c r="G367" i="6"/>
  <c r="H366" i="6"/>
  <c r="G366" i="6"/>
  <c r="H365" i="6"/>
  <c r="G365" i="6"/>
  <c r="H364" i="6"/>
  <c r="G364" i="6"/>
  <c r="H363" i="6"/>
  <c r="G363" i="6"/>
  <c r="H362" i="6"/>
  <c r="G362" i="6"/>
  <c r="H361" i="6"/>
  <c r="G361" i="6"/>
  <c r="H360" i="6"/>
  <c r="G360" i="6"/>
  <c r="H359" i="6"/>
  <c r="G359" i="6"/>
  <c r="H358" i="6"/>
  <c r="G358" i="6"/>
  <c r="H357" i="6"/>
  <c r="G357" i="6"/>
  <c r="H356" i="6"/>
  <c r="G356" i="6"/>
  <c r="H355" i="6"/>
  <c r="G355" i="6"/>
  <c r="H354" i="6"/>
  <c r="G354" i="6"/>
  <c r="H353" i="6"/>
  <c r="G353" i="6"/>
  <c r="H352" i="6"/>
  <c r="G352" i="6"/>
  <c r="H351" i="6"/>
  <c r="G351" i="6"/>
  <c r="H350" i="6"/>
  <c r="G350" i="6"/>
  <c r="H349" i="6"/>
  <c r="G349" i="6"/>
  <c r="H348" i="6"/>
  <c r="G348" i="6"/>
  <c r="H347" i="6"/>
  <c r="G347" i="6"/>
  <c r="H346" i="6"/>
  <c r="G346" i="6"/>
  <c r="H345" i="6"/>
  <c r="G345" i="6"/>
  <c r="H344" i="6"/>
  <c r="G344" i="6"/>
  <c r="H343" i="6"/>
  <c r="G343" i="6"/>
  <c r="H342" i="6"/>
  <c r="G342" i="6"/>
  <c r="H341" i="6"/>
  <c r="G341" i="6"/>
  <c r="H340" i="6"/>
  <c r="G340" i="6"/>
  <c r="H339" i="6"/>
  <c r="G339" i="6"/>
  <c r="H338" i="6"/>
  <c r="G338" i="6"/>
  <c r="H337" i="6"/>
  <c r="G337" i="6"/>
  <c r="H336" i="6"/>
  <c r="G336" i="6"/>
  <c r="H335" i="6"/>
  <c r="G335" i="6"/>
  <c r="H334" i="6"/>
  <c r="G334" i="6"/>
  <c r="H333" i="6"/>
  <c r="G333" i="6"/>
  <c r="H332" i="6"/>
  <c r="G332" i="6"/>
  <c r="H331" i="6"/>
  <c r="G331" i="6"/>
  <c r="H330" i="6"/>
  <c r="G330" i="6"/>
  <c r="H329" i="6"/>
  <c r="G329" i="6"/>
  <c r="H328" i="6"/>
  <c r="G328" i="6"/>
  <c r="H327" i="6"/>
  <c r="G327" i="6"/>
  <c r="H326" i="6"/>
  <c r="G326" i="6"/>
  <c r="H325" i="6"/>
  <c r="G325" i="6"/>
  <c r="H324" i="6"/>
  <c r="G324" i="6"/>
  <c r="H323" i="6"/>
  <c r="G323" i="6"/>
  <c r="H322" i="6"/>
  <c r="G322" i="6"/>
  <c r="H321" i="6"/>
  <c r="G321" i="6"/>
  <c r="H320" i="6"/>
  <c r="G320" i="6"/>
  <c r="H319" i="6"/>
  <c r="G319" i="6"/>
  <c r="H318" i="6"/>
  <c r="G318" i="6"/>
  <c r="H317" i="6"/>
  <c r="G317" i="6"/>
  <c r="H316" i="6"/>
  <c r="G316" i="6"/>
  <c r="H315" i="6"/>
  <c r="G315" i="6"/>
  <c r="H314" i="6"/>
  <c r="G314" i="6"/>
  <c r="H313" i="6"/>
  <c r="G313" i="6"/>
  <c r="H312" i="6"/>
  <c r="G312" i="6"/>
  <c r="H311" i="6"/>
  <c r="G311" i="6"/>
  <c r="H310" i="6"/>
  <c r="G310" i="6"/>
  <c r="H309" i="6"/>
  <c r="G309" i="6"/>
  <c r="H308" i="6"/>
  <c r="G308" i="6"/>
  <c r="H307" i="6"/>
  <c r="G307" i="6"/>
  <c r="H306" i="6"/>
  <c r="G306" i="6"/>
  <c r="H305" i="6"/>
  <c r="G305" i="6"/>
  <c r="H304" i="6"/>
  <c r="G304" i="6"/>
  <c r="H303" i="6"/>
  <c r="G303" i="6"/>
  <c r="H302" i="6"/>
  <c r="G302" i="6"/>
  <c r="H301" i="6"/>
  <c r="G301" i="6"/>
  <c r="H300" i="6"/>
  <c r="G300" i="6"/>
  <c r="H299" i="6"/>
  <c r="G299" i="6"/>
  <c r="H298" i="6"/>
  <c r="G298" i="6"/>
  <c r="H297" i="6"/>
  <c r="G297" i="6"/>
  <c r="H296" i="6"/>
  <c r="G296" i="6"/>
  <c r="H295" i="6"/>
  <c r="G295" i="6"/>
  <c r="H294" i="6"/>
  <c r="G294" i="6"/>
  <c r="H293" i="6"/>
  <c r="G293" i="6"/>
  <c r="H292" i="6"/>
  <c r="G292" i="6"/>
  <c r="H291" i="6"/>
  <c r="G291" i="6"/>
  <c r="H290" i="6"/>
  <c r="G290" i="6"/>
  <c r="H289" i="6"/>
  <c r="G289" i="6"/>
  <c r="H288" i="6"/>
  <c r="G288" i="6"/>
  <c r="H287" i="6"/>
  <c r="G287" i="6"/>
  <c r="H286" i="6"/>
  <c r="G286" i="6"/>
  <c r="H285" i="6"/>
  <c r="G285" i="6"/>
  <c r="H284" i="6"/>
  <c r="G284" i="6"/>
  <c r="H283" i="6"/>
  <c r="G283" i="6"/>
  <c r="H282" i="6"/>
  <c r="G282" i="6"/>
  <c r="H281" i="6"/>
  <c r="G281" i="6"/>
  <c r="H280" i="6"/>
  <c r="G280" i="6"/>
  <c r="H279" i="6"/>
  <c r="G279" i="6"/>
  <c r="H278" i="6"/>
  <c r="G278" i="6"/>
  <c r="H277" i="6"/>
  <c r="G277" i="6"/>
  <c r="H276" i="6"/>
  <c r="G276" i="6"/>
  <c r="H275" i="6"/>
  <c r="G275" i="6"/>
  <c r="H274" i="6"/>
  <c r="G274" i="6"/>
  <c r="H273" i="6"/>
  <c r="G273" i="6"/>
  <c r="H272" i="6"/>
  <c r="G272" i="6"/>
  <c r="H271" i="6"/>
  <c r="G271" i="6"/>
  <c r="H270" i="6"/>
  <c r="G270" i="6"/>
  <c r="H269" i="6"/>
  <c r="G269" i="6"/>
  <c r="H268" i="6"/>
  <c r="G268" i="6"/>
  <c r="H267" i="6"/>
  <c r="G267" i="6"/>
  <c r="H266" i="6"/>
  <c r="G266" i="6"/>
  <c r="H265" i="6"/>
  <c r="G265" i="6"/>
  <c r="H264" i="6"/>
  <c r="G264" i="6"/>
  <c r="H263" i="6"/>
  <c r="G263" i="6"/>
  <c r="H262" i="6"/>
  <c r="G262" i="6"/>
  <c r="H261" i="6"/>
  <c r="G261" i="6"/>
  <c r="H260" i="6"/>
  <c r="G260" i="6"/>
  <c r="H259" i="6"/>
  <c r="G259" i="6"/>
  <c r="H258" i="6"/>
  <c r="G258" i="6"/>
  <c r="H257" i="6"/>
  <c r="G257" i="6"/>
  <c r="H256" i="6"/>
  <c r="G256" i="6"/>
  <c r="H255" i="6"/>
  <c r="G255" i="6"/>
  <c r="H254" i="6"/>
  <c r="G254" i="6"/>
  <c r="H253" i="6"/>
  <c r="G253" i="6"/>
  <c r="H252" i="6"/>
  <c r="G252" i="6"/>
  <c r="H251" i="6"/>
  <c r="G251" i="6"/>
  <c r="H250" i="6"/>
  <c r="G250" i="6"/>
  <c r="H249" i="6"/>
  <c r="G249" i="6"/>
  <c r="H248" i="6"/>
  <c r="G248" i="6"/>
  <c r="H247" i="6"/>
  <c r="G247" i="6"/>
  <c r="H246" i="6"/>
  <c r="G246" i="6"/>
  <c r="H245" i="6"/>
  <c r="G245" i="6"/>
  <c r="H244" i="6"/>
  <c r="G244" i="6"/>
  <c r="H243" i="6"/>
  <c r="G243" i="6"/>
  <c r="H242" i="6"/>
  <c r="G242" i="6"/>
  <c r="H241" i="6"/>
  <c r="G241" i="6"/>
  <c r="H240" i="6"/>
  <c r="G240" i="6"/>
  <c r="H239" i="6"/>
  <c r="G239" i="6"/>
  <c r="H238" i="6"/>
  <c r="G238" i="6"/>
  <c r="H237" i="6"/>
  <c r="G237" i="6"/>
  <c r="H236" i="6"/>
  <c r="G236" i="6"/>
  <c r="H235" i="6"/>
  <c r="G235" i="6"/>
  <c r="H234" i="6"/>
  <c r="G234" i="6"/>
  <c r="H233" i="6"/>
  <c r="G233" i="6"/>
  <c r="H232" i="6"/>
  <c r="G232" i="6"/>
  <c r="H231" i="6"/>
  <c r="G231" i="6"/>
  <c r="H230" i="6"/>
  <c r="G230" i="6"/>
  <c r="H229" i="6"/>
  <c r="G229" i="6"/>
  <c r="H228" i="6"/>
  <c r="G228" i="6"/>
  <c r="H227" i="6"/>
  <c r="G227" i="6"/>
  <c r="H226" i="6"/>
  <c r="G226" i="6"/>
  <c r="H225" i="6"/>
  <c r="G225" i="6"/>
  <c r="H224" i="6"/>
  <c r="G224" i="6"/>
  <c r="H223" i="6"/>
  <c r="G223" i="6"/>
  <c r="H222" i="6"/>
  <c r="G222" i="6"/>
  <c r="H221" i="6"/>
  <c r="G221" i="6"/>
  <c r="H220" i="6"/>
  <c r="G220" i="6"/>
  <c r="H219" i="6"/>
  <c r="G219" i="6"/>
  <c r="H218" i="6"/>
  <c r="G218" i="6"/>
  <c r="H217" i="6"/>
  <c r="G217" i="6"/>
  <c r="H216" i="6"/>
  <c r="G216" i="6"/>
  <c r="H215" i="6"/>
  <c r="G215" i="6"/>
  <c r="H214" i="6"/>
  <c r="G214" i="6"/>
  <c r="H213" i="6"/>
  <c r="G213" i="6"/>
  <c r="H212" i="6"/>
  <c r="G212" i="6"/>
  <c r="H211" i="6"/>
  <c r="G211" i="6"/>
  <c r="H210" i="6"/>
  <c r="G210" i="6"/>
  <c r="H209" i="6"/>
  <c r="G209" i="6"/>
  <c r="H208" i="6"/>
  <c r="G208" i="6"/>
  <c r="H207" i="6"/>
  <c r="G207" i="6"/>
  <c r="H206" i="6"/>
  <c r="G206" i="6"/>
  <c r="H205" i="6"/>
  <c r="G205" i="6"/>
  <c r="H204" i="6"/>
  <c r="G204" i="6"/>
  <c r="H203" i="6"/>
  <c r="G203" i="6"/>
  <c r="H202" i="6"/>
  <c r="G202" i="6"/>
  <c r="H201" i="6"/>
  <c r="G201" i="6"/>
  <c r="H200" i="6"/>
  <c r="G200" i="6"/>
  <c r="H199" i="6"/>
  <c r="G199" i="6"/>
  <c r="H198" i="6"/>
  <c r="G198" i="6"/>
  <c r="H197" i="6"/>
  <c r="G197" i="6"/>
  <c r="H196" i="6"/>
  <c r="G196" i="6"/>
  <c r="H195" i="6"/>
  <c r="G195" i="6"/>
  <c r="H194" i="6"/>
  <c r="G194" i="6"/>
  <c r="H193" i="6"/>
  <c r="G193" i="6"/>
  <c r="H192" i="6"/>
  <c r="G192" i="6"/>
  <c r="H191" i="6"/>
  <c r="G191" i="6"/>
  <c r="H190" i="6"/>
  <c r="G190" i="6"/>
  <c r="H189" i="6"/>
  <c r="G189" i="6"/>
  <c r="H188" i="6"/>
  <c r="G188" i="6"/>
  <c r="H187" i="6"/>
  <c r="G187" i="6"/>
  <c r="H186" i="6"/>
  <c r="G186" i="6"/>
  <c r="H185" i="6"/>
  <c r="G185" i="6"/>
  <c r="H184" i="6"/>
  <c r="G184" i="6"/>
  <c r="H183" i="6"/>
  <c r="G183" i="6"/>
  <c r="H182" i="6"/>
  <c r="G182" i="6"/>
  <c r="H181" i="6"/>
  <c r="G181" i="6"/>
  <c r="H180" i="6"/>
  <c r="G180" i="6"/>
  <c r="H179" i="6"/>
  <c r="G179" i="6"/>
  <c r="H178" i="6"/>
  <c r="G178" i="6"/>
  <c r="H177" i="6"/>
  <c r="G177" i="6"/>
  <c r="H176" i="6"/>
  <c r="G176" i="6"/>
  <c r="H175" i="6"/>
  <c r="G175" i="6"/>
  <c r="H174" i="6"/>
  <c r="G174" i="6"/>
  <c r="H173" i="6"/>
  <c r="G173" i="6"/>
  <c r="H172" i="6"/>
  <c r="G172" i="6"/>
  <c r="H171" i="6"/>
  <c r="G171" i="6"/>
  <c r="H170" i="6"/>
  <c r="G170" i="6"/>
  <c r="H169" i="6"/>
  <c r="G169" i="6"/>
  <c r="H168" i="6"/>
  <c r="G168" i="6"/>
  <c r="H167" i="6"/>
  <c r="G167" i="6"/>
  <c r="H166" i="6"/>
  <c r="G166" i="6"/>
  <c r="H165" i="6"/>
  <c r="G165" i="6"/>
  <c r="H164" i="6"/>
  <c r="G164" i="6"/>
  <c r="H163" i="6"/>
  <c r="G163" i="6"/>
  <c r="H162" i="6"/>
  <c r="G162" i="6"/>
  <c r="H161" i="6"/>
  <c r="G161" i="6"/>
  <c r="H160" i="6"/>
  <c r="G160" i="6"/>
  <c r="H159" i="6"/>
  <c r="G159" i="6"/>
  <c r="H158" i="6"/>
  <c r="G158" i="6"/>
  <c r="H157" i="6"/>
  <c r="G157" i="6"/>
  <c r="H156" i="6"/>
  <c r="G156" i="6"/>
  <c r="H155" i="6"/>
  <c r="G155" i="6"/>
  <c r="H154" i="6"/>
  <c r="G154" i="6"/>
  <c r="H153" i="6"/>
  <c r="G153" i="6"/>
  <c r="H152" i="6"/>
  <c r="G152" i="6"/>
  <c r="H151" i="6"/>
  <c r="G151" i="6"/>
  <c r="H150" i="6"/>
  <c r="G150" i="6"/>
  <c r="H149" i="6"/>
  <c r="G149" i="6"/>
  <c r="H148" i="6"/>
  <c r="G148" i="6"/>
  <c r="H147" i="6"/>
  <c r="G147" i="6"/>
  <c r="H146" i="6"/>
  <c r="G146" i="6"/>
  <c r="H145" i="6"/>
  <c r="G145" i="6"/>
  <c r="H144" i="6"/>
  <c r="G144" i="6"/>
  <c r="H143" i="6"/>
  <c r="G143" i="6"/>
  <c r="H142" i="6"/>
  <c r="G142" i="6"/>
  <c r="H141" i="6"/>
  <c r="G141" i="6"/>
  <c r="H140" i="6"/>
  <c r="G140" i="6"/>
  <c r="H139" i="6"/>
  <c r="G139" i="6"/>
  <c r="H138" i="6"/>
  <c r="G138" i="6"/>
  <c r="H137" i="6"/>
  <c r="G137" i="6"/>
  <c r="H136" i="6"/>
  <c r="G136" i="6"/>
  <c r="H135" i="6"/>
  <c r="G135" i="6"/>
  <c r="H134" i="6"/>
  <c r="G134" i="6"/>
  <c r="H133" i="6"/>
  <c r="G133" i="6"/>
  <c r="H132" i="6"/>
  <c r="G132" i="6"/>
  <c r="H131" i="6"/>
  <c r="G131" i="6"/>
  <c r="H130" i="6"/>
  <c r="G130" i="6"/>
  <c r="H129" i="6"/>
  <c r="G129" i="6"/>
  <c r="H128" i="6"/>
  <c r="G128" i="6"/>
  <c r="H127" i="6"/>
  <c r="G127" i="6"/>
  <c r="H126" i="6"/>
  <c r="G126" i="6"/>
  <c r="H125" i="6"/>
  <c r="G125" i="6"/>
  <c r="H124" i="6"/>
  <c r="G124" i="6"/>
  <c r="H123" i="6"/>
  <c r="G123" i="6"/>
  <c r="H122" i="6"/>
  <c r="G122" i="6"/>
  <c r="H121" i="6"/>
  <c r="G121" i="6"/>
  <c r="H120" i="6"/>
  <c r="G120" i="6"/>
  <c r="H119" i="6"/>
  <c r="G119" i="6"/>
  <c r="H118" i="6"/>
  <c r="G118" i="6"/>
  <c r="H117" i="6"/>
  <c r="G117" i="6"/>
  <c r="H116" i="6"/>
  <c r="G116" i="6"/>
  <c r="H115" i="6"/>
  <c r="G115" i="6"/>
  <c r="H114" i="6"/>
  <c r="G114" i="6"/>
  <c r="H113" i="6"/>
  <c r="G113" i="6"/>
  <c r="H112" i="6"/>
  <c r="G112" i="6"/>
  <c r="H111" i="6"/>
  <c r="G111" i="6"/>
  <c r="H110" i="6"/>
  <c r="G110" i="6"/>
  <c r="H109" i="6"/>
  <c r="G109" i="6"/>
  <c r="H108" i="6"/>
  <c r="G108" i="6"/>
  <c r="H107" i="6"/>
  <c r="G107" i="6"/>
  <c r="H106" i="6"/>
  <c r="G106" i="6"/>
  <c r="H105" i="6"/>
  <c r="G105" i="6"/>
  <c r="H104" i="6"/>
  <c r="G104" i="6"/>
  <c r="H103" i="6"/>
  <c r="G103" i="6"/>
  <c r="H102" i="6"/>
  <c r="G102" i="6"/>
  <c r="H101" i="6"/>
  <c r="G101" i="6"/>
  <c r="H100" i="6"/>
  <c r="G100" i="6"/>
  <c r="H99" i="6"/>
  <c r="G99" i="6"/>
  <c r="H98" i="6"/>
  <c r="G98" i="6"/>
  <c r="H97" i="6"/>
  <c r="G97" i="6"/>
  <c r="H96" i="6"/>
  <c r="G96" i="6"/>
  <c r="H95" i="6"/>
  <c r="G95" i="6"/>
  <c r="H94" i="6"/>
  <c r="G94" i="6"/>
  <c r="H93" i="6"/>
  <c r="G93" i="6"/>
  <c r="H92" i="6"/>
  <c r="G92" i="6"/>
  <c r="H91" i="6"/>
  <c r="G91" i="6"/>
  <c r="H90" i="6"/>
  <c r="G90" i="6"/>
  <c r="H89" i="6"/>
  <c r="G89" i="6"/>
  <c r="H88" i="6"/>
  <c r="G88" i="6"/>
  <c r="H87" i="6"/>
  <c r="G87" i="6"/>
  <c r="H86" i="6"/>
  <c r="G86" i="6"/>
  <c r="H85" i="6"/>
  <c r="G85" i="6"/>
  <c r="H84" i="6"/>
  <c r="G84" i="6"/>
  <c r="H83" i="6"/>
  <c r="G83" i="6"/>
  <c r="H82" i="6"/>
  <c r="G82" i="6"/>
  <c r="H81" i="6"/>
  <c r="G81" i="6"/>
  <c r="H80" i="6"/>
  <c r="G80" i="6"/>
  <c r="H79" i="6"/>
  <c r="G79" i="6"/>
  <c r="H78" i="6"/>
  <c r="G78" i="6"/>
  <c r="H77" i="6"/>
  <c r="G77" i="6"/>
  <c r="H76" i="6"/>
  <c r="G76" i="6"/>
  <c r="H75" i="6"/>
  <c r="G75" i="6"/>
  <c r="H74" i="6"/>
  <c r="G74" i="6"/>
  <c r="H73" i="6"/>
  <c r="G73" i="6"/>
  <c r="H72" i="6"/>
  <c r="G72" i="6"/>
  <c r="H71" i="6"/>
  <c r="G71" i="6"/>
  <c r="H70" i="6"/>
  <c r="G70" i="6"/>
  <c r="H69" i="6"/>
  <c r="G69" i="6"/>
  <c r="H68" i="6"/>
  <c r="G68" i="6"/>
  <c r="H67" i="6"/>
  <c r="G67" i="6"/>
  <c r="H66" i="6"/>
  <c r="G66" i="6"/>
  <c r="H65" i="6"/>
  <c r="G65" i="6"/>
  <c r="H64" i="6"/>
  <c r="G64" i="6"/>
  <c r="H63" i="6"/>
  <c r="G63" i="6"/>
  <c r="H62" i="6"/>
  <c r="G62" i="6"/>
  <c r="H61" i="6"/>
  <c r="G61" i="6"/>
  <c r="H60" i="6"/>
  <c r="G60" i="6"/>
  <c r="H59" i="6"/>
  <c r="G59" i="6"/>
  <c r="H58" i="6"/>
  <c r="G58" i="6"/>
  <c r="H57" i="6"/>
  <c r="G57" i="6"/>
  <c r="H56" i="6"/>
  <c r="G56" i="6"/>
  <c r="H55" i="6"/>
  <c r="G55" i="6"/>
  <c r="H54" i="6"/>
  <c r="G54" i="6"/>
  <c r="H53" i="6"/>
  <c r="G53" i="6"/>
  <c r="H52" i="6"/>
  <c r="G52" i="6"/>
  <c r="H51" i="6"/>
  <c r="G51" i="6"/>
  <c r="H50" i="6"/>
  <c r="G50" i="6"/>
  <c r="H49" i="6"/>
  <c r="G49" i="6"/>
  <c r="H48" i="6"/>
  <c r="G48" i="6"/>
  <c r="H47" i="6"/>
  <c r="G47" i="6"/>
  <c r="H46" i="6"/>
  <c r="G46" i="6"/>
  <c r="H45" i="6"/>
  <c r="G45" i="6"/>
  <c r="H44" i="6"/>
  <c r="G44" i="6"/>
  <c r="H43" i="6"/>
  <c r="G43" i="6"/>
  <c r="H42" i="6"/>
  <c r="G42" i="6"/>
  <c r="H41" i="6"/>
  <c r="G41" i="6"/>
  <c r="H40" i="6"/>
  <c r="G40" i="6"/>
  <c r="H39" i="6"/>
  <c r="G39" i="6"/>
  <c r="H38" i="6"/>
  <c r="G38" i="6"/>
  <c r="H37" i="6"/>
  <c r="G37" i="6"/>
  <c r="H36" i="6"/>
  <c r="G36" i="6"/>
  <c r="H35" i="6"/>
  <c r="G35" i="6"/>
  <c r="H34" i="6"/>
  <c r="G34" i="6"/>
  <c r="H33" i="6"/>
  <c r="G33" i="6"/>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H18" i="6"/>
  <c r="G18" i="6"/>
  <c r="H17" i="6"/>
  <c r="G17" i="6"/>
  <c r="H16" i="6"/>
  <c r="G16" i="6"/>
  <c r="H15" i="6"/>
  <c r="G15" i="6"/>
  <c r="H14" i="6"/>
  <c r="G14" i="6"/>
  <c r="H13" i="6"/>
  <c r="G13" i="6"/>
  <c r="H12" i="6"/>
  <c r="G12" i="6"/>
  <c r="H11" i="6"/>
  <c r="G11" i="6"/>
  <c r="H10" i="6"/>
  <c r="G10" i="6"/>
  <c r="H9" i="6"/>
  <c r="G9" i="6"/>
  <c r="H8" i="6"/>
  <c r="G8" i="6"/>
  <c r="H7" i="6"/>
  <c r="G7" i="6"/>
  <c r="H6" i="6"/>
  <c r="G6" i="6"/>
  <c r="H5" i="6"/>
  <c r="G5" i="6"/>
  <c r="H4" i="6"/>
  <c r="G4" i="6"/>
  <c r="J283" i="1"/>
  <c r="I283" i="1"/>
  <c r="J282" i="1"/>
  <c r="I282" i="1"/>
  <c r="J281" i="1"/>
  <c r="I281" i="1"/>
  <c r="J280" i="1"/>
  <c r="I280" i="1"/>
  <c r="J279" i="1"/>
  <c r="I279" i="1"/>
  <c r="J278" i="1"/>
  <c r="I278" i="1"/>
  <c r="J277" i="1"/>
  <c r="I277" i="1"/>
  <c r="J276" i="1"/>
  <c r="I276" i="1"/>
  <c r="J275" i="1"/>
  <c r="I275" i="1"/>
  <c r="J274" i="1"/>
  <c r="I274" i="1"/>
  <c r="J273" i="1"/>
  <c r="I273" i="1"/>
  <c r="J272" i="1"/>
  <c r="I272" i="1"/>
  <c r="J271" i="1"/>
  <c r="I271" i="1"/>
  <c r="J270" i="1"/>
  <c r="I270" i="1"/>
  <c r="J269" i="1"/>
  <c r="I269" i="1"/>
  <c r="J268" i="1"/>
  <c r="I268" i="1"/>
  <c r="J267" i="1"/>
  <c r="I267" i="1"/>
  <c r="J266" i="1"/>
  <c r="I266" i="1"/>
  <c r="J265" i="1"/>
  <c r="I265" i="1"/>
  <c r="J264" i="1"/>
  <c r="I264" i="1"/>
  <c r="J263" i="1"/>
  <c r="I263" i="1"/>
  <c r="J262" i="1"/>
  <c r="I262" i="1"/>
  <c r="J261" i="1"/>
  <c r="I261" i="1"/>
  <c r="J260" i="1"/>
  <c r="I260" i="1"/>
  <c r="J259" i="1"/>
  <c r="I259" i="1"/>
  <c r="J258" i="1"/>
  <c r="I258" i="1"/>
  <c r="J257" i="1"/>
  <c r="I257" i="1"/>
  <c r="J256" i="1"/>
  <c r="I256" i="1"/>
  <c r="J255" i="1"/>
  <c r="I255" i="1"/>
  <c r="J254" i="1"/>
  <c r="I254" i="1"/>
  <c r="J253" i="1"/>
  <c r="I253" i="1"/>
  <c r="J252" i="1"/>
  <c r="I252" i="1"/>
  <c r="J251" i="1"/>
  <c r="I251" i="1"/>
  <c r="J250" i="1"/>
  <c r="I250" i="1"/>
  <c r="J249" i="1"/>
  <c r="I249" i="1"/>
  <c r="J248" i="1"/>
  <c r="I248" i="1"/>
  <c r="J247" i="1"/>
  <c r="I247" i="1"/>
  <c r="J246" i="1"/>
  <c r="I246" i="1"/>
  <c r="J245" i="1"/>
  <c r="I245" i="1"/>
  <c r="J244" i="1"/>
  <c r="I244" i="1"/>
  <c r="J243" i="1"/>
  <c r="I243" i="1"/>
  <c r="J242" i="1"/>
  <c r="I242" i="1"/>
  <c r="J241" i="1"/>
  <c r="I241" i="1"/>
  <c r="J240" i="1"/>
  <c r="I240" i="1"/>
  <c r="J239" i="1"/>
  <c r="I239" i="1"/>
  <c r="J238" i="1"/>
  <c r="I238" i="1"/>
  <c r="J237" i="1"/>
  <c r="I237" i="1"/>
  <c r="J236" i="1"/>
  <c r="I236" i="1"/>
  <c r="J235" i="1"/>
  <c r="I235" i="1"/>
  <c r="J234" i="1"/>
  <c r="I234" i="1"/>
  <c r="J233" i="1"/>
  <c r="I233" i="1"/>
  <c r="J232" i="1"/>
  <c r="I232" i="1"/>
  <c r="J231" i="1"/>
  <c r="I231" i="1"/>
  <c r="J230" i="1"/>
  <c r="I230" i="1"/>
  <c r="J229" i="1"/>
  <c r="I229" i="1"/>
  <c r="J228" i="1"/>
  <c r="I228" i="1"/>
  <c r="J227" i="1"/>
  <c r="I227" i="1"/>
  <c r="J226" i="1"/>
  <c r="I226" i="1"/>
  <c r="J225" i="1"/>
  <c r="I225" i="1"/>
  <c r="J224" i="1"/>
  <c r="I224" i="1"/>
  <c r="J223" i="1"/>
  <c r="I223" i="1"/>
  <c r="J222" i="1"/>
  <c r="I222" i="1"/>
  <c r="J221" i="1"/>
  <c r="I221" i="1"/>
  <c r="J220" i="1"/>
  <c r="I220" i="1"/>
  <c r="J219" i="1"/>
  <c r="I219" i="1"/>
  <c r="J218" i="1"/>
  <c r="I218" i="1"/>
  <c r="J217" i="1"/>
  <c r="I217" i="1"/>
  <c r="J216" i="1"/>
  <c r="I216" i="1"/>
  <c r="J215" i="1"/>
  <c r="I215" i="1"/>
  <c r="J214" i="1"/>
  <c r="I214" i="1"/>
  <c r="J213" i="1"/>
  <c r="I213" i="1"/>
  <c r="J212" i="1"/>
  <c r="I212" i="1"/>
  <c r="J211" i="1"/>
  <c r="I211" i="1"/>
  <c r="J210" i="1"/>
  <c r="I210" i="1"/>
  <c r="J209" i="1"/>
  <c r="I209" i="1"/>
  <c r="J208" i="1"/>
  <c r="I208" i="1"/>
  <c r="J207" i="1"/>
  <c r="I207" i="1"/>
  <c r="J206" i="1"/>
  <c r="I206" i="1"/>
  <c r="J205" i="1"/>
  <c r="I205" i="1"/>
  <c r="J204" i="1"/>
  <c r="I204" i="1"/>
  <c r="J203" i="1"/>
  <c r="I203" i="1"/>
  <c r="J202" i="1"/>
  <c r="I202" i="1"/>
  <c r="J201" i="1"/>
  <c r="I201" i="1"/>
  <c r="J200" i="1"/>
  <c r="I200" i="1"/>
  <c r="J199" i="1"/>
  <c r="I199" i="1"/>
  <c r="J198" i="1"/>
  <c r="I198" i="1"/>
  <c r="J197" i="1"/>
  <c r="I197" i="1"/>
  <c r="J196" i="1"/>
  <c r="I196" i="1"/>
  <c r="J195" i="1"/>
  <c r="I195" i="1"/>
  <c r="J194" i="1"/>
  <c r="I194" i="1"/>
  <c r="J193" i="1"/>
  <c r="I193" i="1"/>
  <c r="J192" i="1"/>
  <c r="I192" i="1"/>
  <c r="J191" i="1"/>
  <c r="I191" i="1"/>
  <c r="J190" i="1"/>
  <c r="I190" i="1"/>
  <c r="J189" i="1"/>
  <c r="I189" i="1"/>
  <c r="J188" i="1"/>
  <c r="I188" i="1"/>
  <c r="J187" i="1"/>
  <c r="I187" i="1"/>
  <c r="J186" i="1"/>
  <c r="I186" i="1"/>
  <c r="J185" i="1"/>
  <c r="I185" i="1"/>
  <c r="J184" i="1"/>
  <c r="I184" i="1"/>
  <c r="J183" i="1"/>
  <c r="I183" i="1"/>
  <c r="J182" i="1"/>
  <c r="I182" i="1"/>
  <c r="J181" i="1"/>
  <c r="I181" i="1"/>
  <c r="J180" i="1"/>
  <c r="I180" i="1"/>
  <c r="J179" i="1"/>
  <c r="I179" i="1"/>
  <c r="J178" i="1"/>
  <c r="I178" i="1"/>
  <c r="J177" i="1"/>
  <c r="I177" i="1"/>
  <c r="J176" i="1"/>
  <c r="I176" i="1"/>
  <c r="J175" i="1"/>
  <c r="I175" i="1"/>
  <c r="J174" i="1"/>
  <c r="I174" i="1"/>
  <c r="J173" i="1"/>
  <c r="I173" i="1"/>
  <c r="J172" i="1"/>
  <c r="I172" i="1"/>
  <c r="J171" i="1"/>
  <c r="I171" i="1"/>
  <c r="J170" i="1"/>
  <c r="I170" i="1"/>
  <c r="J169" i="1"/>
  <c r="I169" i="1"/>
  <c r="J168" i="1"/>
  <c r="I168" i="1"/>
  <c r="J167" i="1"/>
  <c r="I167" i="1"/>
  <c r="J166" i="1"/>
  <c r="I166" i="1"/>
  <c r="J165" i="1"/>
  <c r="I165" i="1"/>
  <c r="J164" i="1"/>
  <c r="I164" i="1"/>
  <c r="J163" i="1"/>
  <c r="I163" i="1"/>
  <c r="J162" i="1"/>
  <c r="I162" i="1"/>
  <c r="J161" i="1"/>
  <c r="I161" i="1"/>
  <c r="J160" i="1"/>
  <c r="I160" i="1"/>
  <c r="J159" i="1"/>
  <c r="I159" i="1"/>
  <c r="J158" i="1"/>
  <c r="I158" i="1"/>
  <c r="J157" i="1"/>
  <c r="I157" i="1"/>
  <c r="J156" i="1"/>
  <c r="I156" i="1"/>
  <c r="J155" i="1"/>
  <c r="I155" i="1"/>
  <c r="J154" i="1"/>
  <c r="I154" i="1"/>
  <c r="J153" i="1"/>
  <c r="I153" i="1"/>
  <c r="J152" i="1"/>
  <c r="I152" i="1"/>
  <c r="J151" i="1"/>
  <c r="I151" i="1"/>
  <c r="J150" i="1"/>
  <c r="I150" i="1"/>
  <c r="J149" i="1"/>
  <c r="I149" i="1"/>
  <c r="J148" i="1"/>
  <c r="I148" i="1"/>
  <c r="J147" i="1"/>
  <c r="I147" i="1"/>
  <c r="J146" i="1"/>
  <c r="I146" i="1"/>
  <c r="J145" i="1"/>
  <c r="I145" i="1"/>
  <c r="J144" i="1"/>
  <c r="I144" i="1"/>
  <c r="J143" i="1"/>
  <c r="I143" i="1"/>
  <c r="J142" i="1"/>
  <c r="I142" i="1"/>
  <c r="J141" i="1"/>
  <c r="I141" i="1"/>
  <c r="J140" i="1"/>
  <c r="I140" i="1"/>
  <c r="J139" i="1"/>
  <c r="I139" i="1"/>
  <c r="J138" i="1"/>
  <c r="I138" i="1"/>
  <c r="J137" i="1"/>
  <c r="I137" i="1"/>
  <c r="J136" i="1"/>
  <c r="I136" i="1"/>
  <c r="J135" i="1"/>
  <c r="I135" i="1"/>
  <c r="J134" i="1"/>
  <c r="I134" i="1"/>
  <c r="J133" i="1"/>
  <c r="I133" i="1"/>
  <c r="J132" i="1"/>
  <c r="I132" i="1"/>
  <c r="J131" i="1"/>
  <c r="I131" i="1"/>
  <c r="J130" i="1"/>
  <c r="I130" i="1"/>
  <c r="J129" i="1"/>
  <c r="I129" i="1"/>
  <c r="J128" i="1"/>
  <c r="I128" i="1"/>
  <c r="J127" i="1"/>
  <c r="I127" i="1"/>
  <c r="J126" i="1"/>
  <c r="I126" i="1"/>
  <c r="J125" i="1"/>
  <c r="I125" i="1"/>
  <c r="J124" i="1"/>
  <c r="I124" i="1"/>
  <c r="J123" i="1"/>
  <c r="I123" i="1"/>
  <c r="J122" i="1"/>
  <c r="I122" i="1"/>
  <c r="J121" i="1"/>
  <c r="I121" i="1"/>
  <c r="J120" i="1"/>
  <c r="I120" i="1"/>
  <c r="J119" i="1"/>
  <c r="I119" i="1"/>
  <c r="J118" i="1"/>
  <c r="I118" i="1"/>
  <c r="J117" i="1"/>
  <c r="I117" i="1"/>
  <c r="J116" i="1"/>
  <c r="I116" i="1"/>
  <c r="J115" i="1"/>
  <c r="I115" i="1"/>
  <c r="J114" i="1"/>
  <c r="I114" i="1"/>
  <c r="J113" i="1"/>
  <c r="I113" i="1"/>
  <c r="J112" i="1"/>
  <c r="I112" i="1"/>
  <c r="J111" i="1"/>
  <c r="I111" i="1"/>
  <c r="J110" i="1"/>
  <c r="I110" i="1"/>
  <c r="J109" i="1"/>
  <c r="I109" i="1"/>
  <c r="J108" i="1"/>
  <c r="I108" i="1"/>
  <c r="J107" i="1"/>
  <c r="I107" i="1"/>
  <c r="J106" i="1"/>
  <c r="I106" i="1"/>
  <c r="J105" i="1"/>
  <c r="I105" i="1"/>
  <c r="J104" i="1"/>
  <c r="I104" i="1"/>
  <c r="J103" i="1"/>
  <c r="I103" i="1"/>
  <c r="J102" i="1"/>
  <c r="I102" i="1"/>
  <c r="J101" i="1"/>
  <c r="I101" i="1"/>
  <c r="J100" i="1"/>
  <c r="I100" i="1"/>
  <c r="J99" i="1"/>
  <c r="I99" i="1"/>
  <c r="J98" i="1"/>
  <c r="I98" i="1"/>
  <c r="J97" i="1"/>
  <c r="I97" i="1"/>
  <c r="J96" i="1"/>
  <c r="I96" i="1"/>
  <c r="J95" i="1"/>
  <c r="I95" i="1"/>
  <c r="J94" i="1"/>
  <c r="I94" i="1"/>
  <c r="J93" i="1"/>
  <c r="I93" i="1"/>
  <c r="J92" i="1"/>
  <c r="I92" i="1"/>
  <c r="J91" i="1"/>
  <c r="I91" i="1"/>
  <c r="J90" i="1"/>
  <c r="I90" i="1"/>
  <c r="J89" i="1"/>
  <c r="I89" i="1"/>
  <c r="J88" i="1"/>
  <c r="I88" i="1"/>
  <c r="J87" i="1"/>
  <c r="I87" i="1"/>
  <c r="J86" i="1"/>
  <c r="I86" i="1"/>
  <c r="J85" i="1"/>
  <c r="I85" i="1"/>
  <c r="J84" i="1"/>
  <c r="I84" i="1"/>
  <c r="J83" i="1"/>
  <c r="I83" i="1"/>
  <c r="J82" i="1"/>
  <c r="I82" i="1"/>
  <c r="J81" i="1"/>
  <c r="I81" i="1"/>
  <c r="J80" i="1"/>
  <c r="I80" i="1"/>
  <c r="J79" i="1"/>
  <c r="I79" i="1"/>
  <c r="J78" i="1"/>
  <c r="I78" i="1"/>
  <c r="J77" i="1"/>
  <c r="I77" i="1"/>
  <c r="J76" i="1"/>
  <c r="I76" i="1"/>
  <c r="J75" i="1"/>
  <c r="I75" i="1"/>
  <c r="J74" i="1"/>
  <c r="I74" i="1"/>
  <c r="J73" i="1"/>
  <c r="I73" i="1"/>
  <c r="J72" i="1"/>
  <c r="I72" i="1"/>
  <c r="J71" i="1"/>
  <c r="I71" i="1"/>
  <c r="J70" i="1"/>
  <c r="I70" i="1"/>
  <c r="J69" i="1"/>
  <c r="I69" i="1"/>
  <c r="J68" i="1"/>
  <c r="I68" i="1"/>
  <c r="J67" i="1"/>
  <c r="I67" i="1"/>
  <c r="J66" i="1"/>
  <c r="I66" i="1"/>
  <c r="J65" i="1"/>
  <c r="I65" i="1"/>
  <c r="J64" i="1"/>
  <c r="I64" i="1"/>
  <c r="J63" i="1"/>
  <c r="I63" i="1"/>
  <c r="J62" i="1"/>
  <c r="I62" i="1"/>
  <c r="J61" i="1"/>
  <c r="I61" i="1"/>
  <c r="J60" i="1"/>
  <c r="I60" i="1"/>
  <c r="J59" i="1"/>
  <c r="I59" i="1"/>
  <c r="J58" i="1"/>
  <c r="I58" i="1"/>
  <c r="J57" i="1"/>
  <c r="I57" i="1"/>
  <c r="J56" i="1"/>
  <c r="I56" i="1"/>
  <c r="J55" i="1"/>
  <c r="I55" i="1"/>
  <c r="J54" i="1"/>
  <c r="I54" i="1"/>
  <c r="J53" i="1"/>
  <c r="I53" i="1"/>
  <c r="J52" i="1"/>
  <c r="I52" i="1"/>
  <c r="J51" i="1"/>
  <c r="I51" i="1"/>
  <c r="J50" i="1"/>
  <c r="I50" i="1"/>
  <c r="J49" i="1"/>
  <c r="I49" i="1"/>
  <c r="J48" i="1"/>
  <c r="I48" i="1"/>
  <c r="J47" i="1"/>
  <c r="I47" i="1"/>
  <c r="J46" i="1"/>
  <c r="I46" i="1"/>
  <c r="J45" i="1"/>
  <c r="I45" i="1"/>
  <c r="J44" i="1"/>
  <c r="I44" i="1"/>
  <c r="J43" i="1"/>
  <c r="I43" i="1"/>
  <c r="J42" i="1"/>
  <c r="I42" i="1"/>
  <c r="J41" i="1"/>
  <c r="I41" i="1"/>
  <c r="J40" i="1"/>
  <c r="I40" i="1"/>
  <c r="J39" i="1"/>
  <c r="I39" i="1"/>
  <c r="J38" i="1"/>
  <c r="I38" i="1"/>
  <c r="J37" i="1"/>
  <c r="I37" i="1"/>
  <c r="J36" i="1"/>
  <c r="I36" i="1"/>
  <c r="J35" i="1"/>
  <c r="I35" i="1"/>
  <c r="J34" i="1"/>
  <c r="I34" i="1"/>
  <c r="J33" i="1"/>
  <c r="I33" i="1"/>
  <c r="J32" i="1"/>
  <c r="I32" i="1"/>
  <c r="J31" i="1"/>
  <c r="I31" i="1"/>
  <c r="J30" i="1"/>
  <c r="I30" i="1"/>
  <c r="J29" i="1"/>
  <c r="I29" i="1"/>
  <c r="J28" i="1"/>
  <c r="I28" i="1"/>
  <c r="J27" i="1"/>
  <c r="I27" i="1"/>
  <c r="J26" i="1"/>
  <c r="I26" i="1"/>
  <c r="J25" i="1"/>
  <c r="I25" i="1"/>
  <c r="J24" i="1"/>
  <c r="I24" i="1"/>
  <c r="J23" i="1"/>
  <c r="I23" i="1"/>
  <c r="J22" i="1"/>
  <c r="I22" i="1"/>
  <c r="J21" i="1"/>
  <c r="I21" i="1"/>
  <c r="J20" i="1"/>
  <c r="I20" i="1"/>
  <c r="J19" i="1"/>
  <c r="I19" i="1"/>
  <c r="J18" i="1"/>
  <c r="I18" i="1"/>
  <c r="J17" i="1"/>
  <c r="I17" i="1"/>
  <c r="J16" i="1"/>
  <c r="I16" i="1"/>
  <c r="J15" i="1"/>
  <c r="I15" i="1"/>
  <c r="J14" i="1"/>
  <c r="I14" i="1"/>
  <c r="J13" i="1"/>
  <c r="I13" i="1"/>
  <c r="J12" i="1"/>
  <c r="I12" i="1"/>
  <c r="J11" i="1"/>
  <c r="I11" i="1"/>
  <c r="J10" i="1"/>
  <c r="I10" i="1"/>
  <c r="J9" i="1"/>
  <c r="I9" i="1"/>
  <c r="J8" i="1"/>
  <c r="I8" i="1"/>
  <c r="J7" i="1"/>
  <c r="I7" i="1"/>
  <c r="J6" i="1"/>
  <c r="I6" i="1"/>
  <c r="J5" i="1"/>
  <c r="I5" i="1"/>
  <c r="J4" i="1"/>
  <c r="I4" i="1"/>
</calcChain>
</file>

<file path=xl/sharedStrings.xml><?xml version="1.0" encoding="utf-8"?>
<sst xmlns="http://schemas.openxmlformats.org/spreadsheetml/2006/main" count="22942" uniqueCount="17442">
  <si>
    <t>Name</t>
  </si>
  <si>
    <t>Short Name</t>
  </si>
  <si>
    <t>Full Name</t>
  </si>
  <si>
    <t>Notes</t>
  </si>
  <si>
    <t>Overview</t>
  </si>
  <si>
    <t>Overview:</t>
  </si>
  <si>
    <t>Usage Notes:</t>
  </si>
  <si>
    <t>Column</t>
  </si>
  <si>
    <t>Purpose</t>
  </si>
  <si>
    <t>Geopolitical Entities</t>
  </si>
  <si>
    <t>http://www.gwg.nga.mil/ccwg.php</t>
  </si>
  <si>
    <t>CCWG Resource:</t>
  </si>
  <si>
    <t>Geopolitical Entity</t>
  </si>
  <si>
    <t>Release Notes:</t>
  </si>
  <si>
    <t>GENC Resource:</t>
  </si>
  <si>
    <t>2-character Code</t>
  </si>
  <si>
    <t>3-character Code</t>
  </si>
  <si>
    <t>Numeric Code</t>
  </si>
  <si>
    <t>Short URN-based Identifier</t>
  </si>
  <si>
    <r>
      <t xml:space="preserve">GENC Registry Page
</t>
    </r>
    <r>
      <rPr>
        <i/>
        <sz val="10"/>
        <color rgb="FF0000CC"/>
        <rFont val="Arial"/>
        <family val="2"/>
      </rPr>
      <t>(link)</t>
    </r>
  </si>
  <si>
    <r>
      <t xml:space="preserve">GENC XML Resource
</t>
    </r>
    <r>
      <rPr>
        <i/>
        <sz val="10"/>
        <color rgb="FF0000CC"/>
        <rFont val="Arial"/>
        <family val="2"/>
      </rPr>
      <t>(link)</t>
    </r>
  </si>
  <si>
    <r>
      <t>For example: "GB".  In the case that no 2-character code is specified, then this cell states</t>
    </r>
    <r>
      <rPr>
        <i/>
        <sz val="10"/>
        <rFont val="Arial"/>
        <family val="2"/>
      </rPr>
      <t xml:space="preserve"> </t>
    </r>
    <r>
      <rPr>
        <b/>
        <i/>
        <sz val="10"/>
        <color indexed="23"/>
        <rFont val="Arial"/>
        <family val="2"/>
      </rPr>
      <t>[None]</t>
    </r>
    <r>
      <rPr>
        <sz val="10"/>
        <rFont val="Arial"/>
        <family val="2"/>
      </rPr>
      <t>.</t>
    </r>
  </si>
  <si>
    <t>For example: "GBR".</t>
  </si>
  <si>
    <r>
      <t xml:space="preserve">For example: "826".  In the case that no 3-digit code is specified, then this cell states </t>
    </r>
    <r>
      <rPr>
        <b/>
        <i/>
        <sz val="10"/>
        <color indexed="23"/>
        <rFont val="Arial"/>
        <family val="2"/>
      </rPr>
      <t>[None]</t>
    </r>
    <r>
      <rPr>
        <sz val="10"/>
        <rFont val="Arial"/>
        <family val="2"/>
      </rPr>
      <t>.</t>
    </r>
  </si>
  <si>
    <t>For example: "UNITED KINGDOM".</t>
  </si>
  <si>
    <t>The short name of the geopolitical entity.</t>
  </si>
  <si>
    <t>This is a mixed-case character string, for example: "United Kingdom of Great Britain and Northern Ireland".</t>
  </si>
  <si>
    <t>For example, "UNITED KINGDOM" or "WAKE ISLAND".</t>
  </si>
  <si>
    <r>
      <t xml:space="preserve">A region controlled by a political community having an organized government and possessing internal and external sovereignty, most often as a State but sometimes having a dependent relationship on another political authority or a special sovereignty status.
</t>
    </r>
    <r>
      <rPr>
        <sz val="10"/>
        <color indexed="12"/>
        <rFont val="Arial"/>
        <family val="2"/>
      </rPr>
      <t>NOTE: The degree of sovereignty may be limited in specific areas (for example: matters of economic, administrative, legislative, judicial, military and/or foreign policy). The region controlled by a sovereign geopolitical entity is commonly referred to as a "country".</t>
    </r>
  </si>
  <si>
    <r>
      <t xml:space="preserve">Short URN-based Identifier
</t>
    </r>
    <r>
      <rPr>
        <sz val="10"/>
        <color rgb="FF002060"/>
        <rFont val="Arial"/>
        <family val="2"/>
      </rPr>
      <t>(3-character code-based)</t>
    </r>
  </si>
  <si>
    <r>
      <rPr>
        <b/>
        <sz val="10"/>
        <color theme="5" tint="-0.499984740745262"/>
        <rFont val="Arial"/>
        <family val="2"/>
      </rPr>
      <t>GENC XML Resource</t>
    </r>
    <r>
      <rPr>
        <b/>
        <i/>
        <sz val="10"/>
        <color theme="5" tint="-0.499984740745262"/>
        <rFont val="Arial"/>
        <family val="2"/>
      </rPr>
      <t xml:space="preserve">
</t>
    </r>
    <r>
      <rPr>
        <i/>
        <sz val="10"/>
        <color rgb="FF0000CC"/>
        <rFont val="Arial"/>
        <family val="2"/>
      </rPr>
      <t>(link)</t>
    </r>
  </si>
  <si>
    <t>The full name of the geopolitical entity.</t>
  </si>
  <si>
    <t>The alphanumeric 3-character code that is used to designate the geopolitical entity.</t>
  </si>
  <si>
    <t>The alphanumeric 2-character code that is used to designate the geopolitical entity.</t>
  </si>
  <si>
    <t>The 3-digit numeric code that is used to designate the geopolitical entity.</t>
  </si>
  <si>
    <t>A web hyperlink to the corresponding complete browser-based presentation of the GENC Standard information content for the geopolitical entity.</t>
  </si>
  <si>
    <t>A web hyperlink to the corresponding complete XML-based encoding of the GENC Standard information content for the geopolitical entity.</t>
  </si>
  <si>
    <t>This is a mixed-case character string, for example: "United Kingdom".</t>
  </si>
  <si>
    <r>
      <t xml:space="preserve">For example: </t>
    </r>
    <r>
      <rPr>
        <u/>
        <sz val="10"/>
        <color rgb="FF0000CC"/>
        <rFont val="Arial"/>
        <family val="2"/>
      </rPr>
      <t>http://api.nsgreg.nga.mil/geo-political/GENC/3/ed1/AFG</t>
    </r>
  </si>
  <si>
    <t>GENC Codespace URL (3-char):</t>
  </si>
  <si>
    <t>GENC Codespace URN (3-char):</t>
  </si>
  <si>
    <r>
      <t>Uses the unique compressed resource-specific-string ("stem") component of the URN-based codespace designation for this baseline; for additional information see the GENC Standard, Edition 1, Section 5.4.4.4. For example: "ge:GENC:3:ed1:AFG". When the identifier uses an ISO-associated codespace (</t>
    </r>
    <r>
      <rPr>
        <i/>
        <sz val="10"/>
        <rFont val="Arial"/>
        <family val="2"/>
      </rPr>
      <t>e.g</t>
    </r>
    <r>
      <rPr>
        <sz val="10"/>
        <rFont val="Arial"/>
        <family val="2"/>
      </rPr>
      <t xml:space="preserve">., "ge:ISO1:3:VI-13:DZA"), the text font is </t>
    </r>
    <r>
      <rPr>
        <sz val="10"/>
        <color rgb="FF7030A0"/>
        <rFont val="Arial"/>
        <family val="2"/>
      </rPr>
      <t>purple</t>
    </r>
    <r>
      <rPr>
        <sz val="10"/>
        <rFont val="Arial"/>
        <family val="2"/>
      </rPr>
      <t xml:space="preserve"> and cell is </t>
    </r>
    <r>
      <rPr>
        <sz val="10"/>
        <color rgb="FF7030A0"/>
        <rFont val="Arial"/>
        <family val="2"/>
      </rPr>
      <t>light-purple</t>
    </r>
    <r>
      <rPr>
        <sz val="10"/>
        <rFont val="Arial"/>
        <family val="2"/>
      </rPr>
      <t xml:space="preserve"> filled.</t>
    </r>
  </si>
  <si>
    <t>The codespace-code combination unique identifier for the geopolitical entity that is based on its 3-character code, in combination with the compressed URN-based codespace designation for the current content baseline.
NOTE: The scope of uniqueness is limited to the GENC Registry.</t>
  </si>
  <si>
    <t>The short name of the geopolitical entity, in all capital letters with diacritical marks where applicable.</t>
  </si>
  <si>
    <t>http://nsgreg.nga.mil/genc</t>
  </si>
  <si>
    <t xml:space="preserve">If your workbook opens in Microsoft Excel without left-arrow/right-arrow control icons in one of your command bars, use the right-mouse menu while selecting an empty command bar area to the right of the header display (generally under the "Type a question for help" box) and select/enable the Web command bar.  
</t>
  </si>
  <si>
    <t>6-character Code</t>
  </si>
  <si>
    <t>Recommended</t>
  </si>
  <si>
    <t>Subdivision Category</t>
  </si>
  <si>
    <t xml:space="preserve">GENC Codespace URL: </t>
  </si>
  <si>
    <t xml:space="preserve">GENC Codespace URN: </t>
  </si>
  <si>
    <r>
      <t xml:space="preserve">Geopolitical Entity
</t>
    </r>
    <r>
      <rPr>
        <i/>
        <sz val="10"/>
        <color rgb="FF0000CC"/>
        <rFont val="Arial"/>
        <family val="2"/>
      </rPr>
      <t>(linked to corresponding specification)</t>
    </r>
  </si>
  <si>
    <r>
      <t xml:space="preserve">AS
</t>
    </r>
    <r>
      <rPr>
        <i/>
        <sz val="10"/>
        <color rgb="FF0000CC"/>
        <rFont val="Arial"/>
        <family val="2"/>
      </rPr>
      <t>(link)</t>
    </r>
  </si>
  <si>
    <r>
      <rPr>
        <b/>
        <sz val="10"/>
        <color rgb="FF0000CC"/>
        <rFont val="Arial"/>
        <family val="2"/>
      </rPr>
      <t>Administrative Subdivisions</t>
    </r>
    <r>
      <rPr>
        <b/>
        <sz val="10"/>
        <color theme="5" tint="-0.499984740745262"/>
        <rFont val="Arial"/>
        <family val="2"/>
      </rPr>
      <t xml:space="preserve">
</t>
    </r>
    <r>
      <rPr>
        <i/>
        <sz val="10"/>
        <color rgb="FF0000CC"/>
        <rFont val="Arial"/>
        <family val="2"/>
      </rPr>
      <t>(link)</t>
    </r>
  </si>
  <si>
    <t>If there are no administrative subdivisions then the link is absent and the cell is gray-filled.</t>
  </si>
  <si>
    <t>Administrative Subdivisions</t>
  </si>
  <si>
    <t>Administrative Subdivision</t>
  </si>
  <si>
    <r>
      <t xml:space="preserve">An administratively subordinate division of a geopolitical entity.
</t>
    </r>
    <r>
      <rPr>
        <sz val="10"/>
        <color indexed="12"/>
        <rFont val="Arial"/>
        <family val="2"/>
      </rPr>
      <t>NOTE: A geopolitical entity (country) is typically divided into first-, second-, and lower-order administrative subdivisions. First-order administrative subdivisions are immediately subordinate to the government of the geopolitical entity, with second- and lower-order subdivisions subordinate to those above them.</t>
    </r>
  </si>
  <si>
    <t>The alphanumeric 6-character code that is used to designate the administrative subdivision.</t>
  </si>
  <si>
    <t>For example: "Badakhshān".</t>
  </si>
  <si>
    <t>For example: "AF-DBS".</t>
  </si>
  <si>
    <r>
      <t xml:space="preserve">Geopolitical Entity
</t>
    </r>
    <r>
      <rPr>
        <i/>
        <sz val="10"/>
        <color rgb="FF0000CC"/>
        <rFont val="Arial"/>
        <family val="2"/>
      </rPr>
      <t>(link)</t>
    </r>
  </si>
  <si>
    <t xml:space="preserve">For example: "AFGHANISTAN". </t>
  </si>
  <si>
    <r>
      <t xml:space="preserve">The name of the geopolitical entity to which this administrative subdivision is subordinate, linked to its specification in the </t>
    </r>
    <r>
      <rPr>
        <b/>
        <sz val="10"/>
        <color rgb="FF0070C0"/>
        <rFont val="Arial"/>
        <family val="2"/>
      </rPr>
      <t>Geopolitical_Entities</t>
    </r>
    <r>
      <rPr>
        <sz val="10"/>
        <color theme="1"/>
        <rFont val="Arial"/>
        <family val="2"/>
      </rPr>
      <t xml:space="preserve"> tab/worksheet.</t>
    </r>
  </si>
  <si>
    <r>
      <t>A link to the specification of the set of administrative subdivisions, if any, of the geopolitical entity. This specification is documented in the</t>
    </r>
    <r>
      <rPr>
        <b/>
        <sz val="10"/>
        <color rgb="FF0070C0"/>
        <rFont val="Arial"/>
        <family val="2"/>
      </rPr>
      <t xml:space="preserve"> Administrative_Subdivisions </t>
    </r>
    <r>
      <rPr>
        <sz val="10"/>
        <rFont val="Arial"/>
        <family val="2"/>
      </rPr>
      <t>tab/worksheet.</t>
    </r>
  </si>
  <si>
    <t>The type of the regional administrative subdivisions of the geopolitical entity of this administrative subdivision.  The subdivision category is based on similar governmental structure, administrative authority, and responsibilities in each administrative subdivision belonging to the category.
NOTE: Administrative subdivisions belonging to the same category do not overlap in territory.</t>
  </si>
  <si>
    <t>An indication that the administrative subdivision is considered by the U.S. BGN Foreign Names Committee to be a primary administrative division of a geopolitical entity.
NOTE: It is not required that all “recommended” administrative subdivisions within a geopolitical entity have the same subdivision category.</t>
  </si>
  <si>
    <t>The codespace-code combination unique identifier for the administrative subdivision that is based on its 6-character code, in combination with the compressed URN-based codespace designation for the current content baseline.
NOTE: The scope of uniqueness is limited to the GENC Registry.</t>
  </si>
  <si>
    <r>
      <t>Uses the unique compressed resource-specific-string ("stem") component of the URN-based codespace designation for this baseline; for additional information see the GENC Standard, Edition 2, Section 5.4.4.4. For example: "as:GENC:3:ed2:AF-DBS". When the identifier uses an ISO-associated codespace (</t>
    </r>
    <r>
      <rPr>
        <i/>
        <sz val="10"/>
        <rFont val="Arial"/>
        <family val="2"/>
      </rPr>
      <t>e.g</t>
    </r>
    <r>
      <rPr>
        <sz val="10"/>
        <rFont val="Arial"/>
        <family val="2"/>
      </rPr>
      <t xml:space="preserve">., "as:ISO2:6:II-3:AF-DBS"), the text font is </t>
    </r>
    <r>
      <rPr>
        <sz val="10"/>
        <color rgb="FF7030A0"/>
        <rFont val="Arial"/>
        <family val="2"/>
      </rPr>
      <t>purple</t>
    </r>
    <r>
      <rPr>
        <sz val="10"/>
        <rFont val="Arial"/>
        <family val="2"/>
      </rPr>
      <t xml:space="preserve"> and cell is </t>
    </r>
    <r>
      <rPr>
        <sz val="10"/>
        <color rgb="FF7030A0"/>
        <rFont val="Arial"/>
        <family val="2"/>
      </rPr>
      <t>light-purple</t>
    </r>
    <r>
      <rPr>
        <sz val="10"/>
        <rFont val="Arial"/>
        <family val="2"/>
      </rPr>
      <t xml:space="preserve"> filled.</t>
    </r>
  </si>
  <si>
    <t>A web hyperlink to the corresponding complete browser-based presentation of the GENC Standard information content for the administrative subdivision.</t>
  </si>
  <si>
    <t>A web hyperlink to the corresponding complete XML-based encoding of the GENC Standard information content for the administrative subdivision.</t>
  </si>
  <si>
    <r>
      <t xml:space="preserve">For example: </t>
    </r>
    <r>
      <rPr>
        <u/>
        <sz val="10"/>
        <color rgb="FF0000CC"/>
        <rFont val="Arial"/>
        <family val="2"/>
      </rPr>
      <t>http://api.nsgreg.nga.mil/geo-division/ISO3166-2/6/II-3/AF-BDS</t>
    </r>
  </si>
  <si>
    <r>
      <t xml:space="preserve">For example: TRUE. If the value is FALSE then the text font is </t>
    </r>
    <r>
      <rPr>
        <sz val="10"/>
        <color theme="0" tint="-0.34998626667073579"/>
        <rFont val="Arial"/>
        <family val="2"/>
      </rPr>
      <t>gray</t>
    </r>
    <r>
      <rPr>
        <sz val="10"/>
        <rFont val="Arial"/>
        <family val="2"/>
      </rPr>
      <t>.</t>
    </r>
  </si>
  <si>
    <r>
      <t xml:space="preserve">For example: U.S. "state", French "department", or Japanese "prefecture". If the value of </t>
    </r>
    <r>
      <rPr>
        <b/>
        <sz val="10"/>
        <rFont val="Arial"/>
        <family val="2"/>
      </rPr>
      <t>Recommended</t>
    </r>
    <r>
      <rPr>
        <sz val="10"/>
        <rFont val="Arial"/>
        <family val="2"/>
      </rPr>
      <t xml:space="preserve"> is FALSE then the text font is </t>
    </r>
    <r>
      <rPr>
        <sz val="10"/>
        <color theme="0" tint="-0.34998626667073579"/>
        <rFont val="Arial"/>
        <family val="2"/>
      </rPr>
      <t>gray</t>
    </r>
    <r>
      <rPr>
        <sz val="10"/>
        <rFont val="Arial"/>
        <family val="2"/>
      </rPr>
      <t>.</t>
    </r>
  </si>
  <si>
    <t>Preferred Name</t>
  </si>
  <si>
    <t>The preferred name of the administrative subdivision, with diacritical marks where applicable.  Among the names specified for an administrative subdivision, the preferred name takes precedence, although any or all of the names may be used (except ‘Variant Name’).</t>
  </si>
  <si>
    <t>For example, (first-order) a U.S. state, a French region, a Japanese prefecture; a Canadian province; (second-order) a U.S. county, a French department; (third-order) a U.S. township, a French arrondissement; (lower-levels) a French commune.</t>
  </si>
  <si>
    <r>
      <t xml:space="preserve">For example: </t>
    </r>
    <r>
      <rPr>
        <u/>
        <sz val="10"/>
        <color rgb="FF0000CC"/>
        <rFont val="Arial"/>
        <family val="2"/>
      </rPr>
      <t>http://nsgreg.nga.mil/genc/view?v=200004</t>
    </r>
  </si>
  <si>
    <r>
      <t xml:space="preserve">For example: </t>
    </r>
    <r>
      <rPr>
        <u/>
        <sz val="10"/>
        <color rgb="FF0000CC"/>
        <rFont val="Arial"/>
        <family val="2"/>
      </rPr>
      <t>http://nsgreg.nga.mil/genc/view?v=106346</t>
    </r>
  </si>
  <si>
    <t>Informative: GENC Standard, Edition 2.0, Index Workbook</t>
  </si>
  <si>
    <t>This informative workbook presents a core subset of the content of the Geopolitical Entities, Names, and Codes (GENC) Standard. The subset presented in this workbook is limited to the assigned names and codes for each item.  The online, dynamic information resource that is the GENC Registry (http://nsgreg.nga.mil/genc) is the single authoritative source for the geopolitical entities (and administrative subdivisions), names, and code content of the GENC Standard; it supports multiple online data access mechanisms and downloadable (offline) information products (e.g., XML files)._x000D_
This workbook consists of this cover sheet, a tab/sheet listing Geopolitical Entities, and a tab/sheet listing Administrative Subdivisions.  Hyperlinks are used to relate individual items in this workbook to each other, and to the corresponding complete online information resource in the GENC Registry.  The content of the GENC Registry as of [4/8/2014 11:23:14 AM] was used in the preparation of this workbook. The content of both the GENC Registry and the GENC Standard is managed by the Country Codes Working Group (CCWG).</t>
  </si>
  <si>
    <t>(31 March 2014)   GENC Standard Geopolitical Entities, Edition 2.0</t>
  </si>
  <si>
    <t>http://api.nsgreg.nga.mil/geo-political/GENC/3/ed2</t>
  </si>
  <si>
    <t>urn:us:gov:dod:nga:def:geo-political:GENC:3:ed2</t>
  </si>
  <si>
    <t>AFG</t>
  </si>
  <si>
    <t>AF</t>
  </si>
  <si>
    <t>004</t>
  </si>
  <si>
    <t>AFGHANISTAN</t>
  </si>
  <si>
    <t>Afghanistan</t>
  </si>
  <si>
    <t>Islamic Republic of Afghanistan</t>
  </si>
  <si>
    <t>ge:GENC:3:ed2:AFG</t>
  </si>
  <si>
    <t>XQZ</t>
  </si>
  <si>
    <t>QZ</t>
  </si>
  <si>
    <t>[None]</t>
  </si>
  <si>
    <t>AKROTIRI</t>
  </si>
  <si>
    <t>Akrotiri</t>
  </si>
  <si>
    <t>ge:GENC:3:ed2:XQZ</t>
  </si>
  <si>
    <t>ALB</t>
  </si>
  <si>
    <t>AL</t>
  </si>
  <si>
    <t>008</t>
  </si>
  <si>
    <t>ALBANIA</t>
  </si>
  <si>
    <t>Albania</t>
  </si>
  <si>
    <t>Republic of Albania</t>
  </si>
  <si>
    <t>ge:GENC:3:ed2:ALB</t>
  </si>
  <si>
    <t>DZA</t>
  </si>
  <si>
    <t>DZ</t>
  </si>
  <si>
    <t>012</t>
  </si>
  <si>
    <t>ALGERIA</t>
  </si>
  <si>
    <t>Algeria</t>
  </si>
  <si>
    <t>People’s Democratic Republic of Algeria</t>
  </si>
  <si>
    <t>ge:GENC:3:ed2:DZA</t>
  </si>
  <si>
    <t>ASM</t>
  </si>
  <si>
    <t>AS</t>
  </si>
  <si>
    <t>016</t>
  </si>
  <si>
    <t>AMERICAN SAMOA</t>
  </si>
  <si>
    <t>American Samoa</t>
  </si>
  <si>
    <t>Territory of American Samoa</t>
  </si>
  <si>
    <t>ge:GENC:3:ed2:ASM</t>
  </si>
  <si>
    <t>AND</t>
  </si>
  <si>
    <t>AD</t>
  </si>
  <si>
    <t>020</t>
  </si>
  <si>
    <t>ANDORRA</t>
  </si>
  <si>
    <t>Andorra</t>
  </si>
  <si>
    <t>Principality of Andorra</t>
  </si>
  <si>
    <t>ge:GENC:3:ed2:AND</t>
  </si>
  <si>
    <t>AGO</t>
  </si>
  <si>
    <t>AO</t>
  </si>
  <si>
    <t>024</t>
  </si>
  <si>
    <t>ANGOLA</t>
  </si>
  <si>
    <t>Angola</t>
  </si>
  <si>
    <t>Republic of Angola</t>
  </si>
  <si>
    <t>ge:GENC:3:ed2:AGO</t>
  </si>
  <si>
    <t>AIA</t>
  </si>
  <si>
    <t>AI</t>
  </si>
  <si>
    <t>660</t>
  </si>
  <si>
    <t>ANGUILLA</t>
  </si>
  <si>
    <t>Anguilla</t>
  </si>
  <si>
    <t>ge:ISO1:3:VII-1:AIA</t>
  </si>
  <si>
    <t>ATA</t>
  </si>
  <si>
    <t>AQ</t>
  </si>
  <si>
    <t>010</t>
  </si>
  <si>
    <t>ANTARCTICA</t>
  </si>
  <si>
    <t>Antarctica</t>
  </si>
  <si>
    <t>ge:ISO1:3:VII-1:ATA</t>
  </si>
  <si>
    <t>ATG</t>
  </si>
  <si>
    <t>AG</t>
  </si>
  <si>
    <t>028</t>
  </si>
  <si>
    <t>ANTIGUA AND BARBUDA</t>
  </si>
  <si>
    <t>Antigua and Barbuda</t>
  </si>
  <si>
    <t>ge:GENC:3:ed2:ATG</t>
  </si>
  <si>
    <t>ARG</t>
  </si>
  <si>
    <t>AR</t>
  </si>
  <si>
    <t>032</t>
  </si>
  <si>
    <t>ARGENTINA</t>
  </si>
  <si>
    <t>Argentina</t>
  </si>
  <si>
    <t>Argentine Republic</t>
  </si>
  <si>
    <t>ge:GENC:3:ed2:ARG</t>
  </si>
  <si>
    <t>ARM</t>
  </si>
  <si>
    <t>AM</t>
  </si>
  <si>
    <t>051</t>
  </si>
  <si>
    <t>ARMENIA</t>
  </si>
  <si>
    <t>Armenia</t>
  </si>
  <si>
    <t>Republic of Armenia</t>
  </si>
  <si>
    <t>ge:GENC:3:ed2:ARM</t>
  </si>
  <si>
    <t>ABW</t>
  </si>
  <si>
    <t>AW</t>
  </si>
  <si>
    <t>533</t>
  </si>
  <si>
    <t>ARUBA</t>
  </si>
  <si>
    <t>Aruba</t>
  </si>
  <si>
    <t>ge:GENC:3:ed2:ABW</t>
  </si>
  <si>
    <t>XAC</t>
  </si>
  <si>
    <t>XA</t>
  </si>
  <si>
    <t>ASHMORE AND CARTIER ISLANDS</t>
  </si>
  <si>
    <t>Ashmore and Cartier Islands</t>
  </si>
  <si>
    <t>Territory of Ashmore and Cartier Islands</t>
  </si>
  <si>
    <t>ge:GENC:3:ed2:XAC</t>
  </si>
  <si>
    <t>AUS</t>
  </si>
  <si>
    <t>AU</t>
  </si>
  <si>
    <t>036</t>
  </si>
  <si>
    <t>AUSTRALIA</t>
  </si>
  <si>
    <t>Australia</t>
  </si>
  <si>
    <t>Commonwealth of Australia</t>
  </si>
  <si>
    <t>ge:GENC:3:ed2:AUS</t>
  </si>
  <si>
    <t>AUT</t>
  </si>
  <si>
    <t>AT</t>
  </si>
  <si>
    <t>040</t>
  </si>
  <si>
    <t>AUSTRIA</t>
  </si>
  <si>
    <t>Austria</t>
  </si>
  <si>
    <t>Republic of Austria</t>
  </si>
  <si>
    <t>ge:GENC:3:ed2:AUT</t>
  </si>
  <si>
    <t>AZE</t>
  </si>
  <si>
    <t>AZ</t>
  </si>
  <si>
    <t>031</t>
  </si>
  <si>
    <t>AZERBAIJAN</t>
  </si>
  <si>
    <t>Azerbaijan</t>
  </si>
  <si>
    <t>Republic of Azerbaijan</t>
  </si>
  <si>
    <t>ge:GENC:3:ed2:AZE</t>
  </si>
  <si>
    <t>BHS</t>
  </si>
  <si>
    <t>BS</t>
  </si>
  <si>
    <t>044</t>
  </si>
  <si>
    <t>BAHAMAS, THE</t>
  </si>
  <si>
    <t>Bahamas, The</t>
  </si>
  <si>
    <t>Commonwealth of The Bahamas</t>
  </si>
  <si>
    <t>ge:GENC:3:ed2:BHS</t>
  </si>
  <si>
    <t>BHR</t>
  </si>
  <si>
    <t>BH</t>
  </si>
  <si>
    <t>048</t>
  </si>
  <si>
    <t>BAHRAIN</t>
  </si>
  <si>
    <t>Bahrain</t>
  </si>
  <si>
    <t>Kingdom of Bahrain</t>
  </si>
  <si>
    <t>ge:GENC:3:ed2:BHR</t>
  </si>
  <si>
    <t>XBK</t>
  </si>
  <si>
    <t>XB</t>
  </si>
  <si>
    <t>BAKER ISLAND</t>
  </si>
  <si>
    <t>Baker Island</t>
  </si>
  <si>
    <t>ge:GENC:3:ed2:XBK</t>
  </si>
  <si>
    <t>BGD</t>
  </si>
  <si>
    <t>BD</t>
  </si>
  <si>
    <t>050</t>
  </si>
  <si>
    <t>BANGLADESH</t>
  </si>
  <si>
    <t>Bangladesh</t>
  </si>
  <si>
    <t>People’s Republic of Bangladesh</t>
  </si>
  <si>
    <t>ge:GENC:3:ed2:BGD</t>
  </si>
  <si>
    <t>BRB</t>
  </si>
  <si>
    <t>BB</t>
  </si>
  <si>
    <t>052</t>
  </si>
  <si>
    <t>BARBADOS</t>
  </si>
  <si>
    <t>Barbados</t>
  </si>
  <si>
    <t>ge:ISO1:3:VII-1:BRB</t>
  </si>
  <si>
    <t>XBI</t>
  </si>
  <si>
    <t>QS</t>
  </si>
  <si>
    <t>BASSAS DA INDIA</t>
  </si>
  <si>
    <t>Bassas da India</t>
  </si>
  <si>
    <t>ge:GENC:3:ed2:XBI</t>
  </si>
  <si>
    <t>BLR</t>
  </si>
  <si>
    <t>BY</t>
  </si>
  <si>
    <t>112</t>
  </si>
  <si>
    <t>BELARUS</t>
  </si>
  <si>
    <t>Belarus</t>
  </si>
  <si>
    <t>Republic of Belarus</t>
  </si>
  <si>
    <t>ge:GENC:3:ed2:BLR</t>
  </si>
  <si>
    <t>BEL</t>
  </si>
  <si>
    <t>BE</t>
  </si>
  <si>
    <t>056</t>
  </si>
  <si>
    <t>BELGIUM</t>
  </si>
  <si>
    <t>Belgium</t>
  </si>
  <si>
    <t>Kingdom of Belgium</t>
  </si>
  <si>
    <t>ge:GENC:3:ed2:BEL</t>
  </si>
  <si>
    <t>BLZ</t>
  </si>
  <si>
    <t>BZ</t>
  </si>
  <si>
    <t>084</t>
  </si>
  <si>
    <t>BELIZE</t>
  </si>
  <si>
    <t>Belize</t>
  </si>
  <si>
    <t>ge:ISO1:3:VII-1:BLZ</t>
  </si>
  <si>
    <t>BEN</t>
  </si>
  <si>
    <t>BJ</t>
  </si>
  <si>
    <t>204</t>
  </si>
  <si>
    <t>BENIN</t>
  </si>
  <si>
    <t>Benin</t>
  </si>
  <si>
    <t>Republic of Benin</t>
  </si>
  <si>
    <t>ge:GENC:3:ed2:BEN</t>
  </si>
  <si>
    <t>BMU</t>
  </si>
  <si>
    <t>BM</t>
  </si>
  <si>
    <t>060</t>
  </si>
  <si>
    <t>BERMUDA</t>
  </si>
  <si>
    <t>Bermuda</t>
  </si>
  <si>
    <t>ge:ISO1:3:VII-1:BMU</t>
  </si>
  <si>
    <t>BTN</t>
  </si>
  <si>
    <t>BT</t>
  </si>
  <si>
    <t>064</t>
  </si>
  <si>
    <t>BHUTAN</t>
  </si>
  <si>
    <t>Bhutan</t>
  </si>
  <si>
    <t>Kingdom of Bhutan</t>
  </si>
  <si>
    <t>ge:GENC:3:ed2:BTN</t>
  </si>
  <si>
    <t>BOL</t>
  </si>
  <si>
    <t>BO</t>
  </si>
  <si>
    <t>068</t>
  </si>
  <si>
    <t>BOLIVIA</t>
  </si>
  <si>
    <t>Bolivia</t>
  </si>
  <si>
    <t>Plurinational State of Bolivia</t>
  </si>
  <si>
    <t>ge:GENC:3:ed2:BOL</t>
  </si>
  <si>
    <t>BES</t>
  </si>
  <si>
    <t>BQ</t>
  </si>
  <si>
    <t>535</t>
  </si>
  <si>
    <t>BONAIRE, SINT EUSTATIUS, AND SABA</t>
  </si>
  <si>
    <t>Bonaire, Sint Eustatius, and Saba</t>
  </si>
  <si>
    <t>ge:GENC:3:ed2:BES</t>
  </si>
  <si>
    <t>BIH</t>
  </si>
  <si>
    <t>BA</t>
  </si>
  <si>
    <t>070</t>
  </si>
  <si>
    <t>BOSNIA AND HERZEGOVINA</t>
  </si>
  <si>
    <t>Bosnia and Herzegovina</t>
  </si>
  <si>
    <t>ge:ISO1:3:VII-1:BIH</t>
  </si>
  <si>
    <t>BWA</t>
  </si>
  <si>
    <t>BW</t>
  </si>
  <si>
    <t>072</t>
  </si>
  <si>
    <t>BOTSWANA</t>
  </si>
  <si>
    <t>Botswana</t>
  </si>
  <si>
    <t>Republic of Botswana</t>
  </si>
  <si>
    <t>ge:GENC:3:ed2:BWA</t>
  </si>
  <si>
    <t>BVT</t>
  </si>
  <si>
    <t>BV</t>
  </si>
  <si>
    <t>074</t>
  </si>
  <si>
    <t>BOUVET ISLAND</t>
  </si>
  <si>
    <t>Bouvet Island</t>
  </si>
  <si>
    <t>ge:ISO1:3:VII-1:BVT</t>
  </si>
  <si>
    <t>BRA</t>
  </si>
  <si>
    <t>BR</t>
  </si>
  <si>
    <t>076</t>
  </si>
  <si>
    <t>BRAZIL</t>
  </si>
  <si>
    <t>Brazil</t>
  </si>
  <si>
    <t>Federative Republic of Brazil</t>
  </si>
  <si>
    <t>ge:GENC:3:ed2:BRA</t>
  </si>
  <si>
    <t>IOT</t>
  </si>
  <si>
    <t>IO</t>
  </si>
  <si>
    <t>086</t>
  </si>
  <si>
    <t>BRITISH INDIAN OCEAN TERRITORY</t>
  </si>
  <si>
    <t>British Indian Ocean Territory</t>
  </si>
  <si>
    <t>ge:GENC:3:ed2:IOT</t>
  </si>
  <si>
    <t>BRN</t>
  </si>
  <si>
    <t>BN</t>
  </si>
  <si>
    <t>096</t>
  </si>
  <si>
    <t>BRUNEI</t>
  </si>
  <si>
    <t>Brunei</t>
  </si>
  <si>
    <t>Brunei Darussalam</t>
  </si>
  <si>
    <t>ge:GENC:3:ed2:BRN</t>
  </si>
  <si>
    <t>BGR</t>
  </si>
  <si>
    <t>BG</t>
  </si>
  <si>
    <t>100</t>
  </si>
  <si>
    <t>BULGARIA</t>
  </si>
  <si>
    <t>Bulgaria</t>
  </si>
  <si>
    <t>Republic of Bulgaria</t>
  </si>
  <si>
    <t>ge:GENC:3:ed2:BGR</t>
  </si>
  <si>
    <t>BFA</t>
  </si>
  <si>
    <t>BF</t>
  </si>
  <si>
    <t>854</t>
  </si>
  <si>
    <t>BURKINA FASO</t>
  </si>
  <si>
    <t>Burkina Faso</t>
  </si>
  <si>
    <t>ge:GENC:3:ed2:BFA</t>
  </si>
  <si>
    <t>MMR</t>
  </si>
  <si>
    <t>MM</t>
  </si>
  <si>
    <t>104</t>
  </si>
  <si>
    <t>BURMA</t>
  </si>
  <si>
    <t>Burma</t>
  </si>
  <si>
    <t>Union of Burma</t>
  </si>
  <si>
    <t>ge:GENC:3:ed2:MMR</t>
  </si>
  <si>
    <t>BDI</t>
  </si>
  <si>
    <t>BI</t>
  </si>
  <si>
    <t>108</t>
  </si>
  <si>
    <t>BURUNDI</t>
  </si>
  <si>
    <t>Burundi</t>
  </si>
  <si>
    <t>Republic of Burundi</t>
  </si>
  <si>
    <t>ge:GENC:3:ed2:BDI</t>
  </si>
  <si>
    <t>CPV</t>
  </si>
  <si>
    <t>CV</t>
  </si>
  <si>
    <t>132</t>
  </si>
  <si>
    <t>CABO VERDE</t>
  </si>
  <si>
    <t>Cabo Verde</t>
  </si>
  <si>
    <t>Republic of Cabo Verde</t>
  </si>
  <si>
    <t>ge:GENC:3:ed2:CPV</t>
  </si>
  <si>
    <t>KHM</t>
  </si>
  <si>
    <t>KH</t>
  </si>
  <si>
    <t>116</t>
  </si>
  <si>
    <t>CAMBODIA</t>
  </si>
  <si>
    <t>Cambodia</t>
  </si>
  <si>
    <t>Kingdom of Cambodia</t>
  </si>
  <si>
    <t>ge:GENC:3:ed2:KHM</t>
  </si>
  <si>
    <t>CMR</t>
  </si>
  <si>
    <t>CM</t>
  </si>
  <si>
    <t>120</t>
  </si>
  <si>
    <t>CAMEROON</t>
  </si>
  <si>
    <t>Cameroon</t>
  </si>
  <si>
    <t>Republic of Cameroon</t>
  </si>
  <si>
    <t>ge:GENC:3:ed2:CMR</t>
  </si>
  <si>
    <t>CAN</t>
  </si>
  <si>
    <t>CA</t>
  </si>
  <si>
    <t>124</t>
  </si>
  <si>
    <t>CANADA</t>
  </si>
  <si>
    <t>Canada</t>
  </si>
  <si>
    <t>ge:GENC:3:ed2:CAN</t>
  </si>
  <si>
    <t>CYM</t>
  </si>
  <si>
    <t>KY</t>
  </si>
  <si>
    <t>136</t>
  </si>
  <si>
    <t>CAYMAN ISLANDS</t>
  </si>
  <si>
    <t>Cayman Islands</t>
  </si>
  <si>
    <t>ge:GENC:3:ed2:CYM</t>
  </si>
  <si>
    <t>CAF</t>
  </si>
  <si>
    <t>CF</t>
  </si>
  <si>
    <t>140</t>
  </si>
  <si>
    <t>CENTRAL AFRICAN REPUBLIC</t>
  </si>
  <si>
    <t>Central African Republic</t>
  </si>
  <si>
    <t>ge:GENC:3:ed2:CAF</t>
  </si>
  <si>
    <t>TCD</t>
  </si>
  <si>
    <t>TD</t>
  </si>
  <si>
    <t>148</t>
  </si>
  <si>
    <t>CHAD</t>
  </si>
  <si>
    <t>Chad</t>
  </si>
  <si>
    <t>Republic of Chad</t>
  </si>
  <si>
    <t>ge:GENC:3:ed2:TCD</t>
  </si>
  <si>
    <t>CHL</t>
  </si>
  <si>
    <t>CL</t>
  </si>
  <si>
    <t>152</t>
  </si>
  <si>
    <t>CHILE</t>
  </si>
  <si>
    <t>Chile</t>
  </si>
  <si>
    <t>Republic of Chile</t>
  </si>
  <si>
    <t>ge:GENC:3:ed2:CHL</t>
  </si>
  <si>
    <t>CHN</t>
  </si>
  <si>
    <t>CN</t>
  </si>
  <si>
    <t>156</t>
  </si>
  <si>
    <t>CHINA</t>
  </si>
  <si>
    <t>China</t>
  </si>
  <si>
    <t>People’s Republic of China</t>
  </si>
  <si>
    <t>ge:GENC:3:ed2:CHN</t>
  </si>
  <si>
    <t>CXR</t>
  </si>
  <si>
    <t>CX</t>
  </si>
  <si>
    <t>162</t>
  </si>
  <si>
    <t>CHRISTMAS ISLAND</t>
  </si>
  <si>
    <t>Christmas Island</t>
  </si>
  <si>
    <t>Territory of Christmas Island</t>
  </si>
  <si>
    <t>ge:GENC:3:ed2:CXR</t>
  </si>
  <si>
    <t>CPT</t>
  </si>
  <si>
    <t>CP</t>
  </si>
  <si>
    <t>CLIPPERTON ISLAND</t>
  </si>
  <si>
    <t>Clipperton Island</t>
  </si>
  <si>
    <t>ge:GENC:3:ed2:CPT</t>
  </si>
  <si>
    <t>CCK</t>
  </si>
  <si>
    <t>CC</t>
  </si>
  <si>
    <t>166</t>
  </si>
  <si>
    <t>COCOS (KEELING) ISLANDS</t>
  </si>
  <si>
    <t>Cocos (Keeling) Islands</t>
  </si>
  <si>
    <t>Territory of Cocos (Keeling) Islands</t>
  </si>
  <si>
    <t>ge:GENC:3:ed2:CCK</t>
  </si>
  <si>
    <t>COL</t>
  </si>
  <si>
    <t>CO</t>
  </si>
  <si>
    <t>170</t>
  </si>
  <si>
    <t>COLOMBIA</t>
  </si>
  <si>
    <t>Colombia</t>
  </si>
  <si>
    <t>Republic of Colombia</t>
  </si>
  <si>
    <t>ge:GENC:3:ed2:COL</t>
  </si>
  <si>
    <t>COM</t>
  </si>
  <si>
    <t>KM</t>
  </si>
  <si>
    <t>174</t>
  </si>
  <si>
    <t>COMOROS</t>
  </si>
  <si>
    <t>Comoros</t>
  </si>
  <si>
    <t>Union of the Comoros</t>
  </si>
  <si>
    <t>ge:GENC:3:ed2:COM</t>
  </si>
  <si>
    <t>COG</t>
  </si>
  <si>
    <t>CG</t>
  </si>
  <si>
    <t>178</t>
  </si>
  <si>
    <t>CONGO (BRAZZAVILLE)</t>
  </si>
  <si>
    <t>Congo (Brazzaville)</t>
  </si>
  <si>
    <t>Republic of the Congo</t>
  </si>
  <si>
    <t>ge:GENC:3:ed2:COG</t>
  </si>
  <si>
    <t>COD</t>
  </si>
  <si>
    <t>CD</t>
  </si>
  <si>
    <t>180</t>
  </si>
  <si>
    <t>CONGO (KINSHASA)</t>
  </si>
  <si>
    <t>Congo (Kinshasa)</t>
  </si>
  <si>
    <t>Democratic Republic of the Congo</t>
  </si>
  <si>
    <t>ge:GENC:3:ed2:COD</t>
  </si>
  <si>
    <t>COK</t>
  </si>
  <si>
    <t>CK</t>
  </si>
  <si>
    <t>184</t>
  </si>
  <si>
    <t>COOK ISLANDS</t>
  </si>
  <si>
    <t>Cook Islands</t>
  </si>
  <si>
    <t>ge:GENC:3:ed2:COK</t>
  </si>
  <si>
    <t>XCS</t>
  </si>
  <si>
    <t>XC</t>
  </si>
  <si>
    <t>CORAL SEA ISLANDS</t>
  </si>
  <si>
    <t>Coral Sea Islands</t>
  </si>
  <si>
    <t>Coral Sea Islands Territory</t>
  </si>
  <si>
    <t>ge:GENC:3:ed2:XCS</t>
  </si>
  <si>
    <t>CRI</t>
  </si>
  <si>
    <t>CR</t>
  </si>
  <si>
    <t>188</t>
  </si>
  <si>
    <t>COSTA RICA</t>
  </si>
  <si>
    <t>Costa Rica</t>
  </si>
  <si>
    <t>Republic of Costa Rica</t>
  </si>
  <si>
    <t>ge:GENC:3:ed2:CRI</t>
  </si>
  <si>
    <t>CIV</t>
  </si>
  <si>
    <t>CI</t>
  </si>
  <si>
    <t>384</t>
  </si>
  <si>
    <t>CÔTE D’IVOIRE</t>
  </si>
  <si>
    <t>Côte d’Ivoire</t>
  </si>
  <si>
    <t>Republic of Côte d’Ivoire</t>
  </si>
  <si>
    <t>ge:GENC:3:ed2:CIV</t>
  </si>
  <si>
    <t>HRV</t>
  </si>
  <si>
    <t>HR</t>
  </si>
  <si>
    <t>191</t>
  </si>
  <si>
    <t>CROATIA</t>
  </si>
  <si>
    <t>Croatia</t>
  </si>
  <si>
    <t>Republic of Croatia</t>
  </si>
  <si>
    <t>ge:GENC:3:ed2:HRV</t>
  </si>
  <si>
    <t>CUB</t>
  </si>
  <si>
    <t>CU</t>
  </si>
  <si>
    <t>192</t>
  </si>
  <si>
    <t>CUBA</t>
  </si>
  <si>
    <t>Cuba</t>
  </si>
  <si>
    <t>Republic of Cuba</t>
  </si>
  <si>
    <t>ge:GENC:3:ed2:CUB</t>
  </si>
  <si>
    <t>CUW</t>
  </si>
  <si>
    <t>CW</t>
  </si>
  <si>
    <t>531</t>
  </si>
  <si>
    <t>CURAÇAO</t>
  </si>
  <si>
    <t>Curaçao</t>
  </si>
  <si>
    <t>ge:GENC:3:ed2:CUW</t>
  </si>
  <si>
    <t>CYP</t>
  </si>
  <si>
    <t>CY</t>
  </si>
  <si>
    <t>196</t>
  </si>
  <si>
    <t>CYPRUS</t>
  </si>
  <si>
    <t>Cyprus</t>
  </si>
  <si>
    <t>Republic of Cyprus</t>
  </si>
  <si>
    <t>ge:GENC:3:ed2:CYP</t>
  </si>
  <si>
    <t>CZE</t>
  </si>
  <si>
    <t>CZ</t>
  </si>
  <si>
    <t>203</t>
  </si>
  <si>
    <t>CZECH REPUBLIC</t>
  </si>
  <si>
    <t>Czech Republic</t>
  </si>
  <si>
    <t>ge:GENC:3:ed2:CZE</t>
  </si>
  <si>
    <t>DNK</t>
  </si>
  <si>
    <t>DK</t>
  </si>
  <si>
    <t>208</t>
  </si>
  <si>
    <t>DENMARK</t>
  </si>
  <si>
    <t>Denmark</t>
  </si>
  <si>
    <t>Kingdom of Denmark</t>
  </si>
  <si>
    <t>ge:GENC:3:ed2:DNK</t>
  </si>
  <si>
    <t>XXD</t>
  </si>
  <si>
    <t>XD</t>
  </si>
  <si>
    <t>DHEKELIA</t>
  </si>
  <si>
    <t>Dhekelia</t>
  </si>
  <si>
    <t>ge:GENC:3:ed2:XXD</t>
  </si>
  <si>
    <t>DGA</t>
  </si>
  <si>
    <t>DG</t>
  </si>
  <si>
    <t>DIEGO GARCIA</t>
  </si>
  <si>
    <t>Diego Garcia</t>
  </si>
  <si>
    <t>ge:GENC:3:ed2:DGA</t>
  </si>
  <si>
    <t>DJI</t>
  </si>
  <si>
    <t>DJ</t>
  </si>
  <si>
    <t>262</t>
  </si>
  <si>
    <t>DJIBOUTI</t>
  </si>
  <si>
    <t>Djibouti</t>
  </si>
  <si>
    <t>Republic of Djibouti</t>
  </si>
  <si>
    <t>ge:GENC:3:ed2:DJI</t>
  </si>
  <si>
    <t>DMA</t>
  </si>
  <si>
    <t>DM</t>
  </si>
  <si>
    <t>212</t>
  </si>
  <si>
    <t>DOMINICA</t>
  </si>
  <si>
    <t>Dominica</t>
  </si>
  <si>
    <t>Commonwealth of Dominica</t>
  </si>
  <si>
    <t>ge:GENC:3:ed2:DMA</t>
  </si>
  <si>
    <t>DOM</t>
  </si>
  <si>
    <t>DO</t>
  </si>
  <si>
    <t>214</t>
  </si>
  <si>
    <t>DOMINICAN REPUBLIC</t>
  </si>
  <si>
    <t>Dominican Republic</t>
  </si>
  <si>
    <t>ge:GENC:3:ed2:DOM</t>
  </si>
  <si>
    <t>ECU</t>
  </si>
  <si>
    <t>EC</t>
  </si>
  <si>
    <t>218</t>
  </si>
  <si>
    <t>ECUADOR</t>
  </si>
  <si>
    <t>Ecuador</t>
  </si>
  <si>
    <t>Republic of Ecuador</t>
  </si>
  <si>
    <t>ge:GENC:3:ed2:ECU</t>
  </si>
  <si>
    <t>EGY</t>
  </si>
  <si>
    <t>EG</t>
  </si>
  <si>
    <t>818</t>
  </si>
  <si>
    <t>EGYPT</t>
  </si>
  <si>
    <t>Egypt</t>
  </si>
  <si>
    <t>Arab Republic of Egypt</t>
  </si>
  <si>
    <t>ge:GENC:3:ed2:EGY</t>
  </si>
  <si>
    <t>SLV</t>
  </si>
  <si>
    <t>SV</t>
  </si>
  <si>
    <t>222</t>
  </si>
  <si>
    <t>EL SALVADOR</t>
  </si>
  <si>
    <t>El Salvador</t>
  </si>
  <si>
    <t>Republic of El Salvador</t>
  </si>
  <si>
    <t>ge:GENC:3:ed2:SLV</t>
  </si>
  <si>
    <t>XAZ</t>
  </si>
  <si>
    <t>ENTITY 1</t>
  </si>
  <si>
    <t>Entity 1</t>
  </si>
  <si>
    <t>ge:GENC:3:ed2:XAZ</t>
  </si>
  <si>
    <t>XCR</t>
  </si>
  <si>
    <t>ENTITY 2</t>
  </si>
  <si>
    <t>Entity 2</t>
  </si>
  <si>
    <t>ge:GENC:3:ed2:XCR</t>
  </si>
  <si>
    <t>XCY</t>
  </si>
  <si>
    <t>ENTITY 3</t>
  </si>
  <si>
    <t>Entity 3</t>
  </si>
  <si>
    <t>ge:GENC:3:ed2:XCY</t>
  </si>
  <si>
    <t>XKM</t>
  </si>
  <si>
    <t>ENTITY 4</t>
  </si>
  <si>
    <t>Entity 4</t>
  </si>
  <si>
    <t>ge:GENC:3:ed2:XKM</t>
  </si>
  <si>
    <t>XKN</t>
  </si>
  <si>
    <t>ENTITY 5</t>
  </si>
  <si>
    <t>Entity 5</t>
  </si>
  <si>
    <t>ge:GENC:3:ed2:XKN</t>
  </si>
  <si>
    <t>AX3</t>
  </si>
  <si>
    <t>A3</t>
  </si>
  <si>
    <t>ENTITY 6</t>
  </si>
  <si>
    <t>Entity 6</t>
  </si>
  <si>
    <t>ge:GENC:3:ed2:AX3</t>
  </si>
  <si>
    <t>GNQ</t>
  </si>
  <si>
    <t>GQ</t>
  </si>
  <si>
    <t>226</t>
  </si>
  <si>
    <t>EQUATORIAL GUINEA</t>
  </si>
  <si>
    <t>Equatorial Guinea</t>
  </si>
  <si>
    <t>Republic of Equatorial Guinea</t>
  </si>
  <si>
    <t>ge:GENC:3:ed2:GNQ</t>
  </si>
  <si>
    <t>ERI</t>
  </si>
  <si>
    <t>ER</t>
  </si>
  <si>
    <t>232</t>
  </si>
  <si>
    <t>ERITREA</t>
  </si>
  <si>
    <t>Eritrea</t>
  </si>
  <si>
    <t>State of Eritrea</t>
  </si>
  <si>
    <t>ge:GENC:3:ed2:ERI</t>
  </si>
  <si>
    <t>EST</t>
  </si>
  <si>
    <t>EE</t>
  </si>
  <si>
    <t>233</t>
  </si>
  <si>
    <t>ESTONIA</t>
  </si>
  <si>
    <t>Estonia</t>
  </si>
  <si>
    <t>Republic of Estonia</t>
  </si>
  <si>
    <t>ge:GENC:3:ed2:EST</t>
  </si>
  <si>
    <t>ETH</t>
  </si>
  <si>
    <t>ET</t>
  </si>
  <si>
    <t>231</t>
  </si>
  <si>
    <t>ETHIOPIA</t>
  </si>
  <si>
    <t>Ethiopia</t>
  </si>
  <si>
    <t>Federal Democratic Republic of Ethiopia</t>
  </si>
  <si>
    <t>ge:GENC:3:ed2:ETH</t>
  </si>
  <si>
    <t>XEU</t>
  </si>
  <si>
    <t>XE</t>
  </si>
  <si>
    <t>EUROPA ISLAND</t>
  </si>
  <si>
    <t>Europa Island</t>
  </si>
  <si>
    <t>ge:GENC:3:ed2:XEU</t>
  </si>
  <si>
    <t>FLK</t>
  </si>
  <si>
    <t>FK</t>
  </si>
  <si>
    <t>238</t>
  </si>
  <si>
    <t>FALKLAND ISLANDS (ISLAS MALVINAS)</t>
  </si>
  <si>
    <t>Falkland Islands (Islas Malvinas)</t>
  </si>
  <si>
    <t>ge:GENC:3:ed2:FLK</t>
  </si>
  <si>
    <t>FRO</t>
  </si>
  <si>
    <t>FO</t>
  </si>
  <si>
    <t>234</t>
  </si>
  <si>
    <t>FAROE ISLANDS</t>
  </si>
  <si>
    <t>Faroe Islands</t>
  </si>
  <si>
    <t>ge:GENC:3:ed2:FRO</t>
  </si>
  <si>
    <t>FJI</t>
  </si>
  <si>
    <t>FJ</t>
  </si>
  <si>
    <t>242</t>
  </si>
  <si>
    <t>FIJI</t>
  </si>
  <si>
    <t>Fiji</t>
  </si>
  <si>
    <t>Republic of Fiji</t>
  </si>
  <si>
    <t>ge:GENC:3:ed2:FJI</t>
  </si>
  <si>
    <t>FIN</t>
  </si>
  <si>
    <t>FI</t>
  </si>
  <si>
    <t>246</t>
  </si>
  <si>
    <t>FINLAND</t>
  </si>
  <si>
    <t>Finland</t>
  </si>
  <si>
    <t>Republic of Finland</t>
  </si>
  <si>
    <t>ge:GENC:3:ed2:FIN</t>
  </si>
  <si>
    <t>FRA</t>
  </si>
  <si>
    <t>FR</t>
  </si>
  <si>
    <t>250</t>
  </si>
  <si>
    <t>FRANCE</t>
  </si>
  <si>
    <t>France</t>
  </si>
  <si>
    <t>French Republic</t>
  </si>
  <si>
    <t>ge:GENC:3:ed2:FRA</t>
  </si>
  <si>
    <t>GUF</t>
  </si>
  <si>
    <t>GF</t>
  </si>
  <si>
    <t>254</t>
  </si>
  <si>
    <t>FRENCH GUIANA</t>
  </si>
  <si>
    <t>French Guiana</t>
  </si>
  <si>
    <t>Department of Guiana</t>
  </si>
  <si>
    <t>ge:GENC:3:ed2:GUF</t>
  </si>
  <si>
    <t>PYF</t>
  </si>
  <si>
    <t>PF</t>
  </si>
  <si>
    <t>258</t>
  </si>
  <si>
    <t>FRENCH POLYNESIA</t>
  </si>
  <si>
    <t>French Polynesia</t>
  </si>
  <si>
    <t>ge:GENC:3:ed2:PYF</t>
  </si>
  <si>
    <t>ATF</t>
  </si>
  <si>
    <t>TF</t>
  </si>
  <si>
    <t>260</t>
  </si>
  <si>
    <t>FRENCH SOUTHERN AND ANTARCTIC LANDS</t>
  </si>
  <si>
    <t>French Southern and Antarctic Lands</t>
  </si>
  <si>
    <t>ge:GENC:3:ed2:ATF</t>
  </si>
  <si>
    <t>GAB</t>
  </si>
  <si>
    <t>GA</t>
  </si>
  <si>
    <t>266</t>
  </si>
  <si>
    <t>GABON</t>
  </si>
  <si>
    <t>Gabon</t>
  </si>
  <si>
    <t>Gabonese Republic</t>
  </si>
  <si>
    <t>ge:GENC:3:ed2:GAB</t>
  </si>
  <si>
    <t>GMB</t>
  </si>
  <si>
    <t>GM</t>
  </si>
  <si>
    <t>270</t>
  </si>
  <si>
    <t>GAMBIA, THE</t>
  </si>
  <si>
    <t>Gambia, The</t>
  </si>
  <si>
    <t>Republic of The Gambia</t>
  </si>
  <si>
    <t>ge:GENC:3:ed2:GMB</t>
  </si>
  <si>
    <t>XGZ</t>
  </si>
  <si>
    <t>XG</t>
  </si>
  <si>
    <t>GAZA STRIP</t>
  </si>
  <si>
    <t>Gaza Strip</t>
  </si>
  <si>
    <t>ge:GENC:3:ed2:XGZ</t>
  </si>
  <si>
    <t>GEO</t>
  </si>
  <si>
    <t>GE</t>
  </si>
  <si>
    <t>268</t>
  </si>
  <si>
    <t>GEORGIA</t>
  </si>
  <si>
    <t>Georgia</t>
  </si>
  <si>
    <t>ge:ISO1:3:VII-1:GEO</t>
  </si>
  <si>
    <t>DEU</t>
  </si>
  <si>
    <t>DE</t>
  </si>
  <si>
    <t>276</t>
  </si>
  <si>
    <t>GERMANY</t>
  </si>
  <si>
    <t>Germany</t>
  </si>
  <si>
    <t>Federal Republic of Germany</t>
  </si>
  <si>
    <t>ge:GENC:3:ed2:DEU</t>
  </si>
  <si>
    <t>GHA</t>
  </si>
  <si>
    <t>GH</t>
  </si>
  <si>
    <t>288</t>
  </si>
  <si>
    <t>GHANA</t>
  </si>
  <si>
    <t>Ghana</t>
  </si>
  <si>
    <t>Republic of Ghana</t>
  </si>
  <si>
    <t>ge:GENC:3:ed2:GHA</t>
  </si>
  <si>
    <t>GIB</t>
  </si>
  <si>
    <t>GI</t>
  </si>
  <si>
    <t>292</t>
  </si>
  <si>
    <t>GIBRALTAR</t>
  </si>
  <si>
    <t>Gibraltar</t>
  </si>
  <si>
    <t>ge:ISO1:3:VII-1:GIB</t>
  </si>
  <si>
    <t>XGL</t>
  </si>
  <si>
    <t>QX</t>
  </si>
  <si>
    <t>GLORIOSO ISLANDS</t>
  </si>
  <si>
    <t>Glorioso Islands</t>
  </si>
  <si>
    <t>ge:GENC:3:ed2:XGL</t>
  </si>
  <si>
    <t>GRC</t>
  </si>
  <si>
    <t>GR</t>
  </si>
  <si>
    <t>300</t>
  </si>
  <si>
    <t>GREECE</t>
  </si>
  <si>
    <t>Greece</t>
  </si>
  <si>
    <t>Hellenic Republic</t>
  </si>
  <si>
    <t>ge:GENC:3:ed2:GRC</t>
  </si>
  <si>
    <t>GRL</t>
  </si>
  <si>
    <t>GL</t>
  </si>
  <si>
    <t>304</t>
  </si>
  <si>
    <t>GREENLAND</t>
  </si>
  <si>
    <t>Greenland</t>
  </si>
  <si>
    <t>ge:GENC:3:ed2:GRL</t>
  </si>
  <si>
    <t>GRD</t>
  </si>
  <si>
    <t>GD</t>
  </si>
  <si>
    <t>308</t>
  </si>
  <si>
    <t>GRENADA</t>
  </si>
  <si>
    <t>Grenada</t>
  </si>
  <si>
    <t>ge:ISO1:3:VII-1:GRD</t>
  </si>
  <si>
    <t>GLP</t>
  </si>
  <si>
    <t>GP</t>
  </si>
  <si>
    <t>312</t>
  </si>
  <si>
    <t>GUADELOUPE</t>
  </si>
  <si>
    <t>Guadeloupe</t>
  </si>
  <si>
    <t>Department of Guadeloupe</t>
  </si>
  <si>
    <t>ge:GENC:3:ed2:GLP</t>
  </si>
  <si>
    <t>GUM</t>
  </si>
  <si>
    <t>GU</t>
  </si>
  <si>
    <t>316</t>
  </si>
  <si>
    <t>GUAM</t>
  </si>
  <si>
    <t>Guam</t>
  </si>
  <si>
    <t>Territory of Guam</t>
  </si>
  <si>
    <t>ge:GENC:3:ed2:GUM</t>
  </si>
  <si>
    <t>AX2</t>
  </si>
  <si>
    <t>A2</t>
  </si>
  <si>
    <t>GUANTANAMO BAY NAVAL BASE</t>
  </si>
  <si>
    <t>Guantanamo Bay Naval Base</t>
  </si>
  <si>
    <t>ge:GENC:3:ed2:AX2</t>
  </si>
  <si>
    <t>GTM</t>
  </si>
  <si>
    <t>GT</t>
  </si>
  <si>
    <t>320</t>
  </si>
  <si>
    <t>GUATEMALA</t>
  </si>
  <si>
    <t>Guatemala</t>
  </si>
  <si>
    <t>Republic of Guatemala</t>
  </si>
  <si>
    <t>ge:GENC:3:ed2:GTM</t>
  </si>
  <si>
    <t>GGY</t>
  </si>
  <si>
    <t>GG</t>
  </si>
  <si>
    <t>831</t>
  </si>
  <si>
    <t>GUERNSEY</t>
  </si>
  <si>
    <t>Guernsey</t>
  </si>
  <si>
    <t>Bailiwick of Guernsey</t>
  </si>
  <si>
    <t>ge:GENC:3:ed2:GGY</t>
  </si>
  <si>
    <t>GIN</t>
  </si>
  <si>
    <t>GN</t>
  </si>
  <si>
    <t>324</t>
  </si>
  <si>
    <t>GUINEA</t>
  </si>
  <si>
    <t>Guinea</t>
  </si>
  <si>
    <t>Republic of Guinea</t>
  </si>
  <si>
    <t>ge:GENC:3:ed2:GIN</t>
  </si>
  <si>
    <t>GNB</t>
  </si>
  <si>
    <t>GW</t>
  </si>
  <si>
    <t>624</t>
  </si>
  <si>
    <t>GUINEA-BISSAU</t>
  </si>
  <si>
    <t>Guinea-Bissau</t>
  </si>
  <si>
    <t>Republic of Guinea-Bissau</t>
  </si>
  <si>
    <t>ge:GENC:3:ed2:GNB</t>
  </si>
  <si>
    <t>GUY</t>
  </si>
  <si>
    <t>GY</t>
  </si>
  <si>
    <t>328</t>
  </si>
  <si>
    <t>GUYANA</t>
  </si>
  <si>
    <t>Guyana</t>
  </si>
  <si>
    <t>Co-operative Republic of Guyana</t>
  </si>
  <si>
    <t>ge:GENC:3:ed2:GUY</t>
  </si>
  <si>
    <t>HTI</t>
  </si>
  <si>
    <t>HT</t>
  </si>
  <si>
    <t>332</t>
  </si>
  <si>
    <t>HAITI</t>
  </si>
  <si>
    <t>Haiti</t>
  </si>
  <si>
    <t>Republic of Haiti</t>
  </si>
  <si>
    <t>ge:GENC:3:ed2:HTI</t>
  </si>
  <si>
    <t>HMD</t>
  </si>
  <si>
    <t>HM</t>
  </si>
  <si>
    <t>334</t>
  </si>
  <si>
    <t>HEARD ISLAND AND MCDONALD ISLANDS</t>
  </si>
  <si>
    <t>Heard Island and McDonald Islands</t>
  </si>
  <si>
    <t>Territory of Heard Island and McDonald Islands</t>
  </si>
  <si>
    <t>ge:GENC:3:ed2:HMD</t>
  </si>
  <si>
    <t>HND</t>
  </si>
  <si>
    <t>HN</t>
  </si>
  <si>
    <t>340</t>
  </si>
  <si>
    <t>HONDURAS</t>
  </si>
  <si>
    <t>Honduras</t>
  </si>
  <si>
    <t>Republic of Honduras</t>
  </si>
  <si>
    <t>ge:GENC:3:ed2:HND</t>
  </si>
  <si>
    <t>HKG</t>
  </si>
  <si>
    <t>HK</t>
  </si>
  <si>
    <t>344</t>
  </si>
  <si>
    <t>HONG KONG</t>
  </si>
  <si>
    <t>Hong Kong</t>
  </si>
  <si>
    <t>Hong Kong Special Administrative Region</t>
  </si>
  <si>
    <t>ge:GENC:3:ed2:HKG</t>
  </si>
  <si>
    <t>XHO</t>
  </si>
  <si>
    <t>XH</t>
  </si>
  <si>
    <t>HOWLAND ISLAND</t>
  </si>
  <si>
    <t>Howland Island</t>
  </si>
  <si>
    <t>ge:GENC:3:ed2:XHO</t>
  </si>
  <si>
    <t>HUN</t>
  </si>
  <si>
    <t>HU</t>
  </si>
  <si>
    <t>348</t>
  </si>
  <si>
    <t>HUNGARY</t>
  </si>
  <si>
    <t>Hungary</t>
  </si>
  <si>
    <t>ge:ISO1:3:VII-1:HUN</t>
  </si>
  <si>
    <t>ISL</t>
  </si>
  <si>
    <t>IS</t>
  </si>
  <si>
    <t>352</t>
  </si>
  <si>
    <t>ICELAND</t>
  </si>
  <si>
    <t>Iceland</t>
  </si>
  <si>
    <t>Republic of Iceland</t>
  </si>
  <si>
    <t>ge:GENC:3:ed2:ISL</t>
  </si>
  <si>
    <t>IND</t>
  </si>
  <si>
    <t>IN</t>
  </si>
  <si>
    <t>356</t>
  </si>
  <si>
    <t>INDIA</t>
  </si>
  <si>
    <t>India</t>
  </si>
  <si>
    <t>Republic of India</t>
  </si>
  <si>
    <t>ge:GENC:3:ed2:IND</t>
  </si>
  <si>
    <t>IDN</t>
  </si>
  <si>
    <t>ID</t>
  </si>
  <si>
    <t>360</t>
  </si>
  <si>
    <t>INDONESIA</t>
  </si>
  <si>
    <t>Indonesia</t>
  </si>
  <si>
    <t>Republic of Indonesia</t>
  </si>
  <si>
    <t>ge:GENC:3:ed2:IDN</t>
  </si>
  <si>
    <t>IRN</t>
  </si>
  <si>
    <t>IR</t>
  </si>
  <si>
    <t>364</t>
  </si>
  <si>
    <t>IRAN</t>
  </si>
  <si>
    <t>Iran</t>
  </si>
  <si>
    <t>Islamic Republic of Iran</t>
  </si>
  <si>
    <t>ge:GENC:3:ed2:IRN</t>
  </si>
  <si>
    <t>IRQ</t>
  </si>
  <si>
    <t>IQ</t>
  </si>
  <si>
    <t>368</t>
  </si>
  <si>
    <t>IRAQ</t>
  </si>
  <si>
    <t>Iraq</t>
  </si>
  <si>
    <t>Republic of Iraq</t>
  </si>
  <si>
    <t>ge:GENC:3:ed2:IRQ</t>
  </si>
  <si>
    <t>IRL</t>
  </si>
  <si>
    <t>IE</t>
  </si>
  <si>
    <t>372</t>
  </si>
  <si>
    <t>IRELAND</t>
  </si>
  <si>
    <t>Ireland</t>
  </si>
  <si>
    <t>ge:ISO1:3:VII-1:IRL</t>
  </si>
  <si>
    <t>IMN</t>
  </si>
  <si>
    <t>IM</t>
  </si>
  <si>
    <t>833</t>
  </si>
  <si>
    <t>ISLE OF MAN</t>
  </si>
  <si>
    <t>Isle of Man</t>
  </si>
  <si>
    <t>ge:ISO1:3:VII-1:IMN</t>
  </si>
  <si>
    <t>ISR</t>
  </si>
  <si>
    <t>IL</t>
  </si>
  <si>
    <t>376</t>
  </si>
  <si>
    <t>ISRAEL</t>
  </si>
  <si>
    <t>Israel</t>
  </si>
  <si>
    <t>State of Israel</t>
  </si>
  <si>
    <t>ge:GENC:3:ed2:ISR</t>
  </si>
  <si>
    <t>ITA</t>
  </si>
  <si>
    <t>IT</t>
  </si>
  <si>
    <t>380</t>
  </si>
  <si>
    <t>ITALY</t>
  </si>
  <si>
    <t>Italy</t>
  </si>
  <si>
    <t>Italian Republic</t>
  </si>
  <si>
    <t>ge:GENC:3:ed2:ITA</t>
  </si>
  <si>
    <t>JAM</t>
  </si>
  <si>
    <t>JM</t>
  </si>
  <si>
    <t>388</t>
  </si>
  <si>
    <t>JAMAICA</t>
  </si>
  <si>
    <t>Jamaica</t>
  </si>
  <si>
    <t>ge:ISO1:3:VII-1:JAM</t>
  </si>
  <si>
    <t>XJM</t>
  </si>
  <si>
    <t>XJ</t>
  </si>
  <si>
    <t>JAN MAYEN</t>
  </si>
  <si>
    <t>Jan Mayen</t>
  </si>
  <si>
    <t>ge:GENC:3:ed2:XJM</t>
  </si>
  <si>
    <t>JPN</t>
  </si>
  <si>
    <t>JP</t>
  </si>
  <si>
    <t>392</t>
  </si>
  <si>
    <t>JAPAN</t>
  </si>
  <si>
    <t>Japan</t>
  </si>
  <si>
    <t>ge:ISO1:3:VII-1:JPN</t>
  </si>
  <si>
    <t>XJV</t>
  </si>
  <si>
    <t>XQ</t>
  </si>
  <si>
    <t>JARVIS ISLAND</t>
  </si>
  <si>
    <t>Jarvis Island</t>
  </si>
  <si>
    <t>ge:GENC:3:ed2:XJV</t>
  </si>
  <si>
    <t>JEY</t>
  </si>
  <si>
    <t>JE</t>
  </si>
  <si>
    <t>832</t>
  </si>
  <si>
    <t>JERSEY</t>
  </si>
  <si>
    <t>Jersey</t>
  </si>
  <si>
    <t>Bailiwick of Jersey</t>
  </si>
  <si>
    <t>ge:GENC:3:ed2:JEY</t>
  </si>
  <si>
    <t>XJA</t>
  </si>
  <si>
    <t>XU</t>
  </si>
  <si>
    <t>JOHNSTON ATOLL</t>
  </si>
  <si>
    <t>Johnston Atoll</t>
  </si>
  <si>
    <t>ge:GENC:3:ed2:XJA</t>
  </si>
  <si>
    <t>JOR</t>
  </si>
  <si>
    <t>JO</t>
  </si>
  <si>
    <t>400</t>
  </si>
  <si>
    <t>JORDAN</t>
  </si>
  <si>
    <t>Jordan</t>
  </si>
  <si>
    <t>Hashemite Kingdom of Jordan</t>
  </si>
  <si>
    <t>ge:GENC:3:ed2:JOR</t>
  </si>
  <si>
    <t>XJN</t>
  </si>
  <si>
    <t>QU</t>
  </si>
  <si>
    <t>JUAN DE NOVA ISLAND</t>
  </si>
  <si>
    <t>Juan de Nova Island</t>
  </si>
  <si>
    <t>ge:GENC:3:ed2:XJN</t>
  </si>
  <si>
    <t>KAZ</t>
  </si>
  <si>
    <t>KZ</t>
  </si>
  <si>
    <t>398</t>
  </si>
  <si>
    <t>KAZAKHSTAN</t>
  </si>
  <si>
    <t>Kazakhstan</t>
  </si>
  <si>
    <t>Republic of Kazakhstan</t>
  </si>
  <si>
    <t>ge:GENC:3:ed2:KAZ</t>
  </si>
  <si>
    <t>KEN</t>
  </si>
  <si>
    <t>KE</t>
  </si>
  <si>
    <t>404</t>
  </si>
  <si>
    <t>KENYA</t>
  </si>
  <si>
    <t>Kenya</t>
  </si>
  <si>
    <t>Republic of Kenya</t>
  </si>
  <si>
    <t>ge:GENC:3:ed2:KEN</t>
  </si>
  <si>
    <t>XKR</t>
  </si>
  <si>
    <t>XM</t>
  </si>
  <si>
    <t>KINGMAN REEF</t>
  </si>
  <si>
    <t>Kingman Reef</t>
  </si>
  <si>
    <t>ge:GENC:3:ed2:XKR</t>
  </si>
  <si>
    <t>KIR</t>
  </si>
  <si>
    <t>KI</t>
  </si>
  <si>
    <t>296</t>
  </si>
  <si>
    <t>KIRIBATI</t>
  </si>
  <si>
    <t>Kiribati</t>
  </si>
  <si>
    <t>Republic of Kiribati</t>
  </si>
  <si>
    <t>ge:GENC:3:ed2:KIR</t>
  </si>
  <si>
    <t>PRK</t>
  </si>
  <si>
    <t>KP</t>
  </si>
  <si>
    <t>408</t>
  </si>
  <si>
    <t>KOREA, NORTH</t>
  </si>
  <si>
    <t>Korea, North</t>
  </si>
  <si>
    <t>Democratic People’s Republic of Korea</t>
  </si>
  <si>
    <t>ge:GENC:3:ed2:PRK</t>
  </si>
  <si>
    <t>KOR</t>
  </si>
  <si>
    <t>KR</t>
  </si>
  <si>
    <t>410</t>
  </si>
  <si>
    <t>KOREA, SOUTH</t>
  </si>
  <si>
    <t>Korea, South</t>
  </si>
  <si>
    <t>Republic of Korea</t>
  </si>
  <si>
    <t>ge:GENC:3:ed2:KOR</t>
  </si>
  <si>
    <t>XKS</t>
  </si>
  <si>
    <t>XK</t>
  </si>
  <si>
    <t>KOSOVO</t>
  </si>
  <si>
    <t>Kosovo</t>
  </si>
  <si>
    <t>Republic of Kosovo</t>
  </si>
  <si>
    <t>ge:GENC:3:ed2:XKS</t>
  </si>
  <si>
    <t>KWT</t>
  </si>
  <si>
    <t>KW</t>
  </si>
  <si>
    <t>414</t>
  </si>
  <si>
    <t>KUWAIT</t>
  </si>
  <si>
    <t>Kuwait</t>
  </si>
  <si>
    <t>State of Kuwait</t>
  </si>
  <si>
    <t>ge:GENC:3:ed2:KWT</t>
  </si>
  <si>
    <t>KGZ</t>
  </si>
  <si>
    <t>KG</t>
  </si>
  <si>
    <t>417</t>
  </si>
  <si>
    <t>KYRGYZSTAN</t>
  </si>
  <si>
    <t>Kyrgyzstan</t>
  </si>
  <si>
    <t>Kyrgyz Republic</t>
  </si>
  <si>
    <t>ge:GENC:3:ed2:KGZ</t>
  </si>
  <si>
    <t>LAO</t>
  </si>
  <si>
    <t>LA</t>
  </si>
  <si>
    <t>418</t>
  </si>
  <si>
    <t>LAOS</t>
  </si>
  <si>
    <t>Laos</t>
  </si>
  <si>
    <t>Lao People’s Democratic Republic</t>
  </si>
  <si>
    <t>ge:GENC:3:ed2:LAO</t>
  </si>
  <si>
    <t>LVA</t>
  </si>
  <si>
    <t>LV</t>
  </si>
  <si>
    <t>428</t>
  </si>
  <si>
    <t>LATVIA</t>
  </si>
  <si>
    <t>Latvia</t>
  </si>
  <si>
    <t>Republic of Latvia</t>
  </si>
  <si>
    <t>ge:GENC:3:ed2:LVA</t>
  </si>
  <si>
    <t>LBN</t>
  </si>
  <si>
    <t>LB</t>
  </si>
  <si>
    <t>422</t>
  </si>
  <si>
    <t>LEBANON</t>
  </si>
  <si>
    <t>Lebanon</t>
  </si>
  <si>
    <t>Lebanese Republic</t>
  </si>
  <si>
    <t>ge:GENC:3:ed2:LBN</t>
  </si>
  <si>
    <t>LSO</t>
  </si>
  <si>
    <t>LS</t>
  </si>
  <si>
    <t>426</t>
  </si>
  <si>
    <t>LESOTHO</t>
  </si>
  <si>
    <t>Lesotho</t>
  </si>
  <si>
    <t>Kingdom of Lesotho</t>
  </si>
  <si>
    <t>ge:GENC:3:ed2:LSO</t>
  </si>
  <si>
    <t>LBR</t>
  </si>
  <si>
    <t>LR</t>
  </si>
  <si>
    <t>430</t>
  </si>
  <si>
    <t>LIBERIA</t>
  </si>
  <si>
    <t>Liberia</t>
  </si>
  <si>
    <t>Republic of Liberia</t>
  </si>
  <si>
    <t>ge:GENC:3:ed2:LBR</t>
  </si>
  <si>
    <t>LBY</t>
  </si>
  <si>
    <t>LY</t>
  </si>
  <si>
    <t>434</t>
  </si>
  <si>
    <t>LIBYA</t>
  </si>
  <si>
    <t>Libya</t>
  </si>
  <si>
    <t>ge:ISO1:3:VII-1:LBY</t>
  </si>
  <si>
    <t>LIE</t>
  </si>
  <si>
    <t>LI</t>
  </si>
  <si>
    <t>438</t>
  </si>
  <si>
    <t>LIECHTENSTEIN</t>
  </si>
  <si>
    <t>Liechtenstein</t>
  </si>
  <si>
    <t>Principality of Liechtenstein</t>
  </si>
  <si>
    <t>ge:GENC:3:ed2:LIE</t>
  </si>
  <si>
    <t>LTU</t>
  </si>
  <si>
    <t>LT</t>
  </si>
  <si>
    <t>440</t>
  </si>
  <si>
    <t>LITHUANIA</t>
  </si>
  <si>
    <t>Lithuania</t>
  </si>
  <si>
    <t>Republic of Lithuania</t>
  </si>
  <si>
    <t>ge:GENC:3:ed2:LTU</t>
  </si>
  <si>
    <t>LUX</t>
  </si>
  <si>
    <t>LU</t>
  </si>
  <si>
    <t>442</t>
  </si>
  <si>
    <t>LUXEMBOURG</t>
  </si>
  <si>
    <t>Luxembourg</t>
  </si>
  <si>
    <t>Grand Duchy of Luxembourg</t>
  </si>
  <si>
    <t>ge:GENC:3:ed2:LUX</t>
  </si>
  <si>
    <t>MAC</t>
  </si>
  <si>
    <t>MO</t>
  </si>
  <si>
    <t>446</t>
  </si>
  <si>
    <t>MACAU</t>
  </si>
  <si>
    <t>Macau</t>
  </si>
  <si>
    <t>Macau Special Administrative Region</t>
  </si>
  <si>
    <t>ge:GENC:3:ed2:MAC</t>
  </si>
  <si>
    <t>MKD</t>
  </si>
  <si>
    <t>MK</t>
  </si>
  <si>
    <t>807</t>
  </si>
  <si>
    <t>MACEDONIA</t>
  </si>
  <si>
    <t>Macedonia</t>
  </si>
  <si>
    <t>Republic of Macedonia</t>
  </si>
  <si>
    <t>ge:GENC:3:ed2:MKD</t>
  </si>
  <si>
    <t>MDG</t>
  </si>
  <si>
    <t>MG</t>
  </si>
  <si>
    <t>450</t>
  </si>
  <si>
    <t>MADAGASCAR</t>
  </si>
  <si>
    <t>Madagascar</t>
  </si>
  <si>
    <t>Republic of Madagascar</t>
  </si>
  <si>
    <t>ge:GENC:3:ed2:MDG</t>
  </si>
  <si>
    <t>MWI</t>
  </si>
  <si>
    <t>MW</t>
  </si>
  <si>
    <t>454</t>
  </si>
  <si>
    <t>MALAWI</t>
  </si>
  <si>
    <t>Malawi</t>
  </si>
  <si>
    <t>Republic of Malawi</t>
  </si>
  <si>
    <t>ge:GENC:3:ed2:MWI</t>
  </si>
  <si>
    <t>MYS</t>
  </si>
  <si>
    <t>MY</t>
  </si>
  <si>
    <t>458</t>
  </si>
  <si>
    <t>MALAYSIA</t>
  </si>
  <si>
    <t>Malaysia</t>
  </si>
  <si>
    <t>ge:GENC:3:ed2:MYS</t>
  </si>
  <si>
    <t>MDV</t>
  </si>
  <si>
    <t>MV</t>
  </si>
  <si>
    <t>462</t>
  </si>
  <si>
    <t>MALDIVES</t>
  </si>
  <si>
    <t>Maldives</t>
  </si>
  <si>
    <t>Republic of Maldives</t>
  </si>
  <si>
    <t>ge:GENC:3:ed2:MDV</t>
  </si>
  <si>
    <t>MLI</t>
  </si>
  <si>
    <t>ML</t>
  </si>
  <si>
    <t>466</t>
  </si>
  <si>
    <t>MALI</t>
  </si>
  <si>
    <t>Mali</t>
  </si>
  <si>
    <t>Republic of Mali</t>
  </si>
  <si>
    <t>ge:GENC:3:ed2:MLI</t>
  </si>
  <si>
    <t>MLT</t>
  </si>
  <si>
    <t>MT</t>
  </si>
  <si>
    <t>470</t>
  </si>
  <si>
    <t>MALTA</t>
  </si>
  <si>
    <t>Malta</t>
  </si>
  <si>
    <t>Republic of Malta</t>
  </si>
  <si>
    <t>ge:GENC:3:ed2:MLT</t>
  </si>
  <si>
    <t>MHL</t>
  </si>
  <si>
    <t>MH</t>
  </si>
  <si>
    <t>584</t>
  </si>
  <si>
    <t>MARSHALL ISLANDS</t>
  </si>
  <si>
    <t>Marshall Islands</t>
  </si>
  <si>
    <t>Republic of the Marshall Islands</t>
  </si>
  <si>
    <t>ge:GENC:3:ed2:MHL</t>
  </si>
  <si>
    <t>MTQ</t>
  </si>
  <si>
    <t>MQ</t>
  </si>
  <si>
    <t>474</t>
  </si>
  <si>
    <t>MARTINIQUE</t>
  </si>
  <si>
    <t>Martinique</t>
  </si>
  <si>
    <t>Department of Martinique</t>
  </si>
  <si>
    <t>ge:GENC:3:ed2:MTQ</t>
  </si>
  <si>
    <t>MRT</t>
  </si>
  <si>
    <t>MR</t>
  </si>
  <si>
    <t>478</t>
  </si>
  <si>
    <t>MAURITANIA</t>
  </si>
  <si>
    <t>Mauritania</t>
  </si>
  <si>
    <t>Islamic Republic of Mauritania</t>
  </si>
  <si>
    <t>ge:GENC:3:ed2:MRT</t>
  </si>
  <si>
    <t>MUS</t>
  </si>
  <si>
    <t>MU</t>
  </si>
  <si>
    <t>480</t>
  </si>
  <si>
    <t>MAURITIUS</t>
  </si>
  <si>
    <t>Mauritius</t>
  </si>
  <si>
    <t>Republic of Mauritius</t>
  </si>
  <si>
    <t>ge:GENC:3:ed2:MUS</t>
  </si>
  <si>
    <t>MYT</t>
  </si>
  <si>
    <t>YT</t>
  </si>
  <si>
    <t>175</t>
  </si>
  <si>
    <t>MAYOTTE</t>
  </si>
  <si>
    <t>Mayotte</t>
  </si>
  <si>
    <t>Department of Mayotte</t>
  </si>
  <si>
    <t>ge:GENC:3:ed2:MYT</t>
  </si>
  <si>
    <t>MEX</t>
  </si>
  <si>
    <t>MX</t>
  </si>
  <si>
    <t>484</t>
  </si>
  <si>
    <t>MEXICO</t>
  </si>
  <si>
    <t>Mexico</t>
  </si>
  <si>
    <t>United Mexican States</t>
  </si>
  <si>
    <t>ge:GENC:3:ed2:MEX</t>
  </si>
  <si>
    <t>FSM</t>
  </si>
  <si>
    <t>FM</t>
  </si>
  <si>
    <t>583</t>
  </si>
  <si>
    <t>MICRONESIA, FEDERATED STATES OF</t>
  </si>
  <si>
    <t>Micronesia, Federated States of</t>
  </si>
  <si>
    <t>Federated States of Micronesia</t>
  </si>
  <si>
    <t>ge:GENC:3:ed2:FSM</t>
  </si>
  <si>
    <t>XMW</t>
  </si>
  <si>
    <t>QM</t>
  </si>
  <si>
    <t>MIDWAY ISLANDS</t>
  </si>
  <si>
    <t>Midway Islands</t>
  </si>
  <si>
    <t>ge:GENC:3:ed2:XMW</t>
  </si>
  <si>
    <t>MDA</t>
  </si>
  <si>
    <t>MD</t>
  </si>
  <si>
    <t>498</t>
  </si>
  <si>
    <t>MOLDOVA</t>
  </si>
  <si>
    <t>Moldova</t>
  </si>
  <si>
    <t>Republic of Moldova</t>
  </si>
  <si>
    <t>ge:GENC:3:ed2:MDA</t>
  </si>
  <si>
    <t>MCO</t>
  </si>
  <si>
    <t>MC</t>
  </si>
  <si>
    <t>492</t>
  </si>
  <si>
    <t>MONACO</t>
  </si>
  <si>
    <t>Monaco</t>
  </si>
  <si>
    <t>Principality of Monaco</t>
  </si>
  <si>
    <t>ge:GENC:3:ed2:MCO</t>
  </si>
  <si>
    <t>MNG</t>
  </si>
  <si>
    <t>MN</t>
  </si>
  <si>
    <t>496</t>
  </si>
  <si>
    <t>MONGOLIA</t>
  </si>
  <si>
    <t>Mongolia</t>
  </si>
  <si>
    <t>ge:GENC:3:ed2:MNG</t>
  </si>
  <si>
    <t>MNE</t>
  </si>
  <si>
    <t>ME</t>
  </si>
  <si>
    <t>499</t>
  </si>
  <si>
    <t>MONTENEGRO</t>
  </si>
  <si>
    <t>Montenegro</t>
  </si>
  <si>
    <t>ge:ISO1:3:VII-1:MNE</t>
  </si>
  <si>
    <t>MSR</t>
  </si>
  <si>
    <t>MS</t>
  </si>
  <si>
    <t>500</t>
  </si>
  <si>
    <t>MONTSERRAT</t>
  </si>
  <si>
    <t>Montserrat</t>
  </si>
  <si>
    <t>ge:ISO1:3:VII-1:MSR</t>
  </si>
  <si>
    <t>MAR</t>
  </si>
  <si>
    <t>MA</t>
  </si>
  <si>
    <t>504</t>
  </si>
  <si>
    <t>MOROCCO</t>
  </si>
  <si>
    <t>Morocco</t>
  </si>
  <si>
    <t>Kingdom of Morocco</t>
  </si>
  <si>
    <t>ge:GENC:3:ed2:MAR</t>
  </si>
  <si>
    <t>MOZ</t>
  </si>
  <si>
    <t>MZ</t>
  </si>
  <si>
    <t>508</t>
  </si>
  <si>
    <t>MOZAMBIQUE</t>
  </si>
  <si>
    <t>Mozambique</t>
  </si>
  <si>
    <t>Republic of Mozambique</t>
  </si>
  <si>
    <t>ge:GENC:3:ed2:MOZ</t>
  </si>
  <si>
    <t>NAM</t>
  </si>
  <si>
    <t>NA</t>
  </si>
  <si>
    <t>516</t>
  </si>
  <si>
    <t>NAMIBIA</t>
  </si>
  <si>
    <t>Namibia</t>
  </si>
  <si>
    <t>Republic of Namibia</t>
  </si>
  <si>
    <t>ge:GENC:3:ed2:NAM</t>
  </si>
  <si>
    <t>NRU</t>
  </si>
  <si>
    <t>NR</t>
  </si>
  <si>
    <t>520</t>
  </si>
  <si>
    <t>NAURU</t>
  </si>
  <si>
    <t>Nauru</t>
  </si>
  <si>
    <t>Republic of Nauru</t>
  </si>
  <si>
    <t>ge:GENC:3:ed2:NRU</t>
  </si>
  <si>
    <t>XNV</t>
  </si>
  <si>
    <t>XV</t>
  </si>
  <si>
    <t>NAVASSA ISLAND</t>
  </si>
  <si>
    <t>Navassa Island</t>
  </si>
  <si>
    <t>ge:GENC:3:ed2:XNV</t>
  </si>
  <si>
    <t>NPL</t>
  </si>
  <si>
    <t>NP</t>
  </si>
  <si>
    <t>524</t>
  </si>
  <si>
    <t>NEPAL</t>
  </si>
  <si>
    <t>Nepal</t>
  </si>
  <si>
    <t>Federal Democratic Republic of Nepal</t>
  </si>
  <si>
    <t>ge:GENC:3:ed2:NPL</t>
  </si>
  <si>
    <t>NLD</t>
  </si>
  <si>
    <t>NL</t>
  </si>
  <si>
    <t>528</t>
  </si>
  <si>
    <t>NETHERLANDS</t>
  </si>
  <si>
    <t>Netherlands</t>
  </si>
  <si>
    <t>Kingdom of the Netherlands</t>
  </si>
  <si>
    <t>ge:GENC:3:ed2:NLD</t>
  </si>
  <si>
    <t>NCL</t>
  </si>
  <si>
    <t>NC</t>
  </si>
  <si>
    <t>540</t>
  </si>
  <si>
    <t>NEW CALEDONIA</t>
  </si>
  <si>
    <t>New Caledonia</t>
  </si>
  <si>
    <t>ge:GENC:3:ed2:NCL</t>
  </si>
  <si>
    <t>NZL</t>
  </si>
  <si>
    <t>NZ</t>
  </si>
  <si>
    <t>554</t>
  </si>
  <si>
    <t>NEW ZEALAND</t>
  </si>
  <si>
    <t>New Zealand</t>
  </si>
  <si>
    <t>ge:GENC:3:ed2:NZL</t>
  </si>
  <si>
    <t>NIC</t>
  </si>
  <si>
    <t>NI</t>
  </si>
  <si>
    <t>558</t>
  </si>
  <si>
    <t>NICARAGUA</t>
  </si>
  <si>
    <t>Nicaragua</t>
  </si>
  <si>
    <t>Republic of Nicaragua</t>
  </si>
  <si>
    <t>ge:GENC:3:ed2:NIC</t>
  </si>
  <si>
    <t>NER</t>
  </si>
  <si>
    <t>NE</t>
  </si>
  <si>
    <t>562</t>
  </si>
  <si>
    <t>NIGER</t>
  </si>
  <si>
    <t>Niger</t>
  </si>
  <si>
    <t>Republic of Niger</t>
  </si>
  <si>
    <t>ge:GENC:3:ed2:NER</t>
  </si>
  <si>
    <t>NGA</t>
  </si>
  <si>
    <t>NG</t>
  </si>
  <si>
    <t>566</t>
  </si>
  <si>
    <t>NIGERIA</t>
  </si>
  <si>
    <t>Nigeria</t>
  </si>
  <si>
    <t>Federal Republic of Nigeria</t>
  </si>
  <si>
    <t>ge:GENC:3:ed2:NGA</t>
  </si>
  <si>
    <t>NIU</t>
  </si>
  <si>
    <t>NU</t>
  </si>
  <si>
    <t>570</t>
  </si>
  <si>
    <t>NIUE</t>
  </si>
  <si>
    <t>Niue</t>
  </si>
  <si>
    <t>ge:ISO1:3:VII-1:NIU</t>
  </si>
  <si>
    <t>NFK</t>
  </si>
  <si>
    <t>NF</t>
  </si>
  <si>
    <t>574</t>
  </si>
  <si>
    <t>NORFOLK ISLAND</t>
  </si>
  <si>
    <t>Norfolk Island</t>
  </si>
  <si>
    <t>Territory of Norfolk Island</t>
  </si>
  <si>
    <t>ge:GENC:3:ed2:NFK</t>
  </si>
  <si>
    <t>MNP</t>
  </si>
  <si>
    <t>MP</t>
  </si>
  <si>
    <t>580</t>
  </si>
  <si>
    <t>NORTHERN MARIANA ISLANDS</t>
  </si>
  <si>
    <t>Northern Mariana Islands</t>
  </si>
  <si>
    <t>Commonwealth of the Northern Mariana Islands</t>
  </si>
  <si>
    <t>ge:GENC:3:ed2:MNP</t>
  </si>
  <si>
    <t>NOR</t>
  </si>
  <si>
    <t>NO</t>
  </si>
  <si>
    <t>578</t>
  </si>
  <si>
    <t>NORWAY</t>
  </si>
  <si>
    <t>Norway</t>
  </si>
  <si>
    <t>Kingdom of Norway</t>
  </si>
  <si>
    <t>ge:GENC:3:ed2:NOR</t>
  </si>
  <si>
    <t>OMN</t>
  </si>
  <si>
    <t>OM</t>
  </si>
  <si>
    <t>512</t>
  </si>
  <si>
    <t>OMAN</t>
  </si>
  <si>
    <t>Oman</t>
  </si>
  <si>
    <t>Sultanate of Oman</t>
  </si>
  <si>
    <t>ge:GENC:3:ed2:OMN</t>
  </si>
  <si>
    <t>PAK</t>
  </si>
  <si>
    <t>PK</t>
  </si>
  <si>
    <t>586</t>
  </si>
  <si>
    <t>PAKISTAN</t>
  </si>
  <si>
    <t>Pakistan</t>
  </si>
  <si>
    <t>Islamic Republic of Pakistan</t>
  </si>
  <si>
    <t>ge:GENC:3:ed2:PAK</t>
  </si>
  <si>
    <t>PLW</t>
  </si>
  <si>
    <t>PW</t>
  </si>
  <si>
    <t>585</t>
  </si>
  <si>
    <t>PALAU</t>
  </si>
  <si>
    <t>Palau</t>
  </si>
  <si>
    <t>Republic of Palau</t>
  </si>
  <si>
    <t>ge:GENC:3:ed2:PLW</t>
  </si>
  <si>
    <t>XPL</t>
  </si>
  <si>
    <t>XL</t>
  </si>
  <si>
    <t>PALMYRA ATOLL</t>
  </si>
  <si>
    <t>Palmyra Atoll</t>
  </si>
  <si>
    <t>ge:GENC:3:ed2:XPL</t>
  </si>
  <si>
    <t>PAN</t>
  </si>
  <si>
    <t>PA</t>
  </si>
  <si>
    <t>591</t>
  </si>
  <si>
    <t>PANAMA</t>
  </si>
  <si>
    <t>Panama</t>
  </si>
  <si>
    <t>Republic of Panama</t>
  </si>
  <si>
    <t>ge:GENC:3:ed2:PAN</t>
  </si>
  <si>
    <t>PNG</t>
  </si>
  <si>
    <t>PG</t>
  </si>
  <si>
    <t>598</t>
  </si>
  <si>
    <t>PAPUA NEW GUINEA</t>
  </si>
  <si>
    <t>Papua New Guinea</t>
  </si>
  <si>
    <t>Independent State of Papua New Guinea</t>
  </si>
  <si>
    <t>ge:GENC:3:ed2:PNG</t>
  </si>
  <si>
    <t>XPR</t>
  </si>
  <si>
    <t>XP</t>
  </si>
  <si>
    <t>PARACEL ISLANDS</t>
  </si>
  <si>
    <t>Paracel Islands</t>
  </si>
  <si>
    <t>ge:GENC:3:ed2:XPR</t>
  </si>
  <si>
    <t>PRY</t>
  </si>
  <si>
    <t>PY</t>
  </si>
  <si>
    <t>600</t>
  </si>
  <si>
    <t>PARAGUAY</t>
  </si>
  <si>
    <t>Paraguay</t>
  </si>
  <si>
    <t>Republic of Paraguay</t>
  </si>
  <si>
    <t>ge:GENC:3:ed2:PRY</t>
  </si>
  <si>
    <t>PER</t>
  </si>
  <si>
    <t>PE</t>
  </si>
  <si>
    <t>604</t>
  </si>
  <si>
    <t>PERU</t>
  </si>
  <si>
    <t>Peru</t>
  </si>
  <si>
    <t>Republic of Peru</t>
  </si>
  <si>
    <t>ge:GENC:3:ed2:PER</t>
  </si>
  <si>
    <t>PHL</t>
  </si>
  <si>
    <t>PH</t>
  </si>
  <si>
    <t>608</t>
  </si>
  <si>
    <t>PHILIPPINES</t>
  </si>
  <si>
    <t>Philippines</t>
  </si>
  <si>
    <t>Republic of the Philippines</t>
  </si>
  <si>
    <t>ge:GENC:3:ed2:PHL</t>
  </si>
  <si>
    <t>PCN</t>
  </si>
  <si>
    <t>PN</t>
  </si>
  <si>
    <t>612</t>
  </si>
  <si>
    <t>PITCAIRN ISLANDS</t>
  </si>
  <si>
    <t>Pitcairn Islands</t>
  </si>
  <si>
    <t>Pitcairn, Henderson, Ducie, and Oeno Islands</t>
  </si>
  <si>
    <t>ge:GENC:3:ed2:PCN</t>
  </si>
  <si>
    <t>POL</t>
  </si>
  <si>
    <t>PL</t>
  </si>
  <si>
    <t>616</t>
  </si>
  <si>
    <t>POLAND</t>
  </si>
  <si>
    <t>Poland</t>
  </si>
  <si>
    <t>Republic of Poland</t>
  </si>
  <si>
    <t>ge:GENC:3:ed2:POL</t>
  </si>
  <si>
    <t>PRT</t>
  </si>
  <si>
    <t>PT</t>
  </si>
  <si>
    <t>620</t>
  </si>
  <si>
    <t>PORTUGAL</t>
  </si>
  <si>
    <t>Portugal</t>
  </si>
  <si>
    <t>Portuguese Republic</t>
  </si>
  <si>
    <t>ge:GENC:3:ed2:PRT</t>
  </si>
  <si>
    <t>PRI</t>
  </si>
  <si>
    <t>PR</t>
  </si>
  <si>
    <t>630</t>
  </si>
  <si>
    <t>PUERTO RICO</t>
  </si>
  <si>
    <t>Puerto Rico</t>
  </si>
  <si>
    <t>Commonwealth of Puerto Rico</t>
  </si>
  <si>
    <t>ge:GENC:3:ed2:PRI</t>
  </si>
  <si>
    <t>QAT</t>
  </si>
  <si>
    <t>QA</t>
  </si>
  <si>
    <t>634</t>
  </si>
  <si>
    <t>QATAR</t>
  </si>
  <si>
    <t>Qatar</t>
  </si>
  <si>
    <t>State of Qatar</t>
  </si>
  <si>
    <t>ge:GENC:3:ed2:QAT</t>
  </si>
  <si>
    <t>REU</t>
  </si>
  <si>
    <t>RE</t>
  </si>
  <si>
    <t>638</t>
  </si>
  <si>
    <t>REUNION</t>
  </si>
  <si>
    <t>Reunion</t>
  </si>
  <si>
    <t>Department of Reunion</t>
  </si>
  <si>
    <t>ge:GENC:3:ed2:REU</t>
  </si>
  <si>
    <t>ROU</t>
  </si>
  <si>
    <t>RO</t>
  </si>
  <si>
    <t>642</t>
  </si>
  <si>
    <t>ROMANIA</t>
  </si>
  <si>
    <t>Romania</t>
  </si>
  <si>
    <t>ge:ISO1:3:VII-1:ROU</t>
  </si>
  <si>
    <t>RUS</t>
  </si>
  <si>
    <t>RU</t>
  </si>
  <si>
    <t>643</t>
  </si>
  <si>
    <t>RUSSIA</t>
  </si>
  <si>
    <t>Russia</t>
  </si>
  <si>
    <t>Russian Federation</t>
  </si>
  <si>
    <t>ge:GENC:3:ed2:RUS</t>
  </si>
  <si>
    <t>RWA</t>
  </si>
  <si>
    <t>RW</t>
  </si>
  <si>
    <t>646</t>
  </si>
  <si>
    <t>RWANDA</t>
  </si>
  <si>
    <t>Rwanda</t>
  </si>
  <si>
    <t>Republic of Rwanda</t>
  </si>
  <si>
    <t>ge:GENC:3:ed2:RWA</t>
  </si>
  <si>
    <t>BLM</t>
  </si>
  <si>
    <t>BL</t>
  </si>
  <si>
    <t>652</t>
  </si>
  <si>
    <t>SAINT BARTHELEMY</t>
  </si>
  <si>
    <t>Saint Barthelemy</t>
  </si>
  <si>
    <t>ge:GENC:3:ed2:BLM</t>
  </si>
  <si>
    <t>SHN</t>
  </si>
  <si>
    <t>SH</t>
  </si>
  <si>
    <t>654</t>
  </si>
  <si>
    <t>SAINT HELENA, ASCENSION, AND TRISTAN DA CUNHA</t>
  </si>
  <si>
    <t>Saint Helena, Ascension, and Tristan da Cunha</t>
  </si>
  <si>
    <t>ge:GENC:3:ed2:SHN</t>
  </si>
  <si>
    <t>KNA</t>
  </si>
  <si>
    <t>KN</t>
  </si>
  <si>
    <t>659</t>
  </si>
  <si>
    <t>SAINT KITTS AND NEVIS</t>
  </si>
  <si>
    <t>Saint Kitts and Nevis</t>
  </si>
  <si>
    <t>Federation of Saint Kitts and Nevis</t>
  </si>
  <si>
    <t>ge:GENC:3:ed2:KNA</t>
  </si>
  <si>
    <t>LCA</t>
  </si>
  <si>
    <t>LC</t>
  </si>
  <si>
    <t>662</t>
  </si>
  <si>
    <t>SAINT LUCIA</t>
  </si>
  <si>
    <t>Saint Lucia</t>
  </si>
  <si>
    <t>ge:ISO1:3:VII-1:LCA</t>
  </si>
  <si>
    <t>MAF</t>
  </si>
  <si>
    <t>MF</t>
  </si>
  <si>
    <t>663</t>
  </si>
  <si>
    <t>SAINT MARTIN</t>
  </si>
  <si>
    <t>Saint Martin</t>
  </si>
  <si>
    <t>ge:GENC:3:ed2:MAF</t>
  </si>
  <si>
    <t>SPM</t>
  </si>
  <si>
    <t>PM</t>
  </si>
  <si>
    <t>666</t>
  </si>
  <si>
    <t>SAINT PIERRE AND MIQUELON</t>
  </si>
  <si>
    <t>Saint Pierre and Miquelon</t>
  </si>
  <si>
    <t>Territorial Collectivity of Saint Pierre and Miquelon</t>
  </si>
  <si>
    <t>ge:GENC:3:ed2:SPM</t>
  </si>
  <si>
    <t>VCT</t>
  </si>
  <si>
    <t>VC</t>
  </si>
  <si>
    <t>670</t>
  </si>
  <si>
    <t>SAINT VINCENT AND THE GRENADINES</t>
  </si>
  <si>
    <t>Saint Vincent and the Grenadines</t>
  </si>
  <si>
    <t>ge:GENC:3:ed2:VCT</t>
  </si>
  <si>
    <t>WSM</t>
  </si>
  <si>
    <t>WS</t>
  </si>
  <si>
    <t>882</t>
  </si>
  <si>
    <t>SAMOA</t>
  </si>
  <si>
    <t>Samoa</t>
  </si>
  <si>
    <t>Independent State of Samoa</t>
  </si>
  <si>
    <t>ge:GENC:3:ed2:WSM</t>
  </si>
  <si>
    <t>SMR</t>
  </si>
  <si>
    <t>SM</t>
  </si>
  <si>
    <t>674</t>
  </si>
  <si>
    <t>SAN MARINO</t>
  </si>
  <si>
    <t>San Marino</t>
  </si>
  <si>
    <t>Republic of San Marino</t>
  </si>
  <si>
    <t>ge:GENC:3:ed2:SMR</t>
  </si>
  <si>
    <t>STP</t>
  </si>
  <si>
    <t>ST</t>
  </si>
  <si>
    <t>678</t>
  </si>
  <si>
    <t>SAO TOME AND PRINCIPE</t>
  </si>
  <si>
    <t>Sao Tome and Principe</t>
  </si>
  <si>
    <t>Democratic Republic of Sao Tome and Principe</t>
  </si>
  <si>
    <t>ge:GENC:3:ed2:STP</t>
  </si>
  <si>
    <t>SAU</t>
  </si>
  <si>
    <t>SA</t>
  </si>
  <si>
    <t>682</t>
  </si>
  <si>
    <t>SAUDI ARABIA</t>
  </si>
  <si>
    <t>Saudi Arabia</t>
  </si>
  <si>
    <t>Kingdom of Saudi Arabia</t>
  </si>
  <si>
    <t>ge:GENC:3:ed2:SAU</t>
  </si>
  <si>
    <t>SEN</t>
  </si>
  <si>
    <t>SN</t>
  </si>
  <si>
    <t>686</t>
  </si>
  <si>
    <t>SENEGAL</t>
  </si>
  <si>
    <t>Senegal</t>
  </si>
  <si>
    <t>Republic of Senegal</t>
  </si>
  <si>
    <t>ge:GENC:3:ed2:SEN</t>
  </si>
  <si>
    <t>SRB</t>
  </si>
  <si>
    <t>RS</t>
  </si>
  <si>
    <t>688</t>
  </si>
  <si>
    <t>SERBIA</t>
  </si>
  <si>
    <t>Serbia</t>
  </si>
  <si>
    <t>Republic of Serbia</t>
  </si>
  <si>
    <t>ge:GENC:3:ed2:SRB</t>
  </si>
  <si>
    <t>SYC</t>
  </si>
  <si>
    <t>SC</t>
  </si>
  <si>
    <t>690</t>
  </si>
  <si>
    <t>SEYCHELLES</t>
  </si>
  <si>
    <t>Seychelles</t>
  </si>
  <si>
    <t>Republic of Seychelles</t>
  </si>
  <si>
    <t>ge:GENC:3:ed2:SYC</t>
  </si>
  <si>
    <t>SLE</t>
  </si>
  <si>
    <t>SL</t>
  </si>
  <si>
    <t>694</t>
  </si>
  <si>
    <t>SIERRA LEONE</t>
  </si>
  <si>
    <t>Sierra Leone</t>
  </si>
  <si>
    <t>Republic of Sierra Leone</t>
  </si>
  <si>
    <t>ge:GENC:3:ed2:SLE</t>
  </si>
  <si>
    <t>SGP</t>
  </si>
  <si>
    <t>SG</t>
  </si>
  <si>
    <t>702</t>
  </si>
  <si>
    <t>SINGAPORE</t>
  </si>
  <si>
    <t>Singapore</t>
  </si>
  <si>
    <t>Republic of Singapore</t>
  </si>
  <si>
    <t>ge:GENC:3:ed2:SGP</t>
  </si>
  <si>
    <t>SXM</t>
  </si>
  <si>
    <t>SX</t>
  </si>
  <si>
    <t>534</t>
  </si>
  <si>
    <t>SINT MAARTEN</t>
  </si>
  <si>
    <t>Sint Maarten</t>
  </si>
  <si>
    <t>ge:GENC:3:ed2:SXM</t>
  </si>
  <si>
    <t>SVK</t>
  </si>
  <si>
    <t>SK</t>
  </si>
  <si>
    <t>703</t>
  </si>
  <si>
    <t>SLOVAKIA</t>
  </si>
  <si>
    <t>Slovakia</t>
  </si>
  <si>
    <t>Slovak Republic</t>
  </si>
  <si>
    <t>ge:GENC:3:ed2:SVK</t>
  </si>
  <si>
    <t>SVN</t>
  </si>
  <si>
    <t>SI</t>
  </si>
  <si>
    <t>705</t>
  </si>
  <si>
    <t>SLOVENIA</t>
  </si>
  <si>
    <t>Slovenia</t>
  </si>
  <si>
    <t>Republic of Slovenia</t>
  </si>
  <si>
    <t>ge:GENC:3:ed2:SVN</t>
  </si>
  <si>
    <t>SLB</t>
  </si>
  <si>
    <t>SB</t>
  </si>
  <si>
    <t>090</t>
  </si>
  <si>
    <t>SOLOMON ISLANDS</t>
  </si>
  <si>
    <t>Solomon Islands</t>
  </si>
  <si>
    <t>ge:GENC:3:ed2:SLB</t>
  </si>
  <si>
    <t>SOM</t>
  </si>
  <si>
    <t>SO</t>
  </si>
  <si>
    <t>706</t>
  </si>
  <si>
    <t>SOMALIA</t>
  </si>
  <si>
    <t>Somalia</t>
  </si>
  <si>
    <t>Federal Republic of Somalia</t>
  </si>
  <si>
    <t>ge:GENC:3:ed2:SOM</t>
  </si>
  <si>
    <t>ZAF</t>
  </si>
  <si>
    <t>ZA</t>
  </si>
  <si>
    <t>710</t>
  </si>
  <si>
    <t>SOUTH AFRICA</t>
  </si>
  <si>
    <t>South Africa</t>
  </si>
  <si>
    <t>Republic of South Africa</t>
  </si>
  <si>
    <t>ge:GENC:3:ed2:ZAF</t>
  </si>
  <si>
    <t>SGS</t>
  </si>
  <si>
    <t>GS</t>
  </si>
  <si>
    <t>239</t>
  </si>
  <si>
    <t>SOUTH GEORGIA AND SOUTH SANDWICH ISLANDS</t>
  </si>
  <si>
    <t>South Georgia and South Sandwich Islands</t>
  </si>
  <si>
    <t>South Georgia and the South Sandwich Islands</t>
  </si>
  <si>
    <t>ge:GENC:3:ed2:SGS</t>
  </si>
  <si>
    <t>SSD</t>
  </si>
  <si>
    <t>SS</t>
  </si>
  <si>
    <t>728</t>
  </si>
  <si>
    <t>SOUTH SUDAN</t>
  </si>
  <si>
    <t>South Sudan</t>
  </si>
  <si>
    <t>Republic of South Sudan</t>
  </si>
  <si>
    <t>ge:GENC:3:ed2:SSD</t>
  </si>
  <si>
    <t>ESP</t>
  </si>
  <si>
    <t>ES</t>
  </si>
  <si>
    <t>724</t>
  </si>
  <si>
    <t>SPAIN</t>
  </si>
  <si>
    <t>Spain</t>
  </si>
  <si>
    <t>Kingdom of Spain</t>
  </si>
  <si>
    <t>ge:GENC:3:ed2:ESP</t>
  </si>
  <si>
    <t>XSP</t>
  </si>
  <si>
    <t>XS</t>
  </si>
  <si>
    <t>SPRATLY ISLANDS</t>
  </si>
  <si>
    <t>Spratly Islands</t>
  </si>
  <si>
    <t>ge:GENC:3:ed2:XSP</t>
  </si>
  <si>
    <t>LKA</t>
  </si>
  <si>
    <t>LK</t>
  </si>
  <si>
    <t>144</t>
  </si>
  <si>
    <t>SRI LANKA</t>
  </si>
  <si>
    <t>Sri Lanka</t>
  </si>
  <si>
    <t>Democratic Socialist Republic of Sri Lanka</t>
  </si>
  <si>
    <t>ge:GENC:3:ed2:LKA</t>
  </si>
  <si>
    <t>SDN</t>
  </si>
  <si>
    <t>SD</t>
  </si>
  <si>
    <t>729</t>
  </si>
  <si>
    <t>SUDAN</t>
  </si>
  <si>
    <t>Sudan</t>
  </si>
  <si>
    <t>Republic of the Sudan</t>
  </si>
  <si>
    <t>ge:GENC:3:ed2:SDN</t>
  </si>
  <si>
    <t>SUR</t>
  </si>
  <si>
    <t>SR</t>
  </si>
  <si>
    <t>740</t>
  </si>
  <si>
    <t>SURINAME</t>
  </si>
  <si>
    <t>Suriname</t>
  </si>
  <si>
    <t>Republic of Suriname</t>
  </si>
  <si>
    <t>ge:GENC:3:ed2:SUR</t>
  </si>
  <si>
    <t>XSV</t>
  </si>
  <si>
    <t>XR</t>
  </si>
  <si>
    <t>SVALBARD</t>
  </si>
  <si>
    <t>Svalbard</t>
  </si>
  <si>
    <t>ge:GENC:3:ed2:XSV</t>
  </si>
  <si>
    <t>SWZ</t>
  </si>
  <si>
    <t>SZ</t>
  </si>
  <si>
    <t>748</t>
  </si>
  <si>
    <t>SWAZILAND</t>
  </si>
  <si>
    <t>Swaziland</t>
  </si>
  <si>
    <t>Kingdom of Swaziland</t>
  </si>
  <si>
    <t>ge:GENC:3:ed2:SWZ</t>
  </si>
  <si>
    <t>SWE</t>
  </si>
  <si>
    <t>SE</t>
  </si>
  <si>
    <t>752</t>
  </si>
  <si>
    <t>SWEDEN</t>
  </si>
  <si>
    <t>Sweden</t>
  </si>
  <si>
    <t>Kingdom of Sweden</t>
  </si>
  <si>
    <t>ge:GENC:3:ed2:SWE</t>
  </si>
  <si>
    <t>CHE</t>
  </si>
  <si>
    <t>CH</t>
  </si>
  <si>
    <t>756</t>
  </si>
  <si>
    <t>SWITZERLAND</t>
  </si>
  <si>
    <t>Switzerland</t>
  </si>
  <si>
    <t>Swiss Confederation</t>
  </si>
  <si>
    <t>ge:GENC:3:ed2:CHE</t>
  </si>
  <si>
    <t>SYR</t>
  </si>
  <si>
    <t>SY</t>
  </si>
  <si>
    <t>760</t>
  </si>
  <si>
    <t>SYRIA</t>
  </si>
  <si>
    <t>Syria</t>
  </si>
  <si>
    <t>Syrian Arab Republic</t>
  </si>
  <si>
    <t>ge:GENC:3:ed2:SYR</t>
  </si>
  <si>
    <t>TWN</t>
  </si>
  <si>
    <t>TW</t>
  </si>
  <si>
    <t>158</t>
  </si>
  <si>
    <t>TAIWAN</t>
  </si>
  <si>
    <t>Taiwan</t>
  </si>
  <si>
    <t>ge:GENC:3:ed2:TWN</t>
  </si>
  <si>
    <t>TJK</t>
  </si>
  <si>
    <t>TJ</t>
  </si>
  <si>
    <t>762</t>
  </si>
  <si>
    <t>TAJIKISTAN</t>
  </si>
  <si>
    <t>Tajikistan</t>
  </si>
  <si>
    <t>Republic of Tajikistan</t>
  </si>
  <si>
    <t>ge:GENC:3:ed2:TJK</t>
  </si>
  <si>
    <t>TZA</t>
  </si>
  <si>
    <t>TZ</t>
  </si>
  <si>
    <t>834</t>
  </si>
  <si>
    <t>TANZANIA</t>
  </si>
  <si>
    <t>Tanzania</t>
  </si>
  <si>
    <t>United Republic of Tanzania</t>
  </si>
  <si>
    <t>ge:GENC:3:ed2:TZA</t>
  </si>
  <si>
    <t>THA</t>
  </si>
  <si>
    <t>TH</t>
  </si>
  <si>
    <t>764</t>
  </si>
  <si>
    <t>THAILAND</t>
  </si>
  <si>
    <t>Thailand</t>
  </si>
  <si>
    <t>Kingdom of Thailand</t>
  </si>
  <si>
    <t>ge:GENC:3:ed2:THA</t>
  </si>
  <si>
    <t>TLS</t>
  </si>
  <si>
    <t>TL</t>
  </si>
  <si>
    <t>626</t>
  </si>
  <si>
    <t>TIMOR-LESTE</t>
  </si>
  <si>
    <t>Timor-Leste</t>
  </si>
  <si>
    <t>Democratic Republic of Timor-Leste</t>
  </si>
  <si>
    <t>ge:GENC:3:ed2:TLS</t>
  </si>
  <si>
    <t>TGO</t>
  </si>
  <si>
    <t>TG</t>
  </si>
  <si>
    <t>768</t>
  </si>
  <si>
    <t>TOGO</t>
  </si>
  <si>
    <t>Togo</t>
  </si>
  <si>
    <t>Togolese Republic</t>
  </si>
  <si>
    <t>ge:GENC:3:ed2:TGO</t>
  </si>
  <si>
    <t>TKL</t>
  </si>
  <si>
    <t>TK</t>
  </si>
  <si>
    <t>772</t>
  </si>
  <si>
    <t>TOKELAU</t>
  </si>
  <si>
    <t>Tokelau</t>
  </si>
  <si>
    <t>ge:ISO1:3:VII-1:TKL</t>
  </si>
  <si>
    <t>TON</t>
  </si>
  <si>
    <t>TO</t>
  </si>
  <si>
    <t>776</t>
  </si>
  <si>
    <t>TONGA</t>
  </si>
  <si>
    <t>Tonga</t>
  </si>
  <si>
    <t>Kingdom of Tonga</t>
  </si>
  <si>
    <t>ge:GENC:3:ed2:TON</t>
  </si>
  <si>
    <t>TTO</t>
  </si>
  <si>
    <t>TT</t>
  </si>
  <si>
    <t>780</t>
  </si>
  <si>
    <t>TRINIDAD AND TOBAGO</t>
  </si>
  <si>
    <t>Trinidad and Tobago</t>
  </si>
  <si>
    <t>Republic of Trinidad and Tobago</t>
  </si>
  <si>
    <t>ge:GENC:3:ed2:TTO</t>
  </si>
  <si>
    <t>XTR</t>
  </si>
  <si>
    <t>XT</t>
  </si>
  <si>
    <t>TROMELIN ISLAND</t>
  </si>
  <si>
    <t>Tromelin Island</t>
  </si>
  <si>
    <t>ge:GENC:3:ed2:XTR</t>
  </si>
  <si>
    <t>TUN</t>
  </si>
  <si>
    <t>TN</t>
  </si>
  <si>
    <t>788</t>
  </si>
  <si>
    <t>TUNISIA</t>
  </si>
  <si>
    <t>Tunisia</t>
  </si>
  <si>
    <t>Tunisian Republic</t>
  </si>
  <si>
    <t>ge:GENC:3:ed2:TUN</t>
  </si>
  <si>
    <t>TUR</t>
  </si>
  <si>
    <t>TR</t>
  </si>
  <si>
    <t>792</t>
  </si>
  <si>
    <t>TURKEY</t>
  </si>
  <si>
    <t>Turkey</t>
  </si>
  <si>
    <t>Republic of Turkey</t>
  </si>
  <si>
    <t>ge:GENC:3:ed2:TUR</t>
  </si>
  <si>
    <t>TKM</t>
  </si>
  <si>
    <t>TM</t>
  </si>
  <si>
    <t>795</t>
  </si>
  <si>
    <t>TURKMENISTAN</t>
  </si>
  <si>
    <t>Turkmenistan</t>
  </si>
  <si>
    <t>ge:ISO1:3:VII-1:TKM</t>
  </si>
  <si>
    <t>TCA</t>
  </si>
  <si>
    <t>TC</t>
  </si>
  <si>
    <t>796</t>
  </si>
  <si>
    <t>TURKS AND CAICOS ISLANDS</t>
  </si>
  <si>
    <t>Turks and Caicos Islands</t>
  </si>
  <si>
    <t>ge:GENC:3:ed2:TCA</t>
  </si>
  <si>
    <t>TUV</t>
  </si>
  <si>
    <t>TV</t>
  </si>
  <si>
    <t>798</t>
  </si>
  <si>
    <t>TUVALU</t>
  </si>
  <si>
    <t>Tuvalu</t>
  </si>
  <si>
    <t>ge:GENC:3:ed2:TUV</t>
  </si>
  <si>
    <t>UGA</t>
  </si>
  <si>
    <t>UG</t>
  </si>
  <si>
    <t>800</t>
  </si>
  <si>
    <t>UGANDA</t>
  </si>
  <si>
    <t>Uganda</t>
  </si>
  <si>
    <t>Republic of Uganda</t>
  </si>
  <si>
    <t>ge:GENC:3:ed2:UGA</t>
  </si>
  <si>
    <t>UKR</t>
  </si>
  <si>
    <t>UA</t>
  </si>
  <si>
    <t>804</t>
  </si>
  <si>
    <t>UKRAINE</t>
  </si>
  <si>
    <t>Ukraine</t>
  </si>
  <si>
    <t>ge:GENC:3:ed2:UKR</t>
  </si>
  <si>
    <t>ARE</t>
  </si>
  <si>
    <t>AE</t>
  </si>
  <si>
    <t>784</t>
  </si>
  <si>
    <t>UNITED ARAB EMIRATES</t>
  </si>
  <si>
    <t>United Arab Emirates</t>
  </si>
  <si>
    <t>ge:GENC:3:ed2:ARE</t>
  </si>
  <si>
    <t>GBR</t>
  </si>
  <si>
    <t>GB</t>
  </si>
  <si>
    <t>826</t>
  </si>
  <si>
    <t>UNITED KINGDOM</t>
  </si>
  <si>
    <t>United Kingdom</t>
  </si>
  <si>
    <t>United Kingdom of Great Britain and Northern Ireland</t>
  </si>
  <si>
    <t>ge:GENC:3:ed2:GBR</t>
  </si>
  <si>
    <t>USA</t>
  </si>
  <si>
    <t>US</t>
  </si>
  <si>
    <t>840</t>
  </si>
  <si>
    <t>UNITED STATES</t>
  </si>
  <si>
    <t>United States</t>
  </si>
  <si>
    <t>United States of America</t>
  </si>
  <si>
    <t>ge:GENC:3:ed2:USA</t>
  </si>
  <si>
    <t>AX1</t>
  </si>
  <si>
    <t>A1</t>
  </si>
  <si>
    <t>UNKNOWN</t>
  </si>
  <si>
    <t>Unknown</t>
  </si>
  <si>
    <t>ge:GENC:3:ed2:AX1</t>
  </si>
  <si>
    <t>URY</t>
  </si>
  <si>
    <t>UY</t>
  </si>
  <si>
    <t>858</t>
  </si>
  <si>
    <t>URUGUAY</t>
  </si>
  <si>
    <t>Uruguay</t>
  </si>
  <si>
    <t>Oriental Republic of Uruguay</t>
  </si>
  <si>
    <t>ge:GENC:3:ed2:URY</t>
  </si>
  <si>
    <t>UZB</t>
  </si>
  <si>
    <t>UZ</t>
  </si>
  <si>
    <t>860</t>
  </si>
  <si>
    <t>UZBEKISTAN</t>
  </si>
  <si>
    <t>Uzbekistan</t>
  </si>
  <si>
    <t>Republic of Uzbekistan</t>
  </si>
  <si>
    <t>ge:GENC:3:ed2:UZB</t>
  </si>
  <si>
    <t>VUT</t>
  </si>
  <si>
    <t>VU</t>
  </si>
  <si>
    <t>548</t>
  </si>
  <si>
    <t>VANUATU</t>
  </si>
  <si>
    <t>Vanuatu</t>
  </si>
  <si>
    <t>Republic of Vanuatu</t>
  </si>
  <si>
    <t>ge:GENC:3:ed2:VUT</t>
  </si>
  <si>
    <t>VAT</t>
  </si>
  <si>
    <t>VA</t>
  </si>
  <si>
    <t>336</t>
  </si>
  <si>
    <t>VATICAN CITY</t>
  </si>
  <si>
    <t>Vatican City</t>
  </si>
  <si>
    <t>State of the Vatican City</t>
  </si>
  <si>
    <t>ge:GENC:3:ed2:VAT</t>
  </si>
  <si>
    <t>VEN</t>
  </si>
  <si>
    <t>VE</t>
  </si>
  <si>
    <t>862</t>
  </si>
  <si>
    <t>VENEZUELA</t>
  </si>
  <si>
    <t>Venezuela</t>
  </si>
  <si>
    <t>Bolivarian Republic of Venezuela</t>
  </si>
  <si>
    <t>ge:GENC:3:ed2:VEN</t>
  </si>
  <si>
    <t>VNM</t>
  </si>
  <si>
    <t>VN</t>
  </si>
  <si>
    <t>704</t>
  </si>
  <si>
    <t>VIETNAM</t>
  </si>
  <si>
    <t>Vietnam</t>
  </si>
  <si>
    <t>Socialist Republic of Vietnam</t>
  </si>
  <si>
    <t>ge:GENC:3:ed2:VNM</t>
  </si>
  <si>
    <t>VGB</t>
  </si>
  <si>
    <t>VG</t>
  </si>
  <si>
    <t>092</t>
  </si>
  <si>
    <t>VIRGIN ISLANDS, BRITISH</t>
  </si>
  <si>
    <t>Virgin Islands, British</t>
  </si>
  <si>
    <t>ge:GENC:3:ed2:VGB</t>
  </si>
  <si>
    <t>VIR</t>
  </si>
  <si>
    <t>VI</t>
  </si>
  <si>
    <t>850</t>
  </si>
  <si>
    <t>VIRGIN ISLANDS, U.S.</t>
  </si>
  <si>
    <t>Virgin Islands, U.S.</t>
  </si>
  <si>
    <t>United States Virgin Islands</t>
  </si>
  <si>
    <t>ge:GENC:3:ed2:VIR</t>
  </si>
  <si>
    <t>XWK</t>
  </si>
  <si>
    <t>QW</t>
  </si>
  <si>
    <t>WAKE ISLAND</t>
  </si>
  <si>
    <t>Wake Island</t>
  </si>
  <si>
    <t>ge:GENC:3:ed2:XWK</t>
  </si>
  <si>
    <t>WLF</t>
  </si>
  <si>
    <t>WF</t>
  </si>
  <si>
    <t>876</t>
  </si>
  <si>
    <t>WALLIS AND FUTUNA</t>
  </si>
  <si>
    <t>Wallis and Futuna</t>
  </si>
  <si>
    <t>ge:GENC:3:ed2:WLF</t>
  </si>
  <si>
    <t>XWB</t>
  </si>
  <si>
    <t>XW</t>
  </si>
  <si>
    <t>WEST BANK</t>
  </si>
  <si>
    <t>West Bank</t>
  </si>
  <si>
    <t>ge:GENC:3:ed2:XWB</t>
  </si>
  <si>
    <t>ESH</t>
  </si>
  <si>
    <t>EH</t>
  </si>
  <si>
    <t>732</t>
  </si>
  <si>
    <t>WESTERN SAHARA</t>
  </si>
  <si>
    <t>Western Sahara</t>
  </si>
  <si>
    <t>ge:GENC:3:ed2:ESH</t>
  </si>
  <si>
    <t>YEM</t>
  </si>
  <si>
    <t>YE</t>
  </si>
  <si>
    <t>887</t>
  </si>
  <si>
    <t>YEMEN</t>
  </si>
  <si>
    <t>Yemen</t>
  </si>
  <si>
    <t>Republic of Yemen</t>
  </si>
  <si>
    <t>ge:GENC:3:ed2:YEM</t>
  </si>
  <si>
    <t>ZMB</t>
  </si>
  <si>
    <t>ZM</t>
  </si>
  <si>
    <t>894</t>
  </si>
  <si>
    <t>ZAMBIA</t>
  </si>
  <si>
    <t>Zambia</t>
  </si>
  <si>
    <t>Republic of Zambia</t>
  </si>
  <si>
    <t>ge:GENC:3:ed2:ZMB</t>
  </si>
  <si>
    <t>ZWE</t>
  </si>
  <si>
    <t>ZW</t>
  </si>
  <si>
    <t>716</t>
  </si>
  <si>
    <t>ZIMBABWE</t>
  </si>
  <si>
    <t>Zimbabwe</t>
  </si>
  <si>
    <t>Republic of Zimbabwe</t>
  </si>
  <si>
    <t>ge:GENC:3:ed2:ZWE</t>
  </si>
  <si>
    <t>(31 March 2014)   GENC Standard Administrative Subdivisions, Edition 2.0</t>
  </si>
  <si>
    <t>http://api.nsgreg.nga.mil/geo-division/GENC/6/ed2</t>
  </si>
  <si>
    <t>urn:us:gov:dod:nga:def:geo-division:GENC:6:ed2</t>
  </si>
  <si>
    <t>AF-BDS</t>
  </si>
  <si>
    <t>Badakhshān</t>
  </si>
  <si>
    <t>province</t>
  </si>
  <si>
    <t>as:ISO2:6:ed3:AF-BDS</t>
  </si>
  <si>
    <t>AF-BDG</t>
  </si>
  <si>
    <t>Bādghīs</t>
  </si>
  <si>
    <t>as:ISO2:6:ed3:AF-BDG</t>
  </si>
  <si>
    <t>AF-BGL</t>
  </si>
  <si>
    <t>Baghlān</t>
  </si>
  <si>
    <t>as:ISO2:6:ed3:AF-BGL</t>
  </si>
  <si>
    <t>AF-BAL</t>
  </si>
  <si>
    <t>Balkh</t>
  </si>
  <si>
    <t>as:ISO2:6:ed3:AF-BAL</t>
  </si>
  <si>
    <t>AF-BAM</t>
  </si>
  <si>
    <t>Bāmyān</t>
  </si>
  <si>
    <t>as:ISO2:6:ed3:AF-BAM</t>
  </si>
  <si>
    <t>AF-DAY</t>
  </si>
  <si>
    <t>Dāykundī</t>
  </si>
  <si>
    <t>as:ISO2:6:ed3:AF-DAY</t>
  </si>
  <si>
    <t>AF-FRA</t>
  </si>
  <si>
    <t>Farāh</t>
  </si>
  <si>
    <t>as:ISO2:6:ed3:AF-FRA</t>
  </si>
  <si>
    <t>AF-FYB</t>
  </si>
  <si>
    <t>Fāryāb</t>
  </si>
  <si>
    <t>as:ISO2:6:ed3:AF-FYB</t>
  </si>
  <si>
    <t>AF-GHA</t>
  </si>
  <si>
    <t>Ghaznī</t>
  </si>
  <si>
    <t>as:ISO2:6:ed3:AF-GHA</t>
  </si>
  <si>
    <t>AF-GHO</t>
  </si>
  <si>
    <t>Ghōr</t>
  </si>
  <si>
    <t>as:ISO2:6:ed3:AF-GHO</t>
  </si>
  <si>
    <t>AF-HEL</t>
  </si>
  <si>
    <t>Helmand</t>
  </si>
  <si>
    <t>as:ISO2:6:ed3:AF-HEL</t>
  </si>
  <si>
    <t>AF-HER</t>
  </si>
  <si>
    <t>Herāt</t>
  </si>
  <si>
    <t>as:ISO2:6:ed3:AF-HER</t>
  </si>
  <si>
    <t>AF-JOW</t>
  </si>
  <si>
    <t>Jowzjān</t>
  </si>
  <si>
    <t>as:ISO2:6:ed3:AF-JOW</t>
  </si>
  <si>
    <t>AF-KAB</t>
  </si>
  <si>
    <t>Kābul</t>
  </si>
  <si>
    <t>as:ISO2:6:ed3:AF-KAB</t>
  </si>
  <si>
    <t>AF-KAN</t>
  </si>
  <si>
    <t>Kandahār</t>
  </si>
  <si>
    <t>as:ISO2:6:ed3:AF-KAN</t>
  </si>
  <si>
    <t>AF-KAP</t>
  </si>
  <si>
    <t>Kāpīsā</t>
  </si>
  <si>
    <t>as:ISO2:6:ed3:AF-KAP</t>
  </si>
  <si>
    <t>AF-KHO</t>
  </si>
  <si>
    <t>Khōst</t>
  </si>
  <si>
    <t>as:ISO2:6:ed3:AF-KHO</t>
  </si>
  <si>
    <t>AF-KNR</t>
  </si>
  <si>
    <t>Kunaṟ</t>
  </si>
  <si>
    <t>as:GENC:6:ed2:AF-KNR</t>
  </si>
  <si>
    <t>AF-KDZ</t>
  </si>
  <si>
    <t>Kunduz</t>
  </si>
  <si>
    <t>as:ISO2:6:ed3:AF-KDZ</t>
  </si>
  <si>
    <t>AF-LAG</t>
  </si>
  <si>
    <t>Laghmān</t>
  </si>
  <si>
    <t>as:ISO2:6:ed3:AF-LAG</t>
  </si>
  <si>
    <t>AF-LOG</t>
  </si>
  <si>
    <t>Lōgar</t>
  </si>
  <si>
    <t>as:ISO2:6:ed3:AF-LOG</t>
  </si>
  <si>
    <t>AF-NAN</t>
  </si>
  <si>
    <t>Nangarhār</t>
  </si>
  <si>
    <t>as:ISO2:6:ed3:AF-NAN</t>
  </si>
  <si>
    <t>AF-NIM</t>
  </si>
  <si>
    <t>Nīmrōz</t>
  </si>
  <si>
    <t>as:ISO2:6:ed3:AF-NIM</t>
  </si>
  <si>
    <t>AF-NUR</t>
  </si>
  <si>
    <t>Nūristān</t>
  </si>
  <si>
    <t>as:ISO2:6:ed3:AF-NUR</t>
  </si>
  <si>
    <t>AF-PKA</t>
  </si>
  <si>
    <t>Paktīkā</t>
  </si>
  <si>
    <t>as:ISO2:6:ed3:AF-PKA</t>
  </si>
  <si>
    <t>AF-PIA</t>
  </si>
  <si>
    <t>Paktiyā</t>
  </si>
  <si>
    <t>as:GENC:6:ed2:AF-PIA</t>
  </si>
  <si>
    <t>AF-PAN</t>
  </si>
  <si>
    <t>Panjshir</t>
  </si>
  <si>
    <t>as:GENC:6:ed2:AF-PAN</t>
  </si>
  <si>
    <t>AF-PAR</t>
  </si>
  <si>
    <t>Parwān</t>
  </si>
  <si>
    <t>as:ISO2:6:ed3:AF-PAR</t>
  </si>
  <si>
    <t>AF-SAM</t>
  </si>
  <si>
    <t>Samangān</t>
  </si>
  <si>
    <t>as:ISO2:6:ed3:AF-SAM</t>
  </si>
  <si>
    <t>AF-SAR</t>
  </si>
  <si>
    <t>Sar-e Pul</t>
  </si>
  <si>
    <t>as:ISO2:6:ed3:AF-SAR</t>
  </si>
  <si>
    <t>AF-TAK</t>
  </si>
  <si>
    <t>Takhār</t>
  </si>
  <si>
    <t>as:ISO2:6:ed3:AF-TAK</t>
  </si>
  <si>
    <t>AF-URU</t>
  </si>
  <si>
    <t>Uruzgān</t>
  </si>
  <si>
    <t>as:ISO2:6:ed3:AF-URU</t>
  </si>
  <si>
    <t>AF-WAR</t>
  </si>
  <si>
    <t>Wardak</t>
  </si>
  <si>
    <t>as:ISO2:6:ed3:AF-WAR</t>
  </si>
  <si>
    <t>AF-ZAB</t>
  </si>
  <si>
    <t>Zābul</t>
  </si>
  <si>
    <t>as:ISO2:6:ed3:AF-ZAB</t>
  </si>
  <si>
    <t>AL-01</t>
  </si>
  <si>
    <t>Berat</t>
  </si>
  <si>
    <t>county</t>
  </si>
  <si>
    <t>as:ISO2:6:ed3:AL-01</t>
  </si>
  <si>
    <t>AL-BR</t>
  </si>
  <si>
    <t>district</t>
  </si>
  <si>
    <t>as:ISO2:6:ed3:AL-BR</t>
  </si>
  <si>
    <t>AL-BU</t>
  </si>
  <si>
    <t>Bulqizë</t>
  </si>
  <si>
    <t>as:ISO2:6:ed3:AL-BU</t>
  </si>
  <si>
    <t>AL-DL</t>
  </si>
  <si>
    <t>Delvinë</t>
  </si>
  <si>
    <t>as:ISO2:6:ed3:AL-DL</t>
  </si>
  <si>
    <t>AL-DV</t>
  </si>
  <si>
    <t>Devoll</t>
  </si>
  <si>
    <t>as:ISO2:6:ed3:AL-DV</t>
  </si>
  <si>
    <t>AL-09</t>
  </si>
  <si>
    <t>Dibër</t>
  </si>
  <si>
    <t>as:ISO2:6:ed3:AL-09</t>
  </si>
  <si>
    <t>AL-DI</t>
  </si>
  <si>
    <t>as:ISO2:6:ed3:AL-DI</t>
  </si>
  <si>
    <t>AL-02</t>
  </si>
  <si>
    <t>Durrës</t>
  </si>
  <si>
    <t>as:ISO2:6:ed3:AL-02</t>
  </si>
  <si>
    <t>AL-DR</t>
  </si>
  <si>
    <t>as:ISO2:6:ed3:AL-DR</t>
  </si>
  <si>
    <t>AL-03</t>
  </si>
  <si>
    <t>Elbasan</t>
  </si>
  <si>
    <t>as:ISO2:6:ed3:AL-03</t>
  </si>
  <si>
    <t>AL-EL</t>
  </si>
  <si>
    <t>as:ISO2:6:ed3:AL-EL</t>
  </si>
  <si>
    <t>AL-04</t>
  </si>
  <si>
    <t>Fier</t>
  </si>
  <si>
    <t>as:ISO2:6:ed3:AL-04</t>
  </si>
  <si>
    <t>AL-FR</t>
  </si>
  <si>
    <t>as:ISO2:6:ed3:AL-FR</t>
  </si>
  <si>
    <t>AL-05</t>
  </si>
  <si>
    <t>Gjirokastër</t>
  </si>
  <si>
    <t>as:ISO2:6:ed3:AL-05</t>
  </si>
  <si>
    <t>AL-GJ</t>
  </si>
  <si>
    <t>as:ISO2:6:ed3:AL-GJ</t>
  </si>
  <si>
    <t>AL-GR</t>
  </si>
  <si>
    <t>Gramsh</t>
  </si>
  <si>
    <t>as:ISO2:6:ed3:AL-GR</t>
  </si>
  <si>
    <t>AL-HA</t>
  </si>
  <si>
    <t>Has</t>
  </si>
  <si>
    <t>as:ISO2:6:ed3:AL-HA</t>
  </si>
  <si>
    <t>AL-KA</t>
  </si>
  <si>
    <t>Kavajë</t>
  </si>
  <si>
    <t>as:ISO2:6:ed3:AL-KA</t>
  </si>
  <si>
    <t>AL-ER</t>
  </si>
  <si>
    <t>Kolonjë</t>
  </si>
  <si>
    <t>as:ISO2:6:ed3:AL-ER</t>
  </si>
  <si>
    <t>AL-06</t>
  </si>
  <si>
    <t>Korçë</t>
  </si>
  <si>
    <t>as:ISO2:6:ed3:AL-06</t>
  </si>
  <si>
    <t>AL-KO</t>
  </si>
  <si>
    <t>as:ISO2:6:ed3:AL-KO</t>
  </si>
  <si>
    <t>AL-KR</t>
  </si>
  <si>
    <t>Krujë</t>
  </si>
  <si>
    <t>as:ISO2:6:ed3:AL-KR</t>
  </si>
  <si>
    <t>AL-KC</t>
  </si>
  <si>
    <t>Kuçovë</t>
  </si>
  <si>
    <t>as:ISO2:6:ed3:AL-KC</t>
  </si>
  <si>
    <t>AL-07</t>
  </si>
  <si>
    <t>Kukës</t>
  </si>
  <si>
    <t>as:ISO2:6:ed3:AL-07</t>
  </si>
  <si>
    <t>AL-KU</t>
  </si>
  <si>
    <t>as:ISO2:6:ed3:AL-KU</t>
  </si>
  <si>
    <t>AL-KB</t>
  </si>
  <si>
    <t>Kurbin</t>
  </si>
  <si>
    <t>as:ISO2:6:ed3:AL-KB</t>
  </si>
  <si>
    <t>AL-08</t>
  </si>
  <si>
    <t>Lezhë</t>
  </si>
  <si>
    <t>as:ISO2:6:ed3:AL-08</t>
  </si>
  <si>
    <t>AL-LE</t>
  </si>
  <si>
    <t>as:ISO2:6:ed3:AL-LE</t>
  </si>
  <si>
    <t>AL-LB</t>
  </si>
  <si>
    <t>Librazhd</t>
  </si>
  <si>
    <t>as:ISO2:6:ed3:AL-LB</t>
  </si>
  <si>
    <t>AL-LU</t>
  </si>
  <si>
    <t>Lushnjë</t>
  </si>
  <si>
    <t>as:ISO2:6:ed3:AL-LU</t>
  </si>
  <si>
    <t>AL-MM</t>
  </si>
  <si>
    <t>Malësi e Madhe</t>
  </si>
  <si>
    <t>as:ISO2:6:ed3:AL-MM</t>
  </si>
  <si>
    <t>AL-MK</t>
  </si>
  <si>
    <t>Mallakastër</t>
  </si>
  <si>
    <t>as:ISO2:6:ed3:AL-MK</t>
  </si>
  <si>
    <t>AL-MT</t>
  </si>
  <si>
    <t>Mat</t>
  </si>
  <si>
    <t>as:ISO2:6:ed3:AL-MT</t>
  </si>
  <si>
    <t>AL-MR</t>
  </si>
  <si>
    <t>Mirditë</t>
  </si>
  <si>
    <t>as:ISO2:6:ed3:AL-MR</t>
  </si>
  <si>
    <t>AL-PQ</t>
  </si>
  <si>
    <t>Peqin</t>
  </si>
  <si>
    <t>as:ISO2:6:ed3:AL-PQ</t>
  </si>
  <si>
    <t>AL-PR</t>
  </si>
  <si>
    <t>Përmet</t>
  </si>
  <si>
    <t>as:ISO2:6:ed3:AL-PR</t>
  </si>
  <si>
    <t>AL-PG</t>
  </si>
  <si>
    <t>Pogradec</t>
  </si>
  <si>
    <t>as:ISO2:6:ed3:AL-PG</t>
  </si>
  <si>
    <t>AL-PU</t>
  </si>
  <si>
    <t>Pukë</t>
  </si>
  <si>
    <t>as:ISO2:6:ed3:AL-PU</t>
  </si>
  <si>
    <t>AL-SR</t>
  </si>
  <si>
    <t>Sarandë</t>
  </si>
  <si>
    <t>as:ISO2:6:ed3:AL-SR</t>
  </si>
  <si>
    <t>AL-10</t>
  </si>
  <si>
    <t>Shkodër</t>
  </si>
  <si>
    <t>as:ISO2:6:ed3:AL-10</t>
  </si>
  <si>
    <t>AL-SH</t>
  </si>
  <si>
    <t>as:ISO2:6:ed3:AL-SH</t>
  </si>
  <si>
    <t>AL-SK</t>
  </si>
  <si>
    <t>Skrapar</t>
  </si>
  <si>
    <t>as:ISO2:6:ed3:AL-SK</t>
  </si>
  <si>
    <t>AL-TE</t>
  </si>
  <si>
    <t>Tepelenë</t>
  </si>
  <si>
    <t>as:ISO2:6:ed3:AL-TE</t>
  </si>
  <si>
    <t>AL-11</t>
  </si>
  <si>
    <t>Tiranë</t>
  </si>
  <si>
    <t>as:ISO2:6:ed3:AL-11</t>
  </si>
  <si>
    <t>AL-TR</t>
  </si>
  <si>
    <t>as:ISO2:6:ed3:AL-TR</t>
  </si>
  <si>
    <t>AL-TP</t>
  </si>
  <si>
    <t>Tropojë</t>
  </si>
  <si>
    <t>as:ISO2:6:ed3:AL-TP</t>
  </si>
  <si>
    <t>AL-12</t>
  </si>
  <si>
    <t>Vlorë</t>
  </si>
  <si>
    <t>as:ISO2:6:ed3:AL-12</t>
  </si>
  <si>
    <t>AL-VL</t>
  </si>
  <si>
    <t>as:ISO2:6:ed3:AL-VL</t>
  </si>
  <si>
    <t>DZ-01</t>
  </si>
  <si>
    <t>Adrar</t>
  </si>
  <si>
    <t>as:ISO2:6:ed3:DZ-01</t>
  </si>
  <si>
    <t>DZ-44</t>
  </si>
  <si>
    <t>Aïn Defla</t>
  </si>
  <si>
    <t>as:ISO2:6:ed3:DZ-44</t>
  </si>
  <si>
    <t>DZ-46</t>
  </si>
  <si>
    <t>Aïn Temouchent</t>
  </si>
  <si>
    <t>as:GENC:6:ed2:DZ-46</t>
  </si>
  <si>
    <t>DZ-16</t>
  </si>
  <si>
    <t>Alger</t>
  </si>
  <si>
    <t>as:ISO2:6:ed3:DZ-16</t>
  </si>
  <si>
    <t>DZ-23</t>
  </si>
  <si>
    <t>Annaba</t>
  </si>
  <si>
    <t>as:ISO2:6:ed3:DZ-23</t>
  </si>
  <si>
    <t>DZ-05</t>
  </si>
  <si>
    <t>Batna</t>
  </si>
  <si>
    <t>as:ISO2:6:ed3:DZ-05</t>
  </si>
  <si>
    <t>DZ-08</t>
  </si>
  <si>
    <t>Béchar</t>
  </si>
  <si>
    <t>as:ISO2:6:ed3:DZ-08</t>
  </si>
  <si>
    <t>DZ-06</t>
  </si>
  <si>
    <t>Bejaïa</t>
  </si>
  <si>
    <t>as:GENC:6:ed2:DZ-06</t>
  </si>
  <si>
    <t>DZ-07</t>
  </si>
  <si>
    <t>Biskra</t>
  </si>
  <si>
    <t>as:ISO2:6:ed3:DZ-07</t>
  </si>
  <si>
    <t>DZ-09</t>
  </si>
  <si>
    <t>Blida</t>
  </si>
  <si>
    <t>as:ISO2:6:ed3:DZ-09</t>
  </si>
  <si>
    <t>DZ-34</t>
  </si>
  <si>
    <t>Bordj Bou Arréridj</t>
  </si>
  <si>
    <t>as:ISO2:6:ed3:DZ-34</t>
  </si>
  <si>
    <t>DZ-10</t>
  </si>
  <si>
    <t>Bouira</t>
  </si>
  <si>
    <t>as:ISO2:6:ed3:DZ-10</t>
  </si>
  <si>
    <t>DZ-35</t>
  </si>
  <si>
    <t>Boumerdes</t>
  </si>
  <si>
    <t>as:GENC:6:ed2:DZ-35</t>
  </si>
  <si>
    <t>DZ-02</t>
  </si>
  <si>
    <t>Chlef</t>
  </si>
  <si>
    <t>as:ISO2:6:ed3:DZ-02</t>
  </si>
  <si>
    <t>DZ-25</t>
  </si>
  <si>
    <t>Constantine</t>
  </si>
  <si>
    <t>as:ISO2:6:ed3:DZ-25</t>
  </si>
  <si>
    <t>DZ-17</t>
  </si>
  <si>
    <t>Djelfa</t>
  </si>
  <si>
    <t>as:ISO2:6:ed3:DZ-17</t>
  </si>
  <si>
    <t>DZ-32</t>
  </si>
  <si>
    <t>El Bayadh</t>
  </si>
  <si>
    <t>as:ISO2:6:ed3:DZ-32</t>
  </si>
  <si>
    <t>DZ-39</t>
  </si>
  <si>
    <t>El Oued</t>
  </si>
  <si>
    <t>as:ISO2:6:ed3:DZ-39</t>
  </si>
  <si>
    <t>DZ-36</t>
  </si>
  <si>
    <t>El Tarf</t>
  </si>
  <si>
    <t>as:ISO2:6:ed3:DZ-36</t>
  </si>
  <si>
    <t>DZ-47</t>
  </si>
  <si>
    <t>Ghardaïa</t>
  </si>
  <si>
    <t>as:ISO2:6:ed3:DZ-47</t>
  </si>
  <si>
    <t>DZ-24</t>
  </si>
  <si>
    <t>Guelma</t>
  </si>
  <si>
    <t>as:ISO2:6:ed3:DZ-24</t>
  </si>
  <si>
    <t>DZ-33</t>
  </si>
  <si>
    <t>Illizi</t>
  </si>
  <si>
    <t>as:ISO2:6:ed3:DZ-33</t>
  </si>
  <si>
    <t>DZ-18</t>
  </si>
  <si>
    <t>Jijel</t>
  </si>
  <si>
    <t>as:ISO2:6:ed3:DZ-18</t>
  </si>
  <si>
    <t>DZ-40</t>
  </si>
  <si>
    <t>Khenchela</t>
  </si>
  <si>
    <t>as:ISO2:6:ed3:DZ-40</t>
  </si>
  <si>
    <t>DZ-03</t>
  </si>
  <si>
    <t>Laghouat</t>
  </si>
  <si>
    <t>as:ISO2:6:ed3:DZ-03</t>
  </si>
  <si>
    <t>DZ-29</t>
  </si>
  <si>
    <t>Mascara</t>
  </si>
  <si>
    <t>as:ISO2:6:ed3:DZ-29</t>
  </si>
  <si>
    <t>DZ-26</t>
  </si>
  <si>
    <t>Médéa</t>
  </si>
  <si>
    <t>as:ISO2:6:ed3:DZ-26</t>
  </si>
  <si>
    <t>DZ-43</t>
  </si>
  <si>
    <t>Mila</t>
  </si>
  <si>
    <t>as:ISO2:6:ed3:DZ-43</t>
  </si>
  <si>
    <t>DZ-27</t>
  </si>
  <si>
    <t>Mostaganem</t>
  </si>
  <si>
    <t>as:ISO2:6:ed3:DZ-27</t>
  </si>
  <si>
    <t>DZ-28</t>
  </si>
  <si>
    <t>M’sila</t>
  </si>
  <si>
    <t>as:GENC:6:ed2:DZ-28</t>
  </si>
  <si>
    <t>DZ-45</t>
  </si>
  <si>
    <t>Naama</t>
  </si>
  <si>
    <t>as:ISO2:6:ed3:DZ-45</t>
  </si>
  <si>
    <t>DZ-31</t>
  </si>
  <si>
    <t>Oran</t>
  </si>
  <si>
    <t>as:ISO2:6:ed3:DZ-31</t>
  </si>
  <si>
    <t>DZ-30</t>
  </si>
  <si>
    <t>Ouargla</t>
  </si>
  <si>
    <t>as:ISO2:6:ed3:DZ-30</t>
  </si>
  <si>
    <t>DZ-04</t>
  </si>
  <si>
    <t>Oum el Bouaghi</t>
  </si>
  <si>
    <t>as:ISO2:6:ed3:DZ-04</t>
  </si>
  <si>
    <t>DZ-48</t>
  </si>
  <si>
    <t>Relizane</t>
  </si>
  <si>
    <t>as:ISO2:6:ed3:DZ-48</t>
  </si>
  <si>
    <t>DZ-20</t>
  </si>
  <si>
    <t>Saïda</t>
  </si>
  <si>
    <t>as:ISO2:6:ed3:DZ-20</t>
  </si>
  <si>
    <t>DZ-19</t>
  </si>
  <si>
    <t>Sétif</t>
  </si>
  <si>
    <t>as:ISO2:6:ed3:DZ-19</t>
  </si>
  <si>
    <t>DZ-22</t>
  </si>
  <si>
    <t>Sidi Bel Abbès</t>
  </si>
  <si>
    <t>as:ISO2:6:ed3:DZ-22</t>
  </si>
  <si>
    <t>DZ-21</t>
  </si>
  <si>
    <t>Skikda</t>
  </si>
  <si>
    <t>as:ISO2:6:ed3:DZ-21</t>
  </si>
  <si>
    <t>DZ-41</t>
  </si>
  <si>
    <t>Souk Ahras</t>
  </si>
  <si>
    <t>as:ISO2:6:ed3:DZ-41</t>
  </si>
  <si>
    <t>DZ-11</t>
  </si>
  <si>
    <t>Tamanrasset</t>
  </si>
  <si>
    <t>as:GENC:6:ed2:DZ-11</t>
  </si>
  <si>
    <t>DZ-12</t>
  </si>
  <si>
    <t>Tébessa</t>
  </si>
  <si>
    <t>as:ISO2:6:ed3:DZ-12</t>
  </si>
  <si>
    <t>DZ-14</t>
  </si>
  <si>
    <t>Tiaret</t>
  </si>
  <si>
    <t>as:ISO2:6:ed3:DZ-14</t>
  </si>
  <si>
    <t>DZ-37</t>
  </si>
  <si>
    <t>Tindouf</t>
  </si>
  <si>
    <t>as:ISO2:6:ed3:DZ-37</t>
  </si>
  <si>
    <t>DZ-42</t>
  </si>
  <si>
    <t>Tipaza</t>
  </si>
  <si>
    <t>as:ISO2:6:ed3:DZ-42</t>
  </si>
  <si>
    <t>DZ-38</t>
  </si>
  <si>
    <t>Tissemsilt</t>
  </si>
  <si>
    <t>as:ISO2:6:ed3:DZ-38</t>
  </si>
  <si>
    <t>DZ-15</t>
  </si>
  <si>
    <t>Tizi Ouzou</t>
  </si>
  <si>
    <t>as:ISO2:6:ed3:DZ-15</t>
  </si>
  <si>
    <t>DZ-13</t>
  </si>
  <si>
    <t>Tlemcen</t>
  </si>
  <si>
    <t>as:ISO2:6:ed3:DZ-13</t>
  </si>
  <si>
    <t>AD-07</t>
  </si>
  <si>
    <t>Andorra la Vella</t>
  </si>
  <si>
    <t>parish</t>
  </si>
  <si>
    <t>as:ISO2:6:ed3:AD-07</t>
  </si>
  <si>
    <t>AD-02</t>
  </si>
  <si>
    <t>Canillo</t>
  </si>
  <si>
    <t>as:ISO2:6:ed3:AD-02</t>
  </si>
  <si>
    <t>AD-03</t>
  </si>
  <si>
    <t>Encamp</t>
  </si>
  <si>
    <t>as:ISO2:6:ed3:AD-03</t>
  </si>
  <si>
    <t>AD-08</t>
  </si>
  <si>
    <t>Escaldes-Engordany</t>
  </si>
  <si>
    <t>as:ISO2:6:ed3:AD-08</t>
  </si>
  <si>
    <t>AD-04</t>
  </si>
  <si>
    <t>La Massana</t>
  </si>
  <si>
    <t>as:ISO2:6:ed3:AD-04</t>
  </si>
  <si>
    <t>AD-05</t>
  </si>
  <si>
    <t>Ordino</t>
  </si>
  <si>
    <t>as:ISO2:6:ed3:AD-05</t>
  </si>
  <si>
    <t>AD-06</t>
  </si>
  <si>
    <t>Sant Julià de Lòria</t>
  </si>
  <si>
    <t>as:ISO2:6:ed3:AD-06</t>
  </si>
  <si>
    <t>AO-BGO</t>
  </si>
  <si>
    <t>Bengo</t>
  </si>
  <si>
    <t>as:ISO2:6:ed3:AO-BGO</t>
  </si>
  <si>
    <t>AO-BGU</t>
  </si>
  <si>
    <t>Benguela</t>
  </si>
  <si>
    <t>as:ISO2:6:ed3:AO-BGU</t>
  </si>
  <si>
    <t>AO-BIE</t>
  </si>
  <si>
    <t>Bié</t>
  </si>
  <si>
    <t>as:ISO2:6:ed3:AO-BIE</t>
  </si>
  <si>
    <t>AO-CAB</t>
  </si>
  <si>
    <t>Cabinda</t>
  </si>
  <si>
    <t>as:ISO2:6:ed3:AO-CAB</t>
  </si>
  <si>
    <t>AO-CNN</t>
  </si>
  <si>
    <t>Cunene</t>
  </si>
  <si>
    <t>as:ISO2:6:ed3:AO-CNN</t>
  </si>
  <si>
    <t>AO-HUA</t>
  </si>
  <si>
    <t>Huambo</t>
  </si>
  <si>
    <t>as:ISO2:6:ed3:AO-HUA</t>
  </si>
  <si>
    <t>AO-HUI</t>
  </si>
  <si>
    <t>Huíla</t>
  </si>
  <si>
    <t>as:ISO2:6:ed3:AO-HUI</t>
  </si>
  <si>
    <t>AO-CCU</t>
  </si>
  <si>
    <t>Kuando Kubango</t>
  </si>
  <si>
    <t>as:GENC:6:ed2:AO-CCU</t>
  </si>
  <si>
    <t>AO-CNO</t>
  </si>
  <si>
    <t>Kwanza Norte</t>
  </si>
  <si>
    <t>as:GENC:6:ed2:AO-CNO</t>
  </si>
  <si>
    <t>AO-CUS</t>
  </si>
  <si>
    <t>Kwanza Sul</t>
  </si>
  <si>
    <t>as:GENC:6:ed2:AO-CUS</t>
  </si>
  <si>
    <t>AO-LUA</t>
  </si>
  <si>
    <t>Luanda</t>
  </si>
  <si>
    <t>as:ISO2:6:ed3:AO-LUA</t>
  </si>
  <si>
    <t>AO-LNO</t>
  </si>
  <si>
    <t>Lunda Norte</t>
  </si>
  <si>
    <t>as:ISO2:6:ed3:AO-LNO</t>
  </si>
  <si>
    <t>AO-LSU</t>
  </si>
  <si>
    <t>Lunda Sul</t>
  </si>
  <si>
    <t>as:ISO2:6:ed3:AO-LSU</t>
  </si>
  <si>
    <t>AO-MAL</t>
  </si>
  <si>
    <t>Malanje</t>
  </si>
  <si>
    <t>as:GENC:6:ed2:AO-MAL</t>
  </si>
  <si>
    <t>AO-MOX</t>
  </si>
  <si>
    <t>Moxico</t>
  </si>
  <si>
    <t>as:ISO2:6:ed3:AO-MOX</t>
  </si>
  <si>
    <t>AO-NAM</t>
  </si>
  <si>
    <t>Namibe</t>
  </si>
  <si>
    <t>as:ISO2:6:ed3:AO-NAM</t>
  </si>
  <si>
    <t>AO-UIG</t>
  </si>
  <si>
    <t>Uíge</t>
  </si>
  <si>
    <t>as:ISO2:6:ed3:AO-UIG</t>
  </si>
  <si>
    <t>AO-ZAI</t>
  </si>
  <si>
    <t>Zaire</t>
  </si>
  <si>
    <t>as:ISO2:6:ed3:AO-ZAI</t>
  </si>
  <si>
    <t>AG-10</t>
  </si>
  <si>
    <t>Barbuda</t>
  </si>
  <si>
    <t>dependency</t>
  </si>
  <si>
    <t>as:ISO2:6:ed3:AG-10</t>
  </si>
  <si>
    <t>AG-11</t>
  </si>
  <si>
    <t>Redonda</t>
  </si>
  <si>
    <t>as:ISO2:6:ed3:AG-11</t>
  </si>
  <si>
    <t>AG-03</t>
  </si>
  <si>
    <t>Saint George</t>
  </si>
  <si>
    <t>as:ISO2:6:ed3:AG-03</t>
  </si>
  <si>
    <t>AG-04</t>
  </si>
  <si>
    <t>Saint John</t>
  </si>
  <si>
    <t>as:GENC:6:ed2:AG-04</t>
  </si>
  <si>
    <t>AG-05</t>
  </si>
  <si>
    <t>Saint Mary</t>
  </si>
  <si>
    <t>as:ISO2:6:ed3:AG-05</t>
  </si>
  <si>
    <t>AG-06</t>
  </si>
  <si>
    <t>Saint Paul</t>
  </si>
  <si>
    <t>as:ISO2:6:ed3:AG-06</t>
  </si>
  <si>
    <t>AG-07</t>
  </si>
  <si>
    <t>Saint Peter</t>
  </si>
  <si>
    <t>as:ISO2:6:ed3:AG-07</t>
  </si>
  <si>
    <t>AG-08</t>
  </si>
  <si>
    <t>Saint Philip</t>
  </si>
  <si>
    <t>as:ISO2:6:ed3:AG-08</t>
  </si>
  <si>
    <t>AR-B</t>
  </si>
  <si>
    <t>Buenos Aires</t>
  </si>
  <si>
    <t>as:ISO2:6:ed3:AR-B</t>
  </si>
  <si>
    <t>AR-C</t>
  </si>
  <si>
    <t>Buenos Aires, Ciudad Autónoma de</t>
  </si>
  <si>
    <t>city</t>
  </si>
  <si>
    <t>as:GENC:6:ed2:AR-C</t>
  </si>
  <si>
    <t>AR-K</t>
  </si>
  <si>
    <t>Catamarca</t>
  </si>
  <si>
    <t>as:ISO2:6:ed3:AR-K</t>
  </si>
  <si>
    <t>AR-H</t>
  </si>
  <si>
    <t>Chaco</t>
  </si>
  <si>
    <t>as:ISO2:6:ed3:AR-H</t>
  </si>
  <si>
    <t>AR-U</t>
  </si>
  <si>
    <t>Chubut</t>
  </si>
  <si>
    <t>as:ISO2:6:ed3:AR-U</t>
  </si>
  <si>
    <t>AR-X</t>
  </si>
  <si>
    <t>Córdoba</t>
  </si>
  <si>
    <t>as:ISO2:6:ed3:AR-X</t>
  </si>
  <si>
    <t>AR-W</t>
  </si>
  <si>
    <t>Corrientes</t>
  </si>
  <si>
    <t>as:ISO2:6:ed3:AR-W</t>
  </si>
  <si>
    <t>AR-E</t>
  </si>
  <si>
    <t>Entre Ríos</t>
  </si>
  <si>
    <t>as:ISO2:6:ed3:AR-E</t>
  </si>
  <si>
    <t>AR-P</t>
  </si>
  <si>
    <t>Formosa</t>
  </si>
  <si>
    <t>as:ISO2:6:ed3:AR-P</t>
  </si>
  <si>
    <t>AR-Y</t>
  </si>
  <si>
    <t>Jujuy</t>
  </si>
  <si>
    <t>as:ISO2:6:ed3:AR-Y</t>
  </si>
  <si>
    <t>AR-L</t>
  </si>
  <si>
    <t>La Pampa</t>
  </si>
  <si>
    <t>as:ISO2:6:ed3:AR-L</t>
  </si>
  <si>
    <t>AR-F</t>
  </si>
  <si>
    <t>La Rioja</t>
  </si>
  <si>
    <t>as:ISO2:6:ed3:AR-F</t>
  </si>
  <si>
    <t>AR-M</t>
  </si>
  <si>
    <t>Mendoza</t>
  </si>
  <si>
    <t>as:ISO2:6:ed3:AR-M</t>
  </si>
  <si>
    <t>AR-N</t>
  </si>
  <si>
    <t>Misiones</t>
  </si>
  <si>
    <t>as:ISO2:6:ed3:AR-N</t>
  </si>
  <si>
    <t>AR-Q</t>
  </si>
  <si>
    <t>Neuquén</t>
  </si>
  <si>
    <t>as:ISO2:6:ed3:AR-Q</t>
  </si>
  <si>
    <t>AR-R</t>
  </si>
  <si>
    <t>Río Negro</t>
  </si>
  <si>
    <t>as:ISO2:6:ed3:AR-R</t>
  </si>
  <si>
    <t>AR-A</t>
  </si>
  <si>
    <t>Salta</t>
  </si>
  <si>
    <t>as:ISO2:6:ed3:AR-A</t>
  </si>
  <si>
    <t>AR-J</t>
  </si>
  <si>
    <t>San Juan</t>
  </si>
  <si>
    <t>as:ISO2:6:ed3:AR-J</t>
  </si>
  <si>
    <t>AR-D</t>
  </si>
  <si>
    <t>San Luis</t>
  </si>
  <si>
    <t>as:ISO2:6:ed3:AR-D</t>
  </si>
  <si>
    <t>AR-Z</t>
  </si>
  <si>
    <t>Santa Cruz</t>
  </si>
  <si>
    <t>as:ISO2:6:ed3:AR-Z</t>
  </si>
  <si>
    <t>AR-S</t>
  </si>
  <si>
    <t>Santa Fe</t>
  </si>
  <si>
    <t>as:ISO2:6:ed3:AR-S</t>
  </si>
  <si>
    <t>AR-G</t>
  </si>
  <si>
    <t>Santiago del Estero</t>
  </si>
  <si>
    <t>as:ISO2:6:ed3:AR-G</t>
  </si>
  <si>
    <t>AR-V</t>
  </si>
  <si>
    <t>Tierra del Fuego, Antártida e Islas del Atlántico Sur</t>
  </si>
  <si>
    <t>as:GENC:6:ed2:AR-V</t>
  </si>
  <si>
    <t>AR-T</t>
  </si>
  <si>
    <t>Tucumán</t>
  </si>
  <si>
    <t>as:ISO2:6:ed3:AR-T</t>
  </si>
  <si>
    <t>AM-AG</t>
  </si>
  <si>
    <t>Aragatsotn</t>
  </si>
  <si>
    <t>as:GENC:6:ed2:AM-AG</t>
  </si>
  <si>
    <t>AM-AR</t>
  </si>
  <si>
    <t>Ararat</t>
  </si>
  <si>
    <t>as:GENC:6:ed2:AM-AR</t>
  </si>
  <si>
    <t>AM-AV</t>
  </si>
  <si>
    <t>Armavir</t>
  </si>
  <si>
    <t>as:GENC:6:ed2:AM-AV</t>
  </si>
  <si>
    <t>AM-GR</t>
  </si>
  <si>
    <t>Geghark’unik’</t>
  </si>
  <si>
    <t>as:GENC:6:ed2:AM-GR</t>
  </si>
  <si>
    <t>AM-KT</t>
  </si>
  <si>
    <t>Kotayk’</t>
  </si>
  <si>
    <t>as:GENC:6:ed2:AM-KT</t>
  </si>
  <si>
    <t>AM-LO</t>
  </si>
  <si>
    <t>Lorri</t>
  </si>
  <si>
    <t>as:GENC:6:ed2:AM-LO</t>
  </si>
  <si>
    <t>AM-SH</t>
  </si>
  <si>
    <t>Shirak</t>
  </si>
  <si>
    <t>as:GENC:6:ed2:AM-SH</t>
  </si>
  <si>
    <t>AM-SU</t>
  </si>
  <si>
    <t>Syunik’</t>
  </si>
  <si>
    <t>as:GENC:6:ed2:AM-SU</t>
  </si>
  <si>
    <t>AM-TV</t>
  </si>
  <si>
    <t>Tavush</t>
  </si>
  <si>
    <t>as:GENC:6:ed2:AM-TV</t>
  </si>
  <si>
    <t>AM-VD</t>
  </si>
  <si>
    <t>Vayots’ Dzor</t>
  </si>
  <si>
    <t>as:GENC:6:ed2:AM-VD</t>
  </si>
  <si>
    <t>AM-ER</t>
  </si>
  <si>
    <t>Yerevan</t>
  </si>
  <si>
    <t>as:GENC:6:ed2:AM-ER</t>
  </si>
  <si>
    <t>AU-ACT</t>
  </si>
  <si>
    <t>Australian Capital Territory</t>
  </si>
  <si>
    <t>territory</t>
  </si>
  <si>
    <t>as:ISO2:6:ed3:AU-ACT</t>
  </si>
  <si>
    <t>AU-NSW</t>
  </si>
  <si>
    <t>New South Wales</t>
  </si>
  <si>
    <t>state</t>
  </si>
  <si>
    <t>as:ISO2:6:ed3:AU-NSW</t>
  </si>
  <si>
    <t>AU-NT</t>
  </si>
  <si>
    <t>Northern Territory</t>
  </si>
  <si>
    <t>as:ISO2:6:ed3:AU-NT</t>
  </si>
  <si>
    <t>AU-QLD</t>
  </si>
  <si>
    <t>Queensland</t>
  </si>
  <si>
    <t>as:ISO2:6:ed3:AU-QLD</t>
  </si>
  <si>
    <t>AU-SA</t>
  </si>
  <si>
    <t>South Australia</t>
  </si>
  <si>
    <t>as:ISO2:6:ed3:AU-SA</t>
  </si>
  <si>
    <t>AU-TAS</t>
  </si>
  <si>
    <t>Tasmania</t>
  </si>
  <si>
    <t>as:ISO2:6:ed3:AU-TAS</t>
  </si>
  <si>
    <t>AU-VIC</t>
  </si>
  <si>
    <t>Victoria</t>
  </si>
  <si>
    <t>as:ISO2:6:ed3:AU-VIC</t>
  </si>
  <si>
    <t>AU-WA</t>
  </si>
  <si>
    <t>Western Australia</t>
  </si>
  <si>
    <t>as:ISO2:6:ed3:AU-WA</t>
  </si>
  <si>
    <t>AT-1</t>
  </si>
  <si>
    <t>Burgenland</t>
  </si>
  <si>
    <t>as:GENC:6:ed2:AT-1</t>
  </si>
  <si>
    <t>AT-2</t>
  </si>
  <si>
    <t>Kärnten</t>
  </si>
  <si>
    <t>as:GENC:6:ed2:AT-2</t>
  </si>
  <si>
    <t>AT-3</t>
  </si>
  <si>
    <t>Niederösterreich</t>
  </si>
  <si>
    <t>as:GENC:6:ed2:AT-3</t>
  </si>
  <si>
    <t>AT-4</t>
  </si>
  <si>
    <t>Oberösterreich</t>
  </si>
  <si>
    <t>as:GENC:6:ed2:AT-4</t>
  </si>
  <si>
    <t>AT-5</t>
  </si>
  <si>
    <t>Salzburg</t>
  </si>
  <si>
    <t>as:GENC:6:ed2:AT-5</t>
  </si>
  <si>
    <t>AT-6</t>
  </si>
  <si>
    <t>Steiermark</t>
  </si>
  <si>
    <t>as:GENC:6:ed2:AT-6</t>
  </si>
  <si>
    <t>AT-7</t>
  </si>
  <si>
    <t>Tirol</t>
  </si>
  <si>
    <t>as:GENC:6:ed2:AT-7</t>
  </si>
  <si>
    <t>AT-8</t>
  </si>
  <si>
    <t>Vorarlberg</t>
  </si>
  <si>
    <t>as:GENC:6:ed2:AT-8</t>
  </si>
  <si>
    <t>AT-9</t>
  </si>
  <si>
    <t>Wien</t>
  </si>
  <si>
    <t>as:GENC:6:ed2:AT-9</t>
  </si>
  <si>
    <t>AZ-ABS</t>
  </si>
  <si>
    <t>Abşeron</t>
  </si>
  <si>
    <t>as:GENC:6:ed2:AZ-ABS</t>
  </si>
  <si>
    <t>AZ-AGC</t>
  </si>
  <si>
    <t>Ağcabədi</t>
  </si>
  <si>
    <t>as:GENC:6:ed2:AZ-AGC</t>
  </si>
  <si>
    <t>AZ-AGM</t>
  </si>
  <si>
    <t>Ağdam</t>
  </si>
  <si>
    <t>as:GENC:6:ed2:AZ-AGM</t>
  </si>
  <si>
    <t>AZ-AGS</t>
  </si>
  <si>
    <t>Ağdaş</t>
  </si>
  <si>
    <t>as:GENC:6:ed2:AZ-AGS</t>
  </si>
  <si>
    <t>AZ-AGA</t>
  </si>
  <si>
    <t>Ağstafa</t>
  </si>
  <si>
    <t>as:GENC:6:ed2:AZ-AGA</t>
  </si>
  <si>
    <t>AZ-AGU</t>
  </si>
  <si>
    <t>Ağsu</t>
  </si>
  <si>
    <t>as:GENC:6:ed2:AZ-AGU</t>
  </si>
  <si>
    <t>AZ-AST</t>
  </si>
  <si>
    <t>Astara</t>
  </si>
  <si>
    <t>as:GENC:6:ed2:AZ-AST</t>
  </si>
  <si>
    <t>AZ-BAB</t>
  </si>
  <si>
    <t>Babək</t>
  </si>
  <si>
    <t>as:GENC:6:ed2:AZ-BAB</t>
  </si>
  <si>
    <t>AZ-BA</t>
  </si>
  <si>
    <t>Bakı</t>
  </si>
  <si>
    <t>as:GENC:6:ed2:AZ-BA</t>
  </si>
  <si>
    <t>AZ-BAL</t>
  </si>
  <si>
    <t>Balakən</t>
  </si>
  <si>
    <t>as:GENC:6:ed2:AZ-BAL</t>
  </si>
  <si>
    <t>AZ-BAR</t>
  </si>
  <si>
    <t>Bərdə</t>
  </si>
  <si>
    <t>as:GENC:6:ed2:AZ-BAR</t>
  </si>
  <si>
    <t>AZ-BEY</t>
  </si>
  <si>
    <t>Beyləqan</t>
  </si>
  <si>
    <t>as:GENC:6:ed2:AZ-BEY</t>
  </si>
  <si>
    <t>AZ-BIL</t>
  </si>
  <si>
    <t>Biləsuvar</t>
  </si>
  <si>
    <t>as:GENC:6:ed2:AZ-BIL</t>
  </si>
  <si>
    <t>AZ-CAB</t>
  </si>
  <si>
    <t>Cəbrayıl</t>
  </si>
  <si>
    <t>as:GENC:6:ed2:AZ-CAB</t>
  </si>
  <si>
    <t>AZ-CAL</t>
  </si>
  <si>
    <t>Cəlilabad</t>
  </si>
  <si>
    <t>as:GENC:6:ed2:AZ-CAL</t>
  </si>
  <si>
    <t>AZ-CUL</t>
  </si>
  <si>
    <t>Culfa</t>
  </si>
  <si>
    <t>as:GENC:6:ed2:AZ-CUL</t>
  </si>
  <si>
    <t>AZ-DAS</t>
  </si>
  <si>
    <t>Daşkəsən</t>
  </si>
  <si>
    <t>as:GENC:6:ed2:AZ-DAS</t>
  </si>
  <si>
    <t>AZ-FUZ</t>
  </si>
  <si>
    <t>Füzuli</t>
  </si>
  <si>
    <t>as:GENC:6:ed2:AZ-FUZ</t>
  </si>
  <si>
    <t>AZ-GAD</t>
  </si>
  <si>
    <t>Gədəbəy</t>
  </si>
  <si>
    <t>as:GENC:6:ed2:AZ-GAD</t>
  </si>
  <si>
    <t>AZ-GA</t>
  </si>
  <si>
    <t>Gəncə</t>
  </si>
  <si>
    <t>as:GENC:6:ed2:AZ-GA</t>
  </si>
  <si>
    <t>AZ-GOR</t>
  </si>
  <si>
    <t>Goranboy</t>
  </si>
  <si>
    <t>as:GENC:6:ed2:AZ-GOR</t>
  </si>
  <si>
    <t>AZ-GOY</t>
  </si>
  <si>
    <t>Göyçay</t>
  </si>
  <si>
    <t>as:GENC:6:ed2:AZ-GOY</t>
  </si>
  <si>
    <t>AZ-GYG</t>
  </si>
  <si>
    <t>Göygöl</t>
  </si>
  <si>
    <t>as:GENC:6:ed2:AZ-GYG</t>
  </si>
  <si>
    <t>AZ-HAC</t>
  </si>
  <si>
    <t>Hacıqabul</t>
  </si>
  <si>
    <t>as:GENC:6:ed2:AZ-HAC</t>
  </si>
  <si>
    <t>AZ-IMI</t>
  </si>
  <si>
    <t>İmişli</t>
  </si>
  <si>
    <t>as:GENC:6:ed2:AZ-IMI</t>
  </si>
  <si>
    <t>AZ-ISM</t>
  </si>
  <si>
    <t>İsmayıllı</t>
  </si>
  <si>
    <t>as:GENC:6:ed2:AZ-ISM</t>
  </si>
  <si>
    <t>AZ-KAL</t>
  </si>
  <si>
    <t>Kəlbəcər</t>
  </si>
  <si>
    <t>as:GENC:6:ed2:AZ-KAL</t>
  </si>
  <si>
    <t>AZ-KAN</t>
  </si>
  <si>
    <t>Kəngərli</t>
  </si>
  <si>
    <t>as:GENC:6:ed2:AZ-KAN</t>
  </si>
  <si>
    <t>AZ-KUR</t>
  </si>
  <si>
    <t>Kürdəmir</t>
  </si>
  <si>
    <t>as:GENC:6:ed2:AZ-KUR</t>
  </si>
  <si>
    <t>AZ-LAC</t>
  </si>
  <si>
    <t>Laçın</t>
  </si>
  <si>
    <t>as:GENC:6:ed2:AZ-LAC</t>
  </si>
  <si>
    <t>AZ-LA</t>
  </si>
  <si>
    <t>Lənkəran</t>
  </si>
  <si>
    <t>as:GENC:6:ed2:AZ-LA</t>
  </si>
  <si>
    <t>AZ-LAN</t>
  </si>
  <si>
    <t>as:GENC:6:ed2:AZ-LAN</t>
  </si>
  <si>
    <t>AZ-LER</t>
  </si>
  <si>
    <t>Lerik</t>
  </si>
  <si>
    <t>as:GENC:6:ed2:AZ-LER</t>
  </si>
  <si>
    <t>AZ-MAS</t>
  </si>
  <si>
    <t>Masallı</t>
  </si>
  <si>
    <t>as:GENC:6:ed2:AZ-MAS</t>
  </si>
  <si>
    <t>AZ-MI</t>
  </si>
  <si>
    <t>Mingəçevir</t>
  </si>
  <si>
    <t>as:GENC:6:ed2:AZ-MI</t>
  </si>
  <si>
    <t>AZ-NA</t>
  </si>
  <si>
    <t>Naftalan</t>
  </si>
  <si>
    <t>as:GENC:6:ed2:AZ-NA</t>
  </si>
  <si>
    <t>AZ-NX</t>
  </si>
  <si>
    <t>Naxçıvan</t>
  </si>
  <si>
    <t>autonomous republic</t>
  </si>
  <si>
    <t>as:GENC:6:ed2:AZ-NX</t>
  </si>
  <si>
    <t>AZ-NV</t>
  </si>
  <si>
    <t>as:GENC:6:ed2:AZ-NV</t>
  </si>
  <si>
    <t>AZ-NEF</t>
  </si>
  <si>
    <t>Neftçala</t>
  </si>
  <si>
    <t>as:GENC:6:ed2:AZ-NEF</t>
  </si>
  <si>
    <t>AZ-OGU</t>
  </si>
  <si>
    <t>Oğuz</t>
  </si>
  <si>
    <t>as:GENC:6:ed2:AZ-OGU</t>
  </si>
  <si>
    <t>AZ-ORD</t>
  </si>
  <si>
    <t>Ordubad</t>
  </si>
  <si>
    <t>as:GENC:6:ed2:AZ-ORD</t>
  </si>
  <si>
    <t>AZ-QAB</t>
  </si>
  <si>
    <t>Qəbələ</t>
  </si>
  <si>
    <t>as:GENC:6:ed2:AZ-QAB</t>
  </si>
  <si>
    <t>AZ-QAX</t>
  </si>
  <si>
    <t>Qax</t>
  </si>
  <si>
    <t>as:GENC:6:ed2:AZ-QAX</t>
  </si>
  <si>
    <t>AZ-QAZ</t>
  </si>
  <si>
    <t>Qazax</t>
  </si>
  <si>
    <t>as:GENC:6:ed2:AZ-QAZ</t>
  </si>
  <si>
    <t>AZ-QOB</t>
  </si>
  <si>
    <t>Qobustan</t>
  </si>
  <si>
    <t>as:GENC:6:ed2:AZ-QOB</t>
  </si>
  <si>
    <t>AZ-QBA</t>
  </si>
  <si>
    <t>Quba</t>
  </si>
  <si>
    <t>as:GENC:6:ed2:AZ-QBA</t>
  </si>
  <si>
    <t>AZ-QBI</t>
  </si>
  <si>
    <t>Qubadlı</t>
  </si>
  <si>
    <t>as:GENC:6:ed2:AZ-QBI</t>
  </si>
  <si>
    <t>AZ-QUS</t>
  </si>
  <si>
    <t>Qusar</t>
  </si>
  <si>
    <t>as:GENC:6:ed2:AZ-QUS</t>
  </si>
  <si>
    <t>AZ-SAT</t>
  </si>
  <si>
    <t>Saatlı</t>
  </si>
  <si>
    <t>as:GENC:6:ed2:AZ-SAT</t>
  </si>
  <si>
    <t>AZ-SAB</t>
  </si>
  <si>
    <t>Sabirabad</t>
  </si>
  <si>
    <t>as:GENC:6:ed2:AZ-SAB</t>
  </si>
  <si>
    <t>AZ-SBN</t>
  </si>
  <si>
    <t>Şabran</t>
  </si>
  <si>
    <t>as:GENC:6:ed2:AZ-SBN</t>
  </si>
  <si>
    <t>AZ-SAD</t>
  </si>
  <si>
    <t>Sədərək</t>
  </si>
  <si>
    <t>as:GENC:6:ed2:AZ-SAD</t>
  </si>
  <si>
    <t>AZ-SAH</t>
  </si>
  <si>
    <t>Şahbuz</t>
  </si>
  <si>
    <t>as:GENC:6:ed2:AZ-SAH</t>
  </si>
  <si>
    <t>AZ-SA</t>
  </si>
  <si>
    <t>Şəki</t>
  </si>
  <si>
    <t>as:GENC:6:ed2:AZ-SA</t>
  </si>
  <si>
    <t>AZ-SAK</t>
  </si>
  <si>
    <t>as:GENC:6:ed2:AZ-SAK</t>
  </si>
  <si>
    <t>AZ-SAL</t>
  </si>
  <si>
    <t>Salyan</t>
  </si>
  <si>
    <t>as:GENC:6:ed2:AZ-SAL</t>
  </si>
  <si>
    <t>AZ-SMI</t>
  </si>
  <si>
    <t>Şamaxı</t>
  </si>
  <si>
    <t>as:GENC:6:ed2:AZ-SMI</t>
  </si>
  <si>
    <t>AZ-SKR</t>
  </si>
  <si>
    <t>Şəmkir</t>
  </si>
  <si>
    <t>as:GENC:6:ed2:AZ-SKR</t>
  </si>
  <si>
    <t>AZ-SMX</t>
  </si>
  <si>
    <t>Samux</t>
  </si>
  <si>
    <t>as:GENC:6:ed2:AZ-SMX</t>
  </si>
  <si>
    <t>AZ-SAR</t>
  </si>
  <si>
    <t>Şərur</t>
  </si>
  <si>
    <t>as:GENC:6:ed2:AZ-SAR</t>
  </si>
  <si>
    <t>AZ-SR</t>
  </si>
  <si>
    <t>Şirvan</t>
  </si>
  <si>
    <t>as:GENC:6:ed2:AZ-SR</t>
  </si>
  <si>
    <t>AZ-SIY</t>
  </si>
  <si>
    <t>Siyəzən</t>
  </si>
  <si>
    <t>as:GENC:6:ed2:AZ-SIY</t>
  </si>
  <si>
    <t>AZ-SM</t>
  </si>
  <si>
    <t>Sumqayıt</t>
  </si>
  <si>
    <t>as:GENC:6:ed2:AZ-SM</t>
  </si>
  <si>
    <t>AZ-SUS</t>
  </si>
  <si>
    <t>Şuşa</t>
  </si>
  <si>
    <t>as:GENC:6:ed2:AZ-SUS</t>
  </si>
  <si>
    <t>AZ-TAR</t>
  </si>
  <si>
    <t>Tərtər</t>
  </si>
  <si>
    <t>as:GENC:6:ed2:AZ-TAR</t>
  </si>
  <si>
    <t>AZ-TOV</t>
  </si>
  <si>
    <t>Tovuz</t>
  </si>
  <si>
    <t>as:GENC:6:ed2:AZ-TOV</t>
  </si>
  <si>
    <t>AZ-UCA</t>
  </si>
  <si>
    <t>Ucar</t>
  </si>
  <si>
    <t>as:GENC:6:ed2:AZ-UCA</t>
  </si>
  <si>
    <t>AZ-XAC</t>
  </si>
  <si>
    <t>Xaçmaz</t>
  </si>
  <si>
    <t>as:GENC:6:ed2:AZ-XAC</t>
  </si>
  <si>
    <t>AZ-XA</t>
  </si>
  <si>
    <t>Xankəndi</t>
  </si>
  <si>
    <t>as:GENC:6:ed2:AZ-XA</t>
  </si>
  <si>
    <t>AZ-XIZ</t>
  </si>
  <si>
    <t>Xızı</t>
  </si>
  <si>
    <t>as:GENC:6:ed2:AZ-XIZ</t>
  </si>
  <si>
    <t>AZ-XCI</t>
  </si>
  <si>
    <t>Xocalı</t>
  </si>
  <si>
    <t>as:GENC:6:ed2:AZ-XCI</t>
  </si>
  <si>
    <t>AZ-XVD</t>
  </si>
  <si>
    <t>Xocavənd</t>
  </si>
  <si>
    <t>as:GENC:6:ed2:AZ-XVD</t>
  </si>
  <si>
    <t>AZ-YAR</t>
  </si>
  <si>
    <t>Yardımlı</t>
  </si>
  <si>
    <t>as:GENC:6:ed2:AZ-YAR</t>
  </si>
  <si>
    <t>AZ-YE</t>
  </si>
  <si>
    <t>Yevlax</t>
  </si>
  <si>
    <t>as:GENC:6:ed2:AZ-YE</t>
  </si>
  <si>
    <t>AZ-YEV</t>
  </si>
  <si>
    <t>as:GENC:6:ed2:AZ-YEV</t>
  </si>
  <si>
    <t>AZ-ZAN</t>
  </si>
  <si>
    <t>Zəngilan</t>
  </si>
  <si>
    <t>as:GENC:6:ed2:AZ-ZAN</t>
  </si>
  <si>
    <t>AZ-ZAQ</t>
  </si>
  <si>
    <t>Zaqatala</t>
  </si>
  <si>
    <t>as:GENC:6:ed2:AZ-ZAQ</t>
  </si>
  <si>
    <t>AZ-ZAR</t>
  </si>
  <si>
    <t>Zərdab</t>
  </si>
  <si>
    <t>as:GENC:6:ed2:AZ-ZAR</t>
  </si>
  <si>
    <t>BS-AK</t>
  </si>
  <si>
    <t>Acklins</t>
  </si>
  <si>
    <t>as:ISO2:6:ed3:BS-AK</t>
  </si>
  <si>
    <t>BS-BY</t>
  </si>
  <si>
    <t>Berry Islands</t>
  </si>
  <si>
    <t>as:ISO2:6:ed3:BS-BY</t>
  </si>
  <si>
    <t>BS-BI</t>
  </si>
  <si>
    <t>Bimini</t>
  </si>
  <si>
    <t>as:ISO2:6:ed3:BS-BI</t>
  </si>
  <si>
    <t>BS-BP</t>
  </si>
  <si>
    <t>Black Point</t>
  </si>
  <si>
    <t>as:ISO2:6:ed3:BS-BP</t>
  </si>
  <si>
    <t>BS-CI</t>
  </si>
  <si>
    <t>Cat Island</t>
  </si>
  <si>
    <t>as:ISO2:6:ed3:BS-CI</t>
  </si>
  <si>
    <t>BS-CO</t>
  </si>
  <si>
    <t>Central Abaco</t>
  </si>
  <si>
    <t>as:ISO2:6:ed3:BS-CO</t>
  </si>
  <si>
    <t>BS-CS</t>
  </si>
  <si>
    <t>Central Andros</t>
  </si>
  <si>
    <t>as:ISO2:6:ed3:BS-CS</t>
  </si>
  <si>
    <t>BS-CE</t>
  </si>
  <si>
    <t>Central Eleuthera</t>
  </si>
  <si>
    <t>as:ISO2:6:ed3:BS-CE</t>
  </si>
  <si>
    <t>BS-FP</t>
  </si>
  <si>
    <t>City of Freeport</t>
  </si>
  <si>
    <t>as:ISO2:6:ed3:BS-FP</t>
  </si>
  <si>
    <t>BS-CK</t>
  </si>
  <si>
    <t>Crooked Island and Long Cay</t>
  </si>
  <si>
    <t>as:ISO2:6:ed3:BS-CK</t>
  </si>
  <si>
    <t>BS-EG</t>
  </si>
  <si>
    <t>East Grand Bahama</t>
  </si>
  <si>
    <t>as:ISO2:6:ed3:BS-EG</t>
  </si>
  <si>
    <t>BS-EX</t>
  </si>
  <si>
    <t>Exuma</t>
  </si>
  <si>
    <t>as:ISO2:6:ed3:BS-EX</t>
  </si>
  <si>
    <t>BS-GC</t>
  </si>
  <si>
    <t>Grand Cay</t>
  </si>
  <si>
    <t>as:ISO2:6:ed3:BS-GC</t>
  </si>
  <si>
    <t>BS-HI</t>
  </si>
  <si>
    <t>Harbour Island</t>
  </si>
  <si>
    <t>as:ISO2:6:ed3:BS-HI</t>
  </si>
  <si>
    <t>BS-HT</t>
  </si>
  <si>
    <t>Hope Town</t>
  </si>
  <si>
    <t>as:ISO2:6:ed3:BS-HT</t>
  </si>
  <si>
    <t>BS-IN</t>
  </si>
  <si>
    <t>Inagua</t>
  </si>
  <si>
    <t>as:ISO2:6:ed3:BS-IN</t>
  </si>
  <si>
    <t>BS-LI</t>
  </si>
  <si>
    <t>Long Island</t>
  </si>
  <si>
    <t>as:ISO2:6:ed3:BS-LI</t>
  </si>
  <si>
    <t>BS-MC</t>
  </si>
  <si>
    <t>Mangrove Cay</t>
  </si>
  <si>
    <t>as:ISO2:6:ed3:BS-MC</t>
  </si>
  <si>
    <t>BS-MG</t>
  </si>
  <si>
    <t>Mayaguana</t>
  </si>
  <si>
    <t>as:ISO2:6:ed3:BS-MG</t>
  </si>
  <si>
    <t>BS-MI</t>
  </si>
  <si>
    <t>Moore’s Island</t>
  </si>
  <si>
    <t>as:ISO2:6:ed3:BS-MI</t>
  </si>
  <si>
    <t>BS-NO</t>
  </si>
  <si>
    <t>North Abaco</t>
  </si>
  <si>
    <t>as:ISO2:6:ed3:BS-NO</t>
  </si>
  <si>
    <t>BS-NS</t>
  </si>
  <si>
    <t>North Andros</t>
  </si>
  <si>
    <t>as:ISO2:6:ed3:BS-NS</t>
  </si>
  <si>
    <t>BS-NE</t>
  </si>
  <si>
    <t>North Eleuthera</t>
  </si>
  <si>
    <t>as:ISO2:6:ed3:BS-NE</t>
  </si>
  <si>
    <t>BS-RI</t>
  </si>
  <si>
    <t>Ragged Island</t>
  </si>
  <si>
    <t>as:ISO2:6:ed3:BS-RI</t>
  </si>
  <si>
    <t>BS-RC</t>
  </si>
  <si>
    <t>Rum Cay</t>
  </si>
  <si>
    <t>as:ISO2:6:ed3:BS-RC</t>
  </si>
  <si>
    <t>BS-SS</t>
  </si>
  <si>
    <t>San Salvador</t>
  </si>
  <si>
    <t>as:ISO2:6:ed3:BS-SS</t>
  </si>
  <si>
    <t>BS-SO</t>
  </si>
  <si>
    <t>South Abaco</t>
  </si>
  <si>
    <t>as:ISO2:6:ed3:BS-SO</t>
  </si>
  <si>
    <t>BS-SA</t>
  </si>
  <si>
    <t>South Andros</t>
  </si>
  <si>
    <t>as:ISO2:6:ed3:BS-SA</t>
  </si>
  <si>
    <t>BS-SE</t>
  </si>
  <si>
    <t>South Eleuthera</t>
  </si>
  <si>
    <t>as:ISO2:6:ed3:BS-SE</t>
  </si>
  <si>
    <t>BS-SW</t>
  </si>
  <si>
    <t>Spanish Wells</t>
  </si>
  <si>
    <t>as:ISO2:6:ed3:BS-SW</t>
  </si>
  <si>
    <t>BS-WG</t>
  </si>
  <si>
    <t>West Grand Bahama</t>
  </si>
  <si>
    <t>as:ISO2:6:ed3:BS-WG</t>
  </si>
  <si>
    <t>BH-13</t>
  </si>
  <si>
    <t>Al ‘Āşimah</t>
  </si>
  <si>
    <t>governorate</t>
  </si>
  <si>
    <t>as:GENC:6:ed2:BH-13</t>
  </si>
  <si>
    <t>BH-14</t>
  </si>
  <si>
    <t>Al Janūbīyah</t>
  </si>
  <si>
    <t>as:ISO2:6:ed3:BH-14</t>
  </si>
  <si>
    <t>BH-15</t>
  </si>
  <si>
    <t>Al Muḩarraq</t>
  </si>
  <si>
    <t>as:ISO2:6:ed3:BH-15</t>
  </si>
  <si>
    <t>BH-16</t>
  </si>
  <si>
    <t>Al Wusţá</t>
  </si>
  <si>
    <t>as:ISO2:6:ed3:BH-16</t>
  </si>
  <si>
    <t>BH-17</t>
  </si>
  <si>
    <t>Ash Shamālīyah</t>
  </si>
  <si>
    <t>as:ISO2:6:ed3:BH-17</t>
  </si>
  <si>
    <t>BD-05</t>
  </si>
  <si>
    <t>Bāgerhāt</t>
  </si>
  <si>
    <t>as:GENC:6:ed2:BD-05</t>
  </si>
  <si>
    <t>BD-01</t>
  </si>
  <si>
    <t>Bandarban</t>
  </si>
  <si>
    <t>as:ISO2:6:ed3:BD-01</t>
  </si>
  <si>
    <t>BD-02</t>
  </si>
  <si>
    <t>Barguna</t>
  </si>
  <si>
    <t>as:ISO2:6:ed3:BD-02</t>
  </si>
  <si>
    <t>BD-06</t>
  </si>
  <si>
    <t>Barisāl</t>
  </si>
  <si>
    <t>as:GENC:6:ed2:BD-06</t>
  </si>
  <si>
    <t>BD-A</t>
  </si>
  <si>
    <t>division</t>
  </si>
  <si>
    <t>as:GENC:6:ed2:BD-A</t>
  </si>
  <si>
    <t>BD-07</t>
  </si>
  <si>
    <t>Bhola</t>
  </si>
  <si>
    <t>as:ISO2:6:ed3:BD-07</t>
  </si>
  <si>
    <t>BD-03</t>
  </si>
  <si>
    <t>Bogra</t>
  </si>
  <si>
    <t>as:ISO2:6:ed3:BD-03</t>
  </si>
  <si>
    <t>BD-04</t>
  </si>
  <si>
    <t>Brāhmanbāria</t>
  </si>
  <si>
    <t>as:GENC:6:ed2:BD-04</t>
  </si>
  <si>
    <t>BD-09</t>
  </si>
  <si>
    <t>Chāndpur</t>
  </si>
  <si>
    <t>as:GENC:6:ed2:BD-09</t>
  </si>
  <si>
    <t>BD-45</t>
  </si>
  <si>
    <t>Chapai Nawābganj</t>
  </si>
  <si>
    <t>as:GENC:6:ed2:BD-45</t>
  </si>
  <si>
    <t>BD-10</t>
  </si>
  <si>
    <t>Chittagong</t>
  </si>
  <si>
    <t>as:ISO2:6:ed3:BD-10</t>
  </si>
  <si>
    <t>BD-B</t>
  </si>
  <si>
    <t>as:ISO2:6:ed3:BD-B</t>
  </si>
  <si>
    <t>BD-12</t>
  </si>
  <si>
    <t>Chuādānga</t>
  </si>
  <si>
    <t>as:GENC:6:ed2:BD-12</t>
  </si>
  <si>
    <t>BD-08</t>
  </si>
  <si>
    <t>Comilla</t>
  </si>
  <si>
    <t>as:ISO2:6:ed3:BD-08</t>
  </si>
  <si>
    <t>BD-11</t>
  </si>
  <si>
    <t>Cox’s Bāzār</t>
  </si>
  <si>
    <t>as:GENC:6:ed2:BD-11</t>
  </si>
  <si>
    <t>BD-13</t>
  </si>
  <si>
    <t>Dhaka</t>
  </si>
  <si>
    <t>as:ISO2:6:ed3:BD-13</t>
  </si>
  <si>
    <t>BD-C</t>
  </si>
  <si>
    <t>as:ISO2:6:ed3:BD-C</t>
  </si>
  <si>
    <t>BD-14</t>
  </si>
  <si>
    <t>Dinājpur</t>
  </si>
  <si>
    <t>as:GENC:6:ed2:BD-14</t>
  </si>
  <si>
    <t>BD-15</t>
  </si>
  <si>
    <t>Farīdpur</t>
  </si>
  <si>
    <t>as:GENC:6:ed2:BD-15</t>
  </si>
  <si>
    <t>BD-16</t>
  </si>
  <si>
    <t>Feni</t>
  </si>
  <si>
    <t>as:ISO2:6:ed3:BD-16</t>
  </si>
  <si>
    <t>BD-19</t>
  </si>
  <si>
    <t>Gaibandha</t>
  </si>
  <si>
    <t>as:ISO2:6:ed3:BD-19</t>
  </si>
  <si>
    <t>BD-18</t>
  </si>
  <si>
    <t>Gāzipur</t>
  </si>
  <si>
    <t>as:GENC:6:ed2:BD-18</t>
  </si>
  <si>
    <t>BD-17</t>
  </si>
  <si>
    <t>Gopālganj</t>
  </si>
  <si>
    <t>as:GENC:6:ed2:BD-17</t>
  </si>
  <si>
    <t>BD-20</t>
  </si>
  <si>
    <t>Habiganj</t>
  </si>
  <si>
    <t>as:ISO2:6:ed3:BD-20</t>
  </si>
  <si>
    <t>BD-24</t>
  </si>
  <si>
    <t>Jaipurhāt</t>
  </si>
  <si>
    <t>as:GENC:6:ed2:BD-24</t>
  </si>
  <si>
    <t>BD-21</t>
  </si>
  <si>
    <t>Jamālpur</t>
  </si>
  <si>
    <t>as:GENC:6:ed2:BD-21</t>
  </si>
  <si>
    <t>BD-22</t>
  </si>
  <si>
    <t>Jessore</t>
  </si>
  <si>
    <t>as:ISO2:6:ed3:BD-22</t>
  </si>
  <si>
    <t>BD-25</t>
  </si>
  <si>
    <t>Jhālakāti</t>
  </si>
  <si>
    <t>as:GENC:6:ed2:BD-25</t>
  </si>
  <si>
    <t>BD-23</t>
  </si>
  <si>
    <t>Jhenaidah</t>
  </si>
  <si>
    <t>as:ISO2:6:ed3:BD-23</t>
  </si>
  <si>
    <t>BD-29</t>
  </si>
  <si>
    <t>Khagrāchari</t>
  </si>
  <si>
    <t>as:GENC:6:ed2:BD-29</t>
  </si>
  <si>
    <t>BD-27</t>
  </si>
  <si>
    <t>Khulna</t>
  </si>
  <si>
    <t>as:ISO2:6:ed3:BD-27</t>
  </si>
  <si>
    <t>BD-D</t>
  </si>
  <si>
    <t>as:ISO2:6:ed3:BD-D</t>
  </si>
  <si>
    <t>BD-26</t>
  </si>
  <si>
    <t>Kishorganj</t>
  </si>
  <si>
    <t>as:GENC:6:ed2:BD-26</t>
  </si>
  <si>
    <t>BD-28</t>
  </si>
  <si>
    <t>Kurīgrām</t>
  </si>
  <si>
    <t>as:GENC:6:ed2:BD-28</t>
  </si>
  <si>
    <t>BD-30</t>
  </si>
  <si>
    <t>Kushtia</t>
  </si>
  <si>
    <t>as:ISO2:6:ed3:BD-30</t>
  </si>
  <si>
    <t>BD-31</t>
  </si>
  <si>
    <t>Lakshmipur</t>
  </si>
  <si>
    <t>as:ISO2:6:ed3:BD-31</t>
  </si>
  <si>
    <t>BD-32</t>
  </si>
  <si>
    <t>Lālmonirhāt</t>
  </si>
  <si>
    <t>as:GENC:6:ed2:BD-32</t>
  </si>
  <si>
    <t>BD-36</t>
  </si>
  <si>
    <t>Mādārīpur</t>
  </si>
  <si>
    <t>as:GENC:6:ed2:BD-36</t>
  </si>
  <si>
    <t>BD-37</t>
  </si>
  <si>
    <t>Māgura</t>
  </si>
  <si>
    <t>as:GENC:6:ed2:BD-37</t>
  </si>
  <si>
    <t>BD-33</t>
  </si>
  <si>
    <t>Mānikganj</t>
  </si>
  <si>
    <t>as:GENC:6:ed2:BD-33</t>
  </si>
  <si>
    <t>BD-39</t>
  </si>
  <si>
    <t>Meherpur</t>
  </si>
  <si>
    <t>as:ISO2:6:ed3:BD-39</t>
  </si>
  <si>
    <t>BD-38</t>
  </si>
  <si>
    <t>Moulvibāzār</t>
  </si>
  <si>
    <t>as:GENC:6:ed2:BD-38</t>
  </si>
  <si>
    <t>BD-35</t>
  </si>
  <si>
    <t>Munshiganj</t>
  </si>
  <si>
    <t>as:ISO2:6:ed3:BD-35</t>
  </si>
  <si>
    <t>BD-34</t>
  </si>
  <si>
    <t>Mymensingh</t>
  </si>
  <si>
    <t>as:ISO2:6:ed3:BD-34</t>
  </si>
  <si>
    <t>BD-48</t>
  </si>
  <si>
    <t>Naogaon</t>
  </si>
  <si>
    <t>as:ISO2:6:ed3:BD-48</t>
  </si>
  <si>
    <t>BD-43</t>
  </si>
  <si>
    <t>Narail</t>
  </si>
  <si>
    <t>as:ISO2:6:ed3:BD-43</t>
  </si>
  <si>
    <t>BD-40</t>
  </si>
  <si>
    <t>Nārāyanganj</t>
  </si>
  <si>
    <t>as:GENC:6:ed2:BD-40</t>
  </si>
  <si>
    <t>BD-42</t>
  </si>
  <si>
    <t>Narsingdi</t>
  </si>
  <si>
    <t>as:ISO2:6:ed3:BD-42</t>
  </si>
  <si>
    <t>BD-44</t>
  </si>
  <si>
    <t>Nator</t>
  </si>
  <si>
    <t>as:GENC:6:ed2:BD-44</t>
  </si>
  <si>
    <t>BD-41</t>
  </si>
  <si>
    <t>Netrakona</t>
  </si>
  <si>
    <t>as:ISO2:6:ed3:BD-41</t>
  </si>
  <si>
    <t>BD-46</t>
  </si>
  <si>
    <t>Nilphāmāri</t>
  </si>
  <si>
    <t>as:GENC:6:ed2:BD-46</t>
  </si>
  <si>
    <t>BD-47</t>
  </si>
  <si>
    <t>Noākhāli</t>
  </si>
  <si>
    <t>as:GENC:6:ed2:BD-47</t>
  </si>
  <si>
    <t>BD-49</t>
  </si>
  <si>
    <t>Pābna</t>
  </si>
  <si>
    <t>as:GENC:6:ed2:BD-49</t>
  </si>
  <si>
    <t>BD-52</t>
  </si>
  <si>
    <t>Panchāgarh</t>
  </si>
  <si>
    <t>as:GENC:6:ed2:BD-52</t>
  </si>
  <si>
    <t>BD-51</t>
  </si>
  <si>
    <t>Patuākhāli</t>
  </si>
  <si>
    <t>as:GENC:6:ed2:BD-51</t>
  </si>
  <si>
    <t>BD-50</t>
  </si>
  <si>
    <t>Pirojpur</t>
  </si>
  <si>
    <t>as:ISO2:6:ed3:BD-50</t>
  </si>
  <si>
    <t>BD-53</t>
  </si>
  <si>
    <t>Rājbāri</t>
  </si>
  <si>
    <t>as:GENC:6:ed2:BD-53</t>
  </si>
  <si>
    <t>BD-54</t>
  </si>
  <si>
    <t>Rājshāhi</t>
  </si>
  <si>
    <t>as:GENC:6:ed2:BD-54</t>
  </si>
  <si>
    <t>BD-E</t>
  </si>
  <si>
    <t>as:GENC:6:ed2:BD-E</t>
  </si>
  <si>
    <t>BD-56</t>
  </si>
  <si>
    <t>Rangamati</t>
  </si>
  <si>
    <t>as:ISO2:6:ed3:BD-56</t>
  </si>
  <si>
    <t>BD-55</t>
  </si>
  <si>
    <t>Rangpur</t>
  </si>
  <si>
    <t>as:ISO2:6:ed3:BD-55</t>
  </si>
  <si>
    <t>BD-F</t>
  </si>
  <si>
    <t>as:ISO2:6:ed3:BD-F</t>
  </si>
  <si>
    <t>BD-58</t>
  </si>
  <si>
    <t>Sātkhira</t>
  </si>
  <si>
    <t>as:GENC:6:ed2:BD-58</t>
  </si>
  <si>
    <t>BD-62</t>
  </si>
  <si>
    <t>Shariyatpur</t>
  </si>
  <si>
    <t>as:GENC:6:ed2:BD-62</t>
  </si>
  <si>
    <t>BD-57</t>
  </si>
  <si>
    <t>Sherpur</t>
  </si>
  <si>
    <t>as:ISO2:6:ed3:BD-57</t>
  </si>
  <si>
    <t>BD-59</t>
  </si>
  <si>
    <t>Sirājganj</t>
  </si>
  <si>
    <t>as:GENC:6:ed2:BD-59</t>
  </si>
  <si>
    <t>BD-61</t>
  </si>
  <si>
    <t>Sunāmganj</t>
  </si>
  <si>
    <t>as:GENC:6:ed2:BD-61</t>
  </si>
  <si>
    <t>BD-60</t>
  </si>
  <si>
    <t>Sylhet</t>
  </si>
  <si>
    <t>as:ISO2:6:ed3:BD-60</t>
  </si>
  <si>
    <t>BD-G</t>
  </si>
  <si>
    <t>as:ISO2:6:ed3:BD-G</t>
  </si>
  <si>
    <t>BD-63</t>
  </si>
  <si>
    <t>Tangail</t>
  </si>
  <si>
    <t>as:ISO2:6:ed3:BD-63</t>
  </si>
  <si>
    <t>BD-64</t>
  </si>
  <si>
    <t>Thākurgaon</t>
  </si>
  <si>
    <t>as:GENC:6:ed2:BD-64</t>
  </si>
  <si>
    <t>BB-01</t>
  </si>
  <si>
    <t>Christ Church</t>
  </si>
  <si>
    <t>as:ISO2:6:ed3:BB-01</t>
  </si>
  <si>
    <t>BB-02</t>
  </si>
  <si>
    <t>Saint Andrew</t>
  </si>
  <si>
    <t>as:ISO2:6:ed3:BB-02</t>
  </si>
  <si>
    <t>BB-03</t>
  </si>
  <si>
    <t>as:ISO2:6:ed3:BB-03</t>
  </si>
  <si>
    <t>BB-04</t>
  </si>
  <si>
    <t>Saint James</t>
  </si>
  <si>
    <t>as:ISO2:6:ed3:BB-04</t>
  </si>
  <si>
    <t>BB-05</t>
  </si>
  <si>
    <t>as:ISO2:6:ed3:BB-05</t>
  </si>
  <si>
    <t>BB-06</t>
  </si>
  <si>
    <t>Saint Joseph</t>
  </si>
  <si>
    <t>as:ISO2:6:ed3:BB-06</t>
  </si>
  <si>
    <t>BB-07</t>
  </si>
  <si>
    <t>Saint Lucy</t>
  </si>
  <si>
    <t>as:ISO2:6:ed3:BB-07</t>
  </si>
  <si>
    <t>BB-08</t>
  </si>
  <si>
    <t>Saint Michael</t>
  </si>
  <si>
    <t>as:ISO2:6:ed3:BB-08</t>
  </si>
  <si>
    <t>BB-09</t>
  </si>
  <si>
    <t>as:ISO2:6:ed3:BB-09</t>
  </si>
  <si>
    <t>BB-10</t>
  </si>
  <si>
    <t>as:ISO2:6:ed3:BB-10</t>
  </si>
  <si>
    <t>BB-11</t>
  </si>
  <si>
    <t>Saint Thomas</t>
  </si>
  <si>
    <t>as:ISO2:6:ed3:BB-11</t>
  </si>
  <si>
    <t>BY-BR</t>
  </si>
  <si>
    <t>Brestskaya Voblasts’</t>
  </si>
  <si>
    <t>region</t>
  </si>
  <si>
    <t>as:GENC:6:ed2:BY-BR</t>
  </si>
  <si>
    <t>BY-HO</t>
  </si>
  <si>
    <t>Homyel’skaya Voblasts’</t>
  </si>
  <si>
    <t>as:GENC:6:ed2:BY-HO</t>
  </si>
  <si>
    <t>BY-HR</t>
  </si>
  <si>
    <t>Hrodzyenskaya Voblasts’</t>
  </si>
  <si>
    <t>as:GENC:6:ed2:BY-HR</t>
  </si>
  <si>
    <t>BY-MA</t>
  </si>
  <si>
    <t>Mahilyowskaya Voblasts’</t>
  </si>
  <si>
    <t>as:GENC:6:ed2:BY-MA</t>
  </si>
  <si>
    <t>BY-HM</t>
  </si>
  <si>
    <t>Minsk</t>
  </si>
  <si>
    <t>as:GENC:6:ed2:BY-HM</t>
  </si>
  <si>
    <t>BY-MI</t>
  </si>
  <si>
    <t>Minskaya Voblasts’</t>
  </si>
  <si>
    <t>as:GENC:6:ed2:BY-MI</t>
  </si>
  <si>
    <t>BY-VI</t>
  </si>
  <si>
    <t>Vitsyebskaya Voblasts’</t>
  </si>
  <si>
    <t>as:GENC:6:ed2:BY-VI</t>
  </si>
  <si>
    <t>BE-VAN</t>
  </si>
  <si>
    <t>Antwerpen</t>
  </si>
  <si>
    <t>as:GENC:6:ed2:BE-VAN</t>
  </si>
  <si>
    <t>BE-WBR</t>
  </si>
  <si>
    <t>Brabant Wallon</t>
  </si>
  <si>
    <t>as:GENC:6:ed2:BE-WBR</t>
  </si>
  <si>
    <t>BE-BRU</t>
  </si>
  <si>
    <t>Brussels-Capital Region</t>
  </si>
  <si>
    <t>as:GENC:6:ed2:BE-BRU</t>
  </si>
  <si>
    <t>BE-VLG</t>
  </si>
  <si>
    <t>Flanders</t>
  </si>
  <si>
    <t>as:GENC:6:ed2:BE-VLG</t>
  </si>
  <si>
    <t>BE-WHT</t>
  </si>
  <si>
    <t>Hainaut</t>
  </si>
  <si>
    <t>as:GENC:6:ed2:BE-WHT</t>
  </si>
  <si>
    <t>BE-WLG</t>
  </si>
  <si>
    <t>Liège</t>
  </si>
  <si>
    <t>as:GENC:6:ed2:BE-WLG</t>
  </si>
  <si>
    <t>BE-VLI</t>
  </si>
  <si>
    <t>Limburg</t>
  </si>
  <si>
    <t>as:GENC:6:ed2:BE-VLI</t>
  </si>
  <si>
    <t>BE-WLX</t>
  </si>
  <si>
    <t>as:GENC:6:ed2:BE-WLX</t>
  </si>
  <si>
    <t>BE-WNA</t>
  </si>
  <si>
    <t>Namur</t>
  </si>
  <si>
    <t>as:GENC:6:ed2:BE-WNA</t>
  </si>
  <si>
    <t>BE-VOV</t>
  </si>
  <si>
    <t>Oost-Vlaanderen</t>
  </si>
  <si>
    <t>as:GENC:6:ed2:BE-VOV</t>
  </si>
  <si>
    <t>BE-VBR</t>
  </si>
  <si>
    <t>Vlaams Brabant</t>
  </si>
  <si>
    <t>as:GENC:6:ed2:BE-VBR</t>
  </si>
  <si>
    <t>BE-WAL</t>
  </si>
  <si>
    <t>Wallonia</t>
  </si>
  <si>
    <t>as:GENC:6:ed2:BE-WAL</t>
  </si>
  <si>
    <t>BE-VWV</t>
  </si>
  <si>
    <t>West-Vlaanderen</t>
  </si>
  <si>
    <t>as:GENC:6:ed2:BE-VWV</t>
  </si>
  <si>
    <t>BZ-BZ</t>
  </si>
  <si>
    <t>as:ISO2:6:ed3:BZ-BZ</t>
  </si>
  <si>
    <t>BZ-CY</t>
  </si>
  <si>
    <t>Cayo</t>
  </si>
  <si>
    <t>as:ISO2:6:ed3:BZ-CY</t>
  </si>
  <si>
    <t>BZ-CZL</t>
  </si>
  <si>
    <t>Corozal</t>
  </si>
  <si>
    <t>as:ISO2:6:ed3:BZ-CZL</t>
  </si>
  <si>
    <t>BZ-OW</t>
  </si>
  <si>
    <t>Orange Walk</t>
  </si>
  <si>
    <t>as:ISO2:6:ed3:BZ-OW</t>
  </si>
  <si>
    <t>BZ-SC</t>
  </si>
  <si>
    <t>Stann Creek</t>
  </si>
  <si>
    <t>as:ISO2:6:ed3:BZ-SC</t>
  </si>
  <si>
    <t>BZ-TOL</t>
  </si>
  <si>
    <t>Toledo</t>
  </si>
  <si>
    <t>as:ISO2:6:ed3:BZ-TOL</t>
  </si>
  <si>
    <t>BJ-AL</t>
  </si>
  <si>
    <t>Alibori</t>
  </si>
  <si>
    <t>department</t>
  </si>
  <si>
    <t>as:ISO2:6:ed3:BJ-AL</t>
  </si>
  <si>
    <t>BJ-AK</t>
  </si>
  <si>
    <t>Atakora</t>
  </si>
  <si>
    <t>as:ISO2:6:ed3:BJ-AK</t>
  </si>
  <si>
    <t>BJ-AQ</t>
  </si>
  <si>
    <t>Atlantique</t>
  </si>
  <si>
    <t>as:ISO2:6:ed3:BJ-AQ</t>
  </si>
  <si>
    <t>BJ-BO</t>
  </si>
  <si>
    <t>Borgou</t>
  </si>
  <si>
    <t>as:ISO2:6:ed3:BJ-BO</t>
  </si>
  <si>
    <t>BJ-CO</t>
  </si>
  <si>
    <t>Collines</t>
  </si>
  <si>
    <t>as:ISO2:6:ed3:BJ-CO</t>
  </si>
  <si>
    <t>BJ-DO</t>
  </si>
  <si>
    <t>Donga</t>
  </si>
  <si>
    <t>as:ISO2:6:ed3:BJ-DO</t>
  </si>
  <si>
    <t>BJ-KO</t>
  </si>
  <si>
    <t>Kouffo</t>
  </si>
  <si>
    <t>as:ISO2:6:ed3:BJ-KO</t>
  </si>
  <si>
    <t>BJ-LI</t>
  </si>
  <si>
    <t>Littoral</t>
  </si>
  <si>
    <t>as:ISO2:6:ed3:BJ-LI</t>
  </si>
  <si>
    <t>BJ-MO</t>
  </si>
  <si>
    <t>Mono</t>
  </si>
  <si>
    <t>as:ISO2:6:ed3:BJ-MO</t>
  </si>
  <si>
    <t>BJ-OU</t>
  </si>
  <si>
    <t>Ouémé</t>
  </si>
  <si>
    <t>as:ISO2:6:ed3:BJ-OU</t>
  </si>
  <si>
    <t>BJ-PL</t>
  </si>
  <si>
    <t>Plateau</t>
  </si>
  <si>
    <t>as:ISO2:6:ed3:BJ-PL</t>
  </si>
  <si>
    <t>BJ-ZO</t>
  </si>
  <si>
    <t>Zou</t>
  </si>
  <si>
    <t>as:ISO2:6:ed3:BJ-ZO</t>
  </si>
  <si>
    <t>BM-01</t>
  </si>
  <si>
    <t>Devonshire</t>
  </si>
  <si>
    <t>as:GENC:6:ed2:BM-01</t>
  </si>
  <si>
    <t>BM-03</t>
  </si>
  <si>
    <t>Hamilton</t>
  </si>
  <si>
    <t>municipality</t>
  </si>
  <si>
    <t>as:GENC:6:ed2:BM-03</t>
  </si>
  <si>
    <t>BM-02</t>
  </si>
  <si>
    <t>as:GENC:6:ed2:BM-02</t>
  </si>
  <si>
    <t>BM-04</t>
  </si>
  <si>
    <t>Paget</t>
  </si>
  <si>
    <t>as:GENC:6:ed2:BM-04</t>
  </si>
  <si>
    <t>BM-05</t>
  </si>
  <si>
    <t>Pembroke</t>
  </si>
  <si>
    <t>as:GENC:6:ed2:BM-05</t>
  </si>
  <si>
    <t>BM-06</t>
  </si>
  <si>
    <t>as:GENC:6:ed2:BM-06</t>
  </si>
  <si>
    <t>BM-07</t>
  </si>
  <si>
    <t>Saint George’s</t>
  </si>
  <si>
    <t>as:GENC:6:ed2:BM-07</t>
  </si>
  <si>
    <t>BM-08</t>
  </si>
  <si>
    <t>Sandys</t>
  </si>
  <si>
    <t>as:GENC:6:ed2:BM-08</t>
  </si>
  <si>
    <t>BM-09</t>
  </si>
  <si>
    <t>Smith’s</t>
  </si>
  <si>
    <t>as:GENC:6:ed2:BM-09</t>
  </si>
  <si>
    <t>BM-10</t>
  </si>
  <si>
    <t>Southampton</t>
  </si>
  <si>
    <t>as:GENC:6:ed2:BM-10</t>
  </si>
  <si>
    <t>BM-11</t>
  </si>
  <si>
    <t>Warwick</t>
  </si>
  <si>
    <t>as:GENC:6:ed2:BM-11</t>
  </si>
  <si>
    <t>BT-33</t>
  </si>
  <si>
    <t>Bumthang</t>
  </si>
  <si>
    <t>as:ISO2:6:ed3:BT-33</t>
  </si>
  <si>
    <t>BT-12</t>
  </si>
  <si>
    <t>Chhukha</t>
  </si>
  <si>
    <t>as:ISO2:6:ed3:BT-12</t>
  </si>
  <si>
    <t>BT-22</t>
  </si>
  <si>
    <t>Dagana</t>
  </si>
  <si>
    <t>as:ISO2:6:ed3:BT-22</t>
  </si>
  <si>
    <t>BT-GA</t>
  </si>
  <si>
    <t>Gasa</t>
  </si>
  <si>
    <t>as:ISO2:6:ed3:BT-GA</t>
  </si>
  <si>
    <t>BT-13</t>
  </si>
  <si>
    <t>Haa</t>
  </si>
  <si>
    <t>as:GENC:6:ed2:BT-13</t>
  </si>
  <si>
    <t>BT-44</t>
  </si>
  <si>
    <t>Lhuentse</t>
  </si>
  <si>
    <t>as:ISO2:6:ed3:BT-44</t>
  </si>
  <si>
    <t>BT-42</t>
  </si>
  <si>
    <t>Mongar</t>
  </si>
  <si>
    <t>as:GENC:6:ed2:BT-42</t>
  </si>
  <si>
    <t>BT-11</t>
  </si>
  <si>
    <t>Paro</t>
  </si>
  <si>
    <t>as:ISO2:6:ed3:BT-11</t>
  </si>
  <si>
    <t>BT-43</t>
  </si>
  <si>
    <t>Pemagatshel</t>
  </si>
  <si>
    <t>as:ISO2:6:ed3:BT-43</t>
  </si>
  <si>
    <t>BT-23</t>
  </si>
  <si>
    <t>Punakha</t>
  </si>
  <si>
    <t>as:ISO2:6:ed3:BT-23</t>
  </si>
  <si>
    <t>BT-45</t>
  </si>
  <si>
    <t>Samdrup Jongkhar</t>
  </si>
  <si>
    <t>as:GENC:6:ed2:BT-45</t>
  </si>
  <si>
    <t>BT-14</t>
  </si>
  <si>
    <t>Samtse</t>
  </si>
  <si>
    <t>as:ISO2:6:ed3:BT-14</t>
  </si>
  <si>
    <t>BT-31</t>
  </si>
  <si>
    <t>Sarpang</t>
  </si>
  <si>
    <t>as:ISO2:6:ed3:BT-31</t>
  </si>
  <si>
    <t>BT-15</t>
  </si>
  <si>
    <t>Thimphu</t>
  </si>
  <si>
    <t>as:ISO2:6:ed3:BT-15</t>
  </si>
  <si>
    <t>BT-41</t>
  </si>
  <si>
    <t>Trashigang</t>
  </si>
  <si>
    <t>as:ISO2:6:ed3:BT-41</t>
  </si>
  <si>
    <t>BT-TY</t>
  </si>
  <si>
    <t>Trashi Yangtse</t>
  </si>
  <si>
    <t>as:ISO2:6:ed3:BT-TY</t>
  </si>
  <si>
    <t>BT-32</t>
  </si>
  <si>
    <t>Trongsa</t>
  </si>
  <si>
    <t>as:ISO2:6:ed3:BT-32</t>
  </si>
  <si>
    <t>BT-21</t>
  </si>
  <si>
    <t>Tsirang</t>
  </si>
  <si>
    <t>as:ISO2:6:ed3:BT-21</t>
  </si>
  <si>
    <t>BT-24</t>
  </si>
  <si>
    <t>Wangdue Phodrang</t>
  </si>
  <si>
    <t>as:ISO2:6:ed3:BT-24</t>
  </si>
  <si>
    <t>BT-34</t>
  </si>
  <si>
    <t>Zhemgang</t>
  </si>
  <si>
    <t>as:ISO2:6:ed3:BT-34</t>
  </si>
  <si>
    <t>BO-H</t>
  </si>
  <si>
    <t>Chuquisaca</t>
  </si>
  <si>
    <t>as:ISO2:6:ed3:BO-H</t>
  </si>
  <si>
    <t>BO-C</t>
  </si>
  <si>
    <t>Cochabamba</t>
  </si>
  <si>
    <t>as:ISO2:6:ed3:BO-C</t>
  </si>
  <si>
    <t>BO-B</t>
  </si>
  <si>
    <t>El Beni</t>
  </si>
  <si>
    <t>as:ISO2:6:ed3:BO-B</t>
  </si>
  <si>
    <t>BO-L</t>
  </si>
  <si>
    <t>La Paz</t>
  </si>
  <si>
    <t>as:ISO2:6:ed3:BO-L</t>
  </si>
  <si>
    <t>BO-O</t>
  </si>
  <si>
    <t>Oruro</t>
  </si>
  <si>
    <t>as:ISO2:6:ed3:BO-O</t>
  </si>
  <si>
    <t>BO-N</t>
  </si>
  <si>
    <t>Pando</t>
  </si>
  <si>
    <t>as:ISO2:6:ed3:BO-N</t>
  </si>
  <si>
    <t>BO-P</t>
  </si>
  <si>
    <t>Potosí</t>
  </si>
  <si>
    <t>as:ISO2:6:ed3:BO-P</t>
  </si>
  <si>
    <t>BO-S</t>
  </si>
  <si>
    <t>as:ISO2:6:ed3:BO-S</t>
  </si>
  <si>
    <t>BO-T</t>
  </si>
  <si>
    <t>Tarija</t>
  </si>
  <si>
    <t>as:ISO2:6:ed3:BO-T</t>
  </si>
  <si>
    <t>BQ-BO</t>
  </si>
  <si>
    <t>Bonaire</t>
  </si>
  <si>
    <t>special municipality</t>
  </si>
  <si>
    <t>as:GENC:6:ed2:BQ-BO</t>
  </si>
  <si>
    <t>BQ-SA</t>
  </si>
  <si>
    <t>Saba</t>
  </si>
  <si>
    <t>as:GENC:6:ed2:BQ-SA</t>
  </si>
  <si>
    <t>BQ-SE</t>
  </si>
  <si>
    <t>Sint Eustatius</t>
  </si>
  <si>
    <t>as:GENC:6:ed2:BQ-SE</t>
  </si>
  <si>
    <t>BA-05</t>
  </si>
  <si>
    <t>Bosansko-Podrinjski Kanton</t>
  </si>
  <si>
    <t>canton</t>
  </si>
  <si>
    <t>as:GENC:6:ed2:BA-05</t>
  </si>
  <si>
    <t>BA-BIH</t>
  </si>
  <si>
    <t>Bosnia and Herzegovina, Federation of</t>
  </si>
  <si>
    <t>federation</t>
  </si>
  <si>
    <t>as:GENC:6:ed2:BA-BIH</t>
  </si>
  <si>
    <t>BA-BRC</t>
  </si>
  <si>
    <t>Brcko District</t>
  </si>
  <si>
    <t>as:GENC:6:ed2:BA-BRC</t>
  </si>
  <si>
    <t>BA-10</t>
  </si>
  <si>
    <t>Hercegovačko-Bosanski Kanton</t>
  </si>
  <si>
    <t>as:GENC:6:ed2:BA-10</t>
  </si>
  <si>
    <t>BA-07</t>
  </si>
  <si>
    <t>Hercegovačko-Neretvanski Kanton</t>
  </si>
  <si>
    <t>as:GENC:6:ed2:BA-07</t>
  </si>
  <si>
    <t>BA-02</t>
  </si>
  <si>
    <t>Posavski Kanton</t>
  </si>
  <si>
    <t>as:GENC:6:ed2:BA-02</t>
  </si>
  <si>
    <t>BA-09</t>
  </si>
  <si>
    <t>Sarajevo, Kanton</t>
  </si>
  <si>
    <t>as:GENC:6:ed2:BA-09</t>
  </si>
  <si>
    <t>BA-06</t>
  </si>
  <si>
    <t>Srednjobosanski Kanton</t>
  </si>
  <si>
    <t>as:GENC:6:ed2:BA-06</t>
  </si>
  <si>
    <t>BA-SRP</t>
  </si>
  <si>
    <t>Srpska, Republika</t>
  </si>
  <si>
    <t>republic</t>
  </si>
  <si>
    <t>as:GENC:6:ed2:BA-SRP</t>
  </si>
  <si>
    <t>BA-03</t>
  </si>
  <si>
    <t>Tuzlanski Kanton</t>
  </si>
  <si>
    <t>as:GENC:6:ed2:BA-03</t>
  </si>
  <si>
    <t>BA-01</t>
  </si>
  <si>
    <t>Unsko-Sanski Kanton</t>
  </si>
  <si>
    <t>as:GENC:6:ed2:BA-01</t>
  </si>
  <si>
    <t>BA-08</t>
  </si>
  <si>
    <t>Zapadno-Hercegovački Kanton</t>
  </si>
  <si>
    <t>as:GENC:6:ed2:BA-08</t>
  </si>
  <si>
    <t>BA-04</t>
  </si>
  <si>
    <t>Zeničko-Dobojski Kanton</t>
  </si>
  <si>
    <t>as:GENC:6:ed2:BA-04</t>
  </si>
  <si>
    <t>BW-CE</t>
  </si>
  <si>
    <t>Central</t>
  </si>
  <si>
    <t>as:ISO2:6:ed3:BW-CE</t>
  </si>
  <si>
    <t>BW-CH</t>
  </si>
  <si>
    <t>Chobe</t>
  </si>
  <si>
    <t>as:GENC:6:ed2:BW-CH</t>
  </si>
  <si>
    <t>BW-FR</t>
  </si>
  <si>
    <t>Francistown</t>
  </si>
  <si>
    <t>as:GENC:6:ed2:BW-FR</t>
  </si>
  <si>
    <t>BW-GA</t>
  </si>
  <si>
    <t>Gaborone</t>
  </si>
  <si>
    <t>as:GENC:6:ed2:BW-GA</t>
  </si>
  <si>
    <t>BW-GH</t>
  </si>
  <si>
    <t>Ghanzi</t>
  </si>
  <si>
    <t>as:ISO2:6:ed3:BW-GH</t>
  </si>
  <si>
    <t>BW-JW</t>
  </si>
  <si>
    <t>Jwaneng</t>
  </si>
  <si>
    <t>town</t>
  </si>
  <si>
    <t>as:GENC:6:ed2:BW-JW</t>
  </si>
  <si>
    <t>BW-KG</t>
  </si>
  <si>
    <t>Kgalagadi</t>
  </si>
  <si>
    <t>as:ISO2:6:ed3:BW-KG</t>
  </si>
  <si>
    <t>BW-KL</t>
  </si>
  <si>
    <t>Kgatleng</t>
  </si>
  <si>
    <t>as:ISO2:6:ed3:BW-KL</t>
  </si>
  <si>
    <t>BW-KW</t>
  </si>
  <si>
    <t>Kweneng</t>
  </si>
  <si>
    <t>as:ISO2:6:ed3:BW-KW</t>
  </si>
  <si>
    <t>BW-LO</t>
  </si>
  <si>
    <t>Lobatse</t>
  </si>
  <si>
    <t>as:GENC:6:ed2:BW-LO</t>
  </si>
  <si>
    <t>BW-NE</t>
  </si>
  <si>
    <t>North East</t>
  </si>
  <si>
    <t>as:GENC:6:ed2:BW-NE</t>
  </si>
  <si>
    <t>BW-NW</t>
  </si>
  <si>
    <t>North West</t>
  </si>
  <si>
    <t>as:GENC:6:ed2:BW-NW</t>
  </si>
  <si>
    <t>BW-SP</t>
  </si>
  <si>
    <t>Selibe Phikwe</t>
  </si>
  <si>
    <t>as:GENC:6:ed2:BW-SP</t>
  </si>
  <si>
    <t>BW-SE</t>
  </si>
  <si>
    <t>South East</t>
  </si>
  <si>
    <t>as:GENC:6:ed2:BW-SE</t>
  </si>
  <si>
    <t>BW-SO</t>
  </si>
  <si>
    <t>Southern</t>
  </si>
  <si>
    <t>as:ISO2:6:ed3:BW-SO</t>
  </si>
  <si>
    <t>BW-ST</t>
  </si>
  <si>
    <t>Sowa Town</t>
  </si>
  <si>
    <t>as:GENC:6:ed2:BW-ST</t>
  </si>
  <si>
    <t>BR-AC</t>
  </si>
  <si>
    <t>Acre</t>
  </si>
  <si>
    <t>as:ISO2:6:ed3:BR-AC</t>
  </si>
  <si>
    <t>BR-AL</t>
  </si>
  <si>
    <t>Alagoas</t>
  </si>
  <si>
    <t>as:ISO2:6:ed3:BR-AL</t>
  </si>
  <si>
    <t>BR-AP</t>
  </si>
  <si>
    <t>Amapá</t>
  </si>
  <si>
    <t>as:ISO2:6:ed3:BR-AP</t>
  </si>
  <si>
    <t>BR-AM</t>
  </si>
  <si>
    <t>Amazonas</t>
  </si>
  <si>
    <t>as:ISO2:6:ed3:BR-AM</t>
  </si>
  <si>
    <t>BR-BA</t>
  </si>
  <si>
    <t>Bahia</t>
  </si>
  <si>
    <t>as:ISO2:6:ed3:BR-BA</t>
  </si>
  <si>
    <t>BR-CE</t>
  </si>
  <si>
    <t>Ceará</t>
  </si>
  <si>
    <t>as:ISO2:6:ed3:BR-CE</t>
  </si>
  <si>
    <t>BR-DF</t>
  </si>
  <si>
    <t>Distrito Federal</t>
  </si>
  <si>
    <t>federal district</t>
  </si>
  <si>
    <t>as:ISO2:6:ed3:BR-DF</t>
  </si>
  <si>
    <t>BR-ES</t>
  </si>
  <si>
    <t>Espírito Santo</t>
  </si>
  <si>
    <t>as:ISO2:6:ed3:BR-ES</t>
  </si>
  <si>
    <t>BR-GO</t>
  </si>
  <si>
    <t>Goiás</t>
  </si>
  <si>
    <t>as:ISO2:6:ed3:BR-GO</t>
  </si>
  <si>
    <t>BR-MA</t>
  </si>
  <si>
    <t>Maranhão</t>
  </si>
  <si>
    <t>as:ISO2:6:ed3:BR-MA</t>
  </si>
  <si>
    <t>BR-MT</t>
  </si>
  <si>
    <t>Mato Grosso</t>
  </si>
  <si>
    <t>as:ISO2:6:ed3:BR-MT</t>
  </si>
  <si>
    <t>BR-MS</t>
  </si>
  <si>
    <t>Mato Grosso do Sul</t>
  </si>
  <si>
    <t>as:ISO2:6:ed3:BR-MS</t>
  </si>
  <si>
    <t>BR-MG</t>
  </si>
  <si>
    <t>Minas Gerais</t>
  </si>
  <si>
    <t>as:ISO2:6:ed3:BR-MG</t>
  </si>
  <si>
    <t>BR-PA</t>
  </si>
  <si>
    <t>Pará</t>
  </si>
  <si>
    <t>as:ISO2:6:ed3:BR-PA</t>
  </si>
  <si>
    <t>BR-PB</t>
  </si>
  <si>
    <t>Paraíba</t>
  </si>
  <si>
    <t>as:ISO2:6:ed3:BR-PB</t>
  </si>
  <si>
    <t>BR-PR</t>
  </si>
  <si>
    <t>Paraná</t>
  </si>
  <si>
    <t>as:ISO2:6:ed3:BR-PR</t>
  </si>
  <si>
    <t>BR-PE</t>
  </si>
  <si>
    <t>Pernambuco</t>
  </si>
  <si>
    <t>as:ISO2:6:ed3:BR-PE</t>
  </si>
  <si>
    <t>BR-PI</t>
  </si>
  <si>
    <t>Piauí</t>
  </si>
  <si>
    <t>as:ISO2:6:ed3:BR-PI</t>
  </si>
  <si>
    <t>BR-RJ</t>
  </si>
  <si>
    <t>Rio de Janeiro</t>
  </si>
  <si>
    <t>as:ISO2:6:ed3:BR-RJ</t>
  </si>
  <si>
    <t>BR-RN</t>
  </si>
  <si>
    <t>Rio Grande do Norte</t>
  </si>
  <si>
    <t>as:ISO2:6:ed3:BR-RN</t>
  </si>
  <si>
    <t>BR-RS</t>
  </si>
  <si>
    <t>Rio Grande do Sul</t>
  </si>
  <si>
    <t>as:ISO2:6:ed3:BR-RS</t>
  </si>
  <si>
    <t>BR-RO</t>
  </si>
  <si>
    <t>Rondônia</t>
  </si>
  <si>
    <t>as:ISO2:6:ed3:BR-RO</t>
  </si>
  <si>
    <t>BR-RR</t>
  </si>
  <si>
    <t>Roraima</t>
  </si>
  <si>
    <t>as:ISO2:6:ed3:BR-RR</t>
  </si>
  <si>
    <t>BR-SC</t>
  </si>
  <si>
    <t>Santa Catarina</t>
  </si>
  <si>
    <t>as:ISO2:6:ed3:BR-SC</t>
  </si>
  <si>
    <t>BR-SP</t>
  </si>
  <si>
    <t>São Paulo</t>
  </si>
  <si>
    <t>as:ISO2:6:ed3:BR-SP</t>
  </si>
  <si>
    <t>BR-SE</t>
  </si>
  <si>
    <t>Sergipe</t>
  </si>
  <si>
    <t>as:ISO2:6:ed3:BR-SE</t>
  </si>
  <si>
    <t>BR-TO</t>
  </si>
  <si>
    <t>Tocantins</t>
  </si>
  <si>
    <t>as:ISO2:6:ed3:BR-TO</t>
  </si>
  <si>
    <t>BN-BE</t>
  </si>
  <si>
    <t>Belait</t>
  </si>
  <si>
    <t>as:GENC:6:ed2:BN-BE</t>
  </si>
  <si>
    <t>BN-BM</t>
  </si>
  <si>
    <t>Brunei and Muara</t>
  </si>
  <si>
    <t>as:GENC:6:ed2:BN-BM</t>
  </si>
  <si>
    <t>BN-TE</t>
  </si>
  <si>
    <t>Temburong</t>
  </si>
  <si>
    <t>as:GENC:6:ed2:BN-TE</t>
  </si>
  <si>
    <t>BN-TU</t>
  </si>
  <si>
    <t>Tutong</t>
  </si>
  <si>
    <t>as:GENC:6:ed2:BN-TU</t>
  </si>
  <si>
    <t>BG-01</t>
  </si>
  <si>
    <t>Blagoevgrad</t>
  </si>
  <si>
    <t>as:GENC:6:ed2:BG-01</t>
  </si>
  <si>
    <t>BG-02</t>
  </si>
  <si>
    <t>Burgas</t>
  </si>
  <si>
    <t>as:GENC:6:ed2:BG-02</t>
  </si>
  <si>
    <t>BG-08</t>
  </si>
  <si>
    <t>Dobrich</t>
  </si>
  <si>
    <t>as:GENC:6:ed2:BG-08</t>
  </si>
  <si>
    <t>BG-07</t>
  </si>
  <si>
    <t>Gabrovo</t>
  </si>
  <si>
    <t>as:GENC:6:ed2:BG-07</t>
  </si>
  <si>
    <t>BG-26</t>
  </si>
  <si>
    <t>Khaskovo</t>
  </si>
  <si>
    <t>as:GENC:6:ed2:BG-26</t>
  </si>
  <si>
    <t>BG-09</t>
  </si>
  <si>
    <t>Kŭrdzhali</t>
  </si>
  <si>
    <t>as:GENC:6:ed2:BG-09</t>
  </si>
  <si>
    <t>BG-10</t>
  </si>
  <si>
    <t>Kyustendil</t>
  </si>
  <si>
    <t>as:GENC:6:ed2:BG-10</t>
  </si>
  <si>
    <t>BG-11</t>
  </si>
  <si>
    <t>Lovech</t>
  </si>
  <si>
    <t>as:GENC:6:ed2:BG-11</t>
  </si>
  <si>
    <t>BG-12</t>
  </si>
  <si>
    <t>Montana</t>
  </si>
  <si>
    <t>as:GENC:6:ed2:BG-12</t>
  </si>
  <si>
    <t>BG-13</t>
  </si>
  <si>
    <t>Pazardzhik</t>
  </si>
  <si>
    <t>as:GENC:6:ed2:BG-13</t>
  </si>
  <si>
    <t>BG-14</t>
  </si>
  <si>
    <t>Pernik</t>
  </si>
  <si>
    <t>as:GENC:6:ed2:BG-14</t>
  </si>
  <si>
    <t>BG-15</t>
  </si>
  <si>
    <t>Pleven</t>
  </si>
  <si>
    <t>as:GENC:6:ed2:BG-15</t>
  </si>
  <si>
    <t>BG-16</t>
  </si>
  <si>
    <t>Plovdiv</t>
  </si>
  <si>
    <t>as:GENC:6:ed2:BG-16</t>
  </si>
  <si>
    <t>BG-17</t>
  </si>
  <si>
    <t>Razgrad</t>
  </si>
  <si>
    <t>as:GENC:6:ed2:BG-17</t>
  </si>
  <si>
    <t>BG-18</t>
  </si>
  <si>
    <t>Ruse</t>
  </si>
  <si>
    <t>as:GENC:6:ed2:BG-18</t>
  </si>
  <si>
    <t>BG-27</t>
  </si>
  <si>
    <t>Shumen</t>
  </si>
  <si>
    <t>as:GENC:6:ed2:BG-27</t>
  </si>
  <si>
    <t>BG-19</t>
  </si>
  <si>
    <t>Silistra</t>
  </si>
  <si>
    <t>as:GENC:6:ed2:BG-19</t>
  </si>
  <si>
    <t>BG-20</t>
  </si>
  <si>
    <t>Sliven</t>
  </si>
  <si>
    <t>as:GENC:6:ed2:BG-20</t>
  </si>
  <si>
    <t>BG-21</t>
  </si>
  <si>
    <t>Smolyan</t>
  </si>
  <si>
    <t>as:GENC:6:ed2:BG-21</t>
  </si>
  <si>
    <t>BG-23</t>
  </si>
  <si>
    <t>Sofiya</t>
  </si>
  <si>
    <t>as:GENC:6:ed2:BG-23</t>
  </si>
  <si>
    <t>BG-22</t>
  </si>
  <si>
    <t>Sofiya-Grad</t>
  </si>
  <si>
    <t>as:GENC:6:ed2:BG-22</t>
  </si>
  <si>
    <t>BG-24</t>
  </si>
  <si>
    <t>Stara Zagora</t>
  </si>
  <si>
    <t>as:GENC:6:ed2:BG-24</t>
  </si>
  <si>
    <t>BG-25</t>
  </si>
  <si>
    <t>Tŭrgovishte</t>
  </si>
  <si>
    <t>as:GENC:6:ed2:BG-25</t>
  </si>
  <si>
    <t>BG-03</t>
  </si>
  <si>
    <t>Varna</t>
  </si>
  <si>
    <t>as:GENC:6:ed2:BG-03</t>
  </si>
  <si>
    <t>BG-04</t>
  </si>
  <si>
    <t>Veliko Tŭrnovo</t>
  </si>
  <si>
    <t>as:GENC:6:ed2:BG-04</t>
  </si>
  <si>
    <t>BG-05</t>
  </si>
  <si>
    <t>Vidin</t>
  </si>
  <si>
    <t>as:GENC:6:ed2:BG-05</t>
  </si>
  <si>
    <t>BG-06</t>
  </si>
  <si>
    <t>Vratsa</t>
  </si>
  <si>
    <t>as:GENC:6:ed2:BG-06</t>
  </si>
  <si>
    <t>BG-28</t>
  </si>
  <si>
    <t>Yambol</t>
  </si>
  <si>
    <t>as:GENC:6:ed2:BG-28</t>
  </si>
  <si>
    <t>BF-BAL</t>
  </si>
  <si>
    <t>Balé</t>
  </si>
  <si>
    <t>as:ISO2:6:ed3:BF-BAL</t>
  </si>
  <si>
    <t>BF-BAM</t>
  </si>
  <si>
    <t>Bam</t>
  </si>
  <si>
    <t>as:ISO2:6:ed3:BF-BAM</t>
  </si>
  <si>
    <t>BF-BAN</t>
  </si>
  <si>
    <t>Banwa</t>
  </si>
  <si>
    <t>as:ISO2:6:ed3:BF-BAN</t>
  </si>
  <si>
    <t>BF-BAZ</t>
  </si>
  <si>
    <t>Bazèga</t>
  </si>
  <si>
    <t>as:ISO2:6:ed3:BF-BAZ</t>
  </si>
  <si>
    <t>BF-01</t>
  </si>
  <si>
    <t>Boucle du Mouhoun</t>
  </si>
  <si>
    <t>as:ISO2:6:ed3:BF-01</t>
  </si>
  <si>
    <t>BF-BGR</t>
  </si>
  <si>
    <t>Bougouriba</t>
  </si>
  <si>
    <t>as:ISO2:6:ed3:BF-BGR</t>
  </si>
  <si>
    <t>BF-BLG</t>
  </si>
  <si>
    <t>Boulgou</t>
  </si>
  <si>
    <t>as:ISO2:6:ed3:BF-BLG</t>
  </si>
  <si>
    <t>BF-BLK</t>
  </si>
  <si>
    <t>Boulkiemdé</t>
  </si>
  <si>
    <t>as:ISO2:6:ed3:BF-BLK</t>
  </si>
  <si>
    <t>BF-02</t>
  </si>
  <si>
    <t>Cascades</t>
  </si>
  <si>
    <t>as:ISO2:6:ed3:BF-02</t>
  </si>
  <si>
    <t>BF-03</t>
  </si>
  <si>
    <t>Centre</t>
  </si>
  <si>
    <t>as:ISO2:6:ed3:BF-03</t>
  </si>
  <si>
    <t>BF-04</t>
  </si>
  <si>
    <t>Centre-Est</t>
  </si>
  <si>
    <t>as:ISO2:6:ed3:BF-04</t>
  </si>
  <si>
    <t>BF-05</t>
  </si>
  <si>
    <t>Centre-Nord</t>
  </si>
  <si>
    <t>as:ISO2:6:ed3:BF-05</t>
  </si>
  <si>
    <t>BF-06</t>
  </si>
  <si>
    <t>Centre-Ouest</t>
  </si>
  <si>
    <t>as:ISO2:6:ed3:BF-06</t>
  </si>
  <si>
    <t>BF-07</t>
  </si>
  <si>
    <t>Centre-Sud</t>
  </si>
  <si>
    <t>as:ISO2:6:ed3:BF-07</t>
  </si>
  <si>
    <t>BF-COM</t>
  </si>
  <si>
    <t>Comoé</t>
  </si>
  <si>
    <t>as:ISO2:6:ed3:BF-COM</t>
  </si>
  <si>
    <t>BF-08</t>
  </si>
  <si>
    <t>Est</t>
  </si>
  <si>
    <t>as:ISO2:6:ed3:BF-08</t>
  </si>
  <si>
    <t>BF-GAN</t>
  </si>
  <si>
    <t>Ganzourgou</t>
  </si>
  <si>
    <t>as:ISO2:6:ed3:BF-GAN</t>
  </si>
  <si>
    <t>BF-GNA</t>
  </si>
  <si>
    <t>Gnagna</t>
  </si>
  <si>
    <t>as:ISO2:6:ed3:BF-GNA</t>
  </si>
  <si>
    <t>BF-GOU</t>
  </si>
  <si>
    <t>Gourma</t>
  </si>
  <si>
    <t>as:ISO2:6:ed3:BF-GOU</t>
  </si>
  <si>
    <t>BF-09</t>
  </si>
  <si>
    <t>Hauts-Bassins</t>
  </si>
  <si>
    <t>as:ISO2:6:ed3:BF-09</t>
  </si>
  <si>
    <t>BF-HOU</t>
  </si>
  <si>
    <t>Houet</t>
  </si>
  <si>
    <t>as:ISO2:6:ed3:BF-HOU</t>
  </si>
  <si>
    <t>BF-IOB</t>
  </si>
  <si>
    <t>Ioba</t>
  </si>
  <si>
    <t>as:ISO2:6:ed3:BF-IOB</t>
  </si>
  <si>
    <t>BF-KAD</t>
  </si>
  <si>
    <t>Kadiogo</t>
  </si>
  <si>
    <t>as:ISO2:6:ed3:BF-KAD</t>
  </si>
  <si>
    <t>BF-KEN</t>
  </si>
  <si>
    <t>Kénédougou</t>
  </si>
  <si>
    <t>as:ISO2:6:ed3:BF-KEN</t>
  </si>
  <si>
    <t>BF-KMD</t>
  </si>
  <si>
    <t>Komondjari</t>
  </si>
  <si>
    <t>as:ISO2:6:ed3:BF-KMD</t>
  </si>
  <si>
    <t>BF-KMP</t>
  </si>
  <si>
    <t>Kompienga</t>
  </si>
  <si>
    <t>as:ISO2:6:ed3:BF-KMP</t>
  </si>
  <si>
    <t>BF-KOS</t>
  </si>
  <si>
    <t>Kossi</t>
  </si>
  <si>
    <t>as:ISO2:6:ed3:BF-KOS</t>
  </si>
  <si>
    <t>BF-KOP</t>
  </si>
  <si>
    <t>Koulpélogo</t>
  </si>
  <si>
    <t>as:ISO2:6:ed3:BF-KOP</t>
  </si>
  <si>
    <t>BF-KOT</t>
  </si>
  <si>
    <t>Kouritenga</t>
  </si>
  <si>
    <t>as:ISO2:6:ed3:BF-KOT</t>
  </si>
  <si>
    <t>BF-KOW</t>
  </si>
  <si>
    <t>Kourwéogo</t>
  </si>
  <si>
    <t>as:ISO2:6:ed3:BF-KOW</t>
  </si>
  <si>
    <t>BF-LER</t>
  </si>
  <si>
    <t>Léraba</t>
  </si>
  <si>
    <t>as:ISO2:6:ed3:BF-LER</t>
  </si>
  <si>
    <t>BF-LOR</t>
  </si>
  <si>
    <t>Loroum</t>
  </si>
  <si>
    <t>as:ISO2:6:ed3:BF-LOR</t>
  </si>
  <si>
    <t>BF-MOU</t>
  </si>
  <si>
    <t>Mouhoun</t>
  </si>
  <si>
    <t>as:ISO2:6:ed3:BF-MOU</t>
  </si>
  <si>
    <t>BF-NAO</t>
  </si>
  <si>
    <t>Nahouri</t>
  </si>
  <si>
    <t>as:ISO2:6:ed3:BF-NAO</t>
  </si>
  <si>
    <t>BF-NAM</t>
  </si>
  <si>
    <t>Namentenga</t>
  </si>
  <si>
    <t>as:ISO2:6:ed3:BF-NAM</t>
  </si>
  <si>
    <t>BF-NAY</t>
  </si>
  <si>
    <t>Nayala</t>
  </si>
  <si>
    <t>as:ISO2:6:ed3:BF-NAY</t>
  </si>
  <si>
    <t>BF-10</t>
  </si>
  <si>
    <t>Nord</t>
  </si>
  <si>
    <t>as:ISO2:6:ed3:BF-10</t>
  </si>
  <si>
    <t>BF-NOU</t>
  </si>
  <si>
    <t>Noumbiel</t>
  </si>
  <si>
    <t>as:ISO2:6:ed3:BF-NOU</t>
  </si>
  <si>
    <t>BF-OUB</t>
  </si>
  <si>
    <t>Oubritenga</t>
  </si>
  <si>
    <t>as:ISO2:6:ed3:BF-OUB</t>
  </si>
  <si>
    <t>BF-OUD</t>
  </si>
  <si>
    <t>Oudalan</t>
  </si>
  <si>
    <t>as:ISO2:6:ed3:BF-OUD</t>
  </si>
  <si>
    <t>BF-PAS</t>
  </si>
  <si>
    <t>Passoré</t>
  </si>
  <si>
    <t>as:ISO2:6:ed3:BF-PAS</t>
  </si>
  <si>
    <t>BF-11</t>
  </si>
  <si>
    <t>Plateau-Central</t>
  </si>
  <si>
    <t>as:ISO2:6:ed3:BF-11</t>
  </si>
  <si>
    <t>BF-PON</t>
  </si>
  <si>
    <t>Poni</t>
  </si>
  <si>
    <t>as:ISO2:6:ed3:BF-PON</t>
  </si>
  <si>
    <t>BF-12</t>
  </si>
  <si>
    <t>Sahel</t>
  </si>
  <si>
    <t>as:ISO2:6:ed3:BF-12</t>
  </si>
  <si>
    <t>BF-SNG</t>
  </si>
  <si>
    <t>Sanguié</t>
  </si>
  <si>
    <t>as:ISO2:6:ed3:BF-SNG</t>
  </si>
  <si>
    <t>BF-SMT</t>
  </si>
  <si>
    <t>Sanmatenga</t>
  </si>
  <si>
    <t>as:ISO2:6:ed3:BF-SMT</t>
  </si>
  <si>
    <t>BF-SEN</t>
  </si>
  <si>
    <t>Séno</t>
  </si>
  <si>
    <t>as:ISO2:6:ed3:BF-SEN</t>
  </si>
  <si>
    <t>BF-SIS</t>
  </si>
  <si>
    <t>Sissili</t>
  </si>
  <si>
    <t>as:ISO2:6:ed3:BF-SIS</t>
  </si>
  <si>
    <t>BF-SOM</t>
  </si>
  <si>
    <t>Soum</t>
  </si>
  <si>
    <t>as:ISO2:6:ed3:BF-SOM</t>
  </si>
  <si>
    <t>BF-SOR</t>
  </si>
  <si>
    <t>Sourou</t>
  </si>
  <si>
    <t>as:ISO2:6:ed3:BF-SOR</t>
  </si>
  <si>
    <t>BF-13</t>
  </si>
  <si>
    <t>Sud-Ouest</t>
  </si>
  <si>
    <t>as:ISO2:6:ed3:BF-13</t>
  </si>
  <si>
    <t>BF-TAP</t>
  </si>
  <si>
    <t>Tapoa</t>
  </si>
  <si>
    <t>as:ISO2:6:ed3:BF-TAP</t>
  </si>
  <si>
    <t>BF-TUI</t>
  </si>
  <si>
    <t>Tuy</t>
  </si>
  <si>
    <t>as:GENC:6:ed2:BF-TUI</t>
  </si>
  <si>
    <t>BF-YAG</t>
  </si>
  <si>
    <t>Yagha</t>
  </si>
  <si>
    <t>as:ISO2:6:ed3:BF-YAG</t>
  </si>
  <si>
    <t>BF-YAT</t>
  </si>
  <si>
    <t>Yatenga</t>
  </si>
  <si>
    <t>as:ISO2:6:ed3:BF-YAT</t>
  </si>
  <si>
    <t>BF-ZIR</t>
  </si>
  <si>
    <t>Ziro</t>
  </si>
  <si>
    <t>as:ISO2:6:ed3:BF-ZIR</t>
  </si>
  <si>
    <t>BF-ZON</t>
  </si>
  <si>
    <t>Zondoma</t>
  </si>
  <si>
    <t>as:ISO2:6:ed3:BF-ZON</t>
  </si>
  <si>
    <t>BF-ZOU</t>
  </si>
  <si>
    <t>Zoundwéogo</t>
  </si>
  <si>
    <t>as:ISO2:6:ed3:BF-ZOU</t>
  </si>
  <si>
    <t>MM-07</t>
  </si>
  <si>
    <t>Ayeyawady</t>
  </si>
  <si>
    <t>as:GENC:6:ed2:MM-07</t>
  </si>
  <si>
    <t>MM-02</t>
  </si>
  <si>
    <t>Bago</t>
  </si>
  <si>
    <t>as:GENC:6:ed2:MM-02</t>
  </si>
  <si>
    <t>MM-14</t>
  </si>
  <si>
    <t>Chin State</t>
  </si>
  <si>
    <t>as:GENC:6:ed2:MM-14</t>
  </si>
  <si>
    <t>MM-11</t>
  </si>
  <si>
    <t>Kachin State</t>
  </si>
  <si>
    <t>as:GENC:6:ed2:MM-11</t>
  </si>
  <si>
    <t>MM-12</t>
  </si>
  <si>
    <t>Kayah State</t>
  </si>
  <si>
    <t>as:GENC:6:ed2:MM-12</t>
  </si>
  <si>
    <t>MM-13</t>
  </si>
  <si>
    <t>Kayin State</t>
  </si>
  <si>
    <t>as:GENC:6:ed2:MM-13</t>
  </si>
  <si>
    <t>MM-03</t>
  </si>
  <si>
    <t>Magway</t>
  </si>
  <si>
    <t>as:GENC:6:ed2:MM-03</t>
  </si>
  <si>
    <t>MM-04</t>
  </si>
  <si>
    <t>Mandalay</t>
  </si>
  <si>
    <t>as:GENC:6:ed2:MM-04</t>
  </si>
  <si>
    <t>MM-15</t>
  </si>
  <si>
    <t>Mon State</t>
  </si>
  <si>
    <t>as:GENC:6:ed2:MM-15</t>
  </si>
  <si>
    <t>MM-18</t>
  </si>
  <si>
    <t>Nay Pyi Taw</t>
  </si>
  <si>
    <t>union territory</t>
  </si>
  <si>
    <t>as:GENC:6:ed2:MM-18</t>
  </si>
  <si>
    <t>MM-16</t>
  </si>
  <si>
    <t>Rakhine State</t>
  </si>
  <si>
    <t>as:GENC:6:ed2:MM-16</t>
  </si>
  <si>
    <t>MM-01</t>
  </si>
  <si>
    <t>Sagaing</t>
  </si>
  <si>
    <t>as:GENC:6:ed2:MM-01</t>
  </si>
  <si>
    <t>MM-17</t>
  </si>
  <si>
    <t>Shan State</t>
  </si>
  <si>
    <t>as:GENC:6:ed2:MM-17</t>
  </si>
  <si>
    <t>MM-05</t>
  </si>
  <si>
    <t>Taninthayi</t>
  </si>
  <si>
    <t>as:GENC:6:ed2:MM-05</t>
  </si>
  <si>
    <t>MM-06</t>
  </si>
  <si>
    <t>Yangon</t>
  </si>
  <si>
    <t>as:GENC:6:ed2:MM-06</t>
  </si>
  <si>
    <t>BI-BB</t>
  </si>
  <si>
    <t>Bubanza</t>
  </si>
  <si>
    <t>as:GENC:6:ed2:BI-BB</t>
  </si>
  <si>
    <t>BI-BM</t>
  </si>
  <si>
    <t>Bujumbura Mairie</t>
  </si>
  <si>
    <t>as:GENC:6:ed2:BI-BM</t>
  </si>
  <si>
    <t>BI-BL</t>
  </si>
  <si>
    <t>Bujumbura Rural</t>
  </si>
  <si>
    <t>as:GENC:6:ed2:BI-BL</t>
  </si>
  <si>
    <t>BI-BR</t>
  </si>
  <si>
    <t>Bururi</t>
  </si>
  <si>
    <t>as:GENC:6:ed2:BI-BR</t>
  </si>
  <si>
    <t>BI-CA</t>
  </si>
  <si>
    <t>Cankuzo</t>
  </si>
  <si>
    <t>as:GENC:6:ed2:BI-CA</t>
  </si>
  <si>
    <t>BI-CI</t>
  </si>
  <si>
    <t>Cibitoke</t>
  </si>
  <si>
    <t>as:GENC:6:ed2:BI-CI</t>
  </si>
  <si>
    <t>BI-GI</t>
  </si>
  <si>
    <t>Gitega</t>
  </si>
  <si>
    <t>as:GENC:6:ed2:BI-GI</t>
  </si>
  <si>
    <t>BI-KR</t>
  </si>
  <si>
    <t>Karuzi</t>
  </si>
  <si>
    <t>as:GENC:6:ed2:BI-KR</t>
  </si>
  <si>
    <t>BI-KY</t>
  </si>
  <si>
    <t>Kayanza</t>
  </si>
  <si>
    <t>as:GENC:6:ed2:BI-KY</t>
  </si>
  <si>
    <t>BI-KI</t>
  </si>
  <si>
    <t>Kirundo</t>
  </si>
  <si>
    <t>as:GENC:6:ed2:BI-KI</t>
  </si>
  <si>
    <t>BI-MA</t>
  </si>
  <si>
    <t>Makamba</t>
  </si>
  <si>
    <t>as:GENC:6:ed2:BI-MA</t>
  </si>
  <si>
    <t>BI-MU</t>
  </si>
  <si>
    <t>Muramvya</t>
  </si>
  <si>
    <t>as:GENC:6:ed2:BI-MU</t>
  </si>
  <si>
    <t>BI-MY</t>
  </si>
  <si>
    <t>Muyinga</t>
  </si>
  <si>
    <t>as:GENC:6:ed2:BI-MY</t>
  </si>
  <si>
    <t>BI-MW</t>
  </si>
  <si>
    <t>Mwaro</t>
  </si>
  <si>
    <t>as:GENC:6:ed2:BI-MW</t>
  </si>
  <si>
    <t>BI-NG</t>
  </si>
  <si>
    <t>Ngozi</t>
  </si>
  <si>
    <t>as:GENC:6:ed2:BI-NG</t>
  </si>
  <si>
    <t>BI-RT</t>
  </si>
  <si>
    <t>Rutana</t>
  </si>
  <si>
    <t>as:GENC:6:ed2:BI-RT</t>
  </si>
  <si>
    <t>BI-RY</t>
  </si>
  <si>
    <t>Ruyigi</t>
  </si>
  <si>
    <t>as:GENC:6:ed2:BI-RY</t>
  </si>
  <si>
    <t>CV-BV</t>
  </si>
  <si>
    <t>Boa Vista</t>
  </si>
  <si>
    <t>as:ISO2:6:ed3:CV-BV</t>
  </si>
  <si>
    <t>CV-BR</t>
  </si>
  <si>
    <t>Brava</t>
  </si>
  <si>
    <t>as:ISO2:6:ed3:CV-BR</t>
  </si>
  <si>
    <t>CV-B</t>
  </si>
  <si>
    <t>Ilhas de Barlavento</t>
  </si>
  <si>
    <t>geographical region</t>
  </si>
  <si>
    <t>as:ISO2:6:ed3:CV-B</t>
  </si>
  <si>
    <t>CV-S</t>
  </si>
  <si>
    <t>Ilhas de Sotavento</t>
  </si>
  <si>
    <t>as:ISO2:6:ed3:CV-S</t>
  </si>
  <si>
    <t>CV-MA</t>
  </si>
  <si>
    <t>Maio</t>
  </si>
  <si>
    <t>as:ISO2:6:ed3:CV-MA</t>
  </si>
  <si>
    <t>CV-MO</t>
  </si>
  <si>
    <t>Mosteiros</t>
  </si>
  <si>
    <t>as:ISO2:6:ed3:CV-MO</t>
  </si>
  <si>
    <t>CV-PA</t>
  </si>
  <si>
    <t>Paul</t>
  </si>
  <si>
    <t>as:ISO2:6:ed3:CV-PA</t>
  </si>
  <si>
    <t>CV-PN</t>
  </si>
  <si>
    <t>Porto Novo</t>
  </si>
  <si>
    <t>as:ISO2:6:ed3:CV-PN</t>
  </si>
  <si>
    <t>CV-PR</t>
  </si>
  <si>
    <t>Praia</t>
  </si>
  <si>
    <t>as:ISO2:6:ed3:CV-PR</t>
  </si>
  <si>
    <t>CV-RB</t>
  </si>
  <si>
    <t>Ribeira Brava</t>
  </si>
  <si>
    <t>as:ISO2:6:ed3:CV-RB</t>
  </si>
  <si>
    <t>CV-RG</t>
  </si>
  <si>
    <t>Ribeira Grande</t>
  </si>
  <si>
    <t>as:ISO2:6:ed3:CV-RG</t>
  </si>
  <si>
    <t>CV-RS</t>
  </si>
  <si>
    <t>Ribeira Grande de Santiago</t>
  </si>
  <si>
    <t>as:ISO2:6:ed3:CV-RS</t>
  </si>
  <si>
    <t>CV-SL</t>
  </si>
  <si>
    <t>Sal</t>
  </si>
  <si>
    <t>as:ISO2:6:ed3:CV-SL</t>
  </si>
  <si>
    <t>CV-CA</t>
  </si>
  <si>
    <t>as:ISO2:6:ed3:CV-CA</t>
  </si>
  <si>
    <t>CV-CF</t>
  </si>
  <si>
    <t>Santa Catarina do Fogo</t>
  </si>
  <si>
    <t>as:ISO2:6:ed3:CV-CF</t>
  </si>
  <si>
    <t>CV-CR</t>
  </si>
  <si>
    <t>as:ISO2:6:ed3:CV-CR</t>
  </si>
  <si>
    <t>CV-SD</t>
  </si>
  <si>
    <t>São Domingos</t>
  </si>
  <si>
    <t>as:ISO2:6:ed3:CV-SD</t>
  </si>
  <si>
    <t>CV-SF</t>
  </si>
  <si>
    <t>São Filipe</t>
  </si>
  <si>
    <t>as:ISO2:6:ed3:CV-SF</t>
  </si>
  <si>
    <t>CV-SO</t>
  </si>
  <si>
    <t>São Lourenço dos Órgãos</t>
  </si>
  <si>
    <t>as:ISO2:6:ed3:CV-SO</t>
  </si>
  <si>
    <t>CV-SM</t>
  </si>
  <si>
    <t>São Miguel</t>
  </si>
  <si>
    <t>as:ISO2:6:ed3:CV-SM</t>
  </si>
  <si>
    <t>CV-SS</t>
  </si>
  <si>
    <t>São Salvador do Mundo</t>
  </si>
  <si>
    <t>as:ISO2:6:ed3:CV-SS</t>
  </si>
  <si>
    <t>CV-SV</t>
  </si>
  <si>
    <t>São Vicente</t>
  </si>
  <si>
    <t>as:ISO2:6:ed3:CV-SV</t>
  </si>
  <si>
    <t>CV-TA</t>
  </si>
  <si>
    <t>Tarrafal</t>
  </si>
  <si>
    <t>as:ISO2:6:ed3:CV-TA</t>
  </si>
  <si>
    <t>CV-TS</t>
  </si>
  <si>
    <t>Tarrafal de São Nicolau</t>
  </si>
  <si>
    <t>as:ISO2:6:ed3:CV-TS</t>
  </si>
  <si>
    <t>KH-1</t>
  </si>
  <si>
    <t>Banteay Meanchey</t>
  </si>
  <si>
    <t>as:GENC:6:ed2:KH-1</t>
  </si>
  <si>
    <t>KH-2</t>
  </si>
  <si>
    <t>Battambang</t>
  </si>
  <si>
    <t>as:GENC:6:ed2:KH-2</t>
  </si>
  <si>
    <t>KH-3</t>
  </si>
  <si>
    <t>Kampong Cham</t>
  </si>
  <si>
    <t>as:GENC:6:ed2:KH-3</t>
  </si>
  <si>
    <t>KH-4</t>
  </si>
  <si>
    <t>Kampong Chhnang</t>
  </si>
  <si>
    <t>as:GENC:6:ed2:KH-4</t>
  </si>
  <si>
    <t>KH-5</t>
  </si>
  <si>
    <t>Kampong Speu</t>
  </si>
  <si>
    <t>as:GENC:6:ed2:KH-5</t>
  </si>
  <si>
    <t>KH-6</t>
  </si>
  <si>
    <t>Kampong Thom</t>
  </si>
  <si>
    <t>as:GENC:6:ed2:KH-6</t>
  </si>
  <si>
    <t>KH-7</t>
  </si>
  <si>
    <t>Kampot</t>
  </si>
  <si>
    <t>as:GENC:6:ed2:KH-7</t>
  </si>
  <si>
    <t>KH-8</t>
  </si>
  <si>
    <t>Kandal</t>
  </si>
  <si>
    <t>as:GENC:6:ed2:KH-8</t>
  </si>
  <si>
    <t>KH-23</t>
  </si>
  <si>
    <t>Kep</t>
  </si>
  <si>
    <t>as:GENC:6:ed2:KH-23</t>
  </si>
  <si>
    <t>KH-9</t>
  </si>
  <si>
    <t>Koh Kong</t>
  </si>
  <si>
    <t>as:GENC:6:ed2:KH-9</t>
  </si>
  <si>
    <t>KH-10</t>
  </si>
  <si>
    <t>Kratie</t>
  </si>
  <si>
    <t>as:GENC:6:ed2:KH-10</t>
  </si>
  <si>
    <t>KH-11</t>
  </si>
  <si>
    <t>Mondolkiri</t>
  </si>
  <si>
    <t>as:GENC:6:ed2:KH-11</t>
  </si>
  <si>
    <t>KH-22</t>
  </si>
  <si>
    <t>Oddar Meanchey</t>
  </si>
  <si>
    <t>as:GENC:6:ed2:KH-22</t>
  </si>
  <si>
    <t>KH-24</t>
  </si>
  <si>
    <t>Pailin</t>
  </si>
  <si>
    <t>as:GENC:6:ed2:KH-24</t>
  </si>
  <si>
    <t>KH-12</t>
  </si>
  <si>
    <t>Phnom Penh</t>
  </si>
  <si>
    <t>as:GENC:6:ed2:KH-12</t>
  </si>
  <si>
    <t>KH-13</t>
  </si>
  <si>
    <t>Preah Vihear</t>
  </si>
  <si>
    <t>as:GENC:6:ed2:KH-13</t>
  </si>
  <si>
    <t>KH-14</t>
  </si>
  <si>
    <t>Prey Veng</t>
  </si>
  <si>
    <t>as:GENC:6:ed2:KH-14</t>
  </si>
  <si>
    <t>KH-15</t>
  </si>
  <si>
    <t>Pursat</t>
  </si>
  <si>
    <t>as:GENC:6:ed2:KH-15</t>
  </si>
  <si>
    <t>KH-16</t>
  </si>
  <si>
    <t>Ratanakiri</t>
  </si>
  <si>
    <t>as:GENC:6:ed2:KH-16</t>
  </si>
  <si>
    <t>KH-17</t>
  </si>
  <si>
    <t>Siem Reap</t>
  </si>
  <si>
    <t>as:GENC:6:ed2:KH-17</t>
  </si>
  <si>
    <t>KH-18</t>
  </si>
  <si>
    <t>Sihanoukville</t>
  </si>
  <si>
    <t>as:GENC:6:ed2:KH-18</t>
  </si>
  <si>
    <t>KH-19</t>
  </si>
  <si>
    <t>Stung Treng</t>
  </si>
  <si>
    <t>as:GENC:6:ed2:KH-19</t>
  </si>
  <si>
    <t>KH-20</t>
  </si>
  <si>
    <t>Svay Rieng</t>
  </si>
  <si>
    <t>as:GENC:6:ed2:KH-20</t>
  </si>
  <si>
    <t>KH-21</t>
  </si>
  <si>
    <t>Takeo</t>
  </si>
  <si>
    <t>as:GENC:6:ed2:KH-21</t>
  </si>
  <si>
    <t>CM-AD</t>
  </si>
  <si>
    <t>Adamaoua</t>
  </si>
  <si>
    <t>as:ISO2:6:ed3:CM-AD</t>
  </si>
  <si>
    <t>CM-CE</t>
  </si>
  <si>
    <t>as:ISO2:6:ed3:CM-CE</t>
  </si>
  <si>
    <t>CM-ES</t>
  </si>
  <si>
    <t>as:ISO2:6:ed3:CM-ES</t>
  </si>
  <si>
    <t>CM-EN</t>
  </si>
  <si>
    <t>Extrême-Nord</t>
  </si>
  <si>
    <t>as:ISO2:6:ed3:CM-EN</t>
  </si>
  <si>
    <t>CM-LT</t>
  </si>
  <si>
    <t>as:ISO2:6:ed3:CM-LT</t>
  </si>
  <si>
    <t>CM-NO</t>
  </si>
  <si>
    <t>as:ISO2:6:ed3:CM-NO</t>
  </si>
  <si>
    <t>CM-NW</t>
  </si>
  <si>
    <t>North-West</t>
  </si>
  <si>
    <t>as:ISO2:6:ed3:CM-NW</t>
  </si>
  <si>
    <t>CM-OU</t>
  </si>
  <si>
    <t>Ouest</t>
  </si>
  <si>
    <t>as:ISO2:6:ed3:CM-OU</t>
  </si>
  <si>
    <t>CM-SW</t>
  </si>
  <si>
    <t>South-West</t>
  </si>
  <si>
    <t>as:ISO2:6:ed3:CM-SW</t>
  </si>
  <si>
    <t>CM-SU</t>
  </si>
  <si>
    <t>Sud</t>
  </si>
  <si>
    <t>as:ISO2:6:ed3:CM-SU</t>
  </si>
  <si>
    <t>CA-AB</t>
  </si>
  <si>
    <t>Alberta</t>
  </si>
  <si>
    <t>as:ISO2:6:ed3:CA-AB</t>
  </si>
  <si>
    <t>CA-BC</t>
  </si>
  <si>
    <t>British Columbia</t>
  </si>
  <si>
    <t>as:ISO2:6:ed3:CA-BC</t>
  </si>
  <si>
    <t>CA-MB</t>
  </si>
  <si>
    <t>Manitoba</t>
  </si>
  <si>
    <t>as:ISO2:6:ed3:CA-MB</t>
  </si>
  <si>
    <t>CA-NB</t>
  </si>
  <si>
    <t>New Brunswick</t>
  </si>
  <si>
    <t>as:ISO2:6:ed3:CA-NB</t>
  </si>
  <si>
    <t>CA-NL</t>
  </si>
  <si>
    <t>Newfoundland and Labrador</t>
  </si>
  <si>
    <t>as:ISO2:6:ed3:CA-NL</t>
  </si>
  <si>
    <t>CA-NT</t>
  </si>
  <si>
    <t>Northwest Territories</t>
  </si>
  <si>
    <t>as:ISO2:6:ed3:CA-NT</t>
  </si>
  <si>
    <t>CA-NS</t>
  </si>
  <si>
    <t>Nova Scotia</t>
  </si>
  <si>
    <t>as:ISO2:6:ed3:CA-NS</t>
  </si>
  <si>
    <t>CA-NU</t>
  </si>
  <si>
    <t>Nunavut</t>
  </si>
  <si>
    <t>as:ISO2:6:ed3:CA-NU</t>
  </si>
  <si>
    <t>CA-ON</t>
  </si>
  <si>
    <t>Ontario</t>
  </si>
  <si>
    <t>as:ISO2:6:ed3:CA-ON</t>
  </si>
  <si>
    <t>CA-PE</t>
  </si>
  <si>
    <t>Prince Edward Island</t>
  </si>
  <si>
    <t>as:ISO2:6:ed3:CA-PE</t>
  </si>
  <si>
    <t>CA-QC</t>
  </si>
  <si>
    <t>Québec</t>
  </si>
  <si>
    <t>as:ISO2:6:ed3:CA-QC</t>
  </si>
  <si>
    <t>CA-SK</t>
  </si>
  <si>
    <t>Saskatchewan</t>
  </si>
  <si>
    <t>as:ISO2:6:ed3:CA-SK</t>
  </si>
  <si>
    <t>CA-YT</t>
  </si>
  <si>
    <t>Yukon</t>
  </si>
  <si>
    <t>as:GENC:6:ed2:CA-YT</t>
  </si>
  <si>
    <t>CF-BB</t>
  </si>
  <si>
    <t>Bamingui-Bangoran</t>
  </si>
  <si>
    <t>prefecture</t>
  </si>
  <si>
    <t>as:GENC:6:ed2:CF-BB</t>
  </si>
  <si>
    <t>CF-BGF</t>
  </si>
  <si>
    <t>Bangui</t>
  </si>
  <si>
    <t>commune</t>
  </si>
  <si>
    <t>as:GENC:6:ed2:CF-BGF</t>
  </si>
  <si>
    <t>CF-BK</t>
  </si>
  <si>
    <t>Basse-Kotto</t>
  </si>
  <si>
    <t>as:GENC:6:ed2:CF-BK</t>
  </si>
  <si>
    <t>CF-HK</t>
  </si>
  <si>
    <t>Haute-Kotto</t>
  </si>
  <si>
    <t>as:GENC:6:ed2:CF-HK</t>
  </si>
  <si>
    <t>CF-HM</t>
  </si>
  <si>
    <t>Haut-Mbomou</t>
  </si>
  <si>
    <t>as:GENC:6:ed2:CF-HM</t>
  </si>
  <si>
    <t>CF-KG</t>
  </si>
  <si>
    <t>Kémo</t>
  </si>
  <si>
    <t>as:GENC:6:ed2:CF-KG</t>
  </si>
  <si>
    <t>CF-LB</t>
  </si>
  <si>
    <t>Lobaye</t>
  </si>
  <si>
    <t>as:GENC:6:ed2:CF-LB</t>
  </si>
  <si>
    <t>CF-HS</t>
  </si>
  <si>
    <t>Mambéré-Kadéï</t>
  </si>
  <si>
    <t>as:GENC:6:ed2:CF-HS</t>
  </si>
  <si>
    <t>CF-MB</t>
  </si>
  <si>
    <t>Mbomou</t>
  </si>
  <si>
    <t>as:GENC:6:ed2:CF-MB</t>
  </si>
  <si>
    <t>CF-KB</t>
  </si>
  <si>
    <t>Nana-Grébizi</t>
  </si>
  <si>
    <t>economic prefecture</t>
  </si>
  <si>
    <t>as:GENC:6:ed2:CF-KB</t>
  </si>
  <si>
    <t>CF-NM</t>
  </si>
  <si>
    <t>Nana-Mambéré</t>
  </si>
  <si>
    <t>as:GENC:6:ed2:CF-NM</t>
  </si>
  <si>
    <t>CF-MP</t>
  </si>
  <si>
    <t>Ombella-Mpoko</t>
  </si>
  <si>
    <t>as:GENC:6:ed2:CF-MP</t>
  </si>
  <si>
    <t>CF-UK</t>
  </si>
  <si>
    <t>Ouaka</t>
  </si>
  <si>
    <t>as:GENC:6:ed2:CF-UK</t>
  </si>
  <si>
    <t>CF-AC</t>
  </si>
  <si>
    <t>Ouham</t>
  </si>
  <si>
    <t>as:GENC:6:ed2:CF-AC</t>
  </si>
  <si>
    <t>CF-OP</t>
  </si>
  <si>
    <t>Ouham-Pendé</t>
  </si>
  <si>
    <t>as:GENC:6:ed2:CF-OP</t>
  </si>
  <si>
    <t>CF-SE</t>
  </si>
  <si>
    <t>Sangha-Mbaéré</t>
  </si>
  <si>
    <t>as:GENC:6:ed2:CF-SE</t>
  </si>
  <si>
    <t>CF-VK</t>
  </si>
  <si>
    <t>Vakaga</t>
  </si>
  <si>
    <t>as:GENC:6:ed2:CF-VK</t>
  </si>
  <si>
    <t>TD-BG</t>
  </si>
  <si>
    <t>Barh el Gazel</t>
  </si>
  <si>
    <t>as:GENC:6:ed2:TD-BG</t>
  </si>
  <si>
    <t>TD-BA</t>
  </si>
  <si>
    <t>Batha</t>
  </si>
  <si>
    <t>as:GENC:6:ed2:TD-BA</t>
  </si>
  <si>
    <t>TD-BO</t>
  </si>
  <si>
    <t>Borkou</t>
  </si>
  <si>
    <t>as:GENC:6:ed2:TD-BO</t>
  </si>
  <si>
    <t>TD-CB</t>
  </si>
  <si>
    <t>Chari-Baguirmi</t>
  </si>
  <si>
    <t>as:GENC:6:ed2:TD-CB</t>
  </si>
  <si>
    <t>TD-EN</t>
  </si>
  <si>
    <t>Ennedi</t>
  </si>
  <si>
    <t>as:GENC:6:ed2:TD-EN</t>
  </si>
  <si>
    <t>TD-EE</t>
  </si>
  <si>
    <t>Ennedi-Est</t>
  </si>
  <si>
    <t>as:GENC:6:ed2:TD-EE</t>
  </si>
  <si>
    <t>TD-EO</t>
  </si>
  <si>
    <t>Ennedi-Ouest</t>
  </si>
  <si>
    <t>as:GENC:6:ed2:TD-EO</t>
  </si>
  <si>
    <t>TD-GR</t>
  </si>
  <si>
    <t>Guéra</t>
  </si>
  <si>
    <t>as:GENC:6:ed2:TD-GR</t>
  </si>
  <si>
    <t>TD-HL</t>
  </si>
  <si>
    <t>Hadjer-Lamis</t>
  </si>
  <si>
    <t>as:GENC:6:ed2:TD-HL</t>
  </si>
  <si>
    <t>TD-KA</t>
  </si>
  <si>
    <t>Kanem</t>
  </si>
  <si>
    <t>as:GENC:6:ed2:TD-KA</t>
  </si>
  <si>
    <t>TD-LC</t>
  </si>
  <si>
    <t>Lac</t>
  </si>
  <si>
    <t>as:GENC:6:ed2:TD-LC</t>
  </si>
  <si>
    <t>TD-LO</t>
  </si>
  <si>
    <t>Logone Occidental</t>
  </si>
  <si>
    <t>as:GENC:6:ed2:TD-LO</t>
  </si>
  <si>
    <t>TD-LR</t>
  </si>
  <si>
    <t>Logone Oriental</t>
  </si>
  <si>
    <t>as:GENC:6:ed2:TD-LR</t>
  </si>
  <si>
    <t>TD-MA</t>
  </si>
  <si>
    <t>Mandoul</t>
  </si>
  <si>
    <t>as:GENC:6:ed2:TD-MA</t>
  </si>
  <si>
    <t>TD-ME</t>
  </si>
  <si>
    <t>Mayo-Kébbi Est</t>
  </si>
  <si>
    <t>as:GENC:6:ed2:TD-ME</t>
  </si>
  <si>
    <t>TD-MO</t>
  </si>
  <si>
    <t>Mayo-Kébbi Ouest</t>
  </si>
  <si>
    <t>as:GENC:6:ed2:TD-MO</t>
  </si>
  <si>
    <t>TD-MC</t>
  </si>
  <si>
    <t>Moyen-Chari</t>
  </si>
  <si>
    <t>as:GENC:6:ed2:TD-MC</t>
  </si>
  <si>
    <t>TD-OD</t>
  </si>
  <si>
    <t>Ouaddaï</t>
  </si>
  <si>
    <t>as:GENC:6:ed2:TD-OD</t>
  </si>
  <si>
    <t>TD-SA</t>
  </si>
  <si>
    <t>Salamat</t>
  </si>
  <si>
    <t>as:GENC:6:ed2:TD-SA</t>
  </si>
  <si>
    <t>TD-SI</t>
  </si>
  <si>
    <t>Sila</t>
  </si>
  <si>
    <t>as:GENC:6:ed2:TD-SI</t>
  </si>
  <si>
    <t>TD-TA</t>
  </si>
  <si>
    <t>Tandjilé</t>
  </si>
  <si>
    <t>as:GENC:6:ed2:TD-TA</t>
  </si>
  <si>
    <t>TD-TI</t>
  </si>
  <si>
    <t>Tibesti</t>
  </si>
  <si>
    <t>as:GENC:6:ed2:TD-TI</t>
  </si>
  <si>
    <t>TD-ND</t>
  </si>
  <si>
    <t>Ville de N’Djaména</t>
  </si>
  <si>
    <t>as:GENC:6:ed2:TD-ND</t>
  </si>
  <si>
    <t>TD-WF</t>
  </si>
  <si>
    <t>Wadi Fira</t>
  </si>
  <si>
    <t>as:GENC:6:ed2:TD-WF</t>
  </si>
  <si>
    <t>CL-AN</t>
  </si>
  <si>
    <t>Antofagasta</t>
  </si>
  <si>
    <t>as:ISO2:6:ed3:CL-AN</t>
  </si>
  <si>
    <t>CL-AR</t>
  </si>
  <si>
    <t>Araucanía</t>
  </si>
  <si>
    <t>as:ISO2:6:ed3:CL-AR</t>
  </si>
  <si>
    <t>CL-AP</t>
  </si>
  <si>
    <t>Arica y Parinacota</t>
  </si>
  <si>
    <t>as:ISO2:6:ed3:CL-AP</t>
  </si>
  <si>
    <t>CL-AT</t>
  </si>
  <si>
    <t>Atacama</t>
  </si>
  <si>
    <t>as:ISO2:6:ed3:CL-AT</t>
  </si>
  <si>
    <t>CL-AI</t>
  </si>
  <si>
    <t>Aysén</t>
  </si>
  <si>
    <t>as:GENC:6:ed2:CL-AI</t>
  </si>
  <si>
    <t>CL-BI</t>
  </si>
  <si>
    <t>Biobío</t>
  </si>
  <si>
    <t>as:GENC:6:ed2:CL-BI</t>
  </si>
  <si>
    <t>CL-CO</t>
  </si>
  <si>
    <t>Coquimbo</t>
  </si>
  <si>
    <t>as:ISO2:6:ed3:CL-CO</t>
  </si>
  <si>
    <t>CL-LI</t>
  </si>
  <si>
    <t>Libertador General Bernardo O’Higgins</t>
  </si>
  <si>
    <t>as:GENC:6:ed2:CL-LI</t>
  </si>
  <si>
    <t>CL-LL</t>
  </si>
  <si>
    <t>Los Lagos</t>
  </si>
  <si>
    <t>as:ISO2:6:ed3:CL-LL</t>
  </si>
  <si>
    <t>CL-LR</t>
  </si>
  <si>
    <t>Los Ríos</t>
  </si>
  <si>
    <t>as:ISO2:6:ed3:CL-LR</t>
  </si>
  <si>
    <t>CL-MA</t>
  </si>
  <si>
    <t>Magallanes y de la Antártica Chilena</t>
  </si>
  <si>
    <t>as:GENC:6:ed2:CL-MA</t>
  </si>
  <si>
    <t>CL-ML</t>
  </si>
  <si>
    <t>Maule</t>
  </si>
  <si>
    <t>as:ISO2:6:ed3:CL-ML</t>
  </si>
  <si>
    <t>CL-RM</t>
  </si>
  <si>
    <t>Región Metropolitana</t>
  </si>
  <si>
    <t>as:GENC:6:ed2:CL-RM</t>
  </si>
  <si>
    <t>CL-TA</t>
  </si>
  <si>
    <t>Tarapacá</t>
  </si>
  <si>
    <t>as:ISO2:6:ed3:CL-TA</t>
  </si>
  <si>
    <t>CL-VS</t>
  </si>
  <si>
    <t>Valparaíso</t>
  </si>
  <si>
    <t>as:ISO2:6:ed3:CL-VS</t>
  </si>
  <si>
    <t>CN-34</t>
  </si>
  <si>
    <t>Anhui</t>
  </si>
  <si>
    <t>as:ISO2:6:ed3:CN-34</t>
  </si>
  <si>
    <t>CN-11</t>
  </si>
  <si>
    <t>Beijing</t>
  </si>
  <si>
    <t>as:ISO2:6:ed3:CN-11</t>
  </si>
  <si>
    <t>CN-50</t>
  </si>
  <si>
    <t>Chongqing</t>
  </si>
  <si>
    <t>as:ISO2:6:ed3:CN-50</t>
  </si>
  <si>
    <t>CN-35</t>
  </si>
  <si>
    <t>Fujian</t>
  </si>
  <si>
    <t>as:ISO2:6:ed3:CN-35</t>
  </si>
  <si>
    <t>CN-62</t>
  </si>
  <si>
    <t>Gansu</t>
  </si>
  <si>
    <t>as:ISO2:6:ed3:CN-62</t>
  </si>
  <si>
    <t>CN-44</t>
  </si>
  <si>
    <t>Guangdong</t>
  </si>
  <si>
    <t>as:ISO2:6:ed3:CN-44</t>
  </si>
  <si>
    <t>CN-45</t>
  </si>
  <si>
    <t>Guangxi</t>
  </si>
  <si>
    <t>autonomous region</t>
  </si>
  <si>
    <t>as:ISO2:6:ed3:CN-45</t>
  </si>
  <si>
    <t>CN-52</t>
  </si>
  <si>
    <t>Guizhou</t>
  </si>
  <si>
    <t>as:ISO2:6:ed3:CN-52</t>
  </si>
  <si>
    <t>CN-46</t>
  </si>
  <si>
    <t>Hainan</t>
  </si>
  <si>
    <t>as:ISO2:6:ed3:CN-46</t>
  </si>
  <si>
    <t>CN-13</t>
  </si>
  <si>
    <t>Hebei</t>
  </si>
  <si>
    <t>as:ISO2:6:ed3:CN-13</t>
  </si>
  <si>
    <t>CN-23</t>
  </si>
  <si>
    <t>Heilongjiang</t>
  </si>
  <si>
    <t>as:ISO2:6:ed3:CN-23</t>
  </si>
  <si>
    <t>CN-41</t>
  </si>
  <si>
    <t>Henan</t>
  </si>
  <si>
    <t>as:ISO2:6:ed3:CN-41</t>
  </si>
  <si>
    <t>CN-91</t>
  </si>
  <si>
    <t>special administrative region</t>
  </si>
  <si>
    <t>as:GENC:6:ed2:CN-91</t>
  </si>
  <si>
    <t>CN-42</t>
  </si>
  <si>
    <t>Hubei</t>
  </si>
  <si>
    <t>as:ISO2:6:ed3:CN-42</t>
  </si>
  <si>
    <t>CN-43</t>
  </si>
  <si>
    <t>Hunan</t>
  </si>
  <si>
    <t>as:ISO2:6:ed3:CN-43</t>
  </si>
  <si>
    <t>CN-15</t>
  </si>
  <si>
    <t>Inner Mongolia</t>
  </si>
  <si>
    <t>as:GENC:6:ed2:CN-15</t>
  </si>
  <si>
    <t>CN-32</t>
  </si>
  <si>
    <t>Jiangsu</t>
  </si>
  <si>
    <t>as:ISO2:6:ed3:CN-32</t>
  </si>
  <si>
    <t>CN-36</t>
  </si>
  <si>
    <t>Jiangxi</t>
  </si>
  <si>
    <t>as:ISO2:6:ed3:CN-36</t>
  </si>
  <si>
    <t>CN-22</t>
  </si>
  <si>
    <t>Jilin</t>
  </si>
  <si>
    <t>as:ISO2:6:ed3:CN-22</t>
  </si>
  <si>
    <t>CN-21</t>
  </si>
  <si>
    <t>Liaoning</t>
  </si>
  <si>
    <t>as:ISO2:6:ed3:CN-21</t>
  </si>
  <si>
    <t>CN-92</t>
  </si>
  <si>
    <t>Macao</t>
  </si>
  <si>
    <t>as:GENC:6:ed2:CN-92</t>
  </si>
  <si>
    <t>CN-64</t>
  </si>
  <si>
    <t>Ningxia</t>
  </si>
  <si>
    <t>as:ISO2:6:ed3:CN-64</t>
  </si>
  <si>
    <t>CN-63</t>
  </si>
  <si>
    <t>Qinghai</t>
  </si>
  <si>
    <t>as:ISO2:6:ed3:CN-63</t>
  </si>
  <si>
    <t>CN-61</t>
  </si>
  <si>
    <t>Shaanxi</t>
  </si>
  <si>
    <t>as:ISO2:6:ed3:CN-61</t>
  </si>
  <si>
    <t>CN-37</t>
  </si>
  <si>
    <t>Shandong</t>
  </si>
  <si>
    <t>as:ISO2:6:ed3:CN-37</t>
  </si>
  <si>
    <t>CN-31</t>
  </si>
  <si>
    <t>Shanghai</t>
  </si>
  <si>
    <t>as:ISO2:6:ed3:CN-31</t>
  </si>
  <si>
    <t>CN-14</t>
  </si>
  <si>
    <t>Shanxi</t>
  </si>
  <si>
    <t>as:ISO2:6:ed3:CN-14</t>
  </si>
  <si>
    <t>CN-51</t>
  </si>
  <si>
    <t>Sichuan</t>
  </si>
  <si>
    <t>as:ISO2:6:ed3:CN-51</t>
  </si>
  <si>
    <t>CN-71</t>
  </si>
  <si>
    <t>as:GENC:6:ed2:CN-71</t>
  </si>
  <si>
    <t>CN-12</t>
  </si>
  <si>
    <t>Tianjin</t>
  </si>
  <si>
    <t>as:ISO2:6:ed3:CN-12</t>
  </si>
  <si>
    <t>CN-54</t>
  </si>
  <si>
    <t>Tibet</t>
  </si>
  <si>
    <t>as:GENC:6:ed2:CN-54</t>
  </si>
  <si>
    <t>CN-65</t>
  </si>
  <si>
    <t>Xinjiang</t>
  </si>
  <si>
    <t>as:ISO2:6:ed3:CN-65</t>
  </si>
  <si>
    <t>CN-53</t>
  </si>
  <si>
    <t>Yunnan</t>
  </si>
  <si>
    <t>as:ISO2:6:ed3:CN-53</t>
  </si>
  <si>
    <t>CN-33</t>
  </si>
  <si>
    <t>Zhejiang</t>
  </si>
  <si>
    <t>as:ISO2:6:ed3:CN-33</t>
  </si>
  <si>
    <t>CO-AMA</t>
  </si>
  <si>
    <t>as:ISO2:6:ed3:CO-AMA</t>
  </si>
  <si>
    <t>CO-ANT</t>
  </si>
  <si>
    <t>Antioquia</t>
  </si>
  <si>
    <t>as:ISO2:6:ed3:CO-ANT</t>
  </si>
  <si>
    <t>CO-ARA</t>
  </si>
  <si>
    <t>Arauca</t>
  </si>
  <si>
    <t>as:ISO2:6:ed3:CO-ARA</t>
  </si>
  <si>
    <t>CO-ATL</t>
  </si>
  <si>
    <t>Atlántico</t>
  </si>
  <si>
    <t>as:ISO2:6:ed3:CO-ATL</t>
  </si>
  <si>
    <t>CO-DC</t>
  </si>
  <si>
    <t>Bogotá</t>
  </si>
  <si>
    <t>capital district</t>
  </si>
  <si>
    <t>as:GENC:6:ed2:CO-DC</t>
  </si>
  <si>
    <t>CO-BOL</t>
  </si>
  <si>
    <t>Bolívar</t>
  </si>
  <si>
    <t>as:ISO2:6:ed3:CO-BOL</t>
  </si>
  <si>
    <t>CO-BOY</t>
  </si>
  <si>
    <t>Boyacá</t>
  </si>
  <si>
    <t>as:ISO2:6:ed3:CO-BOY</t>
  </si>
  <si>
    <t>CO-CAL</t>
  </si>
  <si>
    <t>Caldas</t>
  </si>
  <si>
    <t>as:ISO2:6:ed3:CO-CAL</t>
  </si>
  <si>
    <t>CO-CAQ</t>
  </si>
  <si>
    <t>Caquetá</t>
  </si>
  <si>
    <t>as:ISO2:6:ed3:CO-CAQ</t>
  </si>
  <si>
    <t>CO-CAS</t>
  </si>
  <si>
    <t>Casanare</t>
  </si>
  <si>
    <t>as:ISO2:6:ed3:CO-CAS</t>
  </si>
  <si>
    <t>CO-CAU</t>
  </si>
  <si>
    <t>Cauca</t>
  </si>
  <si>
    <t>as:ISO2:6:ed3:CO-CAU</t>
  </si>
  <si>
    <t>CO-CES</t>
  </si>
  <si>
    <t>Cesar</t>
  </si>
  <si>
    <t>as:ISO2:6:ed3:CO-CES</t>
  </si>
  <si>
    <t>CO-CHO</t>
  </si>
  <si>
    <t>Chocó</t>
  </si>
  <si>
    <t>as:ISO2:6:ed3:CO-CHO</t>
  </si>
  <si>
    <t>CO-COR</t>
  </si>
  <si>
    <t>as:ISO2:6:ed3:CO-COR</t>
  </si>
  <si>
    <t>CO-CUN</t>
  </si>
  <si>
    <t>Cundinamarca</t>
  </si>
  <si>
    <t>as:ISO2:6:ed3:CO-CUN</t>
  </si>
  <si>
    <t>CO-GUA</t>
  </si>
  <si>
    <t>Guainía</t>
  </si>
  <si>
    <t>as:ISO2:6:ed3:CO-GUA</t>
  </si>
  <si>
    <t>CO-GUV</t>
  </si>
  <si>
    <t>Guaviare</t>
  </si>
  <si>
    <t>as:ISO2:6:ed3:CO-GUV</t>
  </si>
  <si>
    <t>CO-HUI</t>
  </si>
  <si>
    <t>Huila</t>
  </si>
  <si>
    <t>as:ISO2:6:ed3:CO-HUI</t>
  </si>
  <si>
    <t>CO-LAG</t>
  </si>
  <si>
    <t>La Guajira</t>
  </si>
  <si>
    <t>as:ISO2:6:ed3:CO-LAG</t>
  </si>
  <si>
    <t>CO-MAG</t>
  </si>
  <si>
    <t>Magdalena</t>
  </si>
  <si>
    <t>as:ISO2:6:ed3:CO-MAG</t>
  </si>
  <si>
    <t>CO-MET</t>
  </si>
  <si>
    <t>Meta</t>
  </si>
  <si>
    <t>as:ISO2:6:ed3:CO-MET</t>
  </si>
  <si>
    <t>CO-NAR</t>
  </si>
  <si>
    <t>Nariño</t>
  </si>
  <si>
    <t>as:ISO2:6:ed3:CO-NAR</t>
  </si>
  <si>
    <t>CO-NSA</t>
  </si>
  <si>
    <t>Norte de Santander</t>
  </si>
  <si>
    <t>as:ISO2:6:ed3:CO-NSA</t>
  </si>
  <si>
    <t>CO-PUT</t>
  </si>
  <si>
    <t>Putumayo</t>
  </si>
  <si>
    <t>as:ISO2:6:ed3:CO-PUT</t>
  </si>
  <si>
    <t>CO-QUI</t>
  </si>
  <si>
    <t>Quindío</t>
  </si>
  <si>
    <t>as:ISO2:6:ed3:CO-QUI</t>
  </si>
  <si>
    <t>CO-RIS</t>
  </si>
  <si>
    <t>Risaralda</t>
  </si>
  <si>
    <t>as:ISO2:6:ed3:CO-RIS</t>
  </si>
  <si>
    <t>CO-SAP</t>
  </si>
  <si>
    <t>San Andrés y Providencia</t>
  </si>
  <si>
    <t>as:GENC:6:ed2:CO-SAP</t>
  </si>
  <si>
    <t>CO-SAN</t>
  </si>
  <si>
    <t>Santander</t>
  </si>
  <si>
    <t>as:ISO2:6:ed3:CO-SAN</t>
  </si>
  <si>
    <t>CO-SUC</t>
  </si>
  <si>
    <t>Sucre</t>
  </si>
  <si>
    <t>as:ISO2:6:ed3:CO-SUC</t>
  </si>
  <si>
    <t>CO-TOL</t>
  </si>
  <si>
    <t>Tolima</t>
  </si>
  <si>
    <t>as:ISO2:6:ed3:CO-TOL</t>
  </si>
  <si>
    <t>CO-VAC</t>
  </si>
  <si>
    <t>Valle del Cauca</t>
  </si>
  <si>
    <t>as:ISO2:6:ed3:CO-VAC</t>
  </si>
  <si>
    <t>CO-VAU</t>
  </si>
  <si>
    <t>Vaupés</t>
  </si>
  <si>
    <t>as:ISO2:6:ed3:CO-VAU</t>
  </si>
  <si>
    <t>CO-VID</t>
  </si>
  <si>
    <t>Vichada</t>
  </si>
  <si>
    <t>as:ISO2:6:ed3:CO-VID</t>
  </si>
  <si>
    <t>KM-A</t>
  </si>
  <si>
    <t>Anjouan</t>
  </si>
  <si>
    <t>autonomous island</t>
  </si>
  <si>
    <t>as:GENC:6:ed2:KM-A</t>
  </si>
  <si>
    <t>KM-G</t>
  </si>
  <si>
    <t>Grande Comore</t>
  </si>
  <si>
    <t>as:GENC:6:ed2:KM-G</t>
  </si>
  <si>
    <t>KM-M</t>
  </si>
  <si>
    <t>Mohéli</t>
  </si>
  <si>
    <t>as:GENC:6:ed2:KM-M</t>
  </si>
  <si>
    <t>CG-11</t>
  </si>
  <si>
    <t>Bouenza</t>
  </si>
  <si>
    <t>as:GENC:6:ed2:CG-11</t>
  </si>
  <si>
    <t>CG-BZV</t>
  </si>
  <si>
    <t>Brazzaville</t>
  </si>
  <si>
    <t>as:GENC:6:ed2:CG-BZV</t>
  </si>
  <si>
    <t>CG-8</t>
  </si>
  <si>
    <t>Cuvette</t>
  </si>
  <si>
    <t>as:GENC:6:ed2:CG-8</t>
  </si>
  <si>
    <t>CG-15</t>
  </si>
  <si>
    <t>Cuvette-Ouest</t>
  </si>
  <si>
    <t>as:GENC:6:ed2:CG-15</t>
  </si>
  <si>
    <t>CG-5</t>
  </si>
  <si>
    <t>Kouilou</t>
  </si>
  <si>
    <t>as:GENC:6:ed2:CG-5</t>
  </si>
  <si>
    <t>CG-2</t>
  </si>
  <si>
    <t>Lékoumou</t>
  </si>
  <si>
    <t>as:GENC:6:ed2:CG-2</t>
  </si>
  <si>
    <t>CG-7</t>
  </si>
  <si>
    <t>Likouala</t>
  </si>
  <si>
    <t>as:GENC:6:ed2:CG-7</t>
  </si>
  <si>
    <t>CG-9</t>
  </si>
  <si>
    <t>Niari</t>
  </si>
  <si>
    <t>as:GENC:6:ed2:CG-9</t>
  </si>
  <si>
    <t>CG-14</t>
  </si>
  <si>
    <t>Plateaux</t>
  </si>
  <si>
    <t>as:GENC:6:ed2:CG-14</t>
  </si>
  <si>
    <t>CG-16</t>
  </si>
  <si>
    <t>Pointe-Noire</t>
  </si>
  <si>
    <t>as:GENC:6:ed2:CG-16</t>
  </si>
  <si>
    <t>CG-12</t>
  </si>
  <si>
    <t>Pool</t>
  </si>
  <si>
    <t>as:GENC:6:ed2:CG-12</t>
  </si>
  <si>
    <t>CG-13</t>
  </si>
  <si>
    <t>Sangha</t>
  </si>
  <si>
    <t>as:GENC:6:ed2:CG-13</t>
  </si>
  <si>
    <t>CD-BN</t>
  </si>
  <si>
    <t>Bandundu</t>
  </si>
  <si>
    <t>as:ISO2:6:ed3:CD-BN</t>
  </si>
  <si>
    <t>CD-BC</t>
  </si>
  <si>
    <t>Bas-Congo</t>
  </si>
  <si>
    <t>as:ISO2:6:ed3:CD-BC</t>
  </si>
  <si>
    <t>CD-EQ</t>
  </si>
  <si>
    <t>Équateur</t>
  </si>
  <si>
    <t>as:ISO2:6:ed3:CD-EQ</t>
  </si>
  <si>
    <t>CD-KW</t>
  </si>
  <si>
    <t>Kasaï-Occidental</t>
  </si>
  <si>
    <t>as:GENC:6:ed2:CD-KW</t>
  </si>
  <si>
    <t>CD-KE</t>
  </si>
  <si>
    <t>Kasaï-Oriental</t>
  </si>
  <si>
    <t>as:GENC:6:ed2:CD-KE</t>
  </si>
  <si>
    <t>CD-KA</t>
  </si>
  <si>
    <t>Katanga</t>
  </si>
  <si>
    <t>as:ISO2:6:ed3:CD-KA</t>
  </si>
  <si>
    <t>CD-KN</t>
  </si>
  <si>
    <t>Kinshasa</t>
  </si>
  <si>
    <t>as:GENC:6:ed2:CD-KN</t>
  </si>
  <si>
    <t>CD-MA</t>
  </si>
  <si>
    <t>Maniema</t>
  </si>
  <si>
    <t>as:ISO2:6:ed3:CD-MA</t>
  </si>
  <si>
    <t>CD-NK</t>
  </si>
  <si>
    <t>Nord-Kivu</t>
  </si>
  <si>
    <t>as:ISO2:6:ed3:CD-NK</t>
  </si>
  <si>
    <t>CD-OR</t>
  </si>
  <si>
    <t>Orientale</t>
  </si>
  <si>
    <t>as:ISO2:6:ed3:CD-OR</t>
  </si>
  <si>
    <t>CD-SK</t>
  </si>
  <si>
    <t>Sud-Kivu</t>
  </si>
  <si>
    <t>as:ISO2:6:ed3:CD-SK</t>
  </si>
  <si>
    <t>CR-A</t>
  </si>
  <si>
    <t>Alajuela</t>
  </si>
  <si>
    <t>as:ISO2:6:ed3:CR-A</t>
  </si>
  <si>
    <t>CR-C</t>
  </si>
  <si>
    <t>Cartago</t>
  </si>
  <si>
    <t>as:ISO2:6:ed3:CR-C</t>
  </si>
  <si>
    <t>CR-G</t>
  </si>
  <si>
    <t>Guanacaste</t>
  </si>
  <si>
    <t>as:ISO2:6:ed3:CR-G</t>
  </si>
  <si>
    <t>CR-H</t>
  </si>
  <si>
    <t>Heredia</t>
  </si>
  <si>
    <t>as:ISO2:6:ed3:CR-H</t>
  </si>
  <si>
    <t>CR-L</t>
  </si>
  <si>
    <t>Limón</t>
  </si>
  <si>
    <t>as:ISO2:6:ed3:CR-L</t>
  </si>
  <si>
    <t>CR-P</t>
  </si>
  <si>
    <t>Puntarenas</t>
  </si>
  <si>
    <t>as:ISO2:6:ed3:CR-P</t>
  </si>
  <si>
    <t>CR-SJ</t>
  </si>
  <si>
    <t>San José</t>
  </si>
  <si>
    <t>as:ISO2:6:ed3:CR-SJ</t>
  </si>
  <si>
    <t>CI-20</t>
  </si>
  <si>
    <t>Abidjan</t>
  </si>
  <si>
    <t>autonomous district</t>
  </si>
  <si>
    <t>as:GENC:6:ed2:CI-20</t>
  </si>
  <si>
    <t>CI-16</t>
  </si>
  <si>
    <t>Agnébi (Région de l')</t>
  </si>
  <si>
    <t>as:GENC:6:ed2:CI-16</t>
  </si>
  <si>
    <t>CI-17</t>
  </si>
  <si>
    <t>Bafing (Région du)</t>
  </si>
  <si>
    <t>as:GENC:6:ed2:CI-17</t>
  </si>
  <si>
    <t>CI-09</t>
  </si>
  <si>
    <t>Bas-Sassandra</t>
  </si>
  <si>
    <t>as:GENC:6:ed2:CI-09</t>
  </si>
  <si>
    <t>CI-21</t>
  </si>
  <si>
    <t>as:GENC:6:ed2:CI-21</t>
  </si>
  <si>
    <t>CI-10</t>
  </si>
  <si>
    <t>Denguélé</t>
  </si>
  <si>
    <t>as:GENC:6:ed2:CI-10</t>
  </si>
  <si>
    <t>CI-18</t>
  </si>
  <si>
    <t>Fromager (Région du)</t>
  </si>
  <si>
    <t>as:GENC:6:ed2:CI-18</t>
  </si>
  <si>
    <t>CI-22</t>
  </si>
  <si>
    <t>Gôh-Djiboua</t>
  </si>
  <si>
    <t>as:GENC:6:ed2:CI-22</t>
  </si>
  <si>
    <t>CI-02</t>
  </si>
  <si>
    <t>Haut-Sassandra (Région du)</t>
  </si>
  <si>
    <t>as:GENC:6:ed2:CI-02</t>
  </si>
  <si>
    <t>CI-07</t>
  </si>
  <si>
    <t>Lacs</t>
  </si>
  <si>
    <t>as:GENC:6:ed2:CI-07</t>
  </si>
  <si>
    <t>CI-01</t>
  </si>
  <si>
    <t>Lagunes</t>
  </si>
  <si>
    <t>as:GENC:6:ed2:CI-01</t>
  </si>
  <si>
    <t>CI-12</t>
  </si>
  <si>
    <t>Marahoué (Région de la)</t>
  </si>
  <si>
    <t>as:GENC:6:ed2:CI-12</t>
  </si>
  <si>
    <t>CI-06</t>
  </si>
  <si>
    <t>Montagnes</t>
  </si>
  <si>
    <t>as:GENC:6:ed2:CI-06</t>
  </si>
  <si>
    <t>CI-19</t>
  </si>
  <si>
    <t>Moyen-Cavally (Région du)</t>
  </si>
  <si>
    <t>as:GENC:6:ed2:CI-19</t>
  </si>
  <si>
    <t>CI-05</t>
  </si>
  <si>
    <t>Moyen-Comoé (Région du)</t>
  </si>
  <si>
    <t>as:GENC:6:ed2:CI-05</t>
  </si>
  <si>
    <t>CI-11</t>
  </si>
  <si>
    <t>Nzi-Comoé (Région)</t>
  </si>
  <si>
    <t>as:GENC:6:ed2:CI-11</t>
  </si>
  <si>
    <t>CI-23</t>
  </si>
  <si>
    <t>Sassandra-Marahoué</t>
  </si>
  <si>
    <t>as:GENC:6:ed2:CI-23</t>
  </si>
  <si>
    <t>CI-03</t>
  </si>
  <si>
    <t>Savanes</t>
  </si>
  <si>
    <t>as:GENC:6:ed2:CI-03</t>
  </si>
  <si>
    <t>CI-15</t>
  </si>
  <si>
    <t>Sud-Bandama (Région du)</t>
  </si>
  <si>
    <t>as:GENC:6:ed2:CI-15</t>
  </si>
  <si>
    <t>CI-13</t>
  </si>
  <si>
    <t>Sud-Comoé (Région du)</t>
  </si>
  <si>
    <t>as:GENC:6:ed2:CI-13</t>
  </si>
  <si>
    <t>CI-04</t>
  </si>
  <si>
    <t>Vallée du Bandama</t>
  </si>
  <si>
    <t>as:GENC:6:ed2:CI-04</t>
  </si>
  <si>
    <t>CI-24</t>
  </si>
  <si>
    <t>Woroba</t>
  </si>
  <si>
    <t>as:GENC:6:ed2:CI-24</t>
  </si>
  <si>
    <t>CI-14</t>
  </si>
  <si>
    <t>Worodougou (Région du)</t>
  </si>
  <si>
    <t>as:GENC:6:ed2:CI-14</t>
  </si>
  <si>
    <t>CI-25</t>
  </si>
  <si>
    <t>Yamoussoukro</t>
  </si>
  <si>
    <t>as:GENC:6:ed2:CI-25</t>
  </si>
  <si>
    <t>CI-08</t>
  </si>
  <si>
    <t>Zanzan</t>
  </si>
  <si>
    <t>as:GENC:6:ed2:CI-08</t>
  </si>
  <si>
    <t>HR-07</t>
  </si>
  <si>
    <t>Bjelovarsko-Bilogorska Županija</t>
  </si>
  <si>
    <t>as:GENC:6:ed2:HR-07</t>
  </si>
  <si>
    <t>HR-12</t>
  </si>
  <si>
    <t>Brodsko-Posavska Županija</t>
  </si>
  <si>
    <t>as:GENC:6:ed2:HR-12</t>
  </si>
  <si>
    <t>HR-19</t>
  </si>
  <si>
    <t>Dubrovačko-Neretvanska Županija</t>
  </si>
  <si>
    <t>as:GENC:6:ed2:HR-19</t>
  </si>
  <si>
    <t>HR-18</t>
  </si>
  <si>
    <t>Istarska Županija</t>
  </si>
  <si>
    <t>as:GENC:6:ed2:HR-18</t>
  </si>
  <si>
    <t>HR-04</t>
  </si>
  <si>
    <t>Karlovačka Županija</t>
  </si>
  <si>
    <t>as:GENC:6:ed2:HR-04</t>
  </si>
  <si>
    <t>HR-06</t>
  </si>
  <si>
    <t>Koprivničko-Križevačka Županija</t>
  </si>
  <si>
    <t>as:GENC:6:ed2:HR-06</t>
  </si>
  <si>
    <t>HR-02</t>
  </si>
  <si>
    <t>Krapinsko-Zagorska Županija</t>
  </si>
  <si>
    <t>as:GENC:6:ed2:HR-02</t>
  </si>
  <si>
    <t>HR-09</t>
  </si>
  <si>
    <t>Ličko-Senjska Županija</t>
  </si>
  <si>
    <t>as:GENC:6:ed2:HR-09</t>
  </si>
  <si>
    <t>HR-20</t>
  </si>
  <si>
    <t>Međimurska Županija</t>
  </si>
  <si>
    <t>as:GENC:6:ed2:HR-20</t>
  </si>
  <si>
    <t>HR-14</t>
  </si>
  <si>
    <t>Osječko-Baranjska Županija</t>
  </si>
  <si>
    <t>as:GENC:6:ed2:HR-14</t>
  </si>
  <si>
    <t>HR-11</t>
  </si>
  <si>
    <t>Požeško-Slavonska Županija</t>
  </si>
  <si>
    <t>as:GENC:6:ed2:HR-11</t>
  </si>
  <si>
    <t>HR-08</t>
  </si>
  <si>
    <t>Primorsko-Goranska Županija</t>
  </si>
  <si>
    <t>as:GENC:6:ed2:HR-08</t>
  </si>
  <si>
    <t>HR-15</t>
  </si>
  <si>
    <t>Šibensko-Kninska Županija</t>
  </si>
  <si>
    <t>as:GENC:6:ed2:HR-15</t>
  </si>
  <si>
    <t>HR-03</t>
  </si>
  <si>
    <t>Sisačko-Moslavačka Županija</t>
  </si>
  <si>
    <t>as:GENC:6:ed2:HR-03</t>
  </si>
  <si>
    <t>HR-17</t>
  </si>
  <si>
    <t>Splitsko-Dalmatinska Županija</t>
  </si>
  <si>
    <t>as:GENC:6:ed2:HR-17</t>
  </si>
  <si>
    <t>HR-05</t>
  </si>
  <si>
    <t>Varaždinska Županija</t>
  </si>
  <si>
    <t>as:GENC:6:ed2:HR-05</t>
  </si>
  <si>
    <t>HR-10</t>
  </si>
  <si>
    <t>Virovitičko-Podravska Županija</t>
  </si>
  <si>
    <t>as:GENC:6:ed2:HR-10</t>
  </si>
  <si>
    <t>HR-16</t>
  </si>
  <si>
    <t>Vukovarsko-Srijemska Županija</t>
  </si>
  <si>
    <t>as:GENC:6:ed2:HR-16</t>
  </si>
  <si>
    <t>HR-13</t>
  </si>
  <si>
    <t>Zadarska Županija</t>
  </si>
  <si>
    <t>as:GENC:6:ed2:HR-13</t>
  </si>
  <si>
    <t>HR-21</t>
  </si>
  <si>
    <t>Zagreb, Grad</t>
  </si>
  <si>
    <t>as:GENC:6:ed2:HR-21</t>
  </si>
  <si>
    <t>HR-01</t>
  </si>
  <si>
    <t>Zagrebačka Županija</t>
  </si>
  <si>
    <t>as:GENC:6:ed2:HR-01</t>
  </si>
  <si>
    <t>CU-15</t>
  </si>
  <si>
    <t>Artemisa</t>
  </si>
  <si>
    <t>as:GENC:6:ed2:CU-15</t>
  </si>
  <si>
    <t>CU-09</t>
  </si>
  <si>
    <t>Camagüey</t>
  </si>
  <si>
    <t>as:ISO2:6:ed3:CU-09</t>
  </si>
  <si>
    <t>CU-08</t>
  </si>
  <si>
    <t>Ciego de Ávila</t>
  </si>
  <si>
    <t>as:ISO2:6:ed3:CU-08</t>
  </si>
  <si>
    <t>CU-06</t>
  </si>
  <si>
    <t>Cienfuegos</t>
  </si>
  <si>
    <t>as:ISO2:6:ed3:CU-06</t>
  </si>
  <si>
    <t>CU-12</t>
  </si>
  <si>
    <t>Granma</t>
  </si>
  <si>
    <t>as:ISO2:6:ed3:CU-12</t>
  </si>
  <si>
    <t>CU-14</t>
  </si>
  <si>
    <t>Guantánamo</t>
  </si>
  <si>
    <t>as:ISO2:6:ed3:CU-14</t>
  </si>
  <si>
    <t>CU-11</t>
  </si>
  <si>
    <t>Holguín</t>
  </si>
  <si>
    <t>as:ISO2:6:ed3:CU-11</t>
  </si>
  <si>
    <t>CU-99</t>
  </si>
  <si>
    <t>Isla de la Juventud</t>
  </si>
  <si>
    <t>as:ISO2:6:ed3:CU-99</t>
  </si>
  <si>
    <t>CU-03</t>
  </si>
  <si>
    <t>La Habana</t>
  </si>
  <si>
    <t>as:GENC:6:ed2:CU-03</t>
  </si>
  <si>
    <t>CU-02</t>
  </si>
  <si>
    <t>as:GENC:6:ed2:CU-02</t>
  </si>
  <si>
    <t>CU-10</t>
  </si>
  <si>
    <t>Las Tunas</t>
  </si>
  <si>
    <t>as:ISO2:6:ed3:CU-10</t>
  </si>
  <si>
    <t>CU-04</t>
  </si>
  <si>
    <t>Matanzas</t>
  </si>
  <si>
    <t>as:ISO2:6:ed3:CU-04</t>
  </si>
  <si>
    <t>CU-16</t>
  </si>
  <si>
    <t>Mayabeque</t>
  </si>
  <si>
    <t>as:GENC:6:ed2:CU-16</t>
  </si>
  <si>
    <t>CU-01</t>
  </si>
  <si>
    <t>Pinar del Río</t>
  </si>
  <si>
    <t>as:ISO2:6:ed3:CU-01</t>
  </si>
  <si>
    <t>CU-07</t>
  </si>
  <si>
    <t>Sancti Spíritus</t>
  </si>
  <si>
    <t>as:ISO2:6:ed3:CU-07</t>
  </si>
  <si>
    <t>CU-13</t>
  </si>
  <si>
    <t>Santiago de Cuba</t>
  </si>
  <si>
    <t>as:ISO2:6:ed3:CU-13</t>
  </si>
  <si>
    <t>CU-05</t>
  </si>
  <si>
    <t>Villa Clara</t>
  </si>
  <si>
    <t>as:ISO2:6:ed3:CU-05</t>
  </si>
  <si>
    <t>CY-04</t>
  </si>
  <si>
    <t>Ammóchostos</t>
  </si>
  <si>
    <t>as:GENC:6:ed2:CY-04</t>
  </si>
  <si>
    <t>CY-06</t>
  </si>
  <si>
    <t>Kerýneia</t>
  </si>
  <si>
    <t>as:GENC:6:ed2:CY-06</t>
  </si>
  <si>
    <t>CY-03</t>
  </si>
  <si>
    <t>Lárnaka</t>
  </si>
  <si>
    <t>as:GENC:6:ed2:CY-03</t>
  </si>
  <si>
    <t>CY-01</t>
  </si>
  <si>
    <t>Lefkosía</t>
  </si>
  <si>
    <t>as:GENC:6:ed2:CY-01</t>
  </si>
  <si>
    <t>CY-02</t>
  </si>
  <si>
    <t>Lemesós</t>
  </si>
  <si>
    <t>as:GENC:6:ed2:CY-02</t>
  </si>
  <si>
    <t>CY-05</t>
  </si>
  <si>
    <t>Páfos</t>
  </si>
  <si>
    <t>as:GENC:6:ed2:CY-05</t>
  </si>
  <si>
    <t>CZ-201</t>
  </si>
  <si>
    <t>Benešov</t>
  </si>
  <si>
    <t>as:ISO2:6:ed3:CZ-201</t>
  </si>
  <si>
    <t>CZ-202</t>
  </si>
  <si>
    <t>Beroun</t>
  </si>
  <si>
    <t>as:ISO2:6:ed3:CZ-202</t>
  </si>
  <si>
    <t>CZ-621</t>
  </si>
  <si>
    <t>Blansko</t>
  </si>
  <si>
    <t>as:ISO2:6:ed3:CZ-621</t>
  </si>
  <si>
    <t>CZ-624</t>
  </si>
  <si>
    <t>Břeclav</t>
  </si>
  <si>
    <t>as:ISO2:6:ed3:CZ-624</t>
  </si>
  <si>
    <t>CZ-623</t>
  </si>
  <si>
    <t>Brno-Venkov</t>
  </si>
  <si>
    <t>as:GENC:6:ed2:CZ-623</t>
  </si>
  <si>
    <t>CZ-801</t>
  </si>
  <si>
    <t>Bruntál</t>
  </si>
  <si>
    <t>as:ISO2:6:ed3:CZ-801</t>
  </si>
  <si>
    <t>CZ-511</t>
  </si>
  <si>
    <t>Česká Lípa</t>
  </si>
  <si>
    <t>as:ISO2:6:ed3:CZ-511</t>
  </si>
  <si>
    <t>CZ-311</t>
  </si>
  <si>
    <t>České Budějovice</t>
  </si>
  <si>
    <t>as:ISO2:6:ed3:CZ-311</t>
  </si>
  <si>
    <t>CZ-312</t>
  </si>
  <si>
    <t>Český Krumlov</t>
  </si>
  <si>
    <t>as:ISO2:6:ed3:CZ-312</t>
  </si>
  <si>
    <t>CZ-411</t>
  </si>
  <si>
    <t>Cheb</t>
  </si>
  <si>
    <t>as:ISO2:6:ed3:CZ-411</t>
  </si>
  <si>
    <t>CZ-422</t>
  </si>
  <si>
    <t>Chomutov</t>
  </si>
  <si>
    <t>as:ISO2:6:ed3:CZ-422</t>
  </si>
  <si>
    <t>CZ-531</t>
  </si>
  <si>
    <t>Chrudim</t>
  </si>
  <si>
    <t>as:ISO2:6:ed3:CZ-531</t>
  </si>
  <si>
    <t>CZ-421</t>
  </si>
  <si>
    <t>Děčín</t>
  </si>
  <si>
    <t>as:ISO2:6:ed3:CZ-421</t>
  </si>
  <si>
    <t>CZ-321</t>
  </si>
  <si>
    <t>Domažlice</t>
  </si>
  <si>
    <t>as:ISO2:6:ed3:CZ-321</t>
  </si>
  <si>
    <t>CZ-802</t>
  </si>
  <si>
    <t>Frýdek-Místek</t>
  </si>
  <si>
    <t>as:ISO2:6:ed3:CZ-802</t>
  </si>
  <si>
    <t>CZ-611</t>
  </si>
  <si>
    <t>Havlíčkův Brod</t>
  </si>
  <si>
    <t>as:ISO2:6:ed3:CZ-611</t>
  </si>
  <si>
    <t>CZ-625</t>
  </si>
  <si>
    <t>Hodonín</t>
  </si>
  <si>
    <t>as:ISO2:6:ed3:CZ-625</t>
  </si>
  <si>
    <t>CZ-521</t>
  </si>
  <si>
    <t>Hradec Králové</t>
  </si>
  <si>
    <t>as:ISO2:6:ed3:CZ-521</t>
  </si>
  <si>
    <t>CZ-512</t>
  </si>
  <si>
    <t>Jablonec nad Nisou</t>
  </si>
  <si>
    <t>as:ISO2:6:ed3:CZ-512</t>
  </si>
  <si>
    <t>CZ-711</t>
  </si>
  <si>
    <t>Jeseník</t>
  </si>
  <si>
    <t>as:ISO2:6:ed3:CZ-711</t>
  </si>
  <si>
    <t>CZ-522</t>
  </si>
  <si>
    <t>Jičín</t>
  </si>
  <si>
    <t>as:ISO2:6:ed3:CZ-522</t>
  </si>
  <si>
    <t>CZ-612</t>
  </si>
  <si>
    <t>Jihlava</t>
  </si>
  <si>
    <t>as:ISO2:6:ed3:CZ-612</t>
  </si>
  <si>
    <t>CZ-JC</t>
  </si>
  <si>
    <t xml:space="preserve">Jihočeský Kraj </t>
  </si>
  <si>
    <t>as:GENC:6:ed2:CZ-JC</t>
  </si>
  <si>
    <t>CZ-JM</t>
  </si>
  <si>
    <t>Jihomoravský Kraj</t>
  </si>
  <si>
    <t>as:GENC:6:ed2:CZ-JM</t>
  </si>
  <si>
    <t>CZ-313</t>
  </si>
  <si>
    <t>Jindřichův Hradec</t>
  </si>
  <si>
    <t>as:ISO2:6:ed3:CZ-313</t>
  </si>
  <si>
    <t>CZ-KA</t>
  </si>
  <si>
    <t>Karlovarský Kraj</t>
  </si>
  <si>
    <t>as:GENC:6:ed2:CZ-KA</t>
  </si>
  <si>
    <t>CZ-412</t>
  </si>
  <si>
    <t>Karlovy Vary</t>
  </si>
  <si>
    <t>as:ISO2:6:ed3:CZ-412</t>
  </si>
  <si>
    <t>CZ-803</t>
  </si>
  <si>
    <t>Karviná</t>
  </si>
  <si>
    <t>as:ISO2:6:ed3:CZ-803</t>
  </si>
  <si>
    <t>CZ-203</t>
  </si>
  <si>
    <t>Kladno</t>
  </si>
  <si>
    <t>as:ISO2:6:ed3:CZ-203</t>
  </si>
  <si>
    <t>CZ-322</t>
  </si>
  <si>
    <t>Klatovy</t>
  </si>
  <si>
    <t>as:ISO2:6:ed3:CZ-322</t>
  </si>
  <si>
    <t>CZ-204</t>
  </si>
  <si>
    <t>Kolín</t>
  </si>
  <si>
    <t>as:ISO2:6:ed3:CZ-204</t>
  </si>
  <si>
    <t>CZ-KR</t>
  </si>
  <si>
    <t>Královéhradecký Kraj</t>
  </si>
  <si>
    <t>as:GENC:6:ed2:CZ-KR</t>
  </si>
  <si>
    <t>CZ-721</t>
  </si>
  <si>
    <t>Kroměříž</t>
  </si>
  <si>
    <t>as:ISO2:6:ed3:CZ-721</t>
  </si>
  <si>
    <t>CZ-205</t>
  </si>
  <si>
    <t>Kutná Hora</t>
  </si>
  <si>
    <t>as:ISO2:6:ed3:CZ-205</t>
  </si>
  <si>
    <t>CZ-513</t>
  </si>
  <si>
    <t>Liberec</t>
  </si>
  <si>
    <t>as:ISO2:6:ed3:CZ-513</t>
  </si>
  <si>
    <t>CZ-LI</t>
  </si>
  <si>
    <t>Liberecký Kraj</t>
  </si>
  <si>
    <t>as:GENC:6:ed2:CZ-LI</t>
  </si>
  <si>
    <t>CZ-423</t>
  </si>
  <si>
    <t>Litoměřice</t>
  </si>
  <si>
    <t>as:ISO2:6:ed3:CZ-423</t>
  </si>
  <si>
    <t>CZ-424</t>
  </si>
  <si>
    <t>Louny</t>
  </si>
  <si>
    <t>as:ISO2:6:ed3:CZ-424</t>
  </si>
  <si>
    <t>CZ-206</t>
  </si>
  <si>
    <t>Mělník</t>
  </si>
  <si>
    <t>as:ISO2:6:ed3:CZ-206</t>
  </si>
  <si>
    <t>CZ-622</t>
  </si>
  <si>
    <t>Město Brno</t>
  </si>
  <si>
    <t>as:GENC:6:ed2:CZ-622</t>
  </si>
  <si>
    <t>CZ-207</t>
  </si>
  <si>
    <t>Mladá Boleslav</t>
  </si>
  <si>
    <t>as:ISO2:6:ed3:CZ-207</t>
  </si>
  <si>
    <t>CZ-MO</t>
  </si>
  <si>
    <t xml:space="preserve">Moravskoslezský Kraj </t>
  </si>
  <si>
    <t>as:GENC:6:ed2:CZ-MO</t>
  </si>
  <si>
    <t>CZ-425</t>
  </si>
  <si>
    <t>Most</t>
  </si>
  <si>
    <t>as:ISO2:6:ed3:CZ-425</t>
  </si>
  <si>
    <t>CZ-523</t>
  </si>
  <si>
    <t>Náchod</t>
  </si>
  <si>
    <t>as:ISO2:6:ed3:CZ-523</t>
  </si>
  <si>
    <t>CZ-804</t>
  </si>
  <si>
    <t>Nový Jičín</t>
  </si>
  <si>
    <t>as:ISO2:6:ed3:CZ-804</t>
  </si>
  <si>
    <t>CZ-208</t>
  </si>
  <si>
    <t>Nymburk</t>
  </si>
  <si>
    <t>as:ISO2:6:ed3:CZ-208</t>
  </si>
  <si>
    <t>CZ-712</t>
  </si>
  <si>
    <t>Olomouc</t>
  </si>
  <si>
    <t>as:ISO2:6:ed3:CZ-712</t>
  </si>
  <si>
    <t>CZ-OL</t>
  </si>
  <si>
    <t>Olomoucký Kraj</t>
  </si>
  <si>
    <t>as:GENC:6:ed2:CZ-OL</t>
  </si>
  <si>
    <t>CZ-805</t>
  </si>
  <si>
    <t>Opava</t>
  </si>
  <si>
    <t>as:ISO2:6:ed3:CZ-805</t>
  </si>
  <si>
    <t>CZ-806</t>
  </si>
  <si>
    <t>Ostrava-Město</t>
  </si>
  <si>
    <t>as:GENC:6:ed2:CZ-806</t>
  </si>
  <si>
    <t>CZ-532</t>
  </si>
  <si>
    <t>Pardubice</t>
  </si>
  <si>
    <t>as:ISO2:6:ed3:CZ-532</t>
  </si>
  <si>
    <t>CZ-PA</t>
  </si>
  <si>
    <t>Pardubický Kraj</t>
  </si>
  <si>
    <t>as:GENC:6:ed2:CZ-PA</t>
  </si>
  <si>
    <t>CZ-613</t>
  </si>
  <si>
    <t>Pelhřimov</t>
  </si>
  <si>
    <t>as:ISO2:6:ed3:CZ-613</t>
  </si>
  <si>
    <t>CZ-314</t>
  </si>
  <si>
    <t>Písek</t>
  </si>
  <si>
    <t>as:ISO2:6:ed3:CZ-314</t>
  </si>
  <si>
    <t>CZ-324</t>
  </si>
  <si>
    <t>Plzeň-Jih</t>
  </si>
  <si>
    <t>as:GENC:6:ed2:CZ-324</t>
  </si>
  <si>
    <t>CZ-323</t>
  </si>
  <si>
    <t>Plzeň-Město</t>
  </si>
  <si>
    <t>as:GENC:6:ed2:CZ-323</t>
  </si>
  <si>
    <t>CZ-325</t>
  </si>
  <si>
    <t>Plzeň-Sever</t>
  </si>
  <si>
    <t>as:GENC:6:ed2:CZ-325</t>
  </si>
  <si>
    <t>CZ-PL</t>
  </si>
  <si>
    <t>Plzeňský Kraj</t>
  </si>
  <si>
    <t>as:GENC:6:ed2:CZ-PL</t>
  </si>
  <si>
    <t>CZ-315</t>
  </si>
  <si>
    <t>Prachatice</t>
  </si>
  <si>
    <t>as:ISO2:6:ed3:CZ-315</t>
  </si>
  <si>
    <t>CZ-PR</t>
  </si>
  <si>
    <t>Praha, Hlavní Město</t>
  </si>
  <si>
    <t>as:GENC:6:ed2:CZ-PR</t>
  </si>
  <si>
    <t>CZ-10E</t>
  </si>
  <si>
    <t>Praha Čtrnáct</t>
  </si>
  <si>
    <t>as:GENC:6:ed2:CZ-10E</t>
  </si>
  <si>
    <t>CZ-104</t>
  </si>
  <si>
    <t>Praha Čtyři</t>
  </si>
  <si>
    <t>as:GENC:6:ed2:CZ-104</t>
  </si>
  <si>
    <t>CZ-10A</t>
  </si>
  <si>
    <t>Praha Deset</t>
  </si>
  <si>
    <t>as:GENC:6:ed2:CZ-10A</t>
  </si>
  <si>
    <t>CZ-109</t>
  </si>
  <si>
    <t>Praha Devět</t>
  </si>
  <si>
    <t>as:GENC:6:ed2:CZ-109</t>
  </si>
  <si>
    <t>CZ-102</t>
  </si>
  <si>
    <t>Praha Dva</t>
  </si>
  <si>
    <t>as:GENC:6:ed2:CZ-102</t>
  </si>
  <si>
    <t>CZ-10C</t>
  </si>
  <si>
    <t>Praha Dvanáct</t>
  </si>
  <si>
    <t>as:GENC:6:ed2:CZ-10C</t>
  </si>
  <si>
    <t>CZ-101</t>
  </si>
  <si>
    <t>Praha Jeden</t>
  </si>
  <si>
    <t>as:GENC:6:ed2:CZ-101</t>
  </si>
  <si>
    <t>CZ-10B</t>
  </si>
  <si>
    <t xml:space="preserve">Praha Jedenáct </t>
  </si>
  <si>
    <t>as:GENC:6:ed2:CZ-10B</t>
  </si>
  <si>
    <t>CZ-108</t>
  </si>
  <si>
    <t>Praha Osm</t>
  </si>
  <si>
    <t>as:GENC:6:ed2:CZ-108</t>
  </si>
  <si>
    <t>CZ-10F</t>
  </si>
  <si>
    <t>Praha Patnáct</t>
  </si>
  <si>
    <t>as:GENC:6:ed2:CZ-10F</t>
  </si>
  <si>
    <t>CZ-105</t>
  </si>
  <si>
    <t>Praha Pět</t>
  </si>
  <si>
    <t>as:GENC:6:ed2:CZ-105</t>
  </si>
  <si>
    <t>CZ-107</t>
  </si>
  <si>
    <t>Praha Sedm</t>
  </si>
  <si>
    <t>as:GENC:6:ed2:CZ-107</t>
  </si>
  <si>
    <t>CZ-106</t>
  </si>
  <si>
    <t>Praha Šest</t>
  </si>
  <si>
    <t>as:GENC:6:ed2:CZ-106</t>
  </si>
  <si>
    <t>CZ-103</t>
  </si>
  <si>
    <t>Praha Tři</t>
  </si>
  <si>
    <t>as:GENC:6:ed2:CZ-103</t>
  </si>
  <si>
    <t>CZ-10D</t>
  </si>
  <si>
    <t>Praha Třináct</t>
  </si>
  <si>
    <t>as:GENC:6:ed2:CZ-10D</t>
  </si>
  <si>
    <t>CZ-209</t>
  </si>
  <si>
    <t>Praha-Východ</t>
  </si>
  <si>
    <t>as:GENC:6:ed2:CZ-209</t>
  </si>
  <si>
    <t>CZ-20A</t>
  </si>
  <si>
    <t>Praha-Západ</t>
  </si>
  <si>
    <t>as:GENC:6:ed2:CZ-20A</t>
  </si>
  <si>
    <t>CZ-714</t>
  </si>
  <si>
    <t>Přerov</t>
  </si>
  <si>
    <t>as:ISO2:6:ed3:CZ-714</t>
  </si>
  <si>
    <t>CZ-20B</t>
  </si>
  <si>
    <t>Příbram</t>
  </si>
  <si>
    <t>as:ISO2:6:ed3:CZ-20B</t>
  </si>
  <si>
    <t>CZ-713</t>
  </si>
  <si>
    <t>Prostějov</t>
  </si>
  <si>
    <t>as:ISO2:6:ed3:CZ-713</t>
  </si>
  <si>
    <t>CZ-20C</t>
  </si>
  <si>
    <t>Rakovník</t>
  </si>
  <si>
    <t>as:ISO2:6:ed3:CZ-20C</t>
  </si>
  <si>
    <t>CZ-326</t>
  </si>
  <si>
    <t>Rokycany</t>
  </si>
  <si>
    <t>as:ISO2:6:ed3:CZ-326</t>
  </si>
  <si>
    <t>CZ-524</t>
  </si>
  <si>
    <t>Rychnov nad Kněžnou</t>
  </si>
  <si>
    <t>as:ISO2:6:ed3:CZ-524</t>
  </si>
  <si>
    <t>CZ-514</t>
  </si>
  <si>
    <t>Semily</t>
  </si>
  <si>
    <t>as:ISO2:6:ed3:CZ-514</t>
  </si>
  <si>
    <t>CZ-413</t>
  </si>
  <si>
    <t>Sokolov</t>
  </si>
  <si>
    <t>as:ISO2:6:ed3:CZ-413</t>
  </si>
  <si>
    <t>CZ-316</t>
  </si>
  <si>
    <t>Strakonice</t>
  </si>
  <si>
    <t>as:ISO2:6:ed3:CZ-316</t>
  </si>
  <si>
    <t>CZ-ST</t>
  </si>
  <si>
    <t>Středočeský Kraj</t>
  </si>
  <si>
    <t>as:GENC:6:ed2:CZ-ST</t>
  </si>
  <si>
    <t>CZ-715</t>
  </si>
  <si>
    <t>Šumperk</t>
  </si>
  <si>
    <t>as:ISO2:6:ed3:CZ-715</t>
  </si>
  <si>
    <t>CZ-533</t>
  </si>
  <si>
    <t>Svitavy</t>
  </si>
  <si>
    <t>as:ISO2:6:ed3:CZ-533</t>
  </si>
  <si>
    <t>CZ-317</t>
  </si>
  <si>
    <t>Tábor</t>
  </si>
  <si>
    <t>as:ISO2:6:ed3:CZ-317</t>
  </si>
  <si>
    <t>CZ-327</t>
  </si>
  <si>
    <t>Tachov</t>
  </si>
  <si>
    <t>as:ISO2:6:ed3:CZ-327</t>
  </si>
  <si>
    <t>CZ-426</t>
  </si>
  <si>
    <t>Teplice</t>
  </si>
  <si>
    <t>as:ISO2:6:ed3:CZ-426</t>
  </si>
  <si>
    <t>CZ-614</t>
  </si>
  <si>
    <t>Třebíč</t>
  </si>
  <si>
    <t>as:ISO2:6:ed3:CZ-614</t>
  </si>
  <si>
    <t>CZ-525</t>
  </si>
  <si>
    <t>Trutnov</t>
  </si>
  <si>
    <t>as:ISO2:6:ed3:CZ-525</t>
  </si>
  <si>
    <t>CZ-722</t>
  </si>
  <si>
    <t>Uherské Hradiště</t>
  </si>
  <si>
    <t>as:ISO2:6:ed3:CZ-722</t>
  </si>
  <si>
    <t>CZ-US</t>
  </si>
  <si>
    <t>Ústecký Kraj</t>
  </si>
  <si>
    <t>as:GENC:6:ed2:CZ-US</t>
  </si>
  <si>
    <t>CZ-427</t>
  </si>
  <si>
    <t>Ústí nad Labem</t>
  </si>
  <si>
    <t>as:ISO2:6:ed3:CZ-427</t>
  </si>
  <si>
    <t>CZ-534</t>
  </si>
  <si>
    <t>Ústí nad Orlicí</t>
  </si>
  <si>
    <t>as:ISO2:6:ed3:CZ-534</t>
  </si>
  <si>
    <t>CZ-723</t>
  </si>
  <si>
    <t>Vsetín</t>
  </si>
  <si>
    <t>as:ISO2:6:ed3:CZ-723</t>
  </si>
  <si>
    <t>CZ-626</t>
  </si>
  <si>
    <t>Vyškov</t>
  </si>
  <si>
    <t>as:ISO2:6:ed3:CZ-626</t>
  </si>
  <si>
    <t>CZ-VY</t>
  </si>
  <si>
    <t>Vysočina</t>
  </si>
  <si>
    <t>as:ISO2:6:ed3:CZ-VY</t>
  </si>
  <si>
    <t>CZ-615</t>
  </si>
  <si>
    <t>Žd’ár nad Sázavou</t>
  </si>
  <si>
    <t>as:ISO2:6:ed3:CZ-615</t>
  </si>
  <si>
    <t>CZ-724</t>
  </si>
  <si>
    <t>Zlín</t>
  </si>
  <si>
    <t>as:ISO2:6:ed3:CZ-724</t>
  </si>
  <si>
    <t>CZ-ZL</t>
  </si>
  <si>
    <t>Zlínský Kraj</t>
  </si>
  <si>
    <t>as:GENC:6:ed2:CZ-ZL</t>
  </si>
  <si>
    <t>CZ-627</t>
  </si>
  <si>
    <t>Znojmo</t>
  </si>
  <si>
    <t>as:ISO2:6:ed3:CZ-627</t>
  </si>
  <si>
    <t>DK-84</t>
  </si>
  <si>
    <t>Hovedstaden</t>
  </si>
  <si>
    <t>as:GENC:6:ed2:DK-84</t>
  </si>
  <si>
    <t>DK-82</t>
  </si>
  <si>
    <t>Midtjylland</t>
  </si>
  <si>
    <t>as:GENC:6:ed2:DK-82</t>
  </si>
  <si>
    <t>DK-81</t>
  </si>
  <si>
    <t>Nordjylland</t>
  </si>
  <si>
    <t>as:GENC:6:ed2:DK-81</t>
  </si>
  <si>
    <t>DK-85</t>
  </si>
  <si>
    <t>Sjælland</t>
  </si>
  <si>
    <t>as:GENC:6:ed2:DK-85</t>
  </si>
  <si>
    <t>DK-83</t>
  </si>
  <si>
    <t>Syddanmark</t>
  </si>
  <si>
    <t>as:GENC:6:ed2:DK-83</t>
  </si>
  <si>
    <t>DJ-AS</t>
  </si>
  <si>
    <t>Ali Sabieh</t>
  </si>
  <si>
    <t>as:GENC:6:ed2:DJ-AS</t>
  </si>
  <si>
    <t>DJ-AR</t>
  </si>
  <si>
    <t>Arta</t>
  </si>
  <si>
    <t>as:GENC:6:ed2:DJ-AR</t>
  </si>
  <si>
    <t>DJ-DI</t>
  </si>
  <si>
    <t>Dikhil</t>
  </si>
  <si>
    <t>as:GENC:6:ed2:DJ-DI</t>
  </si>
  <si>
    <t>DJ-DJ</t>
  </si>
  <si>
    <t>as:GENC:6:ed2:DJ-DJ</t>
  </si>
  <si>
    <t>DJ-OB</t>
  </si>
  <si>
    <t>Obock</t>
  </si>
  <si>
    <t>as:GENC:6:ed2:DJ-OB</t>
  </si>
  <si>
    <t>DJ-TA</t>
  </si>
  <si>
    <t>Tadjourah</t>
  </si>
  <si>
    <t>as:GENC:6:ed2:DJ-TA</t>
  </si>
  <si>
    <t>DM-02</t>
  </si>
  <si>
    <t>as:ISO2:6:ed3:DM-02</t>
  </si>
  <si>
    <t>DM-03</t>
  </si>
  <si>
    <t>Saint David</t>
  </si>
  <si>
    <t>as:ISO2:6:ed3:DM-03</t>
  </si>
  <si>
    <t>DM-04</t>
  </si>
  <si>
    <t>as:ISO2:6:ed3:DM-04</t>
  </si>
  <si>
    <t>DM-05</t>
  </si>
  <si>
    <t>as:ISO2:6:ed3:DM-05</t>
  </si>
  <si>
    <t>DM-06</t>
  </si>
  <si>
    <t>as:ISO2:6:ed3:DM-06</t>
  </si>
  <si>
    <t>DM-07</t>
  </si>
  <si>
    <t>Saint Luke</t>
  </si>
  <si>
    <t>as:ISO2:6:ed3:DM-07</t>
  </si>
  <si>
    <t>DM-08</t>
  </si>
  <si>
    <t>Saint Mark</t>
  </si>
  <si>
    <t>as:ISO2:6:ed3:DM-08</t>
  </si>
  <si>
    <t>DM-09</t>
  </si>
  <si>
    <t>Saint Patrick</t>
  </si>
  <si>
    <t>as:ISO2:6:ed3:DM-09</t>
  </si>
  <si>
    <t>DM-10</t>
  </si>
  <si>
    <t>as:ISO2:6:ed3:DM-10</t>
  </si>
  <si>
    <t>DM-11</t>
  </si>
  <si>
    <t>as:ISO2:6:ed3:DM-11</t>
  </si>
  <si>
    <t>DO-02</t>
  </si>
  <si>
    <t>Azua</t>
  </si>
  <si>
    <t>as:ISO2:6:ed3:DO-02</t>
  </si>
  <si>
    <t>DO-03</t>
  </si>
  <si>
    <t>Baoruco</t>
  </si>
  <si>
    <t>as:GENC:6:ed2:DO-03</t>
  </si>
  <si>
    <t>DO-04</t>
  </si>
  <si>
    <t>Barahona</t>
  </si>
  <si>
    <t>as:ISO2:6:ed3:DO-04</t>
  </si>
  <si>
    <t>DO-33</t>
  </si>
  <si>
    <t>Cibao Nordeste</t>
  </si>
  <si>
    <t>as:GENC:6:ed2:DO-33</t>
  </si>
  <si>
    <t>DO-34</t>
  </si>
  <si>
    <t>Cibao Noroeste</t>
  </si>
  <si>
    <t>as:GENC:6:ed2:DO-34</t>
  </si>
  <si>
    <t>DO-35</t>
  </si>
  <si>
    <t>Cibao Norte</t>
  </si>
  <si>
    <t>as:GENC:6:ed2:DO-35</t>
  </si>
  <si>
    <t>DO-36</t>
  </si>
  <si>
    <t>Cibao Sur</t>
  </si>
  <si>
    <t>as:GENC:6:ed2:DO-36</t>
  </si>
  <si>
    <t>DO-05</t>
  </si>
  <si>
    <t>Dajabón</t>
  </si>
  <si>
    <t>as:ISO2:6:ed3:DO-05</t>
  </si>
  <si>
    <t>DO-01</t>
  </si>
  <si>
    <t>Distrito Nacional</t>
  </si>
  <si>
    <t>as:GENC:6:ed2:DO-01</t>
  </si>
  <si>
    <t>DO-06</t>
  </si>
  <si>
    <t>Duarte</t>
  </si>
  <si>
    <t>as:ISO2:6:ed3:DO-06</t>
  </si>
  <si>
    <t>DO-08</t>
  </si>
  <si>
    <t>El Seibo</t>
  </si>
  <si>
    <t>as:GENC:6:ed2:DO-08</t>
  </si>
  <si>
    <t>DO-07</t>
  </si>
  <si>
    <t>Elías Piña</t>
  </si>
  <si>
    <t>as:GENC:6:ed2:DO-07</t>
  </si>
  <si>
    <t>DO-37</t>
  </si>
  <si>
    <t>El Valle</t>
  </si>
  <si>
    <t>as:GENC:6:ed2:DO-37</t>
  </si>
  <si>
    <t>DO-38</t>
  </si>
  <si>
    <t>Enriquillo</t>
  </si>
  <si>
    <t>as:GENC:6:ed2:DO-38</t>
  </si>
  <si>
    <t>DO-09</t>
  </si>
  <si>
    <t>Espaillat</t>
  </si>
  <si>
    <t>as:ISO2:6:ed3:DO-09</t>
  </si>
  <si>
    <t>DO-30</t>
  </si>
  <si>
    <t>Hato Mayor</t>
  </si>
  <si>
    <t>as:ISO2:6:ed3:DO-30</t>
  </si>
  <si>
    <t>DO-19</t>
  </si>
  <si>
    <t>Hermanas Mirabal</t>
  </si>
  <si>
    <t>as:GENC:6:ed2:DO-19</t>
  </si>
  <si>
    <t>DO-39</t>
  </si>
  <si>
    <t>Higuamo</t>
  </si>
  <si>
    <t>as:GENC:6:ed2:DO-39</t>
  </si>
  <si>
    <t>DO-10</t>
  </si>
  <si>
    <t>Independencia</t>
  </si>
  <si>
    <t>as:ISO2:6:ed3:DO-10</t>
  </si>
  <si>
    <t>DO-11</t>
  </si>
  <si>
    <t>La Altagracia</t>
  </si>
  <si>
    <t>as:ISO2:6:ed3:DO-11</t>
  </si>
  <si>
    <t>DO-12</t>
  </si>
  <si>
    <t>La Romana</t>
  </si>
  <si>
    <t>as:ISO2:6:ed3:DO-12</t>
  </si>
  <si>
    <t>DO-13</t>
  </si>
  <si>
    <t>La Vega</t>
  </si>
  <si>
    <t>as:ISO2:6:ed3:DO-13</t>
  </si>
  <si>
    <t>DO-14</t>
  </si>
  <si>
    <t>María Trinidad Sánchez</t>
  </si>
  <si>
    <t>as:ISO2:6:ed3:DO-14</t>
  </si>
  <si>
    <t>DO-28</t>
  </si>
  <si>
    <t>Monseñor Nouel</t>
  </si>
  <si>
    <t>as:ISO2:6:ed3:DO-28</t>
  </si>
  <si>
    <t>DO-15</t>
  </si>
  <si>
    <t>Monte Cristi</t>
  </si>
  <si>
    <t>as:ISO2:6:ed3:DO-15</t>
  </si>
  <si>
    <t>DO-29</t>
  </si>
  <si>
    <t>Monte Plata</t>
  </si>
  <si>
    <t>as:ISO2:6:ed3:DO-29</t>
  </si>
  <si>
    <t>DO-40</t>
  </si>
  <si>
    <t>Ozama</t>
  </si>
  <si>
    <t>as:GENC:6:ed2:DO-40</t>
  </si>
  <si>
    <t>DO-16</t>
  </si>
  <si>
    <t>Pedernales</t>
  </si>
  <si>
    <t>as:ISO2:6:ed3:DO-16</t>
  </si>
  <si>
    <t>DO-17</t>
  </si>
  <si>
    <t>Peravia</t>
  </si>
  <si>
    <t>as:ISO2:6:ed3:DO-17</t>
  </si>
  <si>
    <t>DO-18</t>
  </si>
  <si>
    <t>Puerto Plata</t>
  </si>
  <si>
    <t>as:ISO2:6:ed3:DO-18</t>
  </si>
  <si>
    <t>DO-20</t>
  </si>
  <si>
    <t>Samaná</t>
  </si>
  <si>
    <t>as:ISO2:6:ed3:DO-20</t>
  </si>
  <si>
    <t>DO-21</t>
  </si>
  <si>
    <t>San Cristóbal</t>
  </si>
  <si>
    <t>as:ISO2:6:ed3:DO-21</t>
  </si>
  <si>
    <t>DO-31</t>
  </si>
  <si>
    <t>San José de Ocoa</t>
  </si>
  <si>
    <t>as:ISO2:6:ed3:DO-31</t>
  </si>
  <si>
    <t>DO-22</t>
  </si>
  <si>
    <t>as:ISO2:6:ed3:DO-22</t>
  </si>
  <si>
    <t>DO-23</t>
  </si>
  <si>
    <t>San Pedro de Macorís</t>
  </si>
  <si>
    <t>as:ISO2:6:ed3:DO-23</t>
  </si>
  <si>
    <t>DO-24</t>
  </si>
  <si>
    <t>Sánchez Ramírez</t>
  </si>
  <si>
    <t>as:ISO2:6:ed3:DO-24</t>
  </si>
  <si>
    <t>DO-25</t>
  </si>
  <si>
    <t>Santiago</t>
  </si>
  <si>
    <t>as:ISO2:6:ed3:DO-25</t>
  </si>
  <si>
    <t>DO-26</t>
  </si>
  <si>
    <t>Santiago Rodríguez</t>
  </si>
  <si>
    <t>as:ISO2:6:ed3:DO-26</t>
  </si>
  <si>
    <t>DO-32</t>
  </si>
  <si>
    <t>Santo Domingo</t>
  </si>
  <si>
    <t>as:ISO2:6:ed3:DO-32</t>
  </si>
  <si>
    <t>DO-41</t>
  </si>
  <si>
    <t>Valdesia</t>
  </si>
  <si>
    <t>as:GENC:6:ed2:DO-41</t>
  </si>
  <si>
    <t>DO-27</t>
  </si>
  <si>
    <t>Valverde</t>
  </si>
  <si>
    <t>as:ISO2:6:ed3:DO-27</t>
  </si>
  <si>
    <t>DO-42</t>
  </si>
  <si>
    <t>Yuma</t>
  </si>
  <si>
    <t>as:GENC:6:ed2:DO-42</t>
  </si>
  <si>
    <t>EC-A</t>
  </si>
  <si>
    <t>Azuay</t>
  </si>
  <si>
    <t>as:ISO2:6:ed3:EC-A</t>
  </si>
  <si>
    <t>EC-B</t>
  </si>
  <si>
    <t>as:ISO2:6:ed3:EC-B</t>
  </si>
  <si>
    <t>EC-F</t>
  </si>
  <si>
    <t>Cañar</t>
  </si>
  <si>
    <t>as:ISO2:6:ed3:EC-F</t>
  </si>
  <si>
    <t>EC-C</t>
  </si>
  <si>
    <t>Carchi</t>
  </si>
  <si>
    <t>as:ISO2:6:ed3:EC-C</t>
  </si>
  <si>
    <t>EC-H</t>
  </si>
  <si>
    <t>Chimborazo</t>
  </si>
  <si>
    <t>as:ISO2:6:ed3:EC-H</t>
  </si>
  <si>
    <t>EC-X</t>
  </si>
  <si>
    <t>Cotopaxi</t>
  </si>
  <si>
    <t>as:ISO2:6:ed3:EC-X</t>
  </si>
  <si>
    <t>EC-O</t>
  </si>
  <si>
    <t>El Oro</t>
  </si>
  <si>
    <t>as:ISO2:6:ed3:EC-O</t>
  </si>
  <si>
    <t>EC-E</t>
  </si>
  <si>
    <t>Esmeraldas</t>
  </si>
  <si>
    <t>as:ISO2:6:ed3:EC-E</t>
  </si>
  <si>
    <t>EC-W</t>
  </si>
  <si>
    <t>Galápagos</t>
  </si>
  <si>
    <t>as:ISO2:6:ed3:EC-W</t>
  </si>
  <si>
    <t>EC-G</t>
  </si>
  <si>
    <t>Guayas</t>
  </si>
  <si>
    <t>as:ISO2:6:ed3:EC-G</t>
  </si>
  <si>
    <t>EC-I</t>
  </si>
  <si>
    <t>Imbabura</t>
  </si>
  <si>
    <t>as:ISO2:6:ed3:EC-I</t>
  </si>
  <si>
    <t>EC-L</t>
  </si>
  <si>
    <t>Loja</t>
  </si>
  <si>
    <t>as:ISO2:6:ed3:EC-L</t>
  </si>
  <si>
    <t>EC-R</t>
  </si>
  <si>
    <t>as:ISO2:6:ed3:EC-R</t>
  </si>
  <si>
    <t>EC-M</t>
  </si>
  <si>
    <t>Manabí</t>
  </si>
  <si>
    <t>as:ISO2:6:ed3:EC-M</t>
  </si>
  <si>
    <t>EC-S</t>
  </si>
  <si>
    <t>Morona-Santiago</t>
  </si>
  <si>
    <t>as:ISO2:6:ed3:EC-S</t>
  </si>
  <si>
    <t>EC-N</t>
  </si>
  <si>
    <t>Napo</t>
  </si>
  <si>
    <t>as:ISO2:6:ed3:EC-N</t>
  </si>
  <si>
    <t>EC-D</t>
  </si>
  <si>
    <t>Orellana</t>
  </si>
  <si>
    <t>as:ISO2:6:ed3:EC-D</t>
  </si>
  <si>
    <t>EC-Y</t>
  </si>
  <si>
    <t>Pastaza</t>
  </si>
  <si>
    <t>as:ISO2:6:ed3:EC-Y</t>
  </si>
  <si>
    <t>EC-P</t>
  </si>
  <si>
    <t>Pichincha</t>
  </si>
  <si>
    <t>as:ISO2:6:ed3:EC-P</t>
  </si>
  <si>
    <t>EC-SE</t>
  </si>
  <si>
    <t>Santa Elena</t>
  </si>
  <si>
    <t>as:ISO2:6:ed3:EC-SE</t>
  </si>
  <si>
    <t>EC-SD</t>
  </si>
  <si>
    <t>Santo Domingo de los Tsáchilas</t>
  </si>
  <si>
    <t>as:ISO2:6:ed3:EC-SD</t>
  </si>
  <si>
    <t>EC-U</t>
  </si>
  <si>
    <t>Sucumbíos</t>
  </si>
  <si>
    <t>as:ISO2:6:ed3:EC-U</t>
  </si>
  <si>
    <t>EC-T</t>
  </si>
  <si>
    <t>Tungurahua</t>
  </si>
  <si>
    <t>as:ISO2:6:ed3:EC-T</t>
  </si>
  <si>
    <t>EC-Z</t>
  </si>
  <si>
    <t>Zamora-Chinchipe</t>
  </si>
  <si>
    <t>as:ISO2:6:ed3:EC-Z</t>
  </si>
  <si>
    <t>EG-DK</t>
  </si>
  <si>
    <t>Ad Daqahlīyah</t>
  </si>
  <si>
    <t>as:ISO2:6:ed3:EG-DK</t>
  </si>
  <si>
    <t>EG-BA</t>
  </si>
  <si>
    <t>Al Baḩr al Aḩmar</t>
  </si>
  <si>
    <t>as:ISO2:6:ed3:EG-BA</t>
  </si>
  <si>
    <t>EG-BH</t>
  </si>
  <si>
    <t>Al Buḩayrah</t>
  </si>
  <si>
    <t>as:ISO2:6:ed3:EG-BH</t>
  </si>
  <si>
    <t>EG-FYM</t>
  </si>
  <si>
    <t>Al Fayyūm</t>
  </si>
  <si>
    <t>as:ISO2:6:ed3:EG-FYM</t>
  </si>
  <si>
    <t>EG-GH</t>
  </si>
  <si>
    <t>Al Gharbīyah</t>
  </si>
  <si>
    <t>as:ISO2:6:ed3:EG-GH</t>
  </si>
  <si>
    <t>EG-ALX</t>
  </si>
  <si>
    <t>Al Iskandarīyah</t>
  </si>
  <si>
    <t>as:ISO2:6:ed3:EG-ALX</t>
  </si>
  <si>
    <t>EG-IS</t>
  </si>
  <si>
    <t>Al Ismā‘īlīyah</t>
  </si>
  <si>
    <t>as:ISO2:6:ed3:EG-IS</t>
  </si>
  <si>
    <t>EG-GZ</t>
  </si>
  <si>
    <t>Al Jīzah</t>
  </si>
  <si>
    <t>as:ISO2:6:ed3:EG-GZ</t>
  </si>
  <si>
    <t>EG-MNF</t>
  </si>
  <si>
    <t>Al Minūfīyah</t>
  </si>
  <si>
    <t>as:ISO2:6:ed3:EG-MNF</t>
  </si>
  <si>
    <t>EG-MN</t>
  </si>
  <si>
    <t>Al Minyā</t>
  </si>
  <si>
    <t>as:ISO2:6:ed3:EG-MN</t>
  </si>
  <si>
    <t>EG-C</t>
  </si>
  <si>
    <t>Al Qāhirah</t>
  </si>
  <si>
    <t>as:ISO2:6:ed3:EG-C</t>
  </si>
  <si>
    <t>EG-KB</t>
  </si>
  <si>
    <t>Al Qalyūbīyah</t>
  </si>
  <si>
    <t>as:ISO2:6:ed3:EG-KB</t>
  </si>
  <si>
    <t>EG-LX</t>
  </si>
  <si>
    <t>Al Uqşur</t>
  </si>
  <si>
    <t>as:ISO2:6:ed3:EG-LX</t>
  </si>
  <si>
    <t>EG-WAD</t>
  </si>
  <si>
    <t>Al Wādī al Jadīd</t>
  </si>
  <si>
    <t>as:ISO2:6:ed3:EG-WAD</t>
  </si>
  <si>
    <t>EG-SHR</t>
  </si>
  <si>
    <t>Ash Sharqīyah</t>
  </si>
  <si>
    <t>as:ISO2:6:ed3:EG-SHR</t>
  </si>
  <si>
    <t>EG-SU</t>
  </si>
  <si>
    <t>As Sādis min Uktūbar</t>
  </si>
  <si>
    <t>as:GENC:6:ed2:EG-SU</t>
  </si>
  <si>
    <t>EG-SUZ</t>
  </si>
  <si>
    <t>As Suways</t>
  </si>
  <si>
    <t>as:ISO2:6:ed3:EG-SUZ</t>
  </si>
  <si>
    <t>EG-ASN</t>
  </si>
  <si>
    <t>Aswān</t>
  </si>
  <si>
    <t>as:ISO2:6:ed3:EG-ASN</t>
  </si>
  <si>
    <t>EG-AST</t>
  </si>
  <si>
    <t>Asyūţ</t>
  </si>
  <si>
    <t>as:ISO2:6:ed3:EG-AST</t>
  </si>
  <si>
    <t>EG-BNS</t>
  </si>
  <si>
    <t>Banī Suwayf</t>
  </si>
  <si>
    <t>as:ISO2:6:ed3:EG-BNS</t>
  </si>
  <si>
    <t>EG-PTS</t>
  </si>
  <si>
    <t>Būr Sa‘īd</t>
  </si>
  <si>
    <t>as:ISO2:6:ed3:EG-PTS</t>
  </si>
  <si>
    <t>EG-DT</t>
  </si>
  <si>
    <t>Dumyāţ</t>
  </si>
  <si>
    <t>as:ISO2:6:ed3:EG-DT</t>
  </si>
  <si>
    <t>EG-HU</t>
  </si>
  <si>
    <t>Ḩulwān</t>
  </si>
  <si>
    <t>as:GENC:6:ed2:EG-HU</t>
  </si>
  <si>
    <t>EG-JS</t>
  </si>
  <si>
    <t>Janūb Sīnā’</t>
  </si>
  <si>
    <t>as:ISO2:6:ed3:EG-JS</t>
  </si>
  <si>
    <t>EG-KFS</t>
  </si>
  <si>
    <t>Kafr ash Shaykh</t>
  </si>
  <si>
    <t>as:ISO2:6:ed3:EG-KFS</t>
  </si>
  <si>
    <t>EG-MT</t>
  </si>
  <si>
    <t>Maţrūḩ</t>
  </si>
  <si>
    <t>as:ISO2:6:ed3:EG-MT</t>
  </si>
  <si>
    <t>EG-KN</t>
  </si>
  <si>
    <t>Qinā</t>
  </si>
  <si>
    <t>as:ISO2:6:ed3:EG-KN</t>
  </si>
  <si>
    <t>EG-SIN</t>
  </si>
  <si>
    <t>Shamāl Sīnā’</t>
  </si>
  <si>
    <t>as:ISO2:6:ed3:EG-SIN</t>
  </si>
  <si>
    <t>EG-SHG</t>
  </si>
  <si>
    <t>Sūhāj</t>
  </si>
  <si>
    <t>as:ISO2:6:ed3:EG-SHG</t>
  </si>
  <si>
    <t>SV-AH</t>
  </si>
  <si>
    <t>Ahuachapán</t>
  </si>
  <si>
    <t>as:ISO2:6:ed3:SV-AH</t>
  </si>
  <si>
    <t>SV-CA</t>
  </si>
  <si>
    <t>Cabañas</t>
  </si>
  <si>
    <t>as:ISO2:6:ed3:SV-CA</t>
  </si>
  <si>
    <t>SV-CH</t>
  </si>
  <si>
    <t>Chalatenango</t>
  </si>
  <si>
    <t>as:ISO2:6:ed3:SV-CH</t>
  </si>
  <si>
    <t>SV-CU</t>
  </si>
  <si>
    <t>Cuscatlán</t>
  </si>
  <si>
    <t>as:ISO2:6:ed3:SV-CU</t>
  </si>
  <si>
    <t>SV-LI</t>
  </si>
  <si>
    <t>La Libertad</t>
  </si>
  <si>
    <t>as:ISO2:6:ed3:SV-LI</t>
  </si>
  <si>
    <t>SV-PA</t>
  </si>
  <si>
    <t>as:ISO2:6:ed3:SV-PA</t>
  </si>
  <si>
    <t>SV-UN</t>
  </si>
  <si>
    <t>La Unión</t>
  </si>
  <si>
    <t>as:ISO2:6:ed3:SV-UN</t>
  </si>
  <si>
    <t>SV-MO</t>
  </si>
  <si>
    <t>Morazán</t>
  </si>
  <si>
    <t>as:ISO2:6:ed3:SV-MO</t>
  </si>
  <si>
    <t>SV-SM</t>
  </si>
  <si>
    <t>San Miguel</t>
  </si>
  <si>
    <t>as:ISO2:6:ed3:SV-SM</t>
  </si>
  <si>
    <t>SV-SS</t>
  </si>
  <si>
    <t>as:ISO2:6:ed3:SV-SS</t>
  </si>
  <si>
    <t>SV-SA</t>
  </si>
  <si>
    <t>Santa Ana</t>
  </si>
  <si>
    <t>as:ISO2:6:ed3:SV-SA</t>
  </si>
  <si>
    <t>SV-SV</t>
  </si>
  <si>
    <t>San Vicente</t>
  </si>
  <si>
    <t>as:ISO2:6:ed3:SV-SV</t>
  </si>
  <si>
    <t>SV-SO</t>
  </si>
  <si>
    <t>Sonsonate</t>
  </si>
  <si>
    <t>as:ISO2:6:ed3:SV-SO</t>
  </si>
  <si>
    <t>SV-US</t>
  </si>
  <si>
    <t>Usulután</t>
  </si>
  <si>
    <t>as:ISO2:6:ed3:SV-US</t>
  </si>
  <si>
    <t>GQ-AN</t>
  </si>
  <si>
    <t>Annobón</t>
  </si>
  <si>
    <t>as:GENC:6:ed2:GQ-AN</t>
  </si>
  <si>
    <t>GQ-BN</t>
  </si>
  <si>
    <t>Bioko Norte</t>
  </si>
  <si>
    <t>as:GENC:6:ed2:GQ-BN</t>
  </si>
  <si>
    <t>GQ-BS</t>
  </si>
  <si>
    <t>Bioko Sur</t>
  </si>
  <si>
    <t>as:GENC:6:ed2:GQ-BS</t>
  </si>
  <si>
    <t>GQ-CS</t>
  </si>
  <si>
    <t>Centro Sur</t>
  </si>
  <si>
    <t>as:GENC:6:ed2:GQ-CS</t>
  </si>
  <si>
    <t>GQ-KN</t>
  </si>
  <si>
    <t>Kié-Ntem</t>
  </si>
  <si>
    <t>as:GENC:6:ed2:GQ-KN</t>
  </si>
  <si>
    <t>GQ-LI</t>
  </si>
  <si>
    <t>Litoral</t>
  </si>
  <si>
    <t>as:GENC:6:ed2:GQ-LI</t>
  </si>
  <si>
    <t>GQ-C</t>
  </si>
  <si>
    <t>Región Continental</t>
  </si>
  <si>
    <t>as:GENC:6:ed2:GQ-C</t>
  </si>
  <si>
    <t>GQ-I</t>
  </si>
  <si>
    <t>Región Insular</t>
  </si>
  <si>
    <t>as:GENC:6:ed2:GQ-I</t>
  </si>
  <si>
    <t>GQ-WN</t>
  </si>
  <si>
    <t>Wele-Nzas</t>
  </si>
  <si>
    <t>as:GENC:6:ed2:GQ-WN</t>
  </si>
  <si>
    <t>ER-AN</t>
  </si>
  <si>
    <t>Ānseba</t>
  </si>
  <si>
    <t>as:GENC:6:ed2:ER-AN</t>
  </si>
  <si>
    <t>ER-DU</t>
  </si>
  <si>
    <t>Debub</t>
  </si>
  <si>
    <t>as:GENC:6:ed2:ER-DU</t>
  </si>
  <si>
    <t>ER-DK</t>
  </si>
  <si>
    <t>Debubawī K’eyih Bahrī</t>
  </si>
  <si>
    <t>as:GENC:6:ed2:ER-DK</t>
  </si>
  <si>
    <t>ER-GB</t>
  </si>
  <si>
    <t>Gash Barka</t>
  </si>
  <si>
    <t>as:GENC:6:ed2:ER-GB</t>
  </si>
  <si>
    <t>ER-MA</t>
  </si>
  <si>
    <t>Ma’ākel</t>
  </si>
  <si>
    <t>as:GENC:6:ed2:ER-MA</t>
  </si>
  <si>
    <t>ER-SK</t>
  </si>
  <si>
    <t>Semēnawī K’eyih Bahrī</t>
  </si>
  <si>
    <t>as:GENC:6:ed2:ER-SK</t>
  </si>
  <si>
    <t>EE-37</t>
  </si>
  <si>
    <t>Harjumaa</t>
  </si>
  <si>
    <t>as:GENC:6:ed2:EE-37</t>
  </si>
  <si>
    <t>EE-39</t>
  </si>
  <si>
    <t>Hiiumaa</t>
  </si>
  <si>
    <t>as:GENC:6:ed2:EE-39</t>
  </si>
  <si>
    <t>EE-44</t>
  </si>
  <si>
    <t>Ida-Virumaa</t>
  </si>
  <si>
    <t>as:GENC:6:ed2:EE-44</t>
  </si>
  <si>
    <t>EE-51</t>
  </si>
  <si>
    <t>Järvamaa</t>
  </si>
  <si>
    <t>as:GENC:6:ed2:EE-51</t>
  </si>
  <si>
    <t>EE-49</t>
  </si>
  <si>
    <t>Jõgevamaa</t>
  </si>
  <si>
    <t>as:GENC:6:ed2:EE-49</t>
  </si>
  <si>
    <t>EE-57</t>
  </si>
  <si>
    <t>Läänemaa</t>
  </si>
  <si>
    <t>as:GENC:6:ed2:EE-57</t>
  </si>
  <si>
    <t>EE-59</t>
  </si>
  <si>
    <t>Lääne-Virumaa</t>
  </si>
  <si>
    <t>as:GENC:6:ed2:EE-59</t>
  </si>
  <si>
    <t>EE-67</t>
  </si>
  <si>
    <t>Pärnumaa</t>
  </si>
  <si>
    <t>as:GENC:6:ed2:EE-67</t>
  </si>
  <si>
    <t>EE-65</t>
  </si>
  <si>
    <t>Põlvamaa</t>
  </si>
  <si>
    <t>as:GENC:6:ed2:EE-65</t>
  </si>
  <si>
    <t>EE-70</t>
  </si>
  <si>
    <t>Raplamaa</t>
  </si>
  <si>
    <t>as:GENC:6:ed2:EE-70</t>
  </si>
  <si>
    <t>EE-74</t>
  </si>
  <si>
    <t>Saaremaa</t>
  </si>
  <si>
    <t>as:GENC:6:ed2:EE-74</t>
  </si>
  <si>
    <t>EE-78</t>
  </si>
  <si>
    <t>Tartumaa</t>
  </si>
  <si>
    <t>as:GENC:6:ed2:EE-78</t>
  </si>
  <si>
    <t>EE-82</t>
  </si>
  <si>
    <t>Valgamaa</t>
  </si>
  <si>
    <t>as:GENC:6:ed2:EE-82</t>
  </si>
  <si>
    <t>EE-84</t>
  </si>
  <si>
    <t>Viljandimaa</t>
  </si>
  <si>
    <t>as:GENC:6:ed2:EE-84</t>
  </si>
  <si>
    <t>EE-86</t>
  </si>
  <si>
    <t>Võrumaa</t>
  </si>
  <si>
    <t>as:GENC:6:ed2:EE-86</t>
  </si>
  <si>
    <t>ET-AA</t>
  </si>
  <si>
    <t>Ādīs Ābeba</t>
  </si>
  <si>
    <t>administration</t>
  </si>
  <si>
    <t>as:GENC:6:ed2:ET-AA</t>
  </si>
  <si>
    <t>ET-AF</t>
  </si>
  <si>
    <t>Āfar</t>
  </si>
  <si>
    <t>as:GENC:6:ed2:ET-AF</t>
  </si>
  <si>
    <t>ET-AM</t>
  </si>
  <si>
    <t>Āmara</t>
  </si>
  <si>
    <t>as:GENC:6:ed2:ET-AM</t>
  </si>
  <si>
    <t>ET-BE</t>
  </si>
  <si>
    <t>Bīnshangul Gumuz</t>
  </si>
  <si>
    <t>as:GENC:6:ed2:ET-BE</t>
  </si>
  <si>
    <t>ET-DD</t>
  </si>
  <si>
    <t>Dirē Dawa</t>
  </si>
  <si>
    <t>as:GENC:6:ed2:ET-DD</t>
  </si>
  <si>
    <t>ET-GA</t>
  </si>
  <si>
    <t>Gambēla Hizboch</t>
  </si>
  <si>
    <t>as:GENC:6:ed2:ET-GA</t>
  </si>
  <si>
    <t>ET-HA</t>
  </si>
  <si>
    <t>Hārerī Hizb</t>
  </si>
  <si>
    <t>as:GENC:6:ed2:ET-HA</t>
  </si>
  <si>
    <t>ET-OR</t>
  </si>
  <si>
    <t>Oromīya</t>
  </si>
  <si>
    <t>as:GENC:6:ed2:ET-OR</t>
  </si>
  <si>
    <t>ET-SO</t>
  </si>
  <si>
    <t>Sumalē</t>
  </si>
  <si>
    <t>as:GENC:6:ed2:ET-SO</t>
  </si>
  <si>
    <t>ET-TI</t>
  </si>
  <si>
    <t>Tigray</t>
  </si>
  <si>
    <t>as:GENC:6:ed2:ET-TI</t>
  </si>
  <si>
    <t>ET-SN</t>
  </si>
  <si>
    <t>YeDebub Bihēroch Bihēreseboch na Hizboch</t>
  </si>
  <si>
    <t>as:GENC:6:ed2:ET-SN</t>
  </si>
  <si>
    <t>FJ-C</t>
  </si>
  <si>
    <t>as:ISO2:6:ed3:FJ-C</t>
  </si>
  <si>
    <t>FJ-E</t>
  </si>
  <si>
    <t>Eastern</t>
  </si>
  <si>
    <t>as:ISO2:6:ed3:FJ-E</t>
  </si>
  <si>
    <t>FJ-N</t>
  </si>
  <si>
    <t>Northern</t>
  </si>
  <si>
    <t>as:ISO2:6:ed3:FJ-N</t>
  </si>
  <si>
    <t>FJ-R</t>
  </si>
  <si>
    <t>Rotuma</t>
  </si>
  <si>
    <t>as:ISO2:6:ed3:FJ-R</t>
  </si>
  <si>
    <t>FJ-W</t>
  </si>
  <si>
    <t>Western</t>
  </si>
  <si>
    <t>as:ISO2:6:ed3:FJ-W</t>
  </si>
  <si>
    <t>FI-01</t>
  </si>
  <si>
    <t>Ahvenanmaa</t>
  </si>
  <si>
    <t>as:GENC:6:ed2:FI-01</t>
  </si>
  <si>
    <t>FI-02</t>
  </si>
  <si>
    <t>Etelä-Karjala</t>
  </si>
  <si>
    <t>as:ISO2:6:ed3:FI-02</t>
  </si>
  <si>
    <t>FI-03</t>
  </si>
  <si>
    <t>Etelä-Pohjanmaa</t>
  </si>
  <si>
    <t>as:ISO2:6:ed3:FI-03</t>
  </si>
  <si>
    <t>FI-04</t>
  </si>
  <si>
    <t>Etelä-Savo</t>
  </si>
  <si>
    <t>as:ISO2:6:ed3:FI-04</t>
  </si>
  <si>
    <t>FI-05</t>
  </si>
  <si>
    <t>Kainuu</t>
  </si>
  <si>
    <t>as:ISO2:6:ed3:FI-05</t>
  </si>
  <si>
    <t>FI-06</t>
  </si>
  <si>
    <t>Kanta-Häme</t>
  </si>
  <si>
    <t>as:ISO2:6:ed3:FI-06</t>
  </si>
  <si>
    <t>FI-07</t>
  </si>
  <si>
    <t>Keski-Pohjanmaa</t>
  </si>
  <si>
    <t>as:ISO2:6:ed3:FI-07</t>
  </si>
  <si>
    <t>FI-08</t>
  </si>
  <si>
    <t>Keski-Suomi</t>
  </si>
  <si>
    <t>as:ISO2:6:ed3:FI-08</t>
  </si>
  <si>
    <t>FI-09</t>
  </si>
  <si>
    <t>Kymenlaakso</t>
  </si>
  <si>
    <t>as:ISO2:6:ed3:FI-09</t>
  </si>
  <si>
    <t>FI-10</t>
  </si>
  <si>
    <t>Lappi</t>
  </si>
  <si>
    <t>as:ISO2:6:ed3:FI-10</t>
  </si>
  <si>
    <t>FI-16</t>
  </si>
  <si>
    <t>Päijät-Häme</t>
  </si>
  <si>
    <t>as:ISO2:6:ed3:FI-16</t>
  </si>
  <si>
    <t>FI-11</t>
  </si>
  <si>
    <t>Pirkanmaa</t>
  </si>
  <si>
    <t>as:ISO2:6:ed3:FI-11</t>
  </si>
  <si>
    <t>FI-12</t>
  </si>
  <si>
    <t>Pohjanmaa</t>
  </si>
  <si>
    <t>as:ISO2:6:ed3:FI-12</t>
  </si>
  <si>
    <t>FI-13</t>
  </si>
  <si>
    <t>Pohjois-Karjala</t>
  </si>
  <si>
    <t>as:ISO2:6:ed3:FI-13</t>
  </si>
  <si>
    <t>FI-14</t>
  </si>
  <si>
    <t>Pohjois-Pohjanmaa</t>
  </si>
  <si>
    <t>as:ISO2:6:ed3:FI-14</t>
  </si>
  <si>
    <t>FI-15</t>
  </si>
  <si>
    <t>Pohjois-Savo</t>
  </si>
  <si>
    <t>as:ISO2:6:ed3:FI-15</t>
  </si>
  <si>
    <t>FI-17</t>
  </si>
  <si>
    <t>Satakunta</t>
  </si>
  <si>
    <t>as:GENC:6:ed2:FI-17</t>
  </si>
  <si>
    <t>FI-18</t>
  </si>
  <si>
    <t>Uusimaa</t>
  </si>
  <si>
    <t>as:ISO2:6:ed3:FI-18</t>
  </si>
  <si>
    <t>FI-19</t>
  </si>
  <si>
    <t>Varsinais-Suomi</t>
  </si>
  <si>
    <t>as:ISO2:6:ed3:FI-19</t>
  </si>
  <si>
    <t>FR-01</t>
  </si>
  <si>
    <t>Ain</t>
  </si>
  <si>
    <t>metropolitan department</t>
  </si>
  <si>
    <t>as:ISO2:6:ed3:FR-01</t>
  </si>
  <si>
    <t>FR-02</t>
  </si>
  <si>
    <t>Aisne</t>
  </si>
  <si>
    <t>as:ISO2:6:ed3:FR-02</t>
  </si>
  <si>
    <t>FR-03</t>
  </si>
  <si>
    <t>Allier</t>
  </si>
  <si>
    <t>as:ISO2:6:ed3:FR-03</t>
  </si>
  <si>
    <t>FR-04</t>
  </si>
  <si>
    <t>Alpes-de-Haute-Provence</t>
  </si>
  <si>
    <t>as:ISO2:6:ed3:FR-04</t>
  </si>
  <si>
    <t>FR-06</t>
  </si>
  <si>
    <t>Alpes-Maritimes</t>
  </si>
  <si>
    <t>as:ISO2:6:ed3:FR-06</t>
  </si>
  <si>
    <t>FR-A</t>
  </si>
  <si>
    <t>Alsace</t>
  </si>
  <si>
    <t>as:GENC:6:ed2:FR-A</t>
  </si>
  <si>
    <t>FR-B</t>
  </si>
  <si>
    <t>Aquitaine</t>
  </si>
  <si>
    <t>as:GENC:6:ed2:FR-B</t>
  </si>
  <si>
    <t>FR-07</t>
  </si>
  <si>
    <t>Ardèche</t>
  </si>
  <si>
    <t>as:ISO2:6:ed3:FR-07</t>
  </si>
  <si>
    <t>FR-08</t>
  </si>
  <si>
    <t>Ardennes</t>
  </si>
  <si>
    <t>as:ISO2:6:ed3:FR-08</t>
  </si>
  <si>
    <t>FR-09</t>
  </si>
  <si>
    <t>Ariège</t>
  </si>
  <si>
    <t>as:ISO2:6:ed3:FR-09</t>
  </si>
  <si>
    <t>FR-10</t>
  </si>
  <si>
    <t>Aube</t>
  </si>
  <si>
    <t>as:ISO2:6:ed3:FR-10</t>
  </si>
  <si>
    <t>FR-11</t>
  </si>
  <si>
    <t>Aude</t>
  </si>
  <si>
    <t>as:ISO2:6:ed3:FR-11</t>
  </si>
  <si>
    <t>FR-C</t>
  </si>
  <si>
    <t>Auvergne</t>
  </si>
  <si>
    <t>as:GENC:6:ed2:FR-C</t>
  </si>
  <si>
    <t>FR-12</t>
  </si>
  <si>
    <t>Aveyron</t>
  </si>
  <si>
    <t>as:ISO2:6:ed3:FR-12</t>
  </si>
  <si>
    <t>FR-67</t>
  </si>
  <si>
    <t>Bas-Rhin</t>
  </si>
  <si>
    <t>as:ISO2:6:ed3:FR-67</t>
  </si>
  <si>
    <t>FR-P</t>
  </si>
  <si>
    <t>Basse-Normandie</t>
  </si>
  <si>
    <t>as:GENC:6:ed2:FR-P</t>
  </si>
  <si>
    <t>FR-90</t>
  </si>
  <si>
    <t>Belfort</t>
  </si>
  <si>
    <t>as:GENC:6:ed2:FR-90</t>
  </si>
  <si>
    <t>FR-13</t>
  </si>
  <si>
    <t>Bouches-du-Rhône</t>
  </si>
  <si>
    <t>as:ISO2:6:ed3:FR-13</t>
  </si>
  <si>
    <t>FR-D</t>
  </si>
  <si>
    <t>Bourgogne</t>
  </si>
  <si>
    <t>as:GENC:6:ed2:FR-D</t>
  </si>
  <si>
    <t>FR-E</t>
  </si>
  <si>
    <t>Bretagne</t>
  </si>
  <si>
    <t>as:GENC:6:ed2:FR-E</t>
  </si>
  <si>
    <t>FR-14</t>
  </si>
  <si>
    <t>Calvados</t>
  </si>
  <si>
    <t>as:ISO2:6:ed3:FR-14</t>
  </si>
  <si>
    <t>FR-15</t>
  </si>
  <si>
    <t>Cantal</t>
  </si>
  <si>
    <t>as:ISO2:6:ed3:FR-15</t>
  </si>
  <si>
    <t>FR-F</t>
  </si>
  <si>
    <t>as:GENC:6:ed2:FR-F</t>
  </si>
  <si>
    <t>FR-G</t>
  </si>
  <si>
    <t>Champagne-Ardenne</t>
  </si>
  <si>
    <t>as:GENC:6:ed2:FR-G</t>
  </si>
  <si>
    <t>FR-16</t>
  </si>
  <si>
    <t>Charente</t>
  </si>
  <si>
    <t>as:ISO2:6:ed3:FR-16</t>
  </si>
  <si>
    <t>FR-17</t>
  </si>
  <si>
    <t>Charente-Maritime</t>
  </si>
  <si>
    <t>as:ISO2:6:ed3:FR-17</t>
  </si>
  <si>
    <t>FR-18</t>
  </si>
  <si>
    <t>Cher</t>
  </si>
  <si>
    <t>as:ISO2:6:ed3:FR-18</t>
  </si>
  <si>
    <t>FR-CP</t>
  </si>
  <si>
    <t>Clipperton</t>
  </si>
  <si>
    <t>as:GENC:6:ed2:FR-CP</t>
  </si>
  <si>
    <t>FR-19</t>
  </si>
  <si>
    <t>Corrèze</t>
  </si>
  <si>
    <t>as:ISO2:6:ed3:FR-19</t>
  </si>
  <si>
    <t>FR-2A</t>
  </si>
  <si>
    <t>Corse-du-Sud</t>
  </si>
  <si>
    <t>as:ISO2:6:ed3:FR-2A</t>
  </si>
  <si>
    <t>FR-H</t>
  </si>
  <si>
    <t>Corsica</t>
  </si>
  <si>
    <t>as:GENC:6:ed2:FR-H</t>
  </si>
  <si>
    <t>FR-21</t>
  </si>
  <si>
    <t>Côte-d’Or</t>
  </si>
  <si>
    <t>as:GENC:6:ed2:FR-21</t>
  </si>
  <si>
    <t>FR-22</t>
  </si>
  <si>
    <t>Côtes-d’Armor</t>
  </si>
  <si>
    <t>as:GENC:6:ed2:FR-22</t>
  </si>
  <si>
    <t>FR-23</t>
  </si>
  <si>
    <t>Creuse</t>
  </si>
  <si>
    <t>as:ISO2:6:ed3:FR-23</t>
  </si>
  <si>
    <t>FR-79</t>
  </si>
  <si>
    <t>Deux-Sèvres</t>
  </si>
  <si>
    <t>as:ISO2:6:ed3:FR-79</t>
  </si>
  <si>
    <t>FR-24</t>
  </si>
  <si>
    <t>Dordogne</t>
  </si>
  <si>
    <t>as:ISO2:6:ed3:FR-24</t>
  </si>
  <si>
    <t>FR-25</t>
  </si>
  <si>
    <t>Doubs</t>
  </si>
  <si>
    <t>as:ISO2:6:ed3:FR-25</t>
  </si>
  <si>
    <t>FR-26</t>
  </si>
  <si>
    <t>Drôme</t>
  </si>
  <si>
    <t>as:ISO2:6:ed3:FR-26</t>
  </si>
  <si>
    <t>FR-91</t>
  </si>
  <si>
    <t>Essonne</t>
  </si>
  <si>
    <t>as:ISO2:6:ed3:FR-91</t>
  </si>
  <si>
    <t>FR-27</t>
  </si>
  <si>
    <t>Eure</t>
  </si>
  <si>
    <t>as:ISO2:6:ed3:FR-27</t>
  </si>
  <si>
    <t>FR-28</t>
  </si>
  <si>
    <t>Eure-et-Loir</t>
  </si>
  <si>
    <t>as:ISO2:6:ed3:FR-28</t>
  </si>
  <si>
    <t>FR-29</t>
  </si>
  <si>
    <t>Finistère</t>
  </si>
  <si>
    <t>as:ISO2:6:ed3:FR-29</t>
  </si>
  <si>
    <t>FR-I</t>
  </si>
  <si>
    <t>Franche-Comté</t>
  </si>
  <si>
    <t>as:GENC:6:ed2:FR-I</t>
  </si>
  <si>
    <t>FR-30</t>
  </si>
  <si>
    <t>Gard</t>
  </si>
  <si>
    <t>as:ISO2:6:ed3:FR-30</t>
  </si>
  <si>
    <t>FR-32</t>
  </si>
  <si>
    <t>Gers</t>
  </si>
  <si>
    <t>as:ISO2:6:ed3:FR-32</t>
  </si>
  <si>
    <t>FR-33</t>
  </si>
  <si>
    <t>Gironde</t>
  </si>
  <si>
    <t>as:ISO2:6:ed3:FR-33</t>
  </si>
  <si>
    <t>FR-GP</t>
  </si>
  <si>
    <t>overseas department</t>
  </si>
  <si>
    <t>as:GENC:6:ed2:FR-GP</t>
  </si>
  <si>
    <t>FR-GF</t>
  </si>
  <si>
    <t>Guyane (française)</t>
  </si>
  <si>
    <t>as:GENC:6:ed2:FR-GF</t>
  </si>
  <si>
    <t>FR-2B</t>
  </si>
  <si>
    <t>Haute-Corse</t>
  </si>
  <si>
    <t>as:ISO2:6:ed3:FR-2B</t>
  </si>
  <si>
    <t>FR-31</t>
  </si>
  <si>
    <t>Haute-Garonne</t>
  </si>
  <si>
    <t>as:ISO2:6:ed3:FR-31</t>
  </si>
  <si>
    <t>FR-43</t>
  </si>
  <si>
    <t>Haute-Loire</t>
  </si>
  <si>
    <t>as:ISO2:6:ed3:FR-43</t>
  </si>
  <si>
    <t>FR-52</t>
  </si>
  <si>
    <t>Haute-Marne</t>
  </si>
  <si>
    <t>as:ISO2:6:ed3:FR-52</t>
  </si>
  <si>
    <t>FR-Q</t>
  </si>
  <si>
    <t>Haute-Normandie</t>
  </si>
  <si>
    <t>as:GENC:6:ed2:FR-Q</t>
  </si>
  <si>
    <t>FR-05</t>
  </si>
  <si>
    <t>Hautes-Alpes</t>
  </si>
  <si>
    <t>as:ISO2:6:ed3:FR-05</t>
  </si>
  <si>
    <t>FR-70</t>
  </si>
  <si>
    <t>Haute-Saône</t>
  </si>
  <si>
    <t>as:ISO2:6:ed3:FR-70</t>
  </si>
  <si>
    <t>FR-74</t>
  </si>
  <si>
    <t>Haute-Savoie</t>
  </si>
  <si>
    <t>as:ISO2:6:ed3:FR-74</t>
  </si>
  <si>
    <t>FR-65</t>
  </si>
  <si>
    <t>Hautes-Pyrénées</t>
  </si>
  <si>
    <t>as:ISO2:6:ed3:FR-65</t>
  </si>
  <si>
    <t>FR-87</t>
  </si>
  <si>
    <t>Haute-Vienne</t>
  </si>
  <si>
    <t>as:ISO2:6:ed3:FR-87</t>
  </si>
  <si>
    <t>FR-68</t>
  </si>
  <si>
    <t>Haut-Rhin</t>
  </si>
  <si>
    <t>as:ISO2:6:ed3:FR-68</t>
  </si>
  <si>
    <t>FR-92</t>
  </si>
  <si>
    <t>Hauts-de-Seine</t>
  </si>
  <si>
    <t>as:ISO2:6:ed3:FR-92</t>
  </si>
  <si>
    <t>FR-34</t>
  </si>
  <si>
    <t>Hérault</t>
  </si>
  <si>
    <t>as:ISO2:6:ed3:FR-34</t>
  </si>
  <si>
    <t>FR-J</t>
  </si>
  <si>
    <t>Île-de-France</t>
  </si>
  <si>
    <t>as:GENC:6:ed2:FR-J</t>
  </si>
  <si>
    <t>FR-35</t>
  </si>
  <si>
    <t>Ille-et-Vilaine</t>
  </si>
  <si>
    <t>as:ISO2:6:ed3:FR-35</t>
  </si>
  <si>
    <t>FR-36</t>
  </si>
  <si>
    <t>Indre</t>
  </si>
  <si>
    <t>as:ISO2:6:ed3:FR-36</t>
  </si>
  <si>
    <t>FR-37</t>
  </si>
  <si>
    <t>Indre-et-Loire</t>
  </si>
  <si>
    <t>as:ISO2:6:ed3:FR-37</t>
  </si>
  <si>
    <t>FR-38</t>
  </si>
  <si>
    <t>Isère</t>
  </si>
  <si>
    <t>as:ISO2:6:ed3:FR-38</t>
  </si>
  <si>
    <t>FR-39</t>
  </si>
  <si>
    <t>Jura</t>
  </si>
  <si>
    <t>as:ISO2:6:ed3:FR-39</t>
  </si>
  <si>
    <t>FR-40</t>
  </si>
  <si>
    <t>Landes</t>
  </si>
  <si>
    <t>as:ISO2:6:ed3:FR-40</t>
  </si>
  <si>
    <t>FR-K</t>
  </si>
  <si>
    <t>Languedoc-Roussillon</t>
  </si>
  <si>
    <t>as:GENC:6:ed2:FR-K</t>
  </si>
  <si>
    <t>FR-RE</t>
  </si>
  <si>
    <t>La Réunion</t>
  </si>
  <si>
    <t>as:GENC:6:ed2:FR-RE</t>
  </si>
  <si>
    <t>FR-L</t>
  </si>
  <si>
    <t>Limousin</t>
  </si>
  <si>
    <t>as:GENC:6:ed2:FR-L</t>
  </si>
  <si>
    <t>FR-42</t>
  </si>
  <si>
    <t>Loire</t>
  </si>
  <si>
    <t>as:ISO2:6:ed3:FR-42</t>
  </si>
  <si>
    <t>FR-44</t>
  </si>
  <si>
    <t>Loire-Atlantique</t>
  </si>
  <si>
    <t>as:ISO2:6:ed3:FR-44</t>
  </si>
  <si>
    <t>FR-45</t>
  </si>
  <si>
    <t>Loiret</t>
  </si>
  <si>
    <t>as:ISO2:6:ed3:FR-45</t>
  </si>
  <si>
    <t>FR-41</t>
  </si>
  <si>
    <t>Loir-et-Cher</t>
  </si>
  <si>
    <t>as:ISO2:6:ed3:FR-41</t>
  </si>
  <si>
    <t>FR-M</t>
  </si>
  <si>
    <t>Lorraine</t>
  </si>
  <si>
    <t>as:GENC:6:ed2:FR-M</t>
  </si>
  <si>
    <t>FR-46</t>
  </si>
  <si>
    <t>Lot</t>
  </si>
  <si>
    <t>as:ISO2:6:ed3:FR-46</t>
  </si>
  <si>
    <t>FR-47</t>
  </si>
  <si>
    <t>Lot-et-Garonne</t>
  </si>
  <si>
    <t>as:ISO2:6:ed3:FR-47</t>
  </si>
  <si>
    <t>FR-48</t>
  </si>
  <si>
    <t>Lozère</t>
  </si>
  <si>
    <t>as:ISO2:6:ed3:FR-48</t>
  </si>
  <si>
    <t>FR-49</t>
  </si>
  <si>
    <t>Maine-et-Loire</t>
  </si>
  <si>
    <t>as:ISO2:6:ed3:FR-49</t>
  </si>
  <si>
    <t>FR-50</t>
  </si>
  <si>
    <t>Manche</t>
  </si>
  <si>
    <t>as:ISO2:6:ed3:FR-50</t>
  </si>
  <si>
    <t>FR-51</t>
  </si>
  <si>
    <t>Marne</t>
  </si>
  <si>
    <t>as:ISO2:6:ed3:FR-51</t>
  </si>
  <si>
    <t>FR-MQ</t>
  </si>
  <si>
    <t>as:GENC:6:ed2:FR-MQ</t>
  </si>
  <si>
    <t>FR-53</t>
  </si>
  <si>
    <t>Mayenne</t>
  </si>
  <si>
    <t>as:ISO2:6:ed3:FR-53</t>
  </si>
  <si>
    <t>FR-YT</t>
  </si>
  <si>
    <t>as:GENC:6:ed2:FR-YT</t>
  </si>
  <si>
    <t>FR-54</t>
  </si>
  <si>
    <t>Meurthe-et-Moselle</t>
  </si>
  <si>
    <t>as:ISO2:6:ed3:FR-54</t>
  </si>
  <si>
    <t>FR-55</t>
  </si>
  <si>
    <t>Meuse</t>
  </si>
  <si>
    <t>as:ISO2:6:ed3:FR-55</t>
  </si>
  <si>
    <t>FR-N</t>
  </si>
  <si>
    <t>Midi-Pyrénées</t>
  </si>
  <si>
    <t>as:GENC:6:ed2:FR-N</t>
  </si>
  <si>
    <t>FR-56</t>
  </si>
  <si>
    <t>Morbihan</t>
  </si>
  <si>
    <t>as:ISO2:6:ed3:FR-56</t>
  </si>
  <si>
    <t>FR-57</t>
  </si>
  <si>
    <t>Moselle</t>
  </si>
  <si>
    <t>as:ISO2:6:ed3:FR-57</t>
  </si>
  <si>
    <t>FR-58</t>
  </si>
  <si>
    <t>Nièvre</t>
  </si>
  <si>
    <t>as:ISO2:6:ed3:FR-58</t>
  </si>
  <si>
    <t>FR-59</t>
  </si>
  <si>
    <t>as:ISO2:6:ed3:FR-59</t>
  </si>
  <si>
    <t>FR-O</t>
  </si>
  <si>
    <t>Nord-Pas-de-Calais</t>
  </si>
  <si>
    <t>as:GENC:6:ed2:FR-O</t>
  </si>
  <si>
    <t>FR-NC</t>
  </si>
  <si>
    <t>Nouvelle-Calédonie</t>
  </si>
  <si>
    <t>overseas territorial collectivity</t>
  </si>
  <si>
    <t>as:GENC:6:ed2:FR-NC</t>
  </si>
  <si>
    <t>FR-60</t>
  </si>
  <si>
    <t>Oise</t>
  </si>
  <si>
    <t>as:ISO2:6:ed3:FR-60</t>
  </si>
  <si>
    <t>FR-61</t>
  </si>
  <si>
    <t>Orne</t>
  </si>
  <si>
    <t>as:ISO2:6:ed3:FR-61</t>
  </si>
  <si>
    <t>FR-75</t>
  </si>
  <si>
    <t>Paris</t>
  </si>
  <si>
    <t>as:ISO2:6:ed3:FR-75</t>
  </si>
  <si>
    <t>FR-62</t>
  </si>
  <si>
    <t>Pas-de-Calais</t>
  </si>
  <si>
    <t>as:ISO2:6:ed3:FR-62</t>
  </si>
  <si>
    <t>FR-R</t>
  </si>
  <si>
    <t>Pays de la Loire</t>
  </si>
  <si>
    <t>as:GENC:6:ed2:FR-R</t>
  </si>
  <si>
    <t>FR-S</t>
  </si>
  <si>
    <t>Picardie</t>
  </si>
  <si>
    <t>as:GENC:6:ed2:FR-S</t>
  </si>
  <si>
    <t>FR-T</t>
  </si>
  <si>
    <t>Poitou-Charentes</t>
  </si>
  <si>
    <t>as:GENC:6:ed2:FR-T</t>
  </si>
  <si>
    <t>FR-PF</t>
  </si>
  <si>
    <t>Polynésie française</t>
  </si>
  <si>
    <t>as:GENC:6:ed2:FR-PF</t>
  </si>
  <si>
    <t>FR-U</t>
  </si>
  <si>
    <t>Provence-Alpes-Côte d’Azur</t>
  </si>
  <si>
    <t>as:GENC:6:ed2:FR-U</t>
  </si>
  <si>
    <t>FR-63</t>
  </si>
  <si>
    <t>Puy-de-Dôme</t>
  </si>
  <si>
    <t>as:ISO2:6:ed3:FR-63</t>
  </si>
  <si>
    <t>FR-64</t>
  </si>
  <si>
    <t>Pyrénées-Atlantiques</t>
  </si>
  <si>
    <t>as:ISO2:6:ed3:FR-64</t>
  </si>
  <si>
    <t>FR-66</t>
  </si>
  <si>
    <t>Pyrénées-Orientales</t>
  </si>
  <si>
    <t>as:ISO2:6:ed3:FR-66</t>
  </si>
  <si>
    <t>FR-69</t>
  </si>
  <si>
    <t>Rhône</t>
  </si>
  <si>
    <t>as:ISO2:6:ed3:FR-69</t>
  </si>
  <si>
    <t>FR-V</t>
  </si>
  <si>
    <t>Rhône-Alpes</t>
  </si>
  <si>
    <t>as:GENC:6:ed2:FR-V</t>
  </si>
  <si>
    <t>FR-BL</t>
  </si>
  <si>
    <t>Saint-Barthélemy</t>
  </si>
  <si>
    <t>as:GENC:6:ed2:FR-BL</t>
  </si>
  <si>
    <t>FR-MF</t>
  </si>
  <si>
    <t>Saint-Martin</t>
  </si>
  <si>
    <t>as:GENC:6:ed2:FR-MF</t>
  </si>
  <si>
    <t>FR-PM</t>
  </si>
  <si>
    <t>Saint-Pierre-et-Miquelon</t>
  </si>
  <si>
    <t>as:GENC:6:ed2:FR-PM</t>
  </si>
  <si>
    <t>FR-71</t>
  </si>
  <si>
    <t>Saône-et-Loire</t>
  </si>
  <si>
    <t>as:ISO2:6:ed3:FR-71</t>
  </si>
  <si>
    <t>FR-72</t>
  </si>
  <si>
    <t>Sarthe</t>
  </si>
  <si>
    <t>as:ISO2:6:ed3:FR-72</t>
  </si>
  <si>
    <t>FR-73</t>
  </si>
  <si>
    <t>Savoie</t>
  </si>
  <si>
    <t>as:ISO2:6:ed3:FR-73</t>
  </si>
  <si>
    <t>FR-77</t>
  </si>
  <si>
    <t>Seine-et-Marne</t>
  </si>
  <si>
    <t>as:ISO2:6:ed3:FR-77</t>
  </si>
  <si>
    <t>FR-76</t>
  </si>
  <si>
    <t>Seine-Maritime</t>
  </si>
  <si>
    <t>as:ISO2:6:ed3:FR-76</t>
  </si>
  <si>
    <t>FR-93</t>
  </si>
  <si>
    <t>Seine-Saint-Denis</t>
  </si>
  <si>
    <t>as:ISO2:6:ed3:FR-93</t>
  </si>
  <si>
    <t>FR-80</t>
  </si>
  <si>
    <t>Somme</t>
  </si>
  <si>
    <t>as:ISO2:6:ed3:FR-80</t>
  </si>
  <si>
    <t>FR-81</t>
  </si>
  <si>
    <t>Tarn</t>
  </si>
  <si>
    <t>as:ISO2:6:ed3:FR-81</t>
  </si>
  <si>
    <t>FR-82</t>
  </si>
  <si>
    <t>Tarn-et-Garonne</t>
  </si>
  <si>
    <t>as:ISO2:6:ed3:FR-82</t>
  </si>
  <si>
    <t>FR-TF</t>
  </si>
  <si>
    <t>Terres australes françaises</t>
  </si>
  <si>
    <t>as:GENC:6:ed2:FR-TF</t>
  </si>
  <si>
    <t>FR-94</t>
  </si>
  <si>
    <t>Val-de-Marne</t>
  </si>
  <si>
    <t>as:ISO2:6:ed3:FR-94</t>
  </si>
  <si>
    <t>FR-95</t>
  </si>
  <si>
    <t>Val-d’Oise</t>
  </si>
  <si>
    <t>as:GENC:6:ed2:FR-95</t>
  </si>
  <si>
    <t>FR-83</t>
  </si>
  <si>
    <t>Var</t>
  </si>
  <si>
    <t>as:ISO2:6:ed3:FR-83</t>
  </si>
  <si>
    <t>FR-84</t>
  </si>
  <si>
    <t>Vaucluse</t>
  </si>
  <si>
    <t>as:ISO2:6:ed3:FR-84</t>
  </si>
  <si>
    <t>FR-85</t>
  </si>
  <si>
    <t>Vendée</t>
  </si>
  <si>
    <t>as:ISO2:6:ed3:FR-85</t>
  </si>
  <si>
    <t>FR-86</t>
  </si>
  <si>
    <t>Vienne</t>
  </si>
  <si>
    <t>as:ISO2:6:ed3:FR-86</t>
  </si>
  <si>
    <t>FR-88</t>
  </si>
  <si>
    <t>Vosges</t>
  </si>
  <si>
    <t>as:ISO2:6:ed3:FR-88</t>
  </si>
  <si>
    <t>FR-WF</t>
  </si>
  <si>
    <t>Wallis-et-Futuna</t>
  </si>
  <si>
    <t>as:GENC:6:ed2:FR-WF</t>
  </si>
  <si>
    <t>FR-89</t>
  </si>
  <si>
    <t>Yonne</t>
  </si>
  <si>
    <t>as:ISO2:6:ed3:FR-89</t>
  </si>
  <si>
    <t>FR-78</t>
  </si>
  <si>
    <t>Yvelines</t>
  </si>
  <si>
    <t>as:ISO2:6:ed3:FR-78</t>
  </si>
  <si>
    <t>GA-1</t>
  </si>
  <si>
    <t>Estuaire</t>
  </si>
  <si>
    <t>as:ISO2:6:ed3:GA-1</t>
  </si>
  <si>
    <t>GA-2</t>
  </si>
  <si>
    <t>Haut-Ogooué</t>
  </si>
  <si>
    <t>as:ISO2:6:ed3:GA-2</t>
  </si>
  <si>
    <t>GA-3</t>
  </si>
  <si>
    <t>Moyen-Ogooué</t>
  </si>
  <si>
    <t>as:ISO2:6:ed3:GA-3</t>
  </si>
  <si>
    <t>GA-4</t>
  </si>
  <si>
    <t>Ngounié</t>
  </si>
  <si>
    <t>as:ISO2:6:ed3:GA-4</t>
  </si>
  <si>
    <t>GA-5</t>
  </si>
  <si>
    <t>Nyanga</t>
  </si>
  <si>
    <t>as:ISO2:6:ed3:GA-5</t>
  </si>
  <si>
    <t>GA-6</t>
  </si>
  <si>
    <t>Ogooué-Ivindo</t>
  </si>
  <si>
    <t>as:ISO2:6:ed3:GA-6</t>
  </si>
  <si>
    <t>GA-7</t>
  </si>
  <si>
    <t>Ogooué-Lolo</t>
  </si>
  <si>
    <t>as:ISO2:6:ed3:GA-7</t>
  </si>
  <si>
    <t>GA-8</t>
  </si>
  <si>
    <t>Ogooué-Maritime</t>
  </si>
  <si>
    <t>as:ISO2:6:ed3:GA-8</t>
  </si>
  <si>
    <t>GA-9</t>
  </si>
  <si>
    <t>Woleu-Ntem</t>
  </si>
  <si>
    <t>as:ISO2:6:ed3:GA-9</t>
  </si>
  <si>
    <t>GM-B</t>
  </si>
  <si>
    <t>Banjul</t>
  </si>
  <si>
    <t>as:ISO2:6:ed3:GM-B</t>
  </si>
  <si>
    <t>GM-M</t>
  </si>
  <si>
    <t>Central River</t>
  </si>
  <si>
    <t>as:ISO2:6:ed3:GM-M</t>
  </si>
  <si>
    <t>GM-L</t>
  </si>
  <si>
    <t>Lower River</t>
  </si>
  <si>
    <t>as:ISO2:6:ed3:GM-L</t>
  </si>
  <si>
    <t>GM-N</t>
  </si>
  <si>
    <t>North Bank</t>
  </si>
  <si>
    <t>as:ISO2:6:ed3:GM-N</t>
  </si>
  <si>
    <t>GM-U</t>
  </si>
  <si>
    <t>Upper River</t>
  </si>
  <si>
    <t>as:ISO2:6:ed3:GM-U</t>
  </si>
  <si>
    <t>GM-W</t>
  </si>
  <si>
    <t>as:ISO2:6:ed3:GM-W</t>
  </si>
  <si>
    <t>GE-AB</t>
  </si>
  <si>
    <t>Abkhazia</t>
  </si>
  <si>
    <t>as:GENC:6:ed2:GE-AB</t>
  </si>
  <si>
    <t>GE-AJ</t>
  </si>
  <si>
    <t>Ajaria</t>
  </si>
  <si>
    <t>as:GENC:6:ed2:GE-AJ</t>
  </si>
  <si>
    <t>GE-GU</t>
  </si>
  <si>
    <t>Guria</t>
  </si>
  <si>
    <t>as:ISO2:6:ed3:GE-GU</t>
  </si>
  <si>
    <t>GE-IM</t>
  </si>
  <si>
    <t>Imereti</t>
  </si>
  <si>
    <t>as:ISO2:6:ed3:GE-IM</t>
  </si>
  <si>
    <t>GE-KA</t>
  </si>
  <si>
    <t>K’akheti</t>
  </si>
  <si>
    <t>as:GENC:6:ed2:GE-KA</t>
  </si>
  <si>
    <t>GE-KK</t>
  </si>
  <si>
    <t>Kvemo Kartli</t>
  </si>
  <si>
    <t>as:ISO2:6:ed3:GE-KK</t>
  </si>
  <si>
    <t>GE-MM</t>
  </si>
  <si>
    <t>Mtskheta Mtianeti</t>
  </si>
  <si>
    <t>as:GENC:6:ed2:GE-MM</t>
  </si>
  <si>
    <t>GE-RL</t>
  </si>
  <si>
    <t>Rach’a-Lechkhumi da Kvemo Svaneti</t>
  </si>
  <si>
    <t>as:GENC:6:ed2:GE-RL</t>
  </si>
  <si>
    <t>GE-SZ</t>
  </si>
  <si>
    <t>Samegrelo-Zemo Svaneti</t>
  </si>
  <si>
    <t>as:ISO2:6:ed3:GE-SZ</t>
  </si>
  <si>
    <t>GE-SJ</t>
  </si>
  <si>
    <t>Samtskhe-Javakheti</t>
  </si>
  <si>
    <t>as:ISO2:6:ed3:GE-SJ</t>
  </si>
  <si>
    <t>GE-SK</t>
  </si>
  <si>
    <t>Shida Kartli</t>
  </si>
  <si>
    <t>as:ISO2:6:ed3:GE-SK</t>
  </si>
  <si>
    <t>GE-TB</t>
  </si>
  <si>
    <t>Tbilisi</t>
  </si>
  <si>
    <t>as:GENC:6:ed2:GE-TB</t>
  </si>
  <si>
    <t>DE-BW</t>
  </si>
  <si>
    <t>Baden-Württemberg</t>
  </si>
  <si>
    <t>as:GENC:6:ed2:DE-BW</t>
  </si>
  <si>
    <t>DE-BY</t>
  </si>
  <si>
    <t>Bayern</t>
  </si>
  <si>
    <t>as:GENC:6:ed2:DE-BY</t>
  </si>
  <si>
    <t>DE-BE</t>
  </si>
  <si>
    <t>Berlin</t>
  </si>
  <si>
    <t>as:GENC:6:ed2:DE-BE</t>
  </si>
  <si>
    <t>DE-BB</t>
  </si>
  <si>
    <t>Brandenburg</t>
  </si>
  <si>
    <t>as:GENC:6:ed2:DE-BB</t>
  </si>
  <si>
    <t>DE-HB</t>
  </si>
  <si>
    <t>Bremen</t>
  </si>
  <si>
    <t>as:GENC:6:ed2:DE-HB</t>
  </si>
  <si>
    <t>DE-HH</t>
  </si>
  <si>
    <t>Hamburg</t>
  </si>
  <si>
    <t>as:GENC:6:ed2:DE-HH</t>
  </si>
  <si>
    <t>DE-HE</t>
  </si>
  <si>
    <t>Hessen</t>
  </si>
  <si>
    <t>as:GENC:6:ed2:DE-HE</t>
  </si>
  <si>
    <t>DE-MV</t>
  </si>
  <si>
    <t>Mecklenburg-Vorpommern</t>
  </si>
  <si>
    <t>as:GENC:6:ed2:DE-MV</t>
  </si>
  <si>
    <t>DE-NI</t>
  </si>
  <si>
    <t>Niedersachsen</t>
  </si>
  <si>
    <t>as:GENC:6:ed2:DE-NI</t>
  </si>
  <si>
    <t>DE-NW</t>
  </si>
  <si>
    <t>Nordrhein-Westfalen</t>
  </si>
  <si>
    <t>as:GENC:6:ed2:DE-NW</t>
  </si>
  <si>
    <t>DE-RP</t>
  </si>
  <si>
    <t>Rheinland-Pfalz</t>
  </si>
  <si>
    <t>as:GENC:6:ed2:DE-RP</t>
  </si>
  <si>
    <t>DE-SL</t>
  </si>
  <si>
    <t>Saarland</t>
  </si>
  <si>
    <t>as:GENC:6:ed2:DE-SL</t>
  </si>
  <si>
    <t>DE-SN</t>
  </si>
  <si>
    <t>Sachsen</t>
  </si>
  <si>
    <t>as:GENC:6:ed2:DE-SN</t>
  </si>
  <si>
    <t>DE-ST</t>
  </si>
  <si>
    <t>Sachsen-Anhalt</t>
  </si>
  <si>
    <t>as:GENC:6:ed2:DE-ST</t>
  </si>
  <si>
    <t>DE-SH</t>
  </si>
  <si>
    <t>Schleswig-Holstein</t>
  </si>
  <si>
    <t>as:GENC:6:ed2:DE-SH</t>
  </si>
  <si>
    <t>DE-TH</t>
  </si>
  <si>
    <t>Thüringen</t>
  </si>
  <si>
    <t>as:GENC:6:ed2:DE-TH</t>
  </si>
  <si>
    <t>GH-AH</t>
  </si>
  <si>
    <t>Ashanti</t>
  </si>
  <si>
    <t>as:ISO2:6:ed3:GH-AH</t>
  </si>
  <si>
    <t>GH-BA</t>
  </si>
  <si>
    <t>Brong-Ahafo</t>
  </si>
  <si>
    <t>as:ISO2:6:ed3:GH-BA</t>
  </si>
  <si>
    <t>GH-CP</t>
  </si>
  <si>
    <t>as:ISO2:6:ed3:GH-CP</t>
  </si>
  <si>
    <t>GH-EP</t>
  </si>
  <si>
    <t>as:ISO2:6:ed3:GH-EP</t>
  </si>
  <si>
    <t>GH-AA</t>
  </si>
  <si>
    <t>Greater Accra</t>
  </si>
  <si>
    <t>as:ISO2:6:ed3:GH-AA</t>
  </si>
  <si>
    <t>GH-NP</t>
  </si>
  <si>
    <t>as:ISO2:6:ed3:GH-NP</t>
  </si>
  <si>
    <t>GH-UE</t>
  </si>
  <si>
    <t>Upper East</t>
  </si>
  <si>
    <t>as:ISO2:6:ed3:GH-UE</t>
  </si>
  <si>
    <t>GH-UW</t>
  </si>
  <si>
    <t>Upper West</t>
  </si>
  <si>
    <t>as:ISO2:6:ed3:GH-UW</t>
  </si>
  <si>
    <t>GH-TV</t>
  </si>
  <si>
    <t>Volta</t>
  </si>
  <si>
    <t>as:ISO2:6:ed3:GH-TV</t>
  </si>
  <si>
    <t>GH-WP</t>
  </si>
  <si>
    <t>as:ISO2:6:ed3:GH-WP</t>
  </si>
  <si>
    <t>GR-13</t>
  </si>
  <si>
    <t>Achaïa</t>
  </si>
  <si>
    <t>as:ISO2:6:ed3:GR-13</t>
  </si>
  <si>
    <t>GR-69</t>
  </si>
  <si>
    <t>Ágion Óros</t>
  </si>
  <si>
    <t>self-governed part</t>
  </si>
  <si>
    <t>as:GENC:6:ed2:GR-69</t>
  </si>
  <si>
    <t>GR-01</t>
  </si>
  <si>
    <t>Aitoloakarnanía</t>
  </si>
  <si>
    <t>as:GENC:6:ed2:GR-01</t>
  </si>
  <si>
    <t>GR-A</t>
  </si>
  <si>
    <t>Anatolikí Makedonía kai Thráki</t>
  </si>
  <si>
    <t>administrative region</t>
  </si>
  <si>
    <t>as:GENC:6:ed2:GR-A</t>
  </si>
  <si>
    <t>GR-11</t>
  </si>
  <si>
    <t>Argolída</t>
  </si>
  <si>
    <t>as:GENC:6:ed2:GR-11</t>
  </si>
  <si>
    <t>GR-12</t>
  </si>
  <si>
    <t>Arkadía</t>
  </si>
  <si>
    <t>as:GENC:6:ed2:GR-12</t>
  </si>
  <si>
    <t>GR-31</t>
  </si>
  <si>
    <t>Árta</t>
  </si>
  <si>
    <t>as:GENC:6:ed2:GR-31</t>
  </si>
  <si>
    <t>GR-I</t>
  </si>
  <si>
    <t>Attikí</t>
  </si>
  <si>
    <t>as:GENC:6:ed2:GR-I</t>
  </si>
  <si>
    <t>GR-A1</t>
  </si>
  <si>
    <t>as:GENC:6:ed2:GR-A1</t>
  </si>
  <si>
    <t>GR-64</t>
  </si>
  <si>
    <t>Chalkidikí</t>
  </si>
  <si>
    <t>as:GENC:6:ed2:GR-64</t>
  </si>
  <si>
    <t>GR-94</t>
  </si>
  <si>
    <t>Chaniá</t>
  </si>
  <si>
    <t>as:GENC:6:ed2:GR-94</t>
  </si>
  <si>
    <t>GR-85</t>
  </si>
  <si>
    <t>Chíos</t>
  </si>
  <si>
    <t>as:GENC:6:ed2:GR-85</t>
  </si>
  <si>
    <t>GR-81</t>
  </si>
  <si>
    <t>Dodekánisa</t>
  </si>
  <si>
    <t>as:GENC:6:ed2:GR-81</t>
  </si>
  <si>
    <t>GR-52</t>
  </si>
  <si>
    <t>Dráma</t>
  </si>
  <si>
    <t>as:GENC:6:ed2:GR-52</t>
  </si>
  <si>
    <t>GR-G</t>
  </si>
  <si>
    <t>Dytikí Elláda</t>
  </si>
  <si>
    <t>as:GENC:6:ed2:GR-G</t>
  </si>
  <si>
    <t>GR-C</t>
  </si>
  <si>
    <t>Dytikí Makedonía</t>
  </si>
  <si>
    <t>as:GENC:6:ed2:GR-C</t>
  </si>
  <si>
    <t>GR-71</t>
  </si>
  <si>
    <t>Évros</t>
  </si>
  <si>
    <t>as:GENC:6:ed2:GR-71</t>
  </si>
  <si>
    <t>GR-05</t>
  </si>
  <si>
    <t>Evrytanía</t>
  </si>
  <si>
    <t>as:GENC:6:ed2:GR-05</t>
  </si>
  <si>
    <t>GR-04</t>
  </si>
  <si>
    <t>Évvoia</t>
  </si>
  <si>
    <t>as:GENC:6:ed2:GR-04</t>
  </si>
  <si>
    <t>GR-63</t>
  </si>
  <si>
    <t>Flórina</t>
  </si>
  <si>
    <t>as:GENC:6:ed2:GR-63</t>
  </si>
  <si>
    <t>GR-07</t>
  </si>
  <si>
    <t>Fokída</t>
  </si>
  <si>
    <t>as:GENC:6:ed2:GR-07</t>
  </si>
  <si>
    <t>GR-06</t>
  </si>
  <si>
    <t>Fthiótida</t>
  </si>
  <si>
    <t>as:GENC:6:ed2:GR-06</t>
  </si>
  <si>
    <t>GR-51</t>
  </si>
  <si>
    <t>Grevená</t>
  </si>
  <si>
    <t>as:GENC:6:ed2:GR-51</t>
  </si>
  <si>
    <t>GR-14</t>
  </si>
  <si>
    <t>Ileía</t>
  </si>
  <si>
    <t>as:GENC:6:ed2:GR-14</t>
  </si>
  <si>
    <t>GR-53</t>
  </si>
  <si>
    <t>Imathía</t>
  </si>
  <si>
    <t>as:GENC:6:ed2:GR-53</t>
  </si>
  <si>
    <t>GR-33</t>
  </si>
  <si>
    <t>Ioánnina</t>
  </si>
  <si>
    <t>as:GENC:6:ed2:GR-33</t>
  </si>
  <si>
    <t>GR-F</t>
  </si>
  <si>
    <t>Ionía Nísia</t>
  </si>
  <si>
    <t>as:GENC:6:ed2:GR-F</t>
  </si>
  <si>
    <t>GR-D</t>
  </si>
  <si>
    <t>Ípeiros</t>
  </si>
  <si>
    <t>as:GENC:6:ed2:GR-D</t>
  </si>
  <si>
    <t>GR-91</t>
  </si>
  <si>
    <t>Irakleío</t>
  </si>
  <si>
    <t>as:GENC:6:ed2:GR-91</t>
  </si>
  <si>
    <t>GR-41</t>
  </si>
  <si>
    <t>Kardítsa</t>
  </si>
  <si>
    <t>as:GENC:6:ed2:GR-41</t>
  </si>
  <si>
    <t>GR-56</t>
  </si>
  <si>
    <t>Kastoriá</t>
  </si>
  <si>
    <t>as:GENC:6:ed2:GR-56</t>
  </si>
  <si>
    <t>GR-55</t>
  </si>
  <si>
    <t>Kavála</t>
  </si>
  <si>
    <t>as:GENC:6:ed2:GR-55</t>
  </si>
  <si>
    <t>GR-23</t>
  </si>
  <si>
    <t>Kefallinía</t>
  </si>
  <si>
    <t>as:GENC:6:ed2:GR-23</t>
  </si>
  <si>
    <t>GR-B</t>
  </si>
  <si>
    <t>Kentrikí Makedonía</t>
  </si>
  <si>
    <t>as:GENC:6:ed2:GR-B</t>
  </si>
  <si>
    <t>GR-22</t>
  </si>
  <si>
    <t>Kérkyra</t>
  </si>
  <si>
    <t>as:GENC:6:ed2:GR-22</t>
  </si>
  <si>
    <t>GR-57</t>
  </si>
  <si>
    <t>Kilkís</t>
  </si>
  <si>
    <t>as:GENC:6:ed2:GR-57</t>
  </si>
  <si>
    <t>GR-15</t>
  </si>
  <si>
    <t>Korinthía</t>
  </si>
  <si>
    <t>as:GENC:6:ed2:GR-15</t>
  </si>
  <si>
    <t>GR-58</t>
  </si>
  <si>
    <t>Kozáni</t>
  </si>
  <si>
    <t>as:GENC:6:ed2:GR-58</t>
  </si>
  <si>
    <t>GR-M</t>
  </si>
  <si>
    <t>Kríti</t>
  </si>
  <si>
    <t>as:GENC:6:ed2:GR-M</t>
  </si>
  <si>
    <t>GR-82</t>
  </si>
  <si>
    <t>Kykládes</t>
  </si>
  <si>
    <t>as:GENC:6:ed2:GR-82</t>
  </si>
  <si>
    <t>GR-16</t>
  </si>
  <si>
    <t>Lakonía</t>
  </si>
  <si>
    <t>as:GENC:6:ed2:GR-16</t>
  </si>
  <si>
    <t>GR-42</t>
  </si>
  <si>
    <t>Lárisa</t>
  </si>
  <si>
    <t>as:GENC:6:ed2:GR-42</t>
  </si>
  <si>
    <t>GR-92</t>
  </si>
  <si>
    <t>Lasíthi</t>
  </si>
  <si>
    <t>as:GENC:6:ed2:GR-92</t>
  </si>
  <si>
    <t>GR-24</t>
  </si>
  <si>
    <t>Lefkáda</t>
  </si>
  <si>
    <t>as:GENC:6:ed2:GR-24</t>
  </si>
  <si>
    <t>GR-83</t>
  </si>
  <si>
    <t>Lésvos</t>
  </si>
  <si>
    <t>as:GENC:6:ed2:GR-83</t>
  </si>
  <si>
    <t>GR-43</t>
  </si>
  <si>
    <t>Magnisía</t>
  </si>
  <si>
    <t>as:GENC:6:ed2:GR-43</t>
  </si>
  <si>
    <t>GR-17</t>
  </si>
  <si>
    <t>Messinía</t>
  </si>
  <si>
    <t>as:GENC:6:ed2:GR-17</t>
  </si>
  <si>
    <t>GR-L</t>
  </si>
  <si>
    <t>Notío Aigaío</t>
  </si>
  <si>
    <t>as:GENC:6:ed2:GR-L</t>
  </si>
  <si>
    <t>GR-59</t>
  </si>
  <si>
    <t>Pélla</t>
  </si>
  <si>
    <t>as:GENC:6:ed2:GR-59</t>
  </si>
  <si>
    <t>GR-J</t>
  </si>
  <si>
    <t>Peloponnísos</t>
  </si>
  <si>
    <t>as:GENC:6:ed2:GR-J</t>
  </si>
  <si>
    <t>GR-61</t>
  </si>
  <si>
    <t>Piería</t>
  </si>
  <si>
    <t>as:GENC:6:ed2:GR-61</t>
  </si>
  <si>
    <t>GR-34</t>
  </si>
  <si>
    <t>Préveza</t>
  </si>
  <si>
    <t>as:GENC:6:ed2:GR-34</t>
  </si>
  <si>
    <t>GR-93</t>
  </si>
  <si>
    <t>Rethýmnis</t>
  </si>
  <si>
    <t>as:GENC:6:ed2:GR-93</t>
  </si>
  <si>
    <t>GR-73</t>
  </si>
  <si>
    <t>Rodópi</t>
  </si>
  <si>
    <t>as:GENC:6:ed2:GR-73</t>
  </si>
  <si>
    <t>GR-84</t>
  </si>
  <si>
    <t>Sámos</t>
  </si>
  <si>
    <t>as:GENC:6:ed2:GR-84</t>
  </si>
  <si>
    <t>GR-62</t>
  </si>
  <si>
    <t>Sérres</t>
  </si>
  <si>
    <t>as:GENC:6:ed2:GR-62</t>
  </si>
  <si>
    <t>GR-H</t>
  </si>
  <si>
    <t>Stereá Elláda</t>
  </si>
  <si>
    <t>as:GENC:6:ed2:GR-H</t>
  </si>
  <si>
    <t>GR-32</t>
  </si>
  <si>
    <t>Thesprotía</t>
  </si>
  <si>
    <t>as:GENC:6:ed2:GR-32</t>
  </si>
  <si>
    <t>GR-E</t>
  </si>
  <si>
    <t>Thessalía</t>
  </si>
  <si>
    <t>as:GENC:6:ed2:GR-E</t>
  </si>
  <si>
    <t>GR-54</t>
  </si>
  <si>
    <t>Thessaloníki</t>
  </si>
  <si>
    <t>as:GENC:6:ed2:GR-54</t>
  </si>
  <si>
    <t>GR-44</t>
  </si>
  <si>
    <t>Tríkala</t>
  </si>
  <si>
    <t>as:GENC:6:ed2:GR-44</t>
  </si>
  <si>
    <t>GR-03</t>
  </si>
  <si>
    <t>Voiotía</t>
  </si>
  <si>
    <t>as:GENC:6:ed2:GR-03</t>
  </si>
  <si>
    <t>GR-K</t>
  </si>
  <si>
    <t>Voreío Aigaío</t>
  </si>
  <si>
    <t>as:GENC:6:ed2:GR-K</t>
  </si>
  <si>
    <t>GR-72</t>
  </si>
  <si>
    <t>Xánthi</t>
  </si>
  <si>
    <t>as:GENC:6:ed2:GR-72</t>
  </si>
  <si>
    <t>GR-21</t>
  </si>
  <si>
    <t>Zakyýnthos</t>
  </si>
  <si>
    <t>as:GENC:6:ed2:GR-21</t>
  </si>
  <si>
    <t>GL-KU</t>
  </si>
  <si>
    <t>Kujalleq</t>
  </si>
  <si>
    <t>as:GENC:6:ed2:GL-KU</t>
  </si>
  <si>
    <t>GL-QA</t>
  </si>
  <si>
    <t>Qaasuitsup</t>
  </si>
  <si>
    <t>as:GENC:6:ed2:GL-QA</t>
  </si>
  <si>
    <t>GL-QE</t>
  </si>
  <si>
    <t>Qeqqata</t>
  </si>
  <si>
    <t>as:GENC:6:ed2:GL-QE</t>
  </si>
  <si>
    <t>GL-SM</t>
  </si>
  <si>
    <t>Sermersooq</t>
  </si>
  <si>
    <t>as:GENC:6:ed2:GL-SM</t>
  </si>
  <si>
    <t>GD-01</t>
  </si>
  <si>
    <t>as:ISO2:6:ed3:GD-01</t>
  </si>
  <si>
    <t>GD-02</t>
  </si>
  <si>
    <t>as:ISO2:6:ed3:GD-02</t>
  </si>
  <si>
    <t>GD-03</t>
  </si>
  <si>
    <t>as:ISO2:6:ed3:GD-03</t>
  </si>
  <si>
    <t>GD-04</t>
  </si>
  <si>
    <t>as:ISO2:6:ed3:GD-04</t>
  </si>
  <si>
    <t>GD-05</t>
  </si>
  <si>
    <t>as:ISO2:6:ed3:GD-05</t>
  </si>
  <si>
    <t>GD-06</t>
  </si>
  <si>
    <t>as:ISO2:6:ed3:GD-06</t>
  </si>
  <si>
    <t>GD-10</t>
  </si>
  <si>
    <t>Southern Grenadine Islands</t>
  </si>
  <si>
    <t>as:ISO2:6:ed3:GD-10</t>
  </si>
  <si>
    <t>GT-AV</t>
  </si>
  <si>
    <t>Alta Verapaz</t>
  </si>
  <si>
    <t>as:ISO2:6:ed3:GT-AV</t>
  </si>
  <si>
    <t>GT-BV</t>
  </si>
  <si>
    <t>Baja Verapaz</t>
  </si>
  <si>
    <t>as:ISO2:6:ed3:GT-BV</t>
  </si>
  <si>
    <t>GT-CM</t>
  </si>
  <si>
    <t>Chimaltenango</t>
  </si>
  <si>
    <t>as:ISO2:6:ed3:GT-CM</t>
  </si>
  <si>
    <t>GT-CQ</t>
  </si>
  <si>
    <t>Chiquimula</t>
  </si>
  <si>
    <t>as:ISO2:6:ed3:GT-CQ</t>
  </si>
  <si>
    <t>GT-PR</t>
  </si>
  <si>
    <t>El Progreso</t>
  </si>
  <si>
    <t>as:ISO2:6:ed3:GT-PR</t>
  </si>
  <si>
    <t>GT-ES</t>
  </si>
  <si>
    <t>Escuintla</t>
  </si>
  <si>
    <t>as:ISO2:6:ed3:GT-ES</t>
  </si>
  <si>
    <t>GT-GU</t>
  </si>
  <si>
    <t>as:ISO2:6:ed3:GT-GU</t>
  </si>
  <si>
    <t>GT-HU</t>
  </si>
  <si>
    <t>Huehuetenango</t>
  </si>
  <si>
    <t>as:ISO2:6:ed3:GT-HU</t>
  </si>
  <si>
    <t>GT-IZ</t>
  </si>
  <si>
    <t>Izabal</t>
  </si>
  <si>
    <t>as:ISO2:6:ed3:GT-IZ</t>
  </si>
  <si>
    <t>GT-JA</t>
  </si>
  <si>
    <t>Jalapa</t>
  </si>
  <si>
    <t>as:ISO2:6:ed3:GT-JA</t>
  </si>
  <si>
    <t>GT-JU</t>
  </si>
  <si>
    <t>Jutiapa</t>
  </si>
  <si>
    <t>as:ISO2:6:ed3:GT-JU</t>
  </si>
  <si>
    <t>GT-PE</t>
  </si>
  <si>
    <t>Petén</t>
  </si>
  <si>
    <t>as:ISO2:6:ed3:GT-PE</t>
  </si>
  <si>
    <t>GT-QZ</t>
  </si>
  <si>
    <t>Quetzaltenango</t>
  </si>
  <si>
    <t>as:ISO2:6:ed3:GT-QZ</t>
  </si>
  <si>
    <t>GT-QC</t>
  </si>
  <si>
    <t>Quiché</t>
  </si>
  <si>
    <t>as:ISO2:6:ed3:GT-QC</t>
  </si>
  <si>
    <t>GT-RE</t>
  </si>
  <si>
    <t>Retalhuleu</t>
  </si>
  <si>
    <t>as:ISO2:6:ed3:GT-RE</t>
  </si>
  <si>
    <t>GT-SA</t>
  </si>
  <si>
    <t>Sacatepéquez</t>
  </si>
  <si>
    <t>as:ISO2:6:ed3:GT-SA</t>
  </si>
  <si>
    <t>GT-SM</t>
  </si>
  <si>
    <t>San Marcos</t>
  </si>
  <si>
    <t>as:ISO2:6:ed3:GT-SM</t>
  </si>
  <si>
    <t>GT-SR</t>
  </si>
  <si>
    <t>Santa Rosa</t>
  </si>
  <si>
    <t>as:ISO2:6:ed3:GT-SR</t>
  </si>
  <si>
    <t>GT-SO</t>
  </si>
  <si>
    <t>Sololá</t>
  </si>
  <si>
    <t>as:ISO2:6:ed3:GT-SO</t>
  </si>
  <si>
    <t>GT-SU</t>
  </si>
  <si>
    <t>Suchitepéquez</t>
  </si>
  <si>
    <t>as:ISO2:6:ed3:GT-SU</t>
  </si>
  <si>
    <t>GT-TO</t>
  </si>
  <si>
    <t>Totonicapán</t>
  </si>
  <si>
    <t>as:ISO2:6:ed3:GT-TO</t>
  </si>
  <si>
    <t>GT-ZA</t>
  </si>
  <si>
    <t>Zacapa</t>
  </si>
  <si>
    <t>as:ISO2:6:ed3:GT-ZA</t>
  </si>
  <si>
    <t>GN-BE</t>
  </si>
  <si>
    <t>Beyla</t>
  </si>
  <si>
    <t>as:ISO2:6:ed3:GN-BE</t>
  </si>
  <si>
    <t>GN-BF</t>
  </si>
  <si>
    <t>Boffa</t>
  </si>
  <si>
    <t>as:ISO2:6:ed3:GN-BF</t>
  </si>
  <si>
    <t>GN-B</t>
  </si>
  <si>
    <t>Boké</t>
  </si>
  <si>
    <t>as:GENC:6:ed2:GN-B</t>
  </si>
  <si>
    <t>GN-BK</t>
  </si>
  <si>
    <t>as:ISO2:6:ed3:GN-BK</t>
  </si>
  <si>
    <t>GN-C</t>
  </si>
  <si>
    <t>Conakry</t>
  </si>
  <si>
    <t>as:GENC:6:ed2:GN-C</t>
  </si>
  <si>
    <t>GN-CO</t>
  </si>
  <si>
    <t>Coyah</t>
  </si>
  <si>
    <t>as:ISO2:6:ed3:GN-CO</t>
  </si>
  <si>
    <t>GN-DB</t>
  </si>
  <si>
    <t>Dabola</t>
  </si>
  <si>
    <t>as:ISO2:6:ed3:GN-DB</t>
  </si>
  <si>
    <t>GN-DL</t>
  </si>
  <si>
    <t>Dalaba</t>
  </si>
  <si>
    <t>as:ISO2:6:ed3:GN-DL</t>
  </si>
  <si>
    <t>GN-DI</t>
  </si>
  <si>
    <t>Dinguiraye</t>
  </si>
  <si>
    <t>as:ISO2:6:ed3:GN-DI</t>
  </si>
  <si>
    <t>GN-DU</t>
  </si>
  <si>
    <t>Dubréka</t>
  </si>
  <si>
    <t>as:ISO2:6:ed3:GN-DU</t>
  </si>
  <si>
    <t>GN-F</t>
  </si>
  <si>
    <t>Faranah</t>
  </si>
  <si>
    <t>as:GENC:6:ed2:GN-F</t>
  </si>
  <si>
    <t>GN-FA</t>
  </si>
  <si>
    <t>as:ISO2:6:ed3:GN-FA</t>
  </si>
  <si>
    <t>GN-FO</t>
  </si>
  <si>
    <t>Forécariah</t>
  </si>
  <si>
    <t>as:ISO2:6:ed3:GN-FO</t>
  </si>
  <si>
    <t>GN-FR</t>
  </si>
  <si>
    <t>Fria</t>
  </si>
  <si>
    <t>as:ISO2:6:ed3:GN-FR</t>
  </si>
  <si>
    <t>GN-GA</t>
  </si>
  <si>
    <t>Gaoual</t>
  </si>
  <si>
    <t>as:ISO2:6:ed3:GN-GA</t>
  </si>
  <si>
    <t>GN-GU</t>
  </si>
  <si>
    <t>Guékédou</t>
  </si>
  <si>
    <t>as:ISO2:6:ed3:GN-GU</t>
  </si>
  <si>
    <t>GN-K</t>
  </si>
  <si>
    <t>Kankan</t>
  </si>
  <si>
    <t>as:GENC:6:ed2:GN-K</t>
  </si>
  <si>
    <t>GN-KA</t>
  </si>
  <si>
    <t>as:ISO2:6:ed3:GN-KA</t>
  </si>
  <si>
    <t>GN-KE</t>
  </si>
  <si>
    <t>Kérouané</t>
  </si>
  <si>
    <t>as:ISO2:6:ed3:GN-KE</t>
  </si>
  <si>
    <t>GN-D</t>
  </si>
  <si>
    <t>Kindia</t>
  </si>
  <si>
    <t>as:GENC:6:ed2:GN-D</t>
  </si>
  <si>
    <t>GN-KD</t>
  </si>
  <si>
    <t>as:ISO2:6:ed3:GN-KD</t>
  </si>
  <si>
    <t>GN-KS</t>
  </si>
  <si>
    <t>Kissidougou</t>
  </si>
  <si>
    <t>as:ISO2:6:ed3:GN-KS</t>
  </si>
  <si>
    <t>GN-KB</t>
  </si>
  <si>
    <t>Koubia</t>
  </si>
  <si>
    <t>as:ISO2:6:ed3:GN-KB</t>
  </si>
  <si>
    <t>GN-KN</t>
  </si>
  <si>
    <t>Koundara</t>
  </si>
  <si>
    <t>as:ISO2:6:ed3:GN-KN</t>
  </si>
  <si>
    <t>GN-KO</t>
  </si>
  <si>
    <t>Kouroussa</t>
  </si>
  <si>
    <t>as:ISO2:6:ed3:GN-KO</t>
  </si>
  <si>
    <t>GN-L</t>
  </si>
  <si>
    <t>Labé</t>
  </si>
  <si>
    <t>as:GENC:6:ed2:GN-L</t>
  </si>
  <si>
    <t>GN-LA</t>
  </si>
  <si>
    <t>as:ISO2:6:ed3:GN-LA</t>
  </si>
  <si>
    <t>GN-LE</t>
  </si>
  <si>
    <t>Lélouma</t>
  </si>
  <si>
    <t>as:ISO2:6:ed3:GN-LE</t>
  </si>
  <si>
    <t>GN-LO</t>
  </si>
  <si>
    <t>Lola</t>
  </si>
  <si>
    <t>as:ISO2:6:ed3:GN-LO</t>
  </si>
  <si>
    <t>GN-MC</t>
  </si>
  <si>
    <t>Macenta</t>
  </si>
  <si>
    <t>as:ISO2:6:ed3:GN-MC</t>
  </si>
  <si>
    <t>GN-ML</t>
  </si>
  <si>
    <t>as:ISO2:6:ed3:GN-ML</t>
  </si>
  <si>
    <t>GN-M</t>
  </si>
  <si>
    <t>Mamou</t>
  </si>
  <si>
    <t>as:GENC:6:ed2:GN-M</t>
  </si>
  <si>
    <t>GN-MM</t>
  </si>
  <si>
    <t>as:ISO2:6:ed3:GN-MM</t>
  </si>
  <si>
    <t>GN-MD</t>
  </si>
  <si>
    <t>Mandiana</t>
  </si>
  <si>
    <t>as:ISO2:6:ed3:GN-MD</t>
  </si>
  <si>
    <t>GN-N</t>
  </si>
  <si>
    <t>N’Zérékoré</t>
  </si>
  <si>
    <t>as:GENC:6:ed2:GN-N</t>
  </si>
  <si>
    <t>GN-NZ</t>
  </si>
  <si>
    <t>as:GENC:6:ed2:GN-NZ</t>
  </si>
  <si>
    <t>GN-PI</t>
  </si>
  <si>
    <t>Pita</t>
  </si>
  <si>
    <t>as:ISO2:6:ed3:GN-PI</t>
  </si>
  <si>
    <t>GN-SI</t>
  </si>
  <si>
    <t>Siguiri</t>
  </si>
  <si>
    <t>as:ISO2:6:ed3:GN-SI</t>
  </si>
  <si>
    <t>GN-TE</t>
  </si>
  <si>
    <t>Télimélé</t>
  </si>
  <si>
    <t>as:ISO2:6:ed3:GN-TE</t>
  </si>
  <si>
    <t>GN-TO</t>
  </si>
  <si>
    <t>Tougué</t>
  </si>
  <si>
    <t>as:ISO2:6:ed3:GN-TO</t>
  </si>
  <si>
    <t>GN-YO</t>
  </si>
  <si>
    <t>Yomou</t>
  </si>
  <si>
    <t>as:ISO2:6:ed3:GN-YO</t>
  </si>
  <si>
    <t>GW-BA</t>
  </si>
  <si>
    <t>Bafatá</t>
  </si>
  <si>
    <t>as:GENC:6:ed2:GW-BA</t>
  </si>
  <si>
    <t>GW-BM</t>
  </si>
  <si>
    <t>Biombo</t>
  </si>
  <si>
    <t>as:GENC:6:ed2:GW-BM</t>
  </si>
  <si>
    <t>GW-BS</t>
  </si>
  <si>
    <t>Bissau</t>
  </si>
  <si>
    <t>autonomous sector</t>
  </si>
  <si>
    <t>as:GENC:6:ed2:GW-BS</t>
  </si>
  <si>
    <t>GW-BL</t>
  </si>
  <si>
    <t>Bolama</t>
  </si>
  <si>
    <t>as:GENC:6:ed2:GW-BL</t>
  </si>
  <si>
    <t>GW-CA</t>
  </si>
  <si>
    <t>Cacheu</t>
  </si>
  <si>
    <t>as:GENC:6:ed2:GW-CA</t>
  </si>
  <si>
    <t>GW-GA</t>
  </si>
  <si>
    <t>Gabú</t>
  </si>
  <si>
    <t>as:GENC:6:ed2:GW-GA</t>
  </si>
  <si>
    <t>GW-L</t>
  </si>
  <si>
    <t>Leste</t>
  </si>
  <si>
    <t>as:GENC:6:ed2:GW-L</t>
  </si>
  <si>
    <t>GW-N</t>
  </si>
  <si>
    <t>Norte</t>
  </si>
  <si>
    <t>as:GENC:6:ed2:GW-N</t>
  </si>
  <si>
    <t>GW-OI</t>
  </si>
  <si>
    <t>Oio</t>
  </si>
  <si>
    <t>as:GENC:6:ed2:GW-OI</t>
  </si>
  <si>
    <t>GW-QU</t>
  </si>
  <si>
    <t>Quinara</t>
  </si>
  <si>
    <t>as:GENC:6:ed2:GW-QU</t>
  </si>
  <si>
    <t>GW-S</t>
  </si>
  <si>
    <t>Sul</t>
  </si>
  <si>
    <t>as:GENC:6:ed2:GW-S</t>
  </si>
  <si>
    <t>GW-TO</t>
  </si>
  <si>
    <t>Tombali</t>
  </si>
  <si>
    <t>as:GENC:6:ed2:GW-TO</t>
  </si>
  <si>
    <t>GY-BA</t>
  </si>
  <si>
    <t>Barima-Waini</t>
  </si>
  <si>
    <t>as:ISO2:6:ed3:GY-BA</t>
  </si>
  <si>
    <t>GY-CU</t>
  </si>
  <si>
    <t>Cuyuni-Mazaruni</t>
  </si>
  <si>
    <t>as:ISO2:6:ed3:GY-CU</t>
  </si>
  <si>
    <t>GY-DE</t>
  </si>
  <si>
    <t>Demerara-Mahaica</t>
  </si>
  <si>
    <t>as:ISO2:6:ed3:GY-DE</t>
  </si>
  <si>
    <t>GY-EB</t>
  </si>
  <si>
    <t>East Berbice-Corentyne</t>
  </si>
  <si>
    <t>as:ISO2:6:ed3:GY-EB</t>
  </si>
  <si>
    <t>GY-ES</t>
  </si>
  <si>
    <t>Essequibo Islands-West Demerara</t>
  </si>
  <si>
    <t>as:ISO2:6:ed3:GY-ES</t>
  </si>
  <si>
    <t>GY-MA</t>
  </si>
  <si>
    <t>Mahaica-Berbice</t>
  </si>
  <si>
    <t>as:ISO2:6:ed3:GY-MA</t>
  </si>
  <si>
    <t>GY-PM</t>
  </si>
  <si>
    <t>Pomeroon-Supenaam</t>
  </si>
  <si>
    <t>as:ISO2:6:ed3:GY-PM</t>
  </si>
  <si>
    <t>GY-PT</t>
  </si>
  <si>
    <t>Potaro-Siparuni</t>
  </si>
  <si>
    <t>as:ISO2:6:ed3:GY-PT</t>
  </si>
  <si>
    <t>GY-UD</t>
  </si>
  <si>
    <t>Upper Demerara-Berbice</t>
  </si>
  <si>
    <t>as:ISO2:6:ed3:GY-UD</t>
  </si>
  <si>
    <t>GY-UT</t>
  </si>
  <si>
    <t>Upper Takutu-Upper Essequibo</t>
  </si>
  <si>
    <t>as:ISO2:6:ed3:GY-UT</t>
  </si>
  <si>
    <t>HT-AR</t>
  </si>
  <si>
    <t>Artibonite</t>
  </si>
  <si>
    <t>as:GENC:6:ed2:HT-AR</t>
  </si>
  <si>
    <t>HT-CE</t>
  </si>
  <si>
    <t>as:GENC:6:ed2:HT-CE</t>
  </si>
  <si>
    <t>HT-GA</t>
  </si>
  <si>
    <t>Grand’Anse</t>
  </si>
  <si>
    <t>as:GENC:6:ed2:HT-GA</t>
  </si>
  <si>
    <t>HT-NI</t>
  </si>
  <si>
    <t>Nippes</t>
  </si>
  <si>
    <t>as:GENC:6:ed2:HT-NI</t>
  </si>
  <si>
    <t>HT-ND</t>
  </si>
  <si>
    <t>as:GENC:6:ed2:HT-ND</t>
  </si>
  <si>
    <t>HT-NE</t>
  </si>
  <si>
    <t>Nord-Est</t>
  </si>
  <si>
    <t>as:GENC:6:ed2:HT-NE</t>
  </si>
  <si>
    <t>HT-NO</t>
  </si>
  <si>
    <t>Nord-Ouest</t>
  </si>
  <si>
    <t>as:GENC:6:ed2:HT-NO</t>
  </si>
  <si>
    <t>HT-OU</t>
  </si>
  <si>
    <t>as:GENC:6:ed2:HT-OU</t>
  </si>
  <si>
    <t>HT-SD</t>
  </si>
  <si>
    <t>as:GENC:6:ed2:HT-SD</t>
  </si>
  <si>
    <t>HT-SE</t>
  </si>
  <si>
    <t>Sud-Est</t>
  </si>
  <si>
    <t>as:GENC:6:ed2:HT-SE</t>
  </si>
  <si>
    <t>HN-AT</t>
  </si>
  <si>
    <t>Atlántida</t>
  </si>
  <si>
    <t>as:ISO2:6:ed3:HN-AT</t>
  </si>
  <si>
    <t>HN-CH</t>
  </si>
  <si>
    <t>Choluteca</t>
  </si>
  <si>
    <t>as:ISO2:6:ed3:HN-CH</t>
  </si>
  <si>
    <t>HN-CL</t>
  </si>
  <si>
    <t>Colón</t>
  </si>
  <si>
    <t>as:ISO2:6:ed3:HN-CL</t>
  </si>
  <si>
    <t>HN-CM</t>
  </si>
  <si>
    <t>Comayagua</t>
  </si>
  <si>
    <t>as:ISO2:6:ed3:HN-CM</t>
  </si>
  <si>
    <t>HN-CP</t>
  </si>
  <si>
    <t>Copán</t>
  </si>
  <si>
    <t>as:ISO2:6:ed3:HN-CP</t>
  </si>
  <si>
    <t>HN-CR</t>
  </si>
  <si>
    <t>Cortés</t>
  </si>
  <si>
    <t>as:ISO2:6:ed3:HN-CR</t>
  </si>
  <si>
    <t>HN-EP</t>
  </si>
  <si>
    <t>El Paraíso</t>
  </si>
  <si>
    <t>as:ISO2:6:ed3:HN-EP</t>
  </si>
  <si>
    <t>HN-FM</t>
  </si>
  <si>
    <t>Francisco Morazán</t>
  </si>
  <si>
    <t>as:ISO2:6:ed3:HN-FM</t>
  </si>
  <si>
    <t>HN-GD</t>
  </si>
  <si>
    <t>Gracias a Dios</t>
  </si>
  <si>
    <t>as:ISO2:6:ed3:HN-GD</t>
  </si>
  <si>
    <t>HN-IN</t>
  </si>
  <si>
    <t>Intibucá</t>
  </si>
  <si>
    <t>as:ISO2:6:ed3:HN-IN</t>
  </si>
  <si>
    <t>HN-IB</t>
  </si>
  <si>
    <t>Islas de la Bahía</t>
  </si>
  <si>
    <t>as:ISO2:6:ed3:HN-IB</t>
  </si>
  <si>
    <t>HN-LP</t>
  </si>
  <si>
    <t>as:ISO2:6:ed3:HN-LP</t>
  </si>
  <si>
    <t>HN-LE</t>
  </si>
  <si>
    <t>Lempira</t>
  </si>
  <si>
    <t>as:ISO2:6:ed3:HN-LE</t>
  </si>
  <si>
    <t>HN-OC</t>
  </si>
  <si>
    <t>Ocotepeque</t>
  </si>
  <si>
    <t>as:ISO2:6:ed3:HN-OC</t>
  </si>
  <si>
    <t>HN-OL</t>
  </si>
  <si>
    <t>Olancho</t>
  </si>
  <si>
    <t>as:ISO2:6:ed3:HN-OL</t>
  </si>
  <si>
    <t>HN-SB</t>
  </si>
  <si>
    <t>Santa Bárbara</t>
  </si>
  <si>
    <t>as:ISO2:6:ed3:HN-SB</t>
  </si>
  <si>
    <t>HN-VA</t>
  </si>
  <si>
    <t>Valle</t>
  </si>
  <si>
    <t>as:ISO2:6:ed3:HN-VA</t>
  </si>
  <si>
    <t>HN-YO</t>
  </si>
  <si>
    <t>Yoro</t>
  </si>
  <si>
    <t>as:ISO2:6:ed3:HN-YO</t>
  </si>
  <si>
    <t>HU-BK</t>
  </si>
  <si>
    <t>Bács-Kiskun</t>
  </si>
  <si>
    <t>as:ISO2:6:ed3:HU-BK</t>
  </si>
  <si>
    <t>HU-BA</t>
  </si>
  <si>
    <t>Baranya</t>
  </si>
  <si>
    <t>as:ISO2:6:ed3:HU-BA</t>
  </si>
  <si>
    <t>HU-BE</t>
  </si>
  <si>
    <t>Békés</t>
  </si>
  <si>
    <t>as:ISO2:6:ed3:HU-BE</t>
  </si>
  <si>
    <t>HU-BC</t>
  </si>
  <si>
    <t>Békéscsaba</t>
  </si>
  <si>
    <t>urban county</t>
  </si>
  <si>
    <t>as:GENC:6:ed2:HU-BC</t>
  </si>
  <si>
    <t>HU-BZ</t>
  </si>
  <si>
    <t>Borsod-Abaúj-Zemplén</t>
  </si>
  <si>
    <t>as:ISO2:6:ed3:HU-BZ</t>
  </si>
  <si>
    <t>HU-BU</t>
  </si>
  <si>
    <t>Budapest</t>
  </si>
  <si>
    <t>capital city</t>
  </si>
  <si>
    <t>as:ISO2:6:ed3:HU-BU</t>
  </si>
  <si>
    <t>HU-CS</t>
  </si>
  <si>
    <t>Csongrád</t>
  </si>
  <si>
    <t>as:ISO2:6:ed3:HU-CS</t>
  </si>
  <si>
    <t>HU-DE</t>
  </si>
  <si>
    <t>Debrecen</t>
  </si>
  <si>
    <t>as:GENC:6:ed2:HU-DE</t>
  </si>
  <si>
    <t>HU-DU</t>
  </si>
  <si>
    <t>Dunaújváros</t>
  </si>
  <si>
    <t>as:GENC:6:ed2:HU-DU</t>
  </si>
  <si>
    <t>HU-EG</t>
  </si>
  <si>
    <t>Eger</t>
  </si>
  <si>
    <t>as:GENC:6:ed2:HU-EG</t>
  </si>
  <si>
    <t>HU-ER</t>
  </si>
  <si>
    <t>Érd</t>
  </si>
  <si>
    <t>as:GENC:6:ed2:HU-ER</t>
  </si>
  <si>
    <t>HU-FE</t>
  </si>
  <si>
    <t>Fejér</t>
  </si>
  <si>
    <t>as:ISO2:6:ed3:HU-FE</t>
  </si>
  <si>
    <t>HU-GY</t>
  </si>
  <si>
    <t>Győr</t>
  </si>
  <si>
    <t>as:GENC:6:ed2:HU-GY</t>
  </si>
  <si>
    <t>HU-GS</t>
  </si>
  <si>
    <t>Győr-Moson-Sopron</t>
  </si>
  <si>
    <t>as:ISO2:6:ed3:HU-GS</t>
  </si>
  <si>
    <t>HU-HB</t>
  </si>
  <si>
    <t>Hajdú-Bihar</t>
  </si>
  <si>
    <t>as:ISO2:6:ed3:HU-HB</t>
  </si>
  <si>
    <t>HU-HE</t>
  </si>
  <si>
    <t>Heves</t>
  </si>
  <si>
    <t>as:ISO2:6:ed3:HU-HE</t>
  </si>
  <si>
    <t>HU-HV</t>
  </si>
  <si>
    <t>Hódmezővásárhely</t>
  </si>
  <si>
    <t>as:GENC:6:ed2:HU-HV</t>
  </si>
  <si>
    <t>HU-JN</t>
  </si>
  <si>
    <t>Jász-Nagykun-Szolnok</t>
  </si>
  <si>
    <t>as:ISO2:6:ed3:HU-JN</t>
  </si>
  <si>
    <t>HU-KV</t>
  </si>
  <si>
    <t>Kaposvár</t>
  </si>
  <si>
    <t>as:GENC:6:ed2:HU-KV</t>
  </si>
  <si>
    <t>HU-KM</t>
  </si>
  <si>
    <t>Kecskemét</t>
  </si>
  <si>
    <t>as:GENC:6:ed2:HU-KM</t>
  </si>
  <si>
    <t>HU-KE</t>
  </si>
  <si>
    <t>Komárom-Esztergom</t>
  </si>
  <si>
    <t>as:ISO2:6:ed3:HU-KE</t>
  </si>
  <si>
    <t>HU-MI</t>
  </si>
  <si>
    <t>Miskolc</t>
  </si>
  <si>
    <t>as:GENC:6:ed2:HU-MI</t>
  </si>
  <si>
    <t>HU-NK</t>
  </si>
  <si>
    <t>Nagykanizsa</t>
  </si>
  <si>
    <t>as:GENC:6:ed2:HU-NK</t>
  </si>
  <si>
    <t>HU-NO</t>
  </si>
  <si>
    <t>Nógrád</t>
  </si>
  <si>
    <t>as:ISO2:6:ed3:HU-NO</t>
  </si>
  <si>
    <t>HU-NY</t>
  </si>
  <si>
    <t>Nyíregyháza</t>
  </si>
  <si>
    <t>as:GENC:6:ed2:HU-NY</t>
  </si>
  <si>
    <t>HU-PS</t>
  </si>
  <si>
    <t>Pécs</t>
  </si>
  <si>
    <t>as:GENC:6:ed2:HU-PS</t>
  </si>
  <si>
    <t>HU-PE</t>
  </si>
  <si>
    <t>Pest</t>
  </si>
  <si>
    <t>as:ISO2:6:ed3:HU-PE</t>
  </si>
  <si>
    <t>HU-ST</t>
  </si>
  <si>
    <t>Salgótarján</t>
  </si>
  <si>
    <t>as:GENC:6:ed2:HU-ST</t>
  </si>
  <si>
    <t>HU-SO</t>
  </si>
  <si>
    <t>Somogy</t>
  </si>
  <si>
    <t>as:ISO2:6:ed3:HU-SO</t>
  </si>
  <si>
    <t>HU-SN</t>
  </si>
  <si>
    <t>Sopron</t>
  </si>
  <si>
    <t>as:GENC:6:ed2:HU-SN</t>
  </si>
  <si>
    <t>HU-SZ</t>
  </si>
  <si>
    <t>Szabolcs-Szatmár-Bereg</t>
  </si>
  <si>
    <t>as:ISO2:6:ed3:HU-SZ</t>
  </si>
  <si>
    <t>HU-SD</t>
  </si>
  <si>
    <t>Szeged</t>
  </si>
  <si>
    <t>as:GENC:6:ed2:HU-SD</t>
  </si>
  <si>
    <t>HU-SF</t>
  </si>
  <si>
    <t>Székesfehérvár</t>
  </si>
  <si>
    <t>as:GENC:6:ed2:HU-SF</t>
  </si>
  <si>
    <t>HU-SS</t>
  </si>
  <si>
    <t>Szekszárd</t>
  </si>
  <si>
    <t>as:GENC:6:ed2:HU-SS</t>
  </si>
  <si>
    <t>HU-SK</t>
  </si>
  <si>
    <t>Szolnok</t>
  </si>
  <si>
    <t>as:GENC:6:ed2:HU-SK</t>
  </si>
  <si>
    <t>HU-SH</t>
  </si>
  <si>
    <t>Szombathely</t>
  </si>
  <si>
    <t>as:GENC:6:ed2:HU-SH</t>
  </si>
  <si>
    <t>HU-TB</t>
  </si>
  <si>
    <t>Tatabánya</t>
  </si>
  <si>
    <t>as:GENC:6:ed2:HU-TB</t>
  </si>
  <si>
    <t>HU-TO</t>
  </si>
  <si>
    <t>Tolna</t>
  </si>
  <si>
    <t>as:ISO2:6:ed3:HU-TO</t>
  </si>
  <si>
    <t>HU-VA</t>
  </si>
  <si>
    <t>Vas</t>
  </si>
  <si>
    <t>as:ISO2:6:ed3:HU-VA</t>
  </si>
  <si>
    <t>HU-VE</t>
  </si>
  <si>
    <t>Veszprém</t>
  </si>
  <si>
    <t>as:ISO2:6:ed3:HU-VE</t>
  </si>
  <si>
    <t>HU-VM</t>
  </si>
  <si>
    <t>as:GENC:6:ed2:HU-VM</t>
  </si>
  <si>
    <t>HU-ZA</t>
  </si>
  <si>
    <t>Zala</t>
  </si>
  <si>
    <t>as:ISO2:6:ed3:HU-ZA</t>
  </si>
  <si>
    <t>HU-ZE</t>
  </si>
  <si>
    <t>Zalaegerszeg</t>
  </si>
  <si>
    <t>as:GENC:6:ed2:HU-ZE</t>
  </si>
  <si>
    <t>IS-7</t>
  </si>
  <si>
    <t>Austurland</t>
  </si>
  <si>
    <t>as:GENC:6:ed2:IS-7</t>
  </si>
  <si>
    <t>IS-1</t>
  </si>
  <si>
    <t>Höfuðborgarsvæði</t>
  </si>
  <si>
    <t>as:GENC:6:ed2:IS-1</t>
  </si>
  <si>
    <t>IS-6</t>
  </si>
  <si>
    <t>Norðurland Eystra</t>
  </si>
  <si>
    <t>as:GENC:6:ed2:IS-6</t>
  </si>
  <si>
    <t>IS-5</t>
  </si>
  <si>
    <t>Norðurland Vestra</t>
  </si>
  <si>
    <t>as:GENC:6:ed2:IS-5</t>
  </si>
  <si>
    <t>IS-0</t>
  </si>
  <si>
    <t>Reykjavík</t>
  </si>
  <si>
    <t>as:GENC:6:ed2:IS-0</t>
  </si>
  <si>
    <t>IS-8</t>
  </si>
  <si>
    <t>Suðurland</t>
  </si>
  <si>
    <t>as:GENC:6:ed2:IS-8</t>
  </si>
  <si>
    <t>IS-2</t>
  </si>
  <si>
    <t>Suðurnes</t>
  </si>
  <si>
    <t>as:GENC:6:ed2:IS-2</t>
  </si>
  <si>
    <t>IS-4</t>
  </si>
  <si>
    <t>Vestfirðir</t>
  </si>
  <si>
    <t>as:GENC:6:ed2:IS-4</t>
  </si>
  <si>
    <t>IS-3</t>
  </si>
  <si>
    <t>Vesturland</t>
  </si>
  <si>
    <t>as:GENC:6:ed2:IS-3</t>
  </si>
  <si>
    <t>IN-AN</t>
  </si>
  <si>
    <t>Andaman and Nicobar Islands</t>
  </si>
  <si>
    <t>as:GENC:6:ed2:IN-AN</t>
  </si>
  <si>
    <t>IN-AP</t>
  </si>
  <si>
    <t>Andhra Pradesh</t>
  </si>
  <si>
    <t>as:ISO2:6:ed3:IN-AP</t>
  </si>
  <si>
    <t>IN-AR</t>
  </si>
  <si>
    <t>Arunāchal Pradesh</t>
  </si>
  <si>
    <t>as:GENC:6:ed2:IN-AR</t>
  </si>
  <si>
    <t>IN-AS</t>
  </si>
  <si>
    <t>Assam</t>
  </si>
  <si>
    <t>as:ISO2:6:ed3:IN-AS</t>
  </si>
  <si>
    <t>IN-BR</t>
  </si>
  <si>
    <t>Bihār</t>
  </si>
  <si>
    <t>as:GENC:6:ed2:IN-BR</t>
  </si>
  <si>
    <t>IN-CH</t>
  </si>
  <si>
    <t>Chandīgarh</t>
  </si>
  <si>
    <t>as:GENC:6:ed2:IN-CH</t>
  </si>
  <si>
    <t>IN-CT</t>
  </si>
  <si>
    <t>Chhattīsgarh</t>
  </si>
  <si>
    <t>as:GENC:6:ed2:IN-CT</t>
  </si>
  <si>
    <t>IN-DN</t>
  </si>
  <si>
    <t>Dādra and Nagar Haveli</t>
  </si>
  <si>
    <t>as:GENC:6:ed2:IN-DN</t>
  </si>
  <si>
    <t>IN-DD</t>
  </si>
  <si>
    <t>Damān and Diu</t>
  </si>
  <si>
    <t>as:GENC:6:ed2:IN-DD</t>
  </si>
  <si>
    <t>IN-DL</t>
  </si>
  <si>
    <t>Delhi</t>
  </si>
  <si>
    <t>national capital territory</t>
  </si>
  <si>
    <t>as:GENC:6:ed2:IN-DL</t>
  </si>
  <si>
    <t>IN-GA</t>
  </si>
  <si>
    <t>Goa</t>
  </si>
  <si>
    <t>as:ISO2:6:ed3:IN-GA</t>
  </si>
  <si>
    <t>IN-GJ</t>
  </si>
  <si>
    <t>Gujarāt</t>
  </si>
  <si>
    <t>as:GENC:6:ed2:IN-GJ</t>
  </si>
  <si>
    <t>IN-HR</t>
  </si>
  <si>
    <t>Haryāna</t>
  </si>
  <si>
    <t>as:GENC:6:ed2:IN-HR</t>
  </si>
  <si>
    <t>IN-HP</t>
  </si>
  <si>
    <t>Himāchal Pradesh</t>
  </si>
  <si>
    <t>as:GENC:6:ed2:IN-HP</t>
  </si>
  <si>
    <t>IN-JK</t>
  </si>
  <si>
    <t>Jammu and Kashmīr</t>
  </si>
  <si>
    <t>as:GENC:6:ed2:IN-JK</t>
  </si>
  <si>
    <t>IN-JH</t>
  </si>
  <si>
    <t>Jharkhand</t>
  </si>
  <si>
    <t>as:ISO2:6:ed3:IN-JH</t>
  </si>
  <si>
    <t>IN-KA</t>
  </si>
  <si>
    <t>Karnātaka</t>
  </si>
  <si>
    <t>as:GENC:6:ed2:IN-KA</t>
  </si>
  <si>
    <t>IN-KL</t>
  </si>
  <si>
    <t>Kerala</t>
  </si>
  <si>
    <t>as:ISO2:6:ed3:IN-KL</t>
  </si>
  <si>
    <t>IN-LD</t>
  </si>
  <si>
    <t>Lakshadweep</t>
  </si>
  <si>
    <t>as:GENC:6:ed2:IN-LD</t>
  </si>
  <si>
    <t>IN-MP</t>
  </si>
  <si>
    <t>Madhya Pradesh</t>
  </si>
  <si>
    <t>as:ISO2:6:ed3:IN-MP</t>
  </si>
  <si>
    <t>IN-MH</t>
  </si>
  <si>
    <t>Mahārāshtra</t>
  </si>
  <si>
    <t>as:GENC:6:ed2:IN-MH</t>
  </si>
  <si>
    <t>IN-MN</t>
  </si>
  <si>
    <t>Manipur</t>
  </si>
  <si>
    <t>as:ISO2:6:ed3:IN-MN</t>
  </si>
  <si>
    <t>IN-ML</t>
  </si>
  <si>
    <t>Meghālaya</t>
  </si>
  <si>
    <t>as:GENC:6:ed2:IN-ML</t>
  </si>
  <si>
    <t>IN-MZ</t>
  </si>
  <si>
    <t>Mizoram</t>
  </si>
  <si>
    <t>as:GENC:6:ed2:IN-MZ</t>
  </si>
  <si>
    <t>IN-NL</t>
  </si>
  <si>
    <t>Nāgāland</t>
  </si>
  <si>
    <t>as:GENC:6:ed2:IN-NL</t>
  </si>
  <si>
    <t>IN-OR</t>
  </si>
  <si>
    <t>Odisha</t>
  </si>
  <si>
    <t>as:GENC:6:ed2:IN-OR</t>
  </si>
  <si>
    <t>IN-PY</t>
  </si>
  <si>
    <t>Puducherry</t>
  </si>
  <si>
    <t>as:GENC:6:ed2:IN-PY</t>
  </si>
  <si>
    <t>IN-PB</t>
  </si>
  <si>
    <t>Punjab</t>
  </si>
  <si>
    <t>as:ISO2:6:ed3:IN-PB</t>
  </si>
  <si>
    <t>IN-RJ</t>
  </si>
  <si>
    <t>Rājasthān</t>
  </si>
  <si>
    <t>as:GENC:6:ed2:IN-RJ</t>
  </si>
  <si>
    <t>IN-SK</t>
  </si>
  <si>
    <t>Sikkim</t>
  </si>
  <si>
    <t>as:ISO2:6:ed3:IN-SK</t>
  </si>
  <si>
    <t>IN-TN</t>
  </si>
  <si>
    <t xml:space="preserve">Tamil Nādu </t>
  </si>
  <si>
    <t>as:GENC:6:ed2:IN-TN</t>
  </si>
  <si>
    <t>IN-TR</t>
  </si>
  <si>
    <t>Tripura</t>
  </si>
  <si>
    <t>as:ISO2:6:ed3:IN-TR</t>
  </si>
  <si>
    <t>IN-UT</t>
  </si>
  <si>
    <t>Uttarakhand</t>
  </si>
  <si>
    <t>as:ISO2:6:ed3:IN-UT</t>
  </si>
  <si>
    <t>IN-UP</t>
  </si>
  <si>
    <t>Uttar Pradesh</t>
  </si>
  <si>
    <t>as:ISO2:6:ed3:IN-UP</t>
  </si>
  <si>
    <t>IN-WB</t>
  </si>
  <si>
    <t>West Bengal</t>
  </si>
  <si>
    <t>as:ISO2:6:ed3:IN-WB</t>
  </si>
  <si>
    <t>ID-AC</t>
  </si>
  <si>
    <t>Aceh</t>
  </si>
  <si>
    <t>special region</t>
  </si>
  <si>
    <t>as:GENC:6:ed2:ID-AC</t>
  </si>
  <si>
    <t>ID-BA</t>
  </si>
  <si>
    <t>Bali</t>
  </si>
  <si>
    <t>as:GENC:6:ed2:ID-BA</t>
  </si>
  <si>
    <t>ID-BT</t>
  </si>
  <si>
    <t>Banten</t>
  </si>
  <si>
    <t>as:GENC:6:ed2:ID-BT</t>
  </si>
  <si>
    <t>ID-BE</t>
  </si>
  <si>
    <t>Bengkulu</t>
  </si>
  <si>
    <t>as:GENC:6:ed2:ID-BE</t>
  </si>
  <si>
    <t>ID-GO</t>
  </si>
  <si>
    <t>Gorontalo</t>
  </si>
  <si>
    <t>as:GENC:6:ed2:ID-GO</t>
  </si>
  <si>
    <t>ID-JK</t>
  </si>
  <si>
    <t>Jakarta</t>
  </si>
  <si>
    <t>special district</t>
  </si>
  <si>
    <t>as:GENC:6:ed2:ID-JK</t>
  </si>
  <si>
    <t>ID-JA</t>
  </si>
  <si>
    <t>Jambi</t>
  </si>
  <si>
    <t>as:GENC:6:ed2:ID-JA</t>
  </si>
  <si>
    <t>ID-JW</t>
  </si>
  <si>
    <t>Jawa</t>
  </si>
  <si>
    <t>geographical unit</t>
  </si>
  <si>
    <t>as:ISO2:6:ed3:ID-JW</t>
  </si>
  <si>
    <t>ID-JB</t>
  </si>
  <si>
    <t>Jawa Barat</t>
  </si>
  <si>
    <t>as:GENC:6:ed2:ID-JB</t>
  </si>
  <si>
    <t>ID-JT</t>
  </si>
  <si>
    <t>Jawa Tengah</t>
  </si>
  <si>
    <t>as:GENC:6:ed2:ID-JT</t>
  </si>
  <si>
    <t>ID-JI</t>
  </si>
  <si>
    <t>Jawa Timur</t>
  </si>
  <si>
    <t>as:GENC:6:ed2:ID-JI</t>
  </si>
  <si>
    <t>ID-KA</t>
  </si>
  <si>
    <t>Kalimantan</t>
  </si>
  <si>
    <t>as:ISO2:6:ed3:ID-KA</t>
  </si>
  <si>
    <t>ID-KB</t>
  </si>
  <si>
    <t>Kalimantan Barat</t>
  </si>
  <si>
    <t>as:GENC:6:ed2:ID-KB</t>
  </si>
  <si>
    <t>ID-KS</t>
  </si>
  <si>
    <t>Kalimantan Selatan</t>
  </si>
  <si>
    <t>as:GENC:6:ed2:ID-KS</t>
  </si>
  <si>
    <t>ID-KT</t>
  </si>
  <si>
    <t>Kalimantan Tengah</t>
  </si>
  <si>
    <t>as:GENC:6:ed2:ID-KT</t>
  </si>
  <si>
    <t>ID-KI</t>
  </si>
  <si>
    <t>Kalimantan Timur</t>
  </si>
  <si>
    <t>as:GENC:6:ed2:ID-KI</t>
  </si>
  <si>
    <t>ID-KU</t>
  </si>
  <si>
    <t>Kalimantan Utara</t>
  </si>
  <si>
    <t>as:GENC:6:ed2:ID-KU</t>
  </si>
  <si>
    <t>ID-BB</t>
  </si>
  <si>
    <t>Kepulauan Bangka Belitung</t>
  </si>
  <si>
    <t>as:GENC:6:ed2:ID-BB</t>
  </si>
  <si>
    <t>ID-KR</t>
  </si>
  <si>
    <t>Kepulauan Riau</t>
  </si>
  <si>
    <t>as:GENC:6:ed2:ID-KR</t>
  </si>
  <si>
    <t>ID-LA</t>
  </si>
  <si>
    <t>Lampung</t>
  </si>
  <si>
    <t>as:GENC:6:ed2:ID-LA</t>
  </si>
  <si>
    <t>ID-ML</t>
  </si>
  <si>
    <t>Maluku</t>
  </si>
  <si>
    <t>as:ISO2:6:ed3:ID-ML</t>
  </si>
  <si>
    <t>ID-MA</t>
  </si>
  <si>
    <t>as:GENC:6:ed2:ID-MA</t>
  </si>
  <si>
    <t>ID-MU</t>
  </si>
  <si>
    <t>Maluku Utara</t>
  </si>
  <si>
    <t>as:GENC:6:ed2:ID-MU</t>
  </si>
  <si>
    <t>ID-NU</t>
  </si>
  <si>
    <t>Nusa Tenggara</t>
  </si>
  <si>
    <t>as:ISO2:6:ed3:ID-NU</t>
  </si>
  <si>
    <t>ID-NB</t>
  </si>
  <si>
    <t>Nusa Tenggara Barat</t>
  </si>
  <si>
    <t>as:GENC:6:ed2:ID-NB</t>
  </si>
  <si>
    <t>ID-NT</t>
  </si>
  <si>
    <t>Nusa Tenggara Timur</t>
  </si>
  <si>
    <t>as:GENC:6:ed2:ID-NT</t>
  </si>
  <si>
    <t>ID-IJ</t>
  </si>
  <si>
    <t>Papua</t>
  </si>
  <si>
    <t>as:ISO2:6:ed3:ID-IJ</t>
  </si>
  <si>
    <t>ID-PA</t>
  </si>
  <si>
    <t>as:GENC:6:ed2:ID-PA</t>
  </si>
  <si>
    <t>ID-PB</t>
  </si>
  <si>
    <t>Papua Barat</t>
  </si>
  <si>
    <t>as:GENC:6:ed2:ID-PB</t>
  </si>
  <si>
    <t>ID-RI</t>
  </si>
  <si>
    <t>Riau</t>
  </si>
  <si>
    <t>as:GENC:6:ed2:ID-RI</t>
  </si>
  <si>
    <t>ID-SL</t>
  </si>
  <si>
    <t>Sulawesi</t>
  </si>
  <si>
    <t>as:ISO2:6:ed3:ID-SL</t>
  </si>
  <si>
    <t>ID-SR</t>
  </si>
  <si>
    <t>Sulawesi Barat</t>
  </si>
  <si>
    <t>as:GENC:6:ed2:ID-SR</t>
  </si>
  <si>
    <t>ID-SN</t>
  </si>
  <si>
    <t>Sulawesi Selatan</t>
  </si>
  <si>
    <t>as:GENC:6:ed2:ID-SN</t>
  </si>
  <si>
    <t>ID-ST</t>
  </si>
  <si>
    <t>Sulawesi Tengah</t>
  </si>
  <si>
    <t>as:GENC:6:ed2:ID-ST</t>
  </si>
  <si>
    <t>ID-SG</t>
  </si>
  <si>
    <t>Sulawesi Tenggara</t>
  </si>
  <si>
    <t>as:GENC:6:ed2:ID-SG</t>
  </si>
  <si>
    <t>ID-SA</t>
  </si>
  <si>
    <t>Sulawesi Utara</t>
  </si>
  <si>
    <t>as:GENC:6:ed2:ID-SA</t>
  </si>
  <si>
    <t>ID-SM</t>
  </si>
  <si>
    <t>Sumatera</t>
  </si>
  <si>
    <t>as:ISO2:6:ed3:ID-SM</t>
  </si>
  <si>
    <t>ID-SB</t>
  </si>
  <si>
    <t>Sumatera Barat</t>
  </si>
  <si>
    <t>as:GENC:6:ed2:ID-SB</t>
  </si>
  <si>
    <t>ID-SS</t>
  </si>
  <si>
    <t>Sumatera Selatan</t>
  </si>
  <si>
    <t>as:GENC:6:ed2:ID-SS</t>
  </si>
  <si>
    <t>ID-SU</t>
  </si>
  <si>
    <t>Sumatera Utara</t>
  </si>
  <si>
    <t>as:GENC:6:ed2:ID-SU</t>
  </si>
  <si>
    <t>ID-YO</t>
  </si>
  <si>
    <t>Yogyakarta</t>
  </si>
  <si>
    <t>as:ISO2:6:ed3:ID-YO</t>
  </si>
  <si>
    <t>IR-32</t>
  </si>
  <si>
    <t>Alborz</t>
  </si>
  <si>
    <t>as:GENC:6:ed2:IR-32</t>
  </si>
  <si>
    <t>IR-03</t>
  </si>
  <si>
    <t>Ardabīl</t>
  </si>
  <si>
    <t>as:ISO2:6:ed3:IR-03</t>
  </si>
  <si>
    <t>IR-02</t>
  </si>
  <si>
    <t>Āz̄arbāyjān-e Gharbī</t>
  </si>
  <si>
    <t>as:ISO2:6:ed3:IR-02</t>
  </si>
  <si>
    <t>IR-01</t>
  </si>
  <si>
    <t>Āz̄arbāyjān-e Sharqī</t>
  </si>
  <si>
    <t>as:ISO2:6:ed3:IR-01</t>
  </si>
  <si>
    <t>IR-06</t>
  </si>
  <si>
    <t>Būshehr</t>
  </si>
  <si>
    <t>as:ISO2:6:ed3:IR-06</t>
  </si>
  <si>
    <t>IR-08</t>
  </si>
  <si>
    <t>Chahār Maḩāl va Bakhtīārī</t>
  </si>
  <si>
    <t>as:GENC:6:ed2:IR-08</t>
  </si>
  <si>
    <t>IR-04</t>
  </si>
  <si>
    <t>Eşfahān</t>
  </si>
  <si>
    <t>as:ISO2:6:ed3:IR-04</t>
  </si>
  <si>
    <t>IR-14</t>
  </si>
  <si>
    <t>Fārs</t>
  </si>
  <si>
    <t>as:ISO2:6:ed3:IR-14</t>
  </si>
  <si>
    <t>IR-19</t>
  </si>
  <si>
    <t>Gīlān</t>
  </si>
  <si>
    <t>as:ISO2:6:ed3:IR-19</t>
  </si>
  <si>
    <t>IR-27</t>
  </si>
  <si>
    <t>Golestān</t>
  </si>
  <si>
    <t>as:ISO2:6:ed3:IR-27</t>
  </si>
  <si>
    <t>IR-24</t>
  </si>
  <si>
    <t>Hamadān</t>
  </si>
  <si>
    <t>as:ISO2:6:ed3:IR-24</t>
  </si>
  <si>
    <t>IR-23</t>
  </si>
  <si>
    <t>Hormozgān</t>
  </si>
  <si>
    <t>as:ISO2:6:ed3:IR-23</t>
  </si>
  <si>
    <t>IR-05</t>
  </si>
  <si>
    <t>Īlām</t>
  </si>
  <si>
    <t>as:ISO2:6:ed3:IR-05</t>
  </si>
  <si>
    <t>IR-15</t>
  </si>
  <si>
    <t>Kermān</t>
  </si>
  <si>
    <t>as:ISO2:6:ed3:IR-15</t>
  </si>
  <si>
    <t>IR-17</t>
  </si>
  <si>
    <t>Kermānshāh</t>
  </si>
  <si>
    <t>as:ISO2:6:ed3:IR-17</t>
  </si>
  <si>
    <t>IR-29</t>
  </si>
  <si>
    <t>Khorāsān-e Jonūbī</t>
  </si>
  <si>
    <t>as:GENC:6:ed2:IR-29</t>
  </si>
  <si>
    <t>IR-30</t>
  </si>
  <si>
    <t>Khorāsān-e Raẕavī</t>
  </si>
  <si>
    <t>as:GENC:6:ed2:IR-30</t>
  </si>
  <si>
    <t>IR-31</t>
  </si>
  <si>
    <t>Khorāsān-e Shomālī</t>
  </si>
  <si>
    <t>as:GENC:6:ed2:IR-31</t>
  </si>
  <si>
    <t>IR-10</t>
  </si>
  <si>
    <t>Khūzestān</t>
  </si>
  <si>
    <t>as:ISO2:6:ed3:IR-10</t>
  </si>
  <si>
    <t>IR-18</t>
  </si>
  <si>
    <t>Kohgīlūyeh va Bowyer Aḩmad</t>
  </si>
  <si>
    <t>as:GENC:6:ed2:IR-18</t>
  </si>
  <si>
    <t>IR-16</t>
  </si>
  <si>
    <t>Kordestān</t>
  </si>
  <si>
    <t>as:ISO2:6:ed3:IR-16</t>
  </si>
  <si>
    <t>IR-20</t>
  </si>
  <si>
    <t>Lorestān</t>
  </si>
  <si>
    <t>as:ISO2:6:ed3:IR-20</t>
  </si>
  <si>
    <t>IR-22</t>
  </si>
  <si>
    <t>Markazī</t>
  </si>
  <si>
    <t>as:ISO2:6:ed3:IR-22</t>
  </si>
  <si>
    <t>IR-21</t>
  </si>
  <si>
    <t>Māzandarān</t>
  </si>
  <si>
    <t>as:ISO2:6:ed3:IR-21</t>
  </si>
  <si>
    <t>IR-28</t>
  </si>
  <si>
    <t>Qazvīn</t>
  </si>
  <si>
    <t>as:ISO2:6:ed3:IR-28</t>
  </si>
  <si>
    <t>IR-26</t>
  </si>
  <si>
    <t>Qom</t>
  </si>
  <si>
    <t>as:ISO2:6:ed3:IR-26</t>
  </si>
  <si>
    <t>IR-12</t>
  </si>
  <si>
    <t>Semnān</t>
  </si>
  <si>
    <t>as:ISO2:6:ed3:IR-12</t>
  </si>
  <si>
    <t>IR-13</t>
  </si>
  <si>
    <t>Sīstān va Balūchestān</t>
  </si>
  <si>
    <t>as:ISO2:6:ed3:IR-13</t>
  </si>
  <si>
    <t>IR-07</t>
  </si>
  <si>
    <t>Tehrān</t>
  </si>
  <si>
    <t>as:ISO2:6:ed3:IR-07</t>
  </si>
  <si>
    <t>IR-25</t>
  </si>
  <si>
    <t>Yazd</t>
  </si>
  <si>
    <t>as:ISO2:6:ed3:IR-25</t>
  </si>
  <si>
    <t>IR-11</t>
  </si>
  <si>
    <t>Zanjān</t>
  </si>
  <si>
    <t>as:ISO2:6:ed3:IR-11</t>
  </si>
  <si>
    <t>IQ-AN</t>
  </si>
  <si>
    <t>Al Anbār</t>
  </si>
  <si>
    <t>as:ISO2:6:ed3:IQ-AN</t>
  </si>
  <si>
    <t>IQ-BA</t>
  </si>
  <si>
    <t>Al Başrah</t>
  </si>
  <si>
    <t>as:ISO2:6:ed3:IQ-BA</t>
  </si>
  <si>
    <t>IQ-MU</t>
  </si>
  <si>
    <t>Al Muthanná</t>
  </si>
  <si>
    <t>as:ISO2:6:ed3:IQ-MU</t>
  </si>
  <si>
    <t>IQ-QA</t>
  </si>
  <si>
    <t>Al Qādisīyah</t>
  </si>
  <si>
    <t>as:ISO2:6:ed3:IQ-QA</t>
  </si>
  <si>
    <t>IQ-NA</t>
  </si>
  <si>
    <t>An Najaf</t>
  </si>
  <si>
    <t>as:ISO2:6:ed3:IQ-NA</t>
  </si>
  <si>
    <t>IQ-AR</t>
  </si>
  <si>
    <t>Arbīl</t>
  </si>
  <si>
    <t>as:GENC:6:ed2:IQ-AR</t>
  </si>
  <si>
    <t>IQ-SU</t>
  </si>
  <si>
    <t>As Sulaymānīyah</t>
  </si>
  <si>
    <t>as:GENC:6:ed2:IQ-SU</t>
  </si>
  <si>
    <t>IQ-BB</t>
  </si>
  <si>
    <t>Bābil</t>
  </si>
  <si>
    <t>as:ISO2:6:ed3:IQ-BB</t>
  </si>
  <si>
    <t>IQ-BG</t>
  </si>
  <si>
    <t>Baghdād</t>
  </si>
  <si>
    <t>as:ISO2:6:ed3:IQ-BG</t>
  </si>
  <si>
    <t>IQ-DA</t>
  </si>
  <si>
    <t>Dahūk</t>
  </si>
  <si>
    <t>as:GENC:6:ed2:IQ-DA</t>
  </si>
  <si>
    <t>IQ-DQ</t>
  </si>
  <si>
    <t>Dhī Qār</t>
  </si>
  <si>
    <t>as:ISO2:6:ed3:IQ-DQ</t>
  </si>
  <si>
    <t>IQ-DI</t>
  </si>
  <si>
    <t>Diyālá</t>
  </si>
  <si>
    <t>as:ISO2:6:ed3:IQ-DI</t>
  </si>
  <si>
    <t>IQ-KA</t>
  </si>
  <si>
    <t>Karbalā’</t>
  </si>
  <si>
    <t>as:ISO2:6:ed3:IQ-KA</t>
  </si>
  <si>
    <t>IQ-TS</t>
  </si>
  <si>
    <t>Kirkūk</t>
  </si>
  <si>
    <t>as:GENC:6:ed2:IQ-TS</t>
  </si>
  <si>
    <t>IQ-MA</t>
  </si>
  <si>
    <t>Maysān</t>
  </si>
  <si>
    <t>as:ISO2:6:ed3:IQ-MA</t>
  </si>
  <si>
    <t>IQ-NI</t>
  </si>
  <si>
    <t>Nīnawá</t>
  </si>
  <si>
    <t>as:ISO2:6:ed3:IQ-NI</t>
  </si>
  <si>
    <t>IQ-SD</t>
  </si>
  <si>
    <t>Şalāḩ ad Dīn</t>
  </si>
  <si>
    <t>as:ISO2:6:ed3:IQ-SD</t>
  </si>
  <si>
    <t>IQ-WA</t>
  </si>
  <si>
    <t>Wāsiţ</t>
  </si>
  <si>
    <t>as:ISO2:6:ed3:IQ-WA</t>
  </si>
  <si>
    <t>IE-CW</t>
  </si>
  <si>
    <t>Carlow</t>
  </si>
  <si>
    <t>as:ISO2:6:ed3:IE-CW</t>
  </si>
  <si>
    <t>IE-CN</t>
  </si>
  <si>
    <t>Cavan</t>
  </si>
  <si>
    <t>as:ISO2:6:ed3:IE-CN</t>
  </si>
  <si>
    <t>IE-CE</t>
  </si>
  <si>
    <t>Clare</t>
  </si>
  <si>
    <t>as:ISO2:6:ed3:IE-CE</t>
  </si>
  <si>
    <t>IE-C</t>
  </si>
  <si>
    <t>Connaught</t>
  </si>
  <si>
    <t>as:ISO2:6:ed3:IE-C</t>
  </si>
  <si>
    <t>IE-CR</t>
  </si>
  <si>
    <t>Cork</t>
  </si>
  <si>
    <t>as:GENC:6:ed2:IE-CR</t>
  </si>
  <si>
    <t>IE-CO</t>
  </si>
  <si>
    <t>as:ISO2:6:ed3:IE-CO</t>
  </si>
  <si>
    <t>IE-DL</t>
  </si>
  <si>
    <t>Donegal</t>
  </si>
  <si>
    <t>as:ISO2:6:ed3:IE-DL</t>
  </si>
  <si>
    <t>IE-DU</t>
  </si>
  <si>
    <t>Dublin</t>
  </si>
  <si>
    <t>as:GENC:6:ed2:IE-DU</t>
  </si>
  <si>
    <t>IE-D</t>
  </si>
  <si>
    <t>as:GENC:6:ed2:IE-D</t>
  </si>
  <si>
    <t>IE-DR</t>
  </si>
  <si>
    <t>Dún Laoghaire-Rathdown</t>
  </si>
  <si>
    <t>as:GENC:6:ed2:IE-DR</t>
  </si>
  <si>
    <t>IE-FI</t>
  </si>
  <si>
    <t>Fingal</t>
  </si>
  <si>
    <t>as:GENC:6:ed2:IE-FI</t>
  </si>
  <si>
    <t>IE-GA</t>
  </si>
  <si>
    <t>Galway</t>
  </si>
  <si>
    <t>as:GENC:6:ed2:IE-GA</t>
  </si>
  <si>
    <t>IE-G</t>
  </si>
  <si>
    <t>as:ISO2:6:ed3:IE-G</t>
  </si>
  <si>
    <t>IE-KY</t>
  </si>
  <si>
    <t>Kerry</t>
  </si>
  <si>
    <t>as:ISO2:6:ed3:IE-KY</t>
  </si>
  <si>
    <t>IE-KE</t>
  </si>
  <si>
    <t>Kildare</t>
  </si>
  <si>
    <t>as:ISO2:6:ed3:IE-KE</t>
  </si>
  <si>
    <t>IE-KK</t>
  </si>
  <si>
    <t>Kilkenny</t>
  </si>
  <si>
    <t>as:ISO2:6:ed3:IE-KK</t>
  </si>
  <si>
    <t>IE-LS</t>
  </si>
  <si>
    <t>Laois</t>
  </si>
  <si>
    <t>as:ISO2:6:ed3:IE-LS</t>
  </si>
  <si>
    <t>IE-L</t>
  </si>
  <si>
    <t>Leinster</t>
  </si>
  <si>
    <t>as:ISO2:6:ed3:IE-L</t>
  </si>
  <si>
    <t>IE-LM</t>
  </si>
  <si>
    <t>Leitrim</t>
  </si>
  <si>
    <t>as:ISO2:6:ed3:IE-LM</t>
  </si>
  <si>
    <t>IE-LI</t>
  </si>
  <si>
    <t>Limerick</t>
  </si>
  <si>
    <t>as:GENC:6:ed2:IE-LI</t>
  </si>
  <si>
    <t>IE-LK</t>
  </si>
  <si>
    <t>as:ISO2:6:ed3:IE-LK</t>
  </si>
  <si>
    <t>IE-LD</t>
  </si>
  <si>
    <t>Longford</t>
  </si>
  <si>
    <t>as:ISO2:6:ed3:IE-LD</t>
  </si>
  <si>
    <t>IE-LH</t>
  </si>
  <si>
    <t>Louth</t>
  </si>
  <si>
    <t>as:ISO2:6:ed3:IE-LH</t>
  </si>
  <si>
    <t>IE-MO</t>
  </si>
  <si>
    <t>Mayo</t>
  </si>
  <si>
    <t>as:ISO2:6:ed3:IE-MO</t>
  </si>
  <si>
    <t>IE-MH</t>
  </si>
  <si>
    <t>Meath</t>
  </si>
  <si>
    <t>as:ISO2:6:ed3:IE-MH</t>
  </si>
  <si>
    <t>IE-MN</t>
  </si>
  <si>
    <t>Monaghan</t>
  </si>
  <si>
    <t>as:ISO2:6:ed3:IE-MN</t>
  </si>
  <si>
    <t>IE-M</t>
  </si>
  <si>
    <t>Munster</t>
  </si>
  <si>
    <t>as:ISO2:6:ed3:IE-M</t>
  </si>
  <si>
    <t>IE-NT</t>
  </si>
  <si>
    <t>North Tipperary</t>
  </si>
  <si>
    <t>as:GENC:6:ed2:IE-NT</t>
  </si>
  <si>
    <t>IE-OY</t>
  </si>
  <si>
    <t>Offaly</t>
  </si>
  <si>
    <t>as:ISO2:6:ed3:IE-OY</t>
  </si>
  <si>
    <t>IE-RN</t>
  </si>
  <si>
    <t>Roscommon</t>
  </si>
  <si>
    <t>as:ISO2:6:ed3:IE-RN</t>
  </si>
  <si>
    <t>IE-SO</t>
  </si>
  <si>
    <t>Sligo</t>
  </si>
  <si>
    <t>as:ISO2:6:ed3:IE-SO</t>
  </si>
  <si>
    <t>IE-SD</t>
  </si>
  <si>
    <t>South Dublin</t>
  </si>
  <si>
    <t>as:GENC:6:ed2:IE-SD</t>
  </si>
  <si>
    <t>IE-ST</t>
  </si>
  <si>
    <t>South Tipperary</t>
  </si>
  <si>
    <t>as:GENC:6:ed2:IE-ST</t>
  </si>
  <si>
    <t>IE-TA</t>
  </si>
  <si>
    <t>Tipperary</t>
  </si>
  <si>
    <t>as:GENC:6:ed2:IE-TA</t>
  </si>
  <si>
    <t>IE-U</t>
  </si>
  <si>
    <t>Ulster</t>
  </si>
  <si>
    <t>as:ISO2:6:ed3:IE-U</t>
  </si>
  <si>
    <t>IE-WA</t>
  </si>
  <si>
    <t>Waterford</t>
  </si>
  <si>
    <t>as:GENC:6:ed2:IE-WA</t>
  </si>
  <si>
    <t>IE-WD</t>
  </si>
  <si>
    <t>as:ISO2:6:ed3:IE-WD</t>
  </si>
  <si>
    <t>IE-WH</t>
  </si>
  <si>
    <t>Westmeath</t>
  </si>
  <si>
    <t>as:ISO2:6:ed3:IE-WH</t>
  </si>
  <si>
    <t>IE-WX</t>
  </si>
  <si>
    <t>Wexford</t>
  </si>
  <si>
    <t>as:ISO2:6:ed3:IE-WX</t>
  </si>
  <si>
    <t>IE-WW</t>
  </si>
  <si>
    <t>Wicklow</t>
  </si>
  <si>
    <t>as:ISO2:6:ed3:IE-WW</t>
  </si>
  <si>
    <t>IL-M</t>
  </si>
  <si>
    <t>as:GENC:6:ed2:IL-M</t>
  </si>
  <si>
    <t>IL-HA</t>
  </si>
  <si>
    <t>Haifa</t>
  </si>
  <si>
    <t>as:GENC:6:ed2:IL-HA</t>
  </si>
  <si>
    <t>IL-JM</t>
  </si>
  <si>
    <t>Jerusalem</t>
  </si>
  <si>
    <t>as:GENC:6:ed2:IL-JM</t>
  </si>
  <si>
    <t>IL-Z</t>
  </si>
  <si>
    <t>as:GENC:6:ed2:IL-Z</t>
  </si>
  <si>
    <t>IL-D</t>
  </si>
  <si>
    <t>as:GENC:6:ed2:IL-D</t>
  </si>
  <si>
    <t>IL-TA</t>
  </si>
  <si>
    <t>Tel Aviv</t>
  </si>
  <si>
    <t>as:GENC:6:ed2:IL-TA</t>
  </si>
  <si>
    <t>IT-65</t>
  </si>
  <si>
    <t>Abruzzo</t>
  </si>
  <si>
    <t>as:ISO2:6:ed3:IT-65</t>
  </si>
  <si>
    <t>IT-AG</t>
  </si>
  <si>
    <t>Agrigento</t>
  </si>
  <si>
    <t>as:ISO2:6:ed3:IT-AG</t>
  </si>
  <si>
    <t>IT-AL</t>
  </si>
  <si>
    <t>Alessandria</t>
  </si>
  <si>
    <t>as:ISO2:6:ed3:IT-AL</t>
  </si>
  <si>
    <t>IT-AN</t>
  </si>
  <si>
    <t>Ancona</t>
  </si>
  <si>
    <t>as:ISO2:6:ed3:IT-AN</t>
  </si>
  <si>
    <t>IT-AO</t>
  </si>
  <si>
    <t>Aosta</t>
  </si>
  <si>
    <t>as:ISO2:6:ed3:IT-AO</t>
  </si>
  <si>
    <t>IT-AR</t>
  </si>
  <si>
    <t>Arezzo</t>
  </si>
  <si>
    <t>as:ISO2:6:ed3:IT-AR</t>
  </si>
  <si>
    <t>IT-AP</t>
  </si>
  <si>
    <t>Ascoli Piceno</t>
  </si>
  <si>
    <t>as:ISO2:6:ed3:IT-AP</t>
  </si>
  <si>
    <t>IT-AT</t>
  </si>
  <si>
    <t>Asti</t>
  </si>
  <si>
    <t>as:ISO2:6:ed3:IT-AT</t>
  </si>
  <si>
    <t>IT-AV</t>
  </si>
  <si>
    <t>Avellino</t>
  </si>
  <si>
    <t>as:ISO2:6:ed3:IT-AV</t>
  </si>
  <si>
    <t>IT-BA</t>
  </si>
  <si>
    <t>Bari</t>
  </si>
  <si>
    <t>as:ISO2:6:ed3:IT-BA</t>
  </si>
  <si>
    <t>IT-BT</t>
  </si>
  <si>
    <t>Barletta-Andria-Trani</t>
  </si>
  <si>
    <t>as:ISO2:6:ed3:IT-BT</t>
  </si>
  <si>
    <t>IT-77</t>
  </si>
  <si>
    <t>Basilicata</t>
  </si>
  <si>
    <t>as:ISO2:6:ed3:IT-77</t>
  </si>
  <si>
    <t>IT-BL</t>
  </si>
  <si>
    <t>Belluno</t>
  </si>
  <si>
    <t>as:ISO2:6:ed3:IT-BL</t>
  </si>
  <si>
    <t>IT-BN</t>
  </si>
  <si>
    <t>Benevento</t>
  </si>
  <si>
    <t>as:ISO2:6:ed3:IT-BN</t>
  </si>
  <si>
    <t>IT-BG</t>
  </si>
  <si>
    <t>Bergamo</t>
  </si>
  <si>
    <t>as:ISO2:6:ed3:IT-BG</t>
  </si>
  <si>
    <t>IT-BI</t>
  </si>
  <si>
    <t>Biella</t>
  </si>
  <si>
    <t>as:ISO2:6:ed3:IT-BI</t>
  </si>
  <si>
    <t>IT-BO</t>
  </si>
  <si>
    <t>Bologna</t>
  </si>
  <si>
    <t>as:ISO2:6:ed3:IT-BO</t>
  </si>
  <si>
    <t>IT-BZ</t>
  </si>
  <si>
    <t>Bolzano</t>
  </si>
  <si>
    <t>as:ISO2:6:ed3:IT-BZ</t>
  </si>
  <si>
    <t>IT-BS</t>
  </si>
  <si>
    <t>Brescia</t>
  </si>
  <si>
    <t>as:ISO2:6:ed3:IT-BS</t>
  </si>
  <si>
    <t>IT-BR</t>
  </si>
  <si>
    <t>Brindisi</t>
  </si>
  <si>
    <t>as:ISO2:6:ed3:IT-BR</t>
  </si>
  <si>
    <t>IT-CA</t>
  </si>
  <si>
    <t>Cagliari</t>
  </si>
  <si>
    <t>as:ISO2:6:ed3:IT-CA</t>
  </si>
  <si>
    <t>IT-78</t>
  </si>
  <si>
    <t>Calabria</t>
  </si>
  <si>
    <t>as:ISO2:6:ed3:IT-78</t>
  </si>
  <si>
    <t>IT-CL</t>
  </si>
  <si>
    <t>Caltanissetta</t>
  </si>
  <si>
    <t>as:ISO2:6:ed3:IT-CL</t>
  </si>
  <si>
    <t>IT-72</t>
  </si>
  <si>
    <t>Campania</t>
  </si>
  <si>
    <t>as:ISO2:6:ed3:IT-72</t>
  </si>
  <si>
    <t>IT-CB</t>
  </si>
  <si>
    <t>Campobasso</t>
  </si>
  <si>
    <t>as:ISO2:6:ed3:IT-CB</t>
  </si>
  <si>
    <t>IT-CI</t>
  </si>
  <si>
    <t>Carbonia-Iglesias</t>
  </si>
  <si>
    <t>as:ISO2:6:ed3:IT-CI</t>
  </si>
  <si>
    <t>IT-CE</t>
  </si>
  <si>
    <t>Caserta</t>
  </si>
  <si>
    <t>as:ISO2:6:ed3:IT-CE</t>
  </si>
  <si>
    <t>IT-CT</t>
  </si>
  <si>
    <t>Catania</t>
  </si>
  <si>
    <t>as:ISO2:6:ed3:IT-CT</t>
  </si>
  <si>
    <t>IT-CZ</t>
  </si>
  <si>
    <t>Catanzaro</t>
  </si>
  <si>
    <t>as:ISO2:6:ed3:IT-CZ</t>
  </si>
  <si>
    <t>IT-CH</t>
  </si>
  <si>
    <t>Chieti</t>
  </si>
  <si>
    <t>as:ISO2:6:ed3:IT-CH</t>
  </si>
  <si>
    <t>IT-CO</t>
  </si>
  <si>
    <t>Como</t>
  </si>
  <si>
    <t>as:ISO2:6:ed3:IT-CO</t>
  </si>
  <si>
    <t>IT-CS</t>
  </si>
  <si>
    <t>Cosenza</t>
  </si>
  <si>
    <t>as:ISO2:6:ed3:IT-CS</t>
  </si>
  <si>
    <t>IT-CR</t>
  </si>
  <si>
    <t>Cremona</t>
  </si>
  <si>
    <t>as:ISO2:6:ed3:IT-CR</t>
  </si>
  <si>
    <t>IT-KR</t>
  </si>
  <si>
    <t>Crotone</t>
  </si>
  <si>
    <t>as:ISO2:6:ed3:IT-KR</t>
  </si>
  <si>
    <t>IT-CN</t>
  </si>
  <si>
    <t>Cuneo</t>
  </si>
  <si>
    <t>as:ISO2:6:ed3:IT-CN</t>
  </si>
  <si>
    <t>IT-45</t>
  </si>
  <si>
    <t>Emilia-Romagna</t>
  </si>
  <si>
    <t>as:ISO2:6:ed3:IT-45</t>
  </si>
  <si>
    <t>IT-EN</t>
  </si>
  <si>
    <t>Enna</t>
  </si>
  <si>
    <t>as:ISO2:6:ed3:IT-EN</t>
  </si>
  <si>
    <t>IT-FM</t>
  </si>
  <si>
    <t>Fermo</t>
  </si>
  <si>
    <t>as:ISO2:6:ed3:IT-FM</t>
  </si>
  <si>
    <t>IT-FE</t>
  </si>
  <si>
    <t>Ferrara</t>
  </si>
  <si>
    <t>as:ISO2:6:ed3:IT-FE</t>
  </si>
  <si>
    <t>IT-FI</t>
  </si>
  <si>
    <t>Firenze</t>
  </si>
  <si>
    <t>as:ISO2:6:ed3:IT-FI</t>
  </si>
  <si>
    <t>IT-FG</t>
  </si>
  <si>
    <t>Foggia</t>
  </si>
  <si>
    <t>as:ISO2:6:ed3:IT-FG</t>
  </si>
  <si>
    <t>IT-FC</t>
  </si>
  <si>
    <t>Forli</t>
  </si>
  <si>
    <t>as:GENC:6:ed2:IT-FC</t>
  </si>
  <si>
    <t>IT-36</t>
  </si>
  <si>
    <t>Friuli-Venezia Giulia</t>
  </si>
  <si>
    <t>as:ISO2:6:ed3:IT-36</t>
  </si>
  <si>
    <t>IT-FR</t>
  </si>
  <si>
    <t>Frosinone</t>
  </si>
  <si>
    <t>as:ISO2:6:ed3:IT-FR</t>
  </si>
  <si>
    <t>IT-GE</t>
  </si>
  <si>
    <t>Genova</t>
  </si>
  <si>
    <t>as:ISO2:6:ed3:IT-GE</t>
  </si>
  <si>
    <t>IT-GO</t>
  </si>
  <si>
    <t>Gorizia</t>
  </si>
  <si>
    <t>as:ISO2:6:ed3:IT-GO</t>
  </si>
  <si>
    <t>IT-GR</t>
  </si>
  <si>
    <t>Grosseto</t>
  </si>
  <si>
    <t>as:ISO2:6:ed3:IT-GR</t>
  </si>
  <si>
    <t>IT-IM</t>
  </si>
  <si>
    <t>Imperia</t>
  </si>
  <si>
    <t>as:ISO2:6:ed3:IT-IM</t>
  </si>
  <si>
    <t>IT-IS</t>
  </si>
  <si>
    <t>Isernia</t>
  </si>
  <si>
    <t>as:ISO2:6:ed3:IT-IS</t>
  </si>
  <si>
    <t>IT-AQ</t>
  </si>
  <si>
    <t>L’Aquila</t>
  </si>
  <si>
    <t>as:GENC:6:ed2:IT-AQ</t>
  </si>
  <si>
    <t>IT-SP</t>
  </si>
  <si>
    <t>La Spezia</t>
  </si>
  <si>
    <t>as:ISO2:6:ed3:IT-SP</t>
  </si>
  <si>
    <t>IT-LT</t>
  </si>
  <si>
    <t>Latina</t>
  </si>
  <si>
    <t>as:ISO2:6:ed3:IT-LT</t>
  </si>
  <si>
    <t>IT-62</t>
  </si>
  <si>
    <t>Lazio</t>
  </si>
  <si>
    <t>as:ISO2:6:ed3:IT-62</t>
  </si>
  <si>
    <t>IT-LE</t>
  </si>
  <si>
    <t>Lecce</t>
  </si>
  <si>
    <t>as:ISO2:6:ed3:IT-LE</t>
  </si>
  <si>
    <t>IT-LC</t>
  </si>
  <si>
    <t>Lecco</t>
  </si>
  <si>
    <t>as:ISO2:6:ed3:IT-LC</t>
  </si>
  <si>
    <t>IT-42</t>
  </si>
  <si>
    <t>Liguria</t>
  </si>
  <si>
    <t>as:ISO2:6:ed3:IT-42</t>
  </si>
  <si>
    <t>IT-LI</t>
  </si>
  <si>
    <t>Livorno</t>
  </si>
  <si>
    <t>as:ISO2:6:ed3:IT-LI</t>
  </si>
  <si>
    <t>IT-LO</t>
  </si>
  <si>
    <t>Lodi</t>
  </si>
  <si>
    <t>as:ISO2:6:ed3:IT-LO</t>
  </si>
  <si>
    <t>IT-25</t>
  </si>
  <si>
    <t>Lombardy</t>
  </si>
  <si>
    <t>as:GENC:6:ed2:IT-25</t>
  </si>
  <si>
    <t>IT-LU</t>
  </si>
  <si>
    <t>Lucca</t>
  </si>
  <si>
    <t>as:ISO2:6:ed3:IT-LU</t>
  </si>
  <si>
    <t>IT-MC</t>
  </si>
  <si>
    <t>Macerata</t>
  </si>
  <si>
    <t>as:ISO2:6:ed3:IT-MC</t>
  </si>
  <si>
    <t>IT-MN</t>
  </si>
  <si>
    <t>Mantova</t>
  </si>
  <si>
    <t>as:ISO2:6:ed3:IT-MN</t>
  </si>
  <si>
    <t>IT-57</t>
  </si>
  <si>
    <t>Marche</t>
  </si>
  <si>
    <t>as:ISO2:6:ed3:IT-57</t>
  </si>
  <si>
    <t>IT-MS</t>
  </si>
  <si>
    <t>Massa-Carrara</t>
  </si>
  <si>
    <t>as:ISO2:6:ed3:IT-MS</t>
  </si>
  <si>
    <t>IT-MT</t>
  </si>
  <si>
    <t>Matera</t>
  </si>
  <si>
    <t>as:ISO2:6:ed3:IT-MT</t>
  </si>
  <si>
    <t>IT-VS</t>
  </si>
  <si>
    <t>Medio Campidano</t>
  </si>
  <si>
    <t>as:ISO2:6:ed3:IT-VS</t>
  </si>
  <si>
    <t>IT-ME</t>
  </si>
  <si>
    <t>Messina</t>
  </si>
  <si>
    <t>as:ISO2:6:ed3:IT-ME</t>
  </si>
  <si>
    <t>IT-MI</t>
  </si>
  <si>
    <t>Milano</t>
  </si>
  <si>
    <t>as:ISO2:6:ed3:IT-MI</t>
  </si>
  <si>
    <t>IT-MO</t>
  </si>
  <si>
    <t>Modena</t>
  </si>
  <si>
    <t>as:ISO2:6:ed3:IT-MO</t>
  </si>
  <si>
    <t>IT-67</t>
  </si>
  <si>
    <t>Molise</t>
  </si>
  <si>
    <t>as:ISO2:6:ed3:IT-67</t>
  </si>
  <si>
    <t>IT-MB</t>
  </si>
  <si>
    <t>Monza e Brianza</t>
  </si>
  <si>
    <t>as:ISO2:6:ed3:IT-MB</t>
  </si>
  <si>
    <t>IT-NA</t>
  </si>
  <si>
    <t>Napoli</t>
  </si>
  <si>
    <t>as:ISO2:6:ed3:IT-NA</t>
  </si>
  <si>
    <t>IT-NO</t>
  </si>
  <si>
    <t>Novara</t>
  </si>
  <si>
    <t>as:ISO2:6:ed3:IT-NO</t>
  </si>
  <si>
    <t>IT-NU</t>
  </si>
  <si>
    <t>Nuoro</t>
  </si>
  <si>
    <t>as:ISO2:6:ed3:IT-NU</t>
  </si>
  <si>
    <t>IT-OG</t>
  </si>
  <si>
    <t>Ogliastra</t>
  </si>
  <si>
    <t>as:ISO2:6:ed3:IT-OG</t>
  </si>
  <si>
    <t>IT-OT</t>
  </si>
  <si>
    <t>Olbia-Tempio</t>
  </si>
  <si>
    <t>as:ISO2:6:ed3:IT-OT</t>
  </si>
  <si>
    <t>IT-OR</t>
  </si>
  <si>
    <t>Oristano</t>
  </si>
  <si>
    <t>as:ISO2:6:ed3:IT-OR</t>
  </si>
  <si>
    <t>IT-PD</t>
  </si>
  <si>
    <t>Padova</t>
  </si>
  <si>
    <t>as:ISO2:6:ed3:IT-PD</t>
  </si>
  <si>
    <t>IT-PA</t>
  </si>
  <si>
    <t>Palermo</t>
  </si>
  <si>
    <t>as:ISO2:6:ed3:IT-PA</t>
  </si>
  <si>
    <t>IT-PR</t>
  </si>
  <si>
    <t>Parma</t>
  </si>
  <si>
    <t>as:ISO2:6:ed3:IT-PR</t>
  </si>
  <si>
    <t>IT-PV</t>
  </si>
  <si>
    <t>Pavia</t>
  </si>
  <si>
    <t>as:ISO2:6:ed3:IT-PV</t>
  </si>
  <si>
    <t>IT-PG</t>
  </si>
  <si>
    <t>Perugia</t>
  </si>
  <si>
    <t>as:ISO2:6:ed3:IT-PG</t>
  </si>
  <si>
    <t>IT-PU</t>
  </si>
  <si>
    <t>Pesaro e Urbino</t>
  </si>
  <si>
    <t>as:ISO2:6:ed3:IT-PU</t>
  </si>
  <si>
    <t>IT-PE</t>
  </si>
  <si>
    <t>Pescara</t>
  </si>
  <si>
    <t>as:ISO2:6:ed3:IT-PE</t>
  </si>
  <si>
    <t>IT-PC</t>
  </si>
  <si>
    <t>Piacenza</t>
  </si>
  <si>
    <t>as:ISO2:6:ed3:IT-PC</t>
  </si>
  <si>
    <t>IT-21</t>
  </si>
  <si>
    <t>Piedmont</t>
  </si>
  <si>
    <t>as:GENC:6:ed2:IT-21</t>
  </si>
  <si>
    <t>IT-PI</t>
  </si>
  <si>
    <t>Pisa</t>
  </si>
  <si>
    <t>as:ISO2:6:ed3:IT-PI</t>
  </si>
  <si>
    <t>IT-PT</t>
  </si>
  <si>
    <t>Pistoia</t>
  </si>
  <si>
    <t>as:ISO2:6:ed3:IT-PT</t>
  </si>
  <si>
    <t>IT-PN</t>
  </si>
  <si>
    <t>Pordenone</t>
  </si>
  <si>
    <t>as:ISO2:6:ed3:IT-PN</t>
  </si>
  <si>
    <t>IT-PZ</t>
  </si>
  <si>
    <t>Potenza</t>
  </si>
  <si>
    <t>as:ISO2:6:ed3:IT-PZ</t>
  </si>
  <si>
    <t>IT-PO</t>
  </si>
  <si>
    <t>Prato</t>
  </si>
  <si>
    <t>as:ISO2:6:ed3:IT-PO</t>
  </si>
  <si>
    <t>IT-75</t>
  </si>
  <si>
    <t>Puglia</t>
  </si>
  <si>
    <t>as:ISO2:6:ed3:IT-75</t>
  </si>
  <si>
    <t>IT-RG</t>
  </si>
  <si>
    <t>Ragusa</t>
  </si>
  <si>
    <t>as:ISO2:6:ed3:IT-RG</t>
  </si>
  <si>
    <t>IT-RA</t>
  </si>
  <si>
    <t>Ravenna</t>
  </si>
  <si>
    <t>as:ISO2:6:ed3:IT-RA</t>
  </si>
  <si>
    <t>IT-RC</t>
  </si>
  <si>
    <t>Reggio di Calabria</t>
  </si>
  <si>
    <t>as:GENC:6:ed2:IT-RC</t>
  </si>
  <si>
    <t>IT-RE</t>
  </si>
  <si>
    <t>Reggio Emilia</t>
  </si>
  <si>
    <t>as:ISO2:6:ed3:IT-RE</t>
  </si>
  <si>
    <t>IT-RI</t>
  </si>
  <si>
    <t>Rieti</t>
  </si>
  <si>
    <t>as:ISO2:6:ed3:IT-RI</t>
  </si>
  <si>
    <t>IT-RN</t>
  </si>
  <si>
    <t>Rimini</t>
  </si>
  <si>
    <t>as:ISO2:6:ed3:IT-RN</t>
  </si>
  <si>
    <t>IT-RM</t>
  </si>
  <si>
    <t>Roma</t>
  </si>
  <si>
    <t>as:ISO2:6:ed3:IT-RM</t>
  </si>
  <si>
    <t>IT-RO</t>
  </si>
  <si>
    <t>Rovigo</t>
  </si>
  <si>
    <t>as:ISO2:6:ed3:IT-RO</t>
  </si>
  <si>
    <t>IT-SA</t>
  </si>
  <si>
    <t>Salerno</t>
  </si>
  <si>
    <t>as:ISO2:6:ed3:IT-SA</t>
  </si>
  <si>
    <t>IT-88</t>
  </si>
  <si>
    <t>Sardegna</t>
  </si>
  <si>
    <t>as:ISO2:6:ed3:IT-88</t>
  </si>
  <si>
    <t>IT-SS</t>
  </si>
  <si>
    <t>Sassari</t>
  </si>
  <si>
    <t>as:ISO2:6:ed3:IT-SS</t>
  </si>
  <si>
    <t>IT-SV</t>
  </si>
  <si>
    <t>Savona</t>
  </si>
  <si>
    <t>as:ISO2:6:ed3:IT-SV</t>
  </si>
  <si>
    <t>IT-82</t>
  </si>
  <si>
    <t>Sicilia</t>
  </si>
  <si>
    <t>as:GENC:6:ed2:IT-82</t>
  </si>
  <si>
    <t>IT-SI</t>
  </si>
  <si>
    <t>Siena</t>
  </si>
  <si>
    <t>as:ISO2:6:ed3:IT-SI</t>
  </si>
  <si>
    <t>IT-SR</t>
  </si>
  <si>
    <t>Siracusa</t>
  </si>
  <si>
    <t>as:ISO2:6:ed3:IT-SR</t>
  </si>
  <si>
    <t>IT-SO</t>
  </si>
  <si>
    <t>Sondrio</t>
  </si>
  <si>
    <t>as:ISO2:6:ed3:IT-SO</t>
  </si>
  <si>
    <t>IT-TA</t>
  </si>
  <si>
    <t>Taranto</t>
  </si>
  <si>
    <t>as:ISO2:6:ed3:IT-TA</t>
  </si>
  <si>
    <t>IT-TE</t>
  </si>
  <si>
    <t>Teramo</t>
  </si>
  <si>
    <t>as:ISO2:6:ed3:IT-TE</t>
  </si>
  <si>
    <t>IT-TR</t>
  </si>
  <si>
    <t>Terni</t>
  </si>
  <si>
    <t>as:ISO2:6:ed3:IT-TR</t>
  </si>
  <si>
    <t>IT-TO</t>
  </si>
  <si>
    <t>Torino</t>
  </si>
  <si>
    <t>as:ISO2:6:ed3:IT-TO</t>
  </si>
  <si>
    <t>IT-TP</t>
  </si>
  <si>
    <t>Trapani</t>
  </si>
  <si>
    <t>as:ISO2:6:ed3:IT-TP</t>
  </si>
  <si>
    <t>IT-32</t>
  </si>
  <si>
    <t>Trentino-Alto Adige</t>
  </si>
  <si>
    <t>as:ISO2:6:ed3:IT-32</t>
  </si>
  <si>
    <t>IT-TN</t>
  </si>
  <si>
    <t>Trento</t>
  </si>
  <si>
    <t>as:ISO2:6:ed3:IT-TN</t>
  </si>
  <si>
    <t>IT-TV</t>
  </si>
  <si>
    <t>Treviso</t>
  </si>
  <si>
    <t>as:ISO2:6:ed3:IT-TV</t>
  </si>
  <si>
    <t>IT-TS</t>
  </si>
  <si>
    <t>Trieste</t>
  </si>
  <si>
    <t>as:ISO2:6:ed3:IT-TS</t>
  </si>
  <si>
    <t>IT-52</t>
  </si>
  <si>
    <t>Tuscany</t>
  </si>
  <si>
    <t>as:GENC:6:ed2:IT-52</t>
  </si>
  <si>
    <t>IT-UD</t>
  </si>
  <si>
    <t>Udine</t>
  </si>
  <si>
    <t>as:ISO2:6:ed3:IT-UD</t>
  </si>
  <si>
    <t>IT-55</t>
  </si>
  <si>
    <t>Umbria</t>
  </si>
  <si>
    <t>as:ISO2:6:ed3:IT-55</t>
  </si>
  <si>
    <t>IT-23</t>
  </si>
  <si>
    <t>Valle d’Aosta</t>
  </si>
  <si>
    <t>as:GENC:6:ed2:IT-23</t>
  </si>
  <si>
    <t>IT-VA</t>
  </si>
  <si>
    <t>Varese</t>
  </si>
  <si>
    <t>as:ISO2:6:ed3:IT-VA</t>
  </si>
  <si>
    <t>IT-34</t>
  </si>
  <si>
    <t>Veneto</t>
  </si>
  <si>
    <t>as:ISO2:6:ed3:IT-34</t>
  </si>
  <si>
    <t>IT-VE</t>
  </si>
  <si>
    <t>Venezia</t>
  </si>
  <si>
    <t>as:ISO2:6:ed3:IT-VE</t>
  </si>
  <si>
    <t>IT-VB</t>
  </si>
  <si>
    <t>Verbano-Cusio-Ossola</t>
  </si>
  <si>
    <t>as:ISO2:6:ed3:IT-VB</t>
  </si>
  <si>
    <t>IT-VC</t>
  </si>
  <si>
    <t>Vercelli</t>
  </si>
  <si>
    <t>as:ISO2:6:ed3:IT-VC</t>
  </si>
  <si>
    <t>IT-VR</t>
  </si>
  <si>
    <t>Verona</t>
  </si>
  <si>
    <t>as:ISO2:6:ed3:IT-VR</t>
  </si>
  <si>
    <t>IT-VV</t>
  </si>
  <si>
    <t>Vibo Valentia</t>
  </si>
  <si>
    <t>as:ISO2:6:ed3:IT-VV</t>
  </si>
  <si>
    <t>IT-VI</t>
  </si>
  <si>
    <t>Vicenza</t>
  </si>
  <si>
    <t>as:ISO2:6:ed3:IT-VI</t>
  </si>
  <si>
    <t>IT-VT</t>
  </si>
  <si>
    <t>Viterbo</t>
  </si>
  <si>
    <t>as:ISO2:6:ed3:IT-VT</t>
  </si>
  <si>
    <t>JM-13</t>
  </si>
  <si>
    <t>Clarendon</t>
  </si>
  <si>
    <t>as:ISO2:6:ed3:JM-13</t>
  </si>
  <si>
    <t>JM-09</t>
  </si>
  <si>
    <t>Hanover</t>
  </si>
  <si>
    <t>as:ISO2:6:ed3:JM-09</t>
  </si>
  <si>
    <t>JM-01</t>
  </si>
  <si>
    <t>Kingston</t>
  </si>
  <si>
    <t>as:ISO2:6:ed3:JM-01</t>
  </si>
  <si>
    <t>JM-12</t>
  </si>
  <si>
    <t>Manchester</t>
  </si>
  <si>
    <t>as:ISO2:6:ed3:JM-12</t>
  </si>
  <si>
    <t>JM-04</t>
  </si>
  <si>
    <t>Portland</t>
  </si>
  <si>
    <t>as:ISO2:6:ed3:JM-04</t>
  </si>
  <si>
    <t>JM-02</t>
  </si>
  <si>
    <t>as:ISO2:6:ed3:JM-02</t>
  </si>
  <si>
    <t>JM-06</t>
  </si>
  <si>
    <t>Saint Ann</t>
  </si>
  <si>
    <t>as:ISO2:6:ed3:JM-06</t>
  </si>
  <si>
    <t>JM-14</t>
  </si>
  <si>
    <t>Saint Catherine</t>
  </si>
  <si>
    <t>as:ISO2:6:ed3:JM-14</t>
  </si>
  <si>
    <t>JM-11</t>
  </si>
  <si>
    <t>Saint Elizabeth</t>
  </si>
  <si>
    <t>as:ISO2:6:ed3:JM-11</t>
  </si>
  <si>
    <t>JM-08</t>
  </si>
  <si>
    <t>as:ISO2:6:ed3:JM-08</t>
  </si>
  <si>
    <t>JM-05</t>
  </si>
  <si>
    <t>as:ISO2:6:ed3:JM-05</t>
  </si>
  <si>
    <t>JM-03</t>
  </si>
  <si>
    <t>as:ISO2:6:ed3:JM-03</t>
  </si>
  <si>
    <t>JM-07</t>
  </si>
  <si>
    <t>Trelawny</t>
  </si>
  <si>
    <t>as:ISO2:6:ed3:JM-07</t>
  </si>
  <si>
    <t>JM-10</t>
  </si>
  <si>
    <t>Westmoreland</t>
  </si>
  <si>
    <t>as:ISO2:6:ed3:JM-10</t>
  </si>
  <si>
    <t>JP-23</t>
  </si>
  <si>
    <t>Aichi</t>
  </si>
  <si>
    <t>as:GENC:6:ed2:JP-23</t>
  </si>
  <si>
    <t>JP-05</t>
  </si>
  <si>
    <t>Akita</t>
  </si>
  <si>
    <t>as:GENC:6:ed2:JP-05</t>
  </si>
  <si>
    <t>JP-02</t>
  </si>
  <si>
    <t>Aomori</t>
  </si>
  <si>
    <t>as:GENC:6:ed2:JP-02</t>
  </si>
  <si>
    <t>JP-12</t>
  </si>
  <si>
    <t>Chiba</t>
  </si>
  <si>
    <t>as:GENC:6:ed2:JP-12</t>
  </si>
  <si>
    <t>JP-38</t>
  </si>
  <si>
    <t>Ehime</t>
  </si>
  <si>
    <t>as:GENC:6:ed2:JP-38</t>
  </si>
  <si>
    <t>JP-18</t>
  </si>
  <si>
    <t>Fukui</t>
  </si>
  <si>
    <t>as:GENC:6:ed2:JP-18</t>
  </si>
  <si>
    <t>JP-40</t>
  </si>
  <si>
    <t>Fukuoka</t>
  </si>
  <si>
    <t>as:GENC:6:ed2:JP-40</t>
  </si>
  <si>
    <t>JP-07</t>
  </si>
  <si>
    <t>Fukushima</t>
  </si>
  <si>
    <t>as:GENC:6:ed2:JP-07</t>
  </si>
  <si>
    <t>JP-21</t>
  </si>
  <si>
    <t>Gifu</t>
  </si>
  <si>
    <t>as:GENC:6:ed2:JP-21</t>
  </si>
  <si>
    <t>JP-10</t>
  </si>
  <si>
    <t>Gunma</t>
  </si>
  <si>
    <t>as:GENC:6:ed2:JP-10</t>
  </si>
  <si>
    <t>JP-34</t>
  </si>
  <si>
    <t>Hiroshima</t>
  </si>
  <si>
    <t>as:GENC:6:ed2:JP-34</t>
  </si>
  <si>
    <t>JP-01</t>
  </si>
  <si>
    <t>Hokkaidō</t>
  </si>
  <si>
    <t>as:GENC:6:ed2:JP-01</t>
  </si>
  <si>
    <t>JP-28</t>
  </si>
  <si>
    <t>Hyōgo</t>
  </si>
  <si>
    <t>as:GENC:6:ed2:JP-28</t>
  </si>
  <si>
    <t>JP-08</t>
  </si>
  <si>
    <t>Ibaraki</t>
  </si>
  <si>
    <t>as:GENC:6:ed2:JP-08</t>
  </si>
  <si>
    <t>JP-17</t>
  </si>
  <si>
    <t>Ishikawa</t>
  </si>
  <si>
    <t>as:GENC:6:ed2:JP-17</t>
  </si>
  <si>
    <t>JP-03</t>
  </si>
  <si>
    <t>Iwate</t>
  </si>
  <si>
    <t>as:GENC:6:ed2:JP-03</t>
  </si>
  <si>
    <t>JP-37</t>
  </si>
  <si>
    <t>Kagawa</t>
  </si>
  <si>
    <t>as:GENC:6:ed2:JP-37</t>
  </si>
  <si>
    <t>JP-46</t>
  </si>
  <si>
    <t>Kagoshima</t>
  </si>
  <si>
    <t>as:GENC:6:ed2:JP-46</t>
  </si>
  <si>
    <t>JP-14</t>
  </si>
  <si>
    <t>Kanagawa</t>
  </si>
  <si>
    <t>as:GENC:6:ed2:JP-14</t>
  </si>
  <si>
    <t>JP-39</t>
  </si>
  <si>
    <t>Kōchi</t>
  </si>
  <si>
    <t>as:GENC:6:ed2:JP-39</t>
  </si>
  <si>
    <t>JP-43</t>
  </si>
  <si>
    <t>Kumamoto</t>
  </si>
  <si>
    <t>as:GENC:6:ed2:JP-43</t>
  </si>
  <si>
    <t>JP-26</t>
  </si>
  <si>
    <t>Kyōto</t>
  </si>
  <si>
    <t>as:GENC:6:ed2:JP-26</t>
  </si>
  <si>
    <t>JP-24</t>
  </si>
  <si>
    <t>Mie</t>
  </si>
  <si>
    <t>as:GENC:6:ed2:JP-24</t>
  </si>
  <si>
    <t>JP-04</t>
  </si>
  <si>
    <t>Miyagi</t>
  </si>
  <si>
    <t>as:GENC:6:ed2:JP-04</t>
  </si>
  <si>
    <t>JP-45</t>
  </si>
  <si>
    <t>Miyazaki</t>
  </si>
  <si>
    <t>as:GENC:6:ed2:JP-45</t>
  </si>
  <si>
    <t>JP-20</t>
  </si>
  <si>
    <t>Nagano</t>
  </si>
  <si>
    <t>as:GENC:6:ed2:JP-20</t>
  </si>
  <si>
    <t>JP-42</t>
  </si>
  <si>
    <t>Nagasaki</t>
  </si>
  <si>
    <t>as:GENC:6:ed2:JP-42</t>
  </si>
  <si>
    <t>JP-29</t>
  </si>
  <si>
    <t>Nara</t>
  </si>
  <si>
    <t>as:GENC:6:ed2:JP-29</t>
  </si>
  <si>
    <t>JP-15</t>
  </si>
  <si>
    <t>Niigata</t>
  </si>
  <si>
    <t>as:GENC:6:ed2:JP-15</t>
  </si>
  <si>
    <t>JP-44</t>
  </si>
  <si>
    <t>Ōita</t>
  </si>
  <si>
    <t>as:GENC:6:ed2:JP-44</t>
  </si>
  <si>
    <t>JP-33</t>
  </si>
  <si>
    <t>Okayama</t>
  </si>
  <si>
    <t>as:GENC:6:ed2:JP-33</t>
  </si>
  <si>
    <t>JP-47</t>
  </si>
  <si>
    <t>Okinawa</t>
  </si>
  <si>
    <t>as:GENC:6:ed2:JP-47</t>
  </si>
  <si>
    <t>JP-27</t>
  </si>
  <si>
    <t>Ōsaka</t>
  </si>
  <si>
    <t>as:GENC:6:ed2:JP-27</t>
  </si>
  <si>
    <t>JP-41</t>
  </si>
  <si>
    <t>Saga</t>
  </si>
  <si>
    <t>as:GENC:6:ed2:JP-41</t>
  </si>
  <si>
    <t>JP-11</t>
  </si>
  <si>
    <t>Saitama</t>
  </si>
  <si>
    <t>as:GENC:6:ed2:JP-11</t>
  </si>
  <si>
    <t>JP-25</t>
  </si>
  <si>
    <t>Shiga</t>
  </si>
  <si>
    <t>as:GENC:6:ed2:JP-25</t>
  </si>
  <si>
    <t>JP-32</t>
  </si>
  <si>
    <t>Shimane</t>
  </si>
  <si>
    <t>as:GENC:6:ed2:JP-32</t>
  </si>
  <si>
    <t>JP-22</t>
  </si>
  <si>
    <t>Shizuoka</t>
  </si>
  <si>
    <t>as:GENC:6:ed2:JP-22</t>
  </si>
  <si>
    <t>JP-09</t>
  </si>
  <si>
    <t>Tochigi</t>
  </si>
  <si>
    <t>as:GENC:6:ed2:JP-09</t>
  </si>
  <si>
    <t>JP-36</t>
  </si>
  <si>
    <t>Tokushima</t>
  </si>
  <si>
    <t>as:GENC:6:ed2:JP-36</t>
  </si>
  <si>
    <t>JP-13</t>
  </si>
  <si>
    <t>Tōkyō</t>
  </si>
  <si>
    <t>as:GENC:6:ed2:JP-13</t>
  </si>
  <si>
    <t>JP-31</t>
  </si>
  <si>
    <t>Tottori</t>
  </si>
  <si>
    <t>as:GENC:6:ed2:JP-31</t>
  </si>
  <si>
    <t>JP-16</t>
  </si>
  <si>
    <t>Toyama</t>
  </si>
  <si>
    <t>as:GENC:6:ed2:JP-16</t>
  </si>
  <si>
    <t>JP-30</t>
  </si>
  <si>
    <t>Wakayama</t>
  </si>
  <si>
    <t>as:GENC:6:ed2:JP-30</t>
  </si>
  <si>
    <t>JP-06</t>
  </si>
  <si>
    <t>Yamagata</t>
  </si>
  <si>
    <t>as:GENC:6:ed2:JP-06</t>
  </si>
  <si>
    <t>JP-35</t>
  </si>
  <si>
    <t>Yamaguchi</t>
  </si>
  <si>
    <t>as:GENC:6:ed2:JP-35</t>
  </si>
  <si>
    <t>JP-19</t>
  </si>
  <si>
    <t>Yamanashi</t>
  </si>
  <si>
    <t>as:GENC:6:ed2:JP-19</t>
  </si>
  <si>
    <t>JO-AJ</t>
  </si>
  <si>
    <t>‘Ajlūn</t>
  </si>
  <si>
    <t>as:ISO2:6:ed3:JO-AJ</t>
  </si>
  <si>
    <t>JO-AQ</t>
  </si>
  <si>
    <t>Al ‘Aqabah</t>
  </si>
  <si>
    <t>as:ISO2:6:ed3:JO-AQ</t>
  </si>
  <si>
    <t>JO-BA</t>
  </si>
  <si>
    <t>Al Balqā’</t>
  </si>
  <si>
    <t>as:ISO2:6:ed3:JO-BA</t>
  </si>
  <si>
    <t>JO-KA</t>
  </si>
  <si>
    <t>Al Karak</t>
  </si>
  <si>
    <t>as:ISO2:6:ed3:JO-KA</t>
  </si>
  <si>
    <t>JO-MA</t>
  </si>
  <si>
    <t>Al Mafraq</t>
  </si>
  <si>
    <t>as:ISO2:6:ed3:JO-MA</t>
  </si>
  <si>
    <t>JO-AM</t>
  </si>
  <si>
    <t>‘Ammān</t>
  </si>
  <si>
    <t>as:GENC:6:ed2:JO-AM</t>
  </si>
  <si>
    <t>JO-AT</t>
  </si>
  <si>
    <t>Aţ Ţafīlah</t>
  </si>
  <si>
    <t>as:ISO2:6:ed3:JO-AT</t>
  </si>
  <si>
    <t>JO-AZ</t>
  </si>
  <si>
    <t>Az Zarqā’</t>
  </si>
  <si>
    <t>as:ISO2:6:ed3:JO-AZ</t>
  </si>
  <si>
    <t>JO-IR</t>
  </si>
  <si>
    <t>Irbid</t>
  </si>
  <si>
    <t>as:ISO2:6:ed3:JO-IR</t>
  </si>
  <si>
    <t>JO-JA</t>
  </si>
  <si>
    <t>Jarash</t>
  </si>
  <si>
    <t>as:ISO2:6:ed3:JO-JA</t>
  </si>
  <si>
    <t>JO-MN</t>
  </si>
  <si>
    <t>Ma‘ān</t>
  </si>
  <si>
    <t>as:ISO2:6:ed3:JO-MN</t>
  </si>
  <si>
    <t>JO-MD</t>
  </si>
  <si>
    <t>Mādabā</t>
  </si>
  <si>
    <t>as:ISO2:6:ed3:JO-MD</t>
  </si>
  <si>
    <t>KZ-ALA</t>
  </si>
  <si>
    <t>Almaty</t>
  </si>
  <si>
    <t>as:GENC:6:ed2:KZ-ALA</t>
  </si>
  <si>
    <t>KZ-ALM</t>
  </si>
  <si>
    <t>as:GENC:6:ed2:KZ-ALM</t>
  </si>
  <si>
    <t>KZ-AKM</t>
  </si>
  <si>
    <t>Aqmola</t>
  </si>
  <si>
    <t>as:GENC:6:ed2:KZ-AKM</t>
  </si>
  <si>
    <t>KZ-AKT</t>
  </si>
  <si>
    <t>Aqtöbe</t>
  </si>
  <si>
    <t>as:GENC:6:ed2:KZ-AKT</t>
  </si>
  <si>
    <t>KZ-AST</t>
  </si>
  <si>
    <t>Astana</t>
  </si>
  <si>
    <t>as:GENC:6:ed2:KZ-AST</t>
  </si>
  <si>
    <t>KZ-ATY</t>
  </si>
  <si>
    <t>Atyraū</t>
  </si>
  <si>
    <t>as:GENC:6:ed2:KZ-ATY</t>
  </si>
  <si>
    <t>KZ-ZAP</t>
  </si>
  <si>
    <t>Batys Qazaqstan</t>
  </si>
  <si>
    <t>as:GENC:6:ed2:KZ-ZAP</t>
  </si>
  <si>
    <t>KZ-BAY</t>
  </si>
  <si>
    <t>Bayqongyr</t>
  </si>
  <si>
    <t>as:GENC:6:ed2:KZ-BAY</t>
  </si>
  <si>
    <t>KZ-MAN</t>
  </si>
  <si>
    <t>Mangghystaū</t>
  </si>
  <si>
    <t>as:GENC:6:ed2:KZ-MAN</t>
  </si>
  <si>
    <t>KZ-YUZ</t>
  </si>
  <si>
    <t>Ongtüstik Qazaqstan</t>
  </si>
  <si>
    <t>as:GENC:6:ed2:KZ-YUZ</t>
  </si>
  <si>
    <t>KZ-PAV</t>
  </si>
  <si>
    <t>Pavlodar</t>
  </si>
  <si>
    <t>as:GENC:6:ed2:KZ-PAV</t>
  </si>
  <si>
    <t>KZ-KAR</t>
  </si>
  <si>
    <t>Qaraghandy</t>
  </si>
  <si>
    <t>as:GENC:6:ed2:KZ-KAR</t>
  </si>
  <si>
    <t>KZ-KUS</t>
  </si>
  <si>
    <t>Qostanay</t>
  </si>
  <si>
    <t>as:GENC:6:ed2:KZ-KUS</t>
  </si>
  <si>
    <t>KZ-KZY</t>
  </si>
  <si>
    <t>Qyzylorda</t>
  </si>
  <si>
    <t>as:GENC:6:ed2:KZ-KZY</t>
  </si>
  <si>
    <t>KZ-VOS</t>
  </si>
  <si>
    <t>Shyghys Qazaqstan</t>
  </si>
  <si>
    <t>as:GENC:6:ed2:KZ-VOS</t>
  </si>
  <si>
    <t>KZ-SEV</t>
  </si>
  <si>
    <t>Soltüstik Qazaqstan</t>
  </si>
  <si>
    <t>as:GENC:6:ed2:KZ-SEV</t>
  </si>
  <si>
    <t>KZ-ZHA</t>
  </si>
  <si>
    <t>Zhambyl</t>
  </si>
  <si>
    <t>as:GENC:6:ed2:KZ-ZHA</t>
  </si>
  <si>
    <t>KE-01</t>
  </si>
  <si>
    <t>Baringo</t>
  </si>
  <si>
    <t>as:GENC:6:ed2:KE-01</t>
  </si>
  <si>
    <t>KE-02</t>
  </si>
  <si>
    <t>Bomet</t>
  </si>
  <si>
    <t>as:GENC:6:ed2:KE-02</t>
  </si>
  <si>
    <t>KE-03</t>
  </si>
  <si>
    <t>Bungoma</t>
  </si>
  <si>
    <t>as:GENC:6:ed2:KE-03</t>
  </si>
  <si>
    <t>KE-04</t>
  </si>
  <si>
    <t>Busia</t>
  </si>
  <si>
    <t>as:GENC:6:ed2:KE-04</t>
  </si>
  <si>
    <t>KE-200</t>
  </si>
  <si>
    <t>as:GENC:6:ed2:KE-200</t>
  </si>
  <si>
    <t>KE-300</t>
  </si>
  <si>
    <t>Coast</t>
  </si>
  <si>
    <t>as:GENC:6:ed2:KE-300</t>
  </si>
  <si>
    <t>KE-400</t>
  </si>
  <si>
    <t>as:GENC:6:ed2:KE-400</t>
  </si>
  <si>
    <t>KE-05</t>
  </si>
  <si>
    <t>Elgeyo/Marakwet</t>
  </si>
  <si>
    <t>as:GENC:6:ed2:KE-05</t>
  </si>
  <si>
    <t>KE-06</t>
  </si>
  <si>
    <t>Embu</t>
  </si>
  <si>
    <t>as:GENC:6:ed2:KE-06</t>
  </si>
  <si>
    <t>KE-07</t>
  </si>
  <si>
    <t>Garissa</t>
  </si>
  <si>
    <t>as:GENC:6:ed2:KE-07</t>
  </si>
  <si>
    <t>KE-08</t>
  </si>
  <si>
    <t>Homa Bay</t>
  </si>
  <si>
    <t>as:GENC:6:ed2:KE-08</t>
  </si>
  <si>
    <t>KE-09</t>
  </si>
  <si>
    <t>Isiolo</t>
  </si>
  <si>
    <t>as:GENC:6:ed2:KE-09</t>
  </si>
  <si>
    <t>KE-10</t>
  </si>
  <si>
    <t>Kajiado</t>
  </si>
  <si>
    <t>as:GENC:6:ed2:KE-10</t>
  </si>
  <si>
    <t>KE-11</t>
  </si>
  <si>
    <t>Kakamega</t>
  </si>
  <si>
    <t>as:GENC:6:ed2:KE-11</t>
  </si>
  <si>
    <t>KE-12</t>
  </si>
  <si>
    <t>Kericho</t>
  </si>
  <si>
    <t>as:GENC:6:ed2:KE-12</t>
  </si>
  <si>
    <t>KE-13</t>
  </si>
  <si>
    <t>Kiambu</t>
  </si>
  <si>
    <t>as:GENC:6:ed2:KE-13</t>
  </si>
  <si>
    <t>KE-14</t>
  </si>
  <si>
    <t>Kilifi</t>
  </si>
  <si>
    <t>as:GENC:6:ed2:KE-14</t>
  </si>
  <si>
    <t>KE-15</t>
  </si>
  <si>
    <t>Kirinyaga</t>
  </si>
  <si>
    <t>as:GENC:6:ed2:KE-15</t>
  </si>
  <si>
    <t>KE-16</t>
  </si>
  <si>
    <t>Kisii</t>
  </si>
  <si>
    <t>as:GENC:6:ed2:KE-16</t>
  </si>
  <si>
    <t>KE-17</t>
  </si>
  <si>
    <t>Kisumu</t>
  </si>
  <si>
    <t>as:GENC:6:ed2:KE-17</t>
  </si>
  <si>
    <t>KE-18</t>
  </si>
  <si>
    <t>Kitui</t>
  </si>
  <si>
    <t>as:GENC:6:ed2:KE-18</t>
  </si>
  <si>
    <t>KE-19</t>
  </si>
  <si>
    <t>Kwale</t>
  </si>
  <si>
    <t>as:GENC:6:ed2:KE-19</t>
  </si>
  <si>
    <t>KE-20</t>
  </si>
  <si>
    <t>Laikipia</t>
  </si>
  <si>
    <t>as:GENC:6:ed2:KE-20</t>
  </si>
  <si>
    <t>KE-21</t>
  </si>
  <si>
    <t>Lamu</t>
  </si>
  <si>
    <t>as:GENC:6:ed2:KE-21</t>
  </si>
  <si>
    <t>KE-22</t>
  </si>
  <si>
    <t>Machakos</t>
  </si>
  <si>
    <t>as:GENC:6:ed2:KE-22</t>
  </si>
  <si>
    <t>KE-23</t>
  </si>
  <si>
    <t>Makueni</t>
  </si>
  <si>
    <t>as:GENC:6:ed2:KE-23</t>
  </si>
  <si>
    <t>KE-24</t>
  </si>
  <si>
    <t>Mandera</t>
  </si>
  <si>
    <t>as:GENC:6:ed2:KE-24</t>
  </si>
  <si>
    <t>KE-25</t>
  </si>
  <si>
    <t>Marsabit</t>
  </si>
  <si>
    <t>as:GENC:6:ed2:KE-25</t>
  </si>
  <si>
    <t>KE-26</t>
  </si>
  <si>
    <t>Meru</t>
  </si>
  <si>
    <t>as:GENC:6:ed2:KE-26</t>
  </si>
  <si>
    <t>KE-27</t>
  </si>
  <si>
    <t>Migori</t>
  </si>
  <si>
    <t>as:GENC:6:ed2:KE-27</t>
  </si>
  <si>
    <t>KE-28</t>
  </si>
  <si>
    <t>Mombasa</t>
  </si>
  <si>
    <t>as:GENC:6:ed2:KE-28</t>
  </si>
  <si>
    <t>KE-29</t>
  </si>
  <si>
    <t>Murang’a</t>
  </si>
  <si>
    <t>as:GENC:6:ed2:KE-29</t>
  </si>
  <si>
    <t>KE-110</t>
  </si>
  <si>
    <t>Nairobi</t>
  </si>
  <si>
    <t>as:GENC:6:ed2:KE-110</t>
  </si>
  <si>
    <t>KE-30</t>
  </si>
  <si>
    <t>Nairobi City</t>
  </si>
  <si>
    <t>as:GENC:6:ed2:KE-30</t>
  </si>
  <si>
    <t>KE-31</t>
  </si>
  <si>
    <t>Nakuru</t>
  </si>
  <si>
    <t>as:GENC:6:ed2:KE-31</t>
  </si>
  <si>
    <t>KE-32</t>
  </si>
  <si>
    <t>Nandi</t>
  </si>
  <si>
    <t>as:GENC:6:ed2:KE-32</t>
  </si>
  <si>
    <t>KE-33</t>
  </si>
  <si>
    <t>Narok</t>
  </si>
  <si>
    <t>as:GENC:6:ed2:KE-33</t>
  </si>
  <si>
    <t>KE-500</t>
  </si>
  <si>
    <t>North-Eastern</t>
  </si>
  <si>
    <t>as:GENC:6:ed2:KE-500</t>
  </si>
  <si>
    <t>KE-34</t>
  </si>
  <si>
    <t>Nyamira</t>
  </si>
  <si>
    <t>as:GENC:6:ed2:KE-34</t>
  </si>
  <si>
    <t>KE-35</t>
  </si>
  <si>
    <t>Nyandarua</t>
  </si>
  <si>
    <t>as:GENC:6:ed2:KE-35</t>
  </si>
  <si>
    <t>KE-600</t>
  </si>
  <si>
    <t>Nyanza</t>
  </si>
  <si>
    <t>as:GENC:6:ed2:KE-600</t>
  </si>
  <si>
    <t>KE-36</t>
  </si>
  <si>
    <t>Nyeri</t>
  </si>
  <si>
    <t>as:GENC:6:ed2:KE-36</t>
  </si>
  <si>
    <t>KE-700</t>
  </si>
  <si>
    <t>Rift Valley</t>
  </si>
  <si>
    <t>as:GENC:6:ed2:KE-700</t>
  </si>
  <si>
    <t>KE-37</t>
  </si>
  <si>
    <t>Samburu</t>
  </si>
  <si>
    <t>as:GENC:6:ed2:KE-37</t>
  </si>
  <si>
    <t>KE-38</t>
  </si>
  <si>
    <t>Siaya</t>
  </si>
  <si>
    <t>as:GENC:6:ed2:KE-38</t>
  </si>
  <si>
    <t>KE-39</t>
  </si>
  <si>
    <t>Taita/Taveta</t>
  </si>
  <si>
    <t>as:GENC:6:ed2:KE-39</t>
  </si>
  <si>
    <t>KE-40</t>
  </si>
  <si>
    <t>Tana River</t>
  </si>
  <si>
    <t>as:GENC:6:ed2:KE-40</t>
  </si>
  <si>
    <t>KE-41</t>
  </si>
  <si>
    <t>Tharaka-Nithi</t>
  </si>
  <si>
    <t>as:GENC:6:ed2:KE-41</t>
  </si>
  <si>
    <t>KE-42</t>
  </si>
  <si>
    <t>Trans Nzoia</t>
  </si>
  <si>
    <t>as:GENC:6:ed2:KE-42</t>
  </si>
  <si>
    <t>KE-43</t>
  </si>
  <si>
    <t>Turkana</t>
  </si>
  <si>
    <t>as:GENC:6:ed2:KE-43</t>
  </si>
  <si>
    <t>KE-44</t>
  </si>
  <si>
    <t>Uasin Gishu</t>
  </si>
  <si>
    <t>as:GENC:6:ed2:KE-44</t>
  </si>
  <si>
    <t>KE-45</t>
  </si>
  <si>
    <t>Vihiga</t>
  </si>
  <si>
    <t>as:GENC:6:ed2:KE-45</t>
  </si>
  <si>
    <t>KE-46</t>
  </si>
  <si>
    <t>Wajir</t>
  </si>
  <si>
    <t>as:GENC:6:ed2:KE-46</t>
  </si>
  <si>
    <t>KE-800</t>
  </si>
  <si>
    <t>as:GENC:6:ed2:KE-800</t>
  </si>
  <si>
    <t>KE-47</t>
  </si>
  <si>
    <t>West Pokot</t>
  </si>
  <si>
    <t>as:GENC:6:ed2:KE-47</t>
  </si>
  <si>
    <t>KI-G</t>
  </si>
  <si>
    <t>Gilbert Islands</t>
  </si>
  <si>
    <t>islands</t>
  </si>
  <si>
    <t>as:GENC:6:ed2:KI-G</t>
  </si>
  <si>
    <t>KI-L</t>
  </si>
  <si>
    <t>Line Islands</t>
  </si>
  <si>
    <t>as:GENC:6:ed2:KI-L</t>
  </si>
  <si>
    <t>KI-P</t>
  </si>
  <si>
    <t>Phoenix Islands</t>
  </si>
  <si>
    <t>as:GENC:6:ed2:KI-P</t>
  </si>
  <si>
    <t>KP-04</t>
  </si>
  <si>
    <t>Chagang</t>
  </si>
  <si>
    <t>as:GENC:6:ed2:KP-04</t>
  </si>
  <si>
    <t>KP-09</t>
  </si>
  <si>
    <t>Hambuk</t>
  </si>
  <si>
    <t>as:GENC:6:ed2:KP-09</t>
  </si>
  <si>
    <t>KP-08</t>
  </si>
  <si>
    <t>Hamnam</t>
  </si>
  <si>
    <t>as:GENC:6:ed2:KP-08</t>
  </si>
  <si>
    <t>KP-06</t>
  </si>
  <si>
    <t>Hwangbuk</t>
  </si>
  <si>
    <t>as:GENC:6:ed2:KP-06</t>
  </si>
  <si>
    <t>KP-05</t>
  </si>
  <si>
    <t>Hwangnam</t>
  </si>
  <si>
    <t>as:GENC:6:ed2:KP-05</t>
  </si>
  <si>
    <t>KP-07</t>
  </si>
  <si>
    <t>Kangwŏn</t>
  </si>
  <si>
    <t>as:GENC:6:ed2:KP-07</t>
  </si>
  <si>
    <t>KP-13</t>
  </si>
  <si>
    <t>Nasŏn</t>
  </si>
  <si>
    <t>special city</t>
  </si>
  <si>
    <t>as:GENC:6:ed2:KP-13</t>
  </si>
  <si>
    <t>KP-03</t>
  </si>
  <si>
    <t>P’yŏngbuk</t>
  </si>
  <si>
    <t>as:GENC:6:ed2:KP-03</t>
  </si>
  <si>
    <t>KP-02</t>
  </si>
  <si>
    <t>P’yŏngnam</t>
  </si>
  <si>
    <t>as:GENC:6:ed2:KP-02</t>
  </si>
  <si>
    <t>KP-01</t>
  </si>
  <si>
    <t>P’yŏngyang</t>
  </si>
  <si>
    <t>as:GENC:6:ed2:KP-01</t>
  </si>
  <si>
    <t>KP-10</t>
  </si>
  <si>
    <t>Yanggang</t>
  </si>
  <si>
    <t>as:GENC:6:ed2:KP-10</t>
  </si>
  <si>
    <t>KR-26</t>
  </si>
  <si>
    <t>Busan</t>
  </si>
  <si>
    <t>metropolitan city</t>
  </si>
  <si>
    <t>as:GENC:6:ed2:KR-26</t>
  </si>
  <si>
    <t>KR-43</t>
  </si>
  <si>
    <t>Chungbuk</t>
  </si>
  <si>
    <t>as:GENC:6:ed2:KR-43</t>
  </si>
  <si>
    <t>KR-44</t>
  </si>
  <si>
    <t>Chungnam</t>
  </si>
  <si>
    <t>as:GENC:6:ed2:KR-44</t>
  </si>
  <si>
    <t>KR-27</t>
  </si>
  <si>
    <t>Daegu</t>
  </si>
  <si>
    <t>as:GENC:6:ed2:KR-27</t>
  </si>
  <si>
    <t>KR-30</t>
  </si>
  <si>
    <t>Daejeon</t>
  </si>
  <si>
    <t>as:GENC:6:ed2:KR-30</t>
  </si>
  <si>
    <t>KR-42</t>
  </si>
  <si>
    <t>Gangwon</t>
  </si>
  <si>
    <t>as:GENC:6:ed2:KR-42</t>
  </si>
  <si>
    <t>KR-29</t>
  </si>
  <si>
    <t>Gwangju</t>
  </si>
  <si>
    <t>as:GENC:6:ed2:KR-29</t>
  </si>
  <si>
    <t>KR-47</t>
  </si>
  <si>
    <t>Gyeongbuk</t>
  </si>
  <si>
    <t>as:GENC:6:ed2:KR-47</t>
  </si>
  <si>
    <t>KR-41</t>
  </si>
  <si>
    <t>Gyeonggi</t>
  </si>
  <si>
    <t>as:GENC:6:ed2:KR-41</t>
  </si>
  <si>
    <t>KR-48</t>
  </si>
  <si>
    <t>Gyeongnam</t>
  </si>
  <si>
    <t>as:GENC:6:ed2:KR-48</t>
  </si>
  <si>
    <t>KR-28</t>
  </si>
  <si>
    <t>Incheon</t>
  </si>
  <si>
    <t>as:GENC:6:ed2:KR-28</t>
  </si>
  <si>
    <t>KR-49</t>
  </si>
  <si>
    <t>Jeju</t>
  </si>
  <si>
    <t>as:GENC:6:ed2:KR-49</t>
  </si>
  <si>
    <t>KR-45</t>
  </si>
  <si>
    <t>Jeonbuk</t>
  </si>
  <si>
    <t>as:GENC:6:ed2:KR-45</t>
  </si>
  <si>
    <t>KR-46</t>
  </si>
  <si>
    <t>Jeonnam</t>
  </si>
  <si>
    <t>as:GENC:6:ed2:KR-46</t>
  </si>
  <si>
    <t>KR-50</t>
  </si>
  <si>
    <t>Sejong</t>
  </si>
  <si>
    <t>special self-governing city</t>
  </si>
  <si>
    <t>as:GENC:6:ed2:KR-50</t>
  </si>
  <si>
    <t>KR-11</t>
  </si>
  <si>
    <t>Seoul</t>
  </si>
  <si>
    <t>as:GENC:6:ed2:KR-11</t>
  </si>
  <si>
    <t>KR-31</t>
  </si>
  <si>
    <t>Ulsan</t>
  </si>
  <si>
    <t>as:GENC:6:ed2:KR-31</t>
  </si>
  <si>
    <t>XK-01</t>
  </si>
  <si>
    <t>Deçan</t>
  </si>
  <si>
    <t>as:GENC:6:ed2:XK-01</t>
  </si>
  <si>
    <t>XK-02</t>
  </si>
  <si>
    <t>Dragash</t>
  </si>
  <si>
    <t>as:GENC:6:ed2:XK-02</t>
  </si>
  <si>
    <t>XK-03</t>
  </si>
  <si>
    <t>Ferizaj</t>
  </si>
  <si>
    <t>as:GENC:6:ed2:XK-03</t>
  </si>
  <si>
    <t>XK-04</t>
  </si>
  <si>
    <t>Fushë Kosovë</t>
  </si>
  <si>
    <t>as:GENC:6:ed2:XK-04</t>
  </si>
  <si>
    <t>XK-05</t>
  </si>
  <si>
    <t>Gjakovë</t>
  </si>
  <si>
    <t>as:GENC:6:ed2:XK-05</t>
  </si>
  <si>
    <t>XK-06</t>
  </si>
  <si>
    <t>Gjilan</t>
  </si>
  <si>
    <t>as:GENC:6:ed2:XK-06</t>
  </si>
  <si>
    <t>XK-07</t>
  </si>
  <si>
    <t>Gllogovc</t>
  </si>
  <si>
    <t>as:GENC:6:ed2:XK-07</t>
  </si>
  <si>
    <t>XK-08</t>
  </si>
  <si>
    <t>Graçanicë</t>
  </si>
  <si>
    <t>as:GENC:6:ed2:XK-08</t>
  </si>
  <si>
    <t>XK-09</t>
  </si>
  <si>
    <t>Hani i Elezit</t>
  </si>
  <si>
    <t>as:GENC:6:ed2:XK-09</t>
  </si>
  <si>
    <t>XK-10</t>
  </si>
  <si>
    <t>Istog</t>
  </si>
  <si>
    <t>as:GENC:6:ed2:XK-10</t>
  </si>
  <si>
    <t>XK-11</t>
  </si>
  <si>
    <t>Junik</t>
  </si>
  <si>
    <t>as:GENC:6:ed2:XK-11</t>
  </si>
  <si>
    <t>XK-12</t>
  </si>
  <si>
    <t>Kaçanik</t>
  </si>
  <si>
    <t>as:GENC:6:ed2:XK-12</t>
  </si>
  <si>
    <t>XK-13</t>
  </si>
  <si>
    <t>Kamenicë</t>
  </si>
  <si>
    <t>as:GENC:6:ed2:XK-13</t>
  </si>
  <si>
    <t>XK-14</t>
  </si>
  <si>
    <t>Klinë</t>
  </si>
  <si>
    <t>as:GENC:6:ed2:XK-14</t>
  </si>
  <si>
    <t>XK-15</t>
  </si>
  <si>
    <t>Kllokot</t>
  </si>
  <si>
    <t>as:GENC:6:ed2:XK-15</t>
  </si>
  <si>
    <t>XK-16</t>
  </si>
  <si>
    <t>Leposaviq</t>
  </si>
  <si>
    <t>as:GENC:6:ed2:XK-16</t>
  </si>
  <si>
    <t>XK-17</t>
  </si>
  <si>
    <t>Lipjan</t>
  </si>
  <si>
    <t>as:GENC:6:ed2:XK-17</t>
  </si>
  <si>
    <t>XK-18</t>
  </si>
  <si>
    <t>Malishevë</t>
  </si>
  <si>
    <t>as:GENC:6:ed2:XK-18</t>
  </si>
  <si>
    <t>XK-19</t>
  </si>
  <si>
    <t>Mamushë</t>
  </si>
  <si>
    <t>as:GENC:6:ed2:XK-19</t>
  </si>
  <si>
    <t>XK-20</t>
  </si>
  <si>
    <t>Mitrovicë</t>
  </si>
  <si>
    <t>as:GENC:6:ed2:XK-20</t>
  </si>
  <si>
    <t>XK-21</t>
  </si>
  <si>
    <t>Novobërdë</t>
  </si>
  <si>
    <t>as:GENC:6:ed2:XK-21</t>
  </si>
  <si>
    <t>XK-22</t>
  </si>
  <si>
    <t>Obiliq</t>
  </si>
  <si>
    <t>as:GENC:6:ed2:XK-22</t>
  </si>
  <si>
    <t>XK-23</t>
  </si>
  <si>
    <t>Partesh</t>
  </si>
  <si>
    <t>as:GENC:6:ed2:XK-23</t>
  </si>
  <si>
    <t>XK-24</t>
  </si>
  <si>
    <t>Pejë</t>
  </si>
  <si>
    <t>as:GENC:6:ed2:XK-24</t>
  </si>
  <si>
    <t>XK-25</t>
  </si>
  <si>
    <t>Podujevë</t>
  </si>
  <si>
    <t>as:GENC:6:ed2:XK-25</t>
  </si>
  <si>
    <t>XK-26</t>
  </si>
  <si>
    <t>Prishtinë</t>
  </si>
  <si>
    <t>as:GENC:6:ed2:XK-26</t>
  </si>
  <si>
    <t>XK-27</t>
  </si>
  <si>
    <t>Prizren</t>
  </si>
  <si>
    <t>as:GENC:6:ed2:XK-27</t>
  </si>
  <si>
    <t>XK-28</t>
  </si>
  <si>
    <t>Rahovec</t>
  </si>
  <si>
    <t>as:GENC:6:ed2:XK-28</t>
  </si>
  <si>
    <t>XK-29</t>
  </si>
  <si>
    <t>Ranillug</t>
  </si>
  <si>
    <t>as:GENC:6:ed2:XK-29</t>
  </si>
  <si>
    <t>XK-30</t>
  </si>
  <si>
    <t>Shtërpcë</t>
  </si>
  <si>
    <t>as:GENC:6:ed2:XK-30</t>
  </si>
  <si>
    <t>XK-31</t>
  </si>
  <si>
    <t>Shtime</t>
  </si>
  <si>
    <t>as:GENC:6:ed2:XK-31</t>
  </si>
  <si>
    <t>XK-32</t>
  </si>
  <si>
    <t>Skënderaj</t>
  </si>
  <si>
    <t>as:GENC:6:ed2:XK-32</t>
  </si>
  <si>
    <t>XK-33</t>
  </si>
  <si>
    <t>Suharekë</t>
  </si>
  <si>
    <t>as:GENC:6:ed2:XK-33</t>
  </si>
  <si>
    <t>XK-34</t>
  </si>
  <si>
    <t>Viti</t>
  </si>
  <si>
    <t>as:GENC:6:ed2:XK-34</t>
  </si>
  <si>
    <t>XK-35</t>
  </si>
  <si>
    <t>Vushtrri</t>
  </si>
  <si>
    <t>as:GENC:6:ed2:XK-35</t>
  </si>
  <si>
    <t>XK-36</t>
  </si>
  <si>
    <t>Zubin Potok</t>
  </si>
  <si>
    <t>as:GENC:6:ed2:XK-36</t>
  </si>
  <si>
    <t>XK-37</t>
  </si>
  <si>
    <t>Zveçan</t>
  </si>
  <si>
    <t>as:GENC:6:ed2:XK-37</t>
  </si>
  <si>
    <t>KW-AH</t>
  </si>
  <si>
    <t>Al Aḩmadī</t>
  </si>
  <si>
    <t>as:ISO2:6:ed3:KW-AH</t>
  </si>
  <si>
    <t>KW-KU</t>
  </si>
  <si>
    <t>as:GENC:6:ed2:KW-KU</t>
  </si>
  <si>
    <t>KW-FA</t>
  </si>
  <si>
    <t>Al Farwānīyah</t>
  </si>
  <si>
    <t>as:ISO2:6:ed3:KW-FA</t>
  </si>
  <si>
    <t>KW-JA</t>
  </si>
  <si>
    <t>Al Jahrā’</t>
  </si>
  <si>
    <t>as:ISO2:6:ed3:KW-JA</t>
  </si>
  <si>
    <t>KW-HA</t>
  </si>
  <si>
    <t>Ḩawallī</t>
  </si>
  <si>
    <t>as:ISO2:6:ed3:KW-HA</t>
  </si>
  <si>
    <t>KW-MU</t>
  </si>
  <si>
    <t>Mubārak al Kabīr</t>
  </si>
  <si>
    <t>as:ISO2:6:ed3:KW-MU</t>
  </si>
  <si>
    <t>KG-B</t>
  </si>
  <si>
    <t>Batken</t>
  </si>
  <si>
    <t>as:GENC:6:ed2:KG-B</t>
  </si>
  <si>
    <t>KG-GB</t>
  </si>
  <si>
    <t>Bishkek</t>
  </si>
  <si>
    <t>as:GENC:6:ed2:KG-GB</t>
  </si>
  <si>
    <t>KG-C</t>
  </si>
  <si>
    <t>Chüy</t>
  </si>
  <si>
    <t>as:GENC:6:ed2:KG-C</t>
  </si>
  <si>
    <t>KG-J</t>
  </si>
  <si>
    <t>Jalal-Abad</t>
  </si>
  <si>
    <t>as:GENC:6:ed2:KG-J</t>
  </si>
  <si>
    <t>KG-N</t>
  </si>
  <si>
    <t>Naryn</t>
  </si>
  <si>
    <t>as:GENC:6:ed2:KG-N</t>
  </si>
  <si>
    <t>KG-GO</t>
  </si>
  <si>
    <t>Osh</t>
  </si>
  <si>
    <t>as:GENC:6:ed2:KG-GO</t>
  </si>
  <si>
    <t>KG-O</t>
  </si>
  <si>
    <t>as:GENC:6:ed2:KG-O</t>
  </si>
  <si>
    <t>KG-T</t>
  </si>
  <si>
    <t>Talas</t>
  </si>
  <si>
    <t>as:GENC:6:ed2:KG-T</t>
  </si>
  <si>
    <t>KG-Y</t>
  </si>
  <si>
    <t>Ysyk-Köl</t>
  </si>
  <si>
    <t>as:GENC:6:ed2:KG-Y</t>
  </si>
  <si>
    <t>LA-AT</t>
  </si>
  <si>
    <t>Attapu</t>
  </si>
  <si>
    <t>as:GENC:6:ed2:LA-AT</t>
  </si>
  <si>
    <t>LA-BK</t>
  </si>
  <si>
    <t>Bokèo</t>
  </si>
  <si>
    <t>as:ISO2:6:ed3:LA-BK</t>
  </si>
  <si>
    <t>LA-BL</t>
  </si>
  <si>
    <t>Bolikhamxai</t>
  </si>
  <si>
    <t>as:GENC:6:ed2:LA-BL</t>
  </si>
  <si>
    <t>LA-CH</t>
  </si>
  <si>
    <t>Champasak</t>
  </si>
  <si>
    <t>as:GENC:6:ed2:LA-CH</t>
  </si>
  <si>
    <t>LA-HO</t>
  </si>
  <si>
    <t>Houaphan</t>
  </si>
  <si>
    <t>as:ISO2:6:ed3:LA-HO</t>
  </si>
  <si>
    <t>LA-KH</t>
  </si>
  <si>
    <t>Khammouan</t>
  </si>
  <si>
    <t>as:ISO2:6:ed3:LA-KH</t>
  </si>
  <si>
    <t>LA-LM</t>
  </si>
  <si>
    <t>Louangnamtha</t>
  </si>
  <si>
    <t>as:GENC:6:ed2:LA-LM</t>
  </si>
  <si>
    <t>LA-LP</t>
  </si>
  <si>
    <t>Louangphabang</t>
  </si>
  <si>
    <t>as:GENC:6:ed2:LA-LP</t>
  </si>
  <si>
    <t>LA-OU</t>
  </si>
  <si>
    <t>Oudômxai</t>
  </si>
  <si>
    <t>as:GENC:6:ed2:LA-OU</t>
  </si>
  <si>
    <t>LA-PH</t>
  </si>
  <si>
    <t>Phôngsali</t>
  </si>
  <si>
    <t>as:GENC:6:ed2:LA-PH</t>
  </si>
  <si>
    <t>LA-SL</t>
  </si>
  <si>
    <t>Salavan</t>
  </si>
  <si>
    <t>as:GENC:6:ed2:LA-SL</t>
  </si>
  <si>
    <t>LA-SV</t>
  </si>
  <si>
    <t>Savannakhét</t>
  </si>
  <si>
    <t>as:ISO2:6:ed3:LA-SV</t>
  </si>
  <si>
    <t>LA-VT</t>
  </si>
  <si>
    <t>Viangchan</t>
  </si>
  <si>
    <t>as:GENC:6:ed2:LA-VT</t>
  </si>
  <si>
    <t>LA-VI</t>
  </si>
  <si>
    <t>as:GENC:6:ed2:LA-VI</t>
  </si>
  <si>
    <t>LA-XA</t>
  </si>
  <si>
    <t>Xaignabouli</t>
  </si>
  <si>
    <t>as:GENC:6:ed2:LA-XA</t>
  </si>
  <si>
    <t>LA-XN</t>
  </si>
  <si>
    <t>Xaisômboun</t>
  </si>
  <si>
    <t>as:GENC:6:ed2:LA-XN</t>
  </si>
  <si>
    <t>LA-XE</t>
  </si>
  <si>
    <t>Xékong</t>
  </si>
  <si>
    <t>as:GENC:6:ed2:LA-XE</t>
  </si>
  <si>
    <t>LA-XI</t>
  </si>
  <si>
    <t>Xiangkhouang</t>
  </si>
  <si>
    <t>as:GENC:6:ed2:LA-XI</t>
  </si>
  <si>
    <t>LV-011</t>
  </si>
  <si>
    <t>Ādažu Novads</t>
  </si>
  <si>
    <t>as:GENC:6:ed2:LV-011</t>
  </si>
  <si>
    <t>LV-001</t>
  </si>
  <si>
    <t>Aglonas Novads</t>
  </si>
  <si>
    <t>as:GENC:6:ed2:LV-001</t>
  </si>
  <si>
    <t>LV-002</t>
  </si>
  <si>
    <t>Aizkraukles Novads</t>
  </si>
  <si>
    <t>as:GENC:6:ed2:LV-002</t>
  </si>
  <si>
    <t>LV-003</t>
  </si>
  <si>
    <t>Aizputes Novads</t>
  </si>
  <si>
    <t>as:GENC:6:ed2:LV-003</t>
  </si>
  <si>
    <t>LV-004</t>
  </si>
  <si>
    <t>Aknīstes Novads</t>
  </si>
  <si>
    <t>as:GENC:6:ed2:LV-004</t>
  </si>
  <si>
    <t>LV-005</t>
  </si>
  <si>
    <t>Alojas Novads</t>
  </si>
  <si>
    <t>as:GENC:6:ed2:LV-005</t>
  </si>
  <si>
    <t>LV-006</t>
  </si>
  <si>
    <t>Alsungas Novads</t>
  </si>
  <si>
    <t>as:GENC:6:ed2:LV-006</t>
  </si>
  <si>
    <t>LV-007</t>
  </si>
  <si>
    <t>Alūksnes Novads</t>
  </si>
  <si>
    <t>as:GENC:6:ed2:LV-007</t>
  </si>
  <si>
    <t>LV-008</t>
  </si>
  <si>
    <t>Amatas Novads</t>
  </si>
  <si>
    <t>as:GENC:6:ed2:LV-008</t>
  </si>
  <si>
    <t>LV-009</t>
  </si>
  <si>
    <t>Apes Novads</t>
  </si>
  <si>
    <t>as:GENC:6:ed2:LV-009</t>
  </si>
  <si>
    <t>LV-010</t>
  </si>
  <si>
    <t>Auces Novads</t>
  </si>
  <si>
    <t>as:GENC:6:ed2:LV-010</t>
  </si>
  <si>
    <t>LV-012</t>
  </si>
  <si>
    <t>Babītes Novads</t>
  </si>
  <si>
    <t>as:GENC:6:ed2:LV-012</t>
  </si>
  <si>
    <t>LV-013</t>
  </si>
  <si>
    <t>Baldones Novads</t>
  </si>
  <si>
    <t>as:GENC:6:ed2:LV-013</t>
  </si>
  <si>
    <t>LV-014</t>
  </si>
  <si>
    <t>Baltinavas Novads</t>
  </si>
  <si>
    <t>as:GENC:6:ed2:LV-014</t>
  </si>
  <si>
    <t>LV-015</t>
  </si>
  <si>
    <t>Balvu Novads</t>
  </si>
  <si>
    <t>as:GENC:6:ed2:LV-015</t>
  </si>
  <si>
    <t>LV-016</t>
  </si>
  <si>
    <t>Bauskas Novads</t>
  </si>
  <si>
    <t>as:GENC:6:ed2:LV-016</t>
  </si>
  <si>
    <t>LV-017</t>
  </si>
  <si>
    <t>Beverīnas Novads</t>
  </si>
  <si>
    <t>as:GENC:6:ed2:LV-017</t>
  </si>
  <si>
    <t>LV-018</t>
  </si>
  <si>
    <t>Brocēnu Novads</t>
  </si>
  <si>
    <t>as:GENC:6:ed2:LV-018</t>
  </si>
  <si>
    <t>LV-019</t>
  </si>
  <si>
    <t>Burtnieku Novads</t>
  </si>
  <si>
    <t>as:GENC:6:ed2:LV-019</t>
  </si>
  <si>
    <t>LV-020</t>
  </si>
  <si>
    <t>Carnikavas Novads</t>
  </si>
  <si>
    <t>as:GENC:6:ed2:LV-020</t>
  </si>
  <si>
    <t>LV-022</t>
  </si>
  <si>
    <t>Cēsu Novads</t>
  </si>
  <si>
    <t>as:GENC:6:ed2:LV-022</t>
  </si>
  <si>
    <t>LV-021</t>
  </si>
  <si>
    <t>Cesvaines Novads</t>
  </si>
  <si>
    <t>as:GENC:6:ed2:LV-021</t>
  </si>
  <si>
    <t>LV-023</t>
  </si>
  <si>
    <t>Ciblas Novads</t>
  </si>
  <si>
    <t>as:GENC:6:ed2:LV-023</t>
  </si>
  <si>
    <t>LV-024</t>
  </si>
  <si>
    <t>Dagdas Novads</t>
  </si>
  <si>
    <t>as:GENC:6:ed2:LV-024</t>
  </si>
  <si>
    <t>LV-DGV</t>
  </si>
  <si>
    <t>Daugavpils</t>
  </si>
  <si>
    <t>republican city</t>
  </si>
  <si>
    <t>as:GENC:6:ed2:LV-DGV</t>
  </si>
  <si>
    <t>LV-025</t>
  </si>
  <si>
    <t>Daugavpils Novads</t>
  </si>
  <si>
    <t>as:GENC:6:ed2:LV-025</t>
  </si>
  <si>
    <t>LV-026</t>
  </si>
  <si>
    <t>Dobeles Novads</t>
  </si>
  <si>
    <t>as:GENC:6:ed2:LV-026</t>
  </si>
  <si>
    <t>LV-027</t>
  </si>
  <si>
    <t>Dundagas Novads</t>
  </si>
  <si>
    <t>as:GENC:6:ed2:LV-027</t>
  </si>
  <si>
    <t>LV-028</t>
  </si>
  <si>
    <t>Durbes Novads</t>
  </si>
  <si>
    <t>as:GENC:6:ed2:LV-028</t>
  </si>
  <si>
    <t>LV-029</t>
  </si>
  <si>
    <t>Engures Novads</t>
  </si>
  <si>
    <t>as:GENC:6:ed2:LV-029</t>
  </si>
  <si>
    <t>LV-030</t>
  </si>
  <si>
    <t>Ērgļu Novads</t>
  </si>
  <si>
    <t>as:GENC:6:ed2:LV-030</t>
  </si>
  <si>
    <t>LV-031</t>
  </si>
  <si>
    <t>Garkalnes Novads</t>
  </si>
  <si>
    <t>as:GENC:6:ed2:LV-031</t>
  </si>
  <si>
    <t>LV-032</t>
  </si>
  <si>
    <t>Grobiņas Novads</t>
  </si>
  <si>
    <t>as:GENC:6:ed2:LV-032</t>
  </si>
  <si>
    <t>LV-033</t>
  </si>
  <si>
    <t>Gulbenes Novads</t>
  </si>
  <si>
    <t>as:GENC:6:ed2:LV-033</t>
  </si>
  <si>
    <t>LV-034</t>
  </si>
  <si>
    <t>Iecavas Novads</t>
  </si>
  <si>
    <t>as:GENC:6:ed2:LV-034</t>
  </si>
  <si>
    <t>LV-035</t>
  </si>
  <si>
    <t>Ikšķiles Novads</t>
  </si>
  <si>
    <t>as:GENC:6:ed2:LV-035</t>
  </si>
  <si>
    <t>LV-036</t>
  </si>
  <si>
    <t>Ilūkstes Novads</t>
  </si>
  <si>
    <t>as:GENC:6:ed2:LV-036</t>
  </si>
  <si>
    <t>LV-037</t>
  </si>
  <si>
    <t>Inčukalna Novads</t>
  </si>
  <si>
    <t>as:GENC:6:ed2:LV-037</t>
  </si>
  <si>
    <t>LV-038</t>
  </si>
  <si>
    <t>Jaunjelgavas Novads</t>
  </si>
  <si>
    <t>as:GENC:6:ed2:LV-038</t>
  </si>
  <si>
    <t>LV-039</t>
  </si>
  <si>
    <t>Jaunpiebalgas Novads</t>
  </si>
  <si>
    <t>as:GENC:6:ed2:LV-039</t>
  </si>
  <si>
    <t>LV-040</t>
  </si>
  <si>
    <t>Jaunpils Novads</t>
  </si>
  <si>
    <t>as:GENC:6:ed2:LV-040</t>
  </si>
  <si>
    <t>LV-JKB</t>
  </si>
  <si>
    <t>Jēkabpils</t>
  </si>
  <si>
    <t>as:GENC:6:ed2:LV-JKB</t>
  </si>
  <si>
    <t>LV-042</t>
  </si>
  <si>
    <t>Jēkabpils Novads</t>
  </si>
  <si>
    <t>as:GENC:6:ed2:LV-042</t>
  </si>
  <si>
    <t>LV-JEL</t>
  </si>
  <si>
    <t>Jelgava</t>
  </si>
  <si>
    <t>as:GENC:6:ed2:LV-JEL</t>
  </si>
  <si>
    <t>LV-041</t>
  </si>
  <si>
    <t>Jelgavas Novads</t>
  </si>
  <si>
    <t>as:GENC:6:ed2:LV-041</t>
  </si>
  <si>
    <t>LV-JUR</t>
  </si>
  <si>
    <t>Jūrmala</t>
  </si>
  <si>
    <t>as:GENC:6:ed2:LV-JUR</t>
  </si>
  <si>
    <t>LV-043</t>
  </si>
  <si>
    <t>Kandavas Novads</t>
  </si>
  <si>
    <t>as:GENC:6:ed2:LV-043</t>
  </si>
  <si>
    <t>LV-044</t>
  </si>
  <si>
    <t>Kārsavas Novads</t>
  </si>
  <si>
    <t>as:GENC:6:ed2:LV-044</t>
  </si>
  <si>
    <t>LV-051</t>
  </si>
  <si>
    <t>Ķeguma Novads</t>
  </si>
  <si>
    <t>as:GENC:6:ed2:LV-051</t>
  </si>
  <si>
    <t>LV-052</t>
  </si>
  <si>
    <t>Ķekavas Novads</t>
  </si>
  <si>
    <t>as:GENC:6:ed2:LV-052</t>
  </si>
  <si>
    <t>LV-045</t>
  </si>
  <si>
    <t>Kocēnu Novads</t>
  </si>
  <si>
    <t>as:GENC:6:ed2:LV-045</t>
  </si>
  <si>
    <t>LV-046</t>
  </si>
  <si>
    <t>Kokneses Novads</t>
  </si>
  <si>
    <t>as:GENC:6:ed2:LV-046</t>
  </si>
  <si>
    <t>LV-047</t>
  </si>
  <si>
    <t>Krāslavas Novads</t>
  </si>
  <si>
    <t>as:GENC:6:ed2:LV-047</t>
  </si>
  <si>
    <t>LV-048</t>
  </si>
  <si>
    <t>Krimuldas Novads</t>
  </si>
  <si>
    <t>as:GENC:6:ed2:LV-048</t>
  </si>
  <si>
    <t>LV-049</t>
  </si>
  <si>
    <t>Krustpils Novads</t>
  </si>
  <si>
    <t>as:GENC:6:ed2:LV-049</t>
  </si>
  <si>
    <t>LV-050</t>
  </si>
  <si>
    <t>Kuldīgas Novads</t>
  </si>
  <si>
    <t>as:GENC:6:ed2:LV-050</t>
  </si>
  <si>
    <t>LV-053</t>
  </si>
  <si>
    <t>Lielvārdes Novads</t>
  </si>
  <si>
    <t>as:GENC:6:ed2:LV-053</t>
  </si>
  <si>
    <t>LV-LPX</t>
  </si>
  <si>
    <t>Liepāja</t>
  </si>
  <si>
    <t>as:GENC:6:ed2:LV-LPX</t>
  </si>
  <si>
    <t>LV-055</t>
  </si>
  <si>
    <t>Līgatnes Novads</t>
  </si>
  <si>
    <t>as:GENC:6:ed2:LV-055</t>
  </si>
  <si>
    <t>LV-054</t>
  </si>
  <si>
    <t>Limbažu Novads</t>
  </si>
  <si>
    <t>as:GENC:6:ed2:LV-054</t>
  </si>
  <si>
    <t>LV-056</t>
  </si>
  <si>
    <t>Līvānu Novads</t>
  </si>
  <si>
    <t>as:GENC:6:ed2:LV-056</t>
  </si>
  <si>
    <t>LV-057</t>
  </si>
  <si>
    <t>Lubānas Novads</t>
  </si>
  <si>
    <t>as:GENC:6:ed2:LV-057</t>
  </si>
  <si>
    <t>LV-058</t>
  </si>
  <si>
    <t>Ludzas Novads</t>
  </si>
  <si>
    <t>as:GENC:6:ed2:LV-058</t>
  </si>
  <si>
    <t>LV-059</t>
  </si>
  <si>
    <t>Madonas Novads</t>
  </si>
  <si>
    <t>as:GENC:6:ed2:LV-059</t>
  </si>
  <si>
    <t>LV-061</t>
  </si>
  <si>
    <t>Mālpils Novads</t>
  </si>
  <si>
    <t>as:GENC:6:ed2:LV-061</t>
  </si>
  <si>
    <t>LV-062</t>
  </si>
  <si>
    <t>Mārupes Novads</t>
  </si>
  <si>
    <t>as:GENC:6:ed2:LV-062</t>
  </si>
  <si>
    <t>LV-060</t>
  </si>
  <si>
    <t>Mazsalacas Novads</t>
  </si>
  <si>
    <t>as:GENC:6:ed2:LV-060</t>
  </si>
  <si>
    <t>LV-063</t>
  </si>
  <si>
    <t>Mērsraga Novads</t>
  </si>
  <si>
    <t>as:GENC:6:ed2:LV-063</t>
  </si>
  <si>
    <t>LV-064</t>
  </si>
  <si>
    <t>Naukšēnu Novads</t>
  </si>
  <si>
    <t>as:GENC:6:ed2:LV-064</t>
  </si>
  <si>
    <t>LV-065</t>
  </si>
  <si>
    <t>Neretas Novads</t>
  </si>
  <si>
    <t>as:GENC:6:ed2:LV-065</t>
  </si>
  <si>
    <t>LV-066</t>
  </si>
  <si>
    <t>Nīcas Novads</t>
  </si>
  <si>
    <t>as:GENC:6:ed2:LV-066</t>
  </si>
  <si>
    <t>LV-067</t>
  </si>
  <si>
    <t>Ogres Novads</t>
  </si>
  <si>
    <t>as:GENC:6:ed2:LV-067</t>
  </si>
  <si>
    <t>LV-068</t>
  </si>
  <si>
    <t>Olaines Novads</t>
  </si>
  <si>
    <t>as:GENC:6:ed2:LV-068</t>
  </si>
  <si>
    <t>LV-069</t>
  </si>
  <si>
    <t>Ozolnieku Novads</t>
  </si>
  <si>
    <t>as:GENC:6:ed2:LV-069</t>
  </si>
  <si>
    <t>LV-070</t>
  </si>
  <si>
    <t>Pārgaujas Novads</t>
  </si>
  <si>
    <t>as:GENC:6:ed2:LV-070</t>
  </si>
  <si>
    <t>LV-071</t>
  </si>
  <si>
    <t>Pāvilostas Novads</t>
  </si>
  <si>
    <t>as:GENC:6:ed2:LV-071</t>
  </si>
  <si>
    <t>LV-072</t>
  </si>
  <si>
    <t>Pļaviņu Novads</t>
  </si>
  <si>
    <t>as:GENC:6:ed2:LV-072</t>
  </si>
  <si>
    <t>LV-073</t>
  </si>
  <si>
    <t>Preiļu Novads</t>
  </si>
  <si>
    <t>as:GENC:6:ed2:LV-073</t>
  </si>
  <si>
    <t>LV-074</t>
  </si>
  <si>
    <t>Priekules Novads</t>
  </si>
  <si>
    <t>as:GENC:6:ed2:LV-074</t>
  </si>
  <si>
    <t>LV-075</t>
  </si>
  <si>
    <t>Priekuļu Novads</t>
  </si>
  <si>
    <t>as:GENC:6:ed2:LV-075</t>
  </si>
  <si>
    <t>LV-076</t>
  </si>
  <si>
    <t>Raunas Novads</t>
  </si>
  <si>
    <t>as:GENC:6:ed2:LV-076</t>
  </si>
  <si>
    <t>LV-REZ</t>
  </si>
  <si>
    <t>Rēzekne</t>
  </si>
  <si>
    <t>as:GENC:6:ed2:LV-REZ</t>
  </si>
  <si>
    <t>LV-077</t>
  </si>
  <si>
    <t>Rēzeknes Novads</t>
  </si>
  <si>
    <t>as:GENC:6:ed2:LV-077</t>
  </si>
  <si>
    <t>LV-078</t>
  </si>
  <si>
    <t>Riebiņu Novads</t>
  </si>
  <si>
    <t>as:GENC:6:ed2:LV-078</t>
  </si>
  <si>
    <t>LV-RIX</t>
  </si>
  <si>
    <t>Rīga</t>
  </si>
  <si>
    <t>as:GENC:6:ed2:LV-RIX</t>
  </si>
  <si>
    <t>LV-079</t>
  </si>
  <si>
    <t>Rojas Novads</t>
  </si>
  <si>
    <t>as:GENC:6:ed2:LV-079</t>
  </si>
  <si>
    <t>LV-080</t>
  </si>
  <si>
    <t>Ropažu Novads</t>
  </si>
  <si>
    <t>as:GENC:6:ed2:LV-080</t>
  </si>
  <si>
    <t>LV-081</t>
  </si>
  <si>
    <t>Rucavas Novads</t>
  </si>
  <si>
    <t>as:GENC:6:ed2:LV-081</t>
  </si>
  <si>
    <t>LV-082</t>
  </si>
  <si>
    <t>Rugāju Novads</t>
  </si>
  <si>
    <t>as:GENC:6:ed2:LV-082</t>
  </si>
  <si>
    <t>LV-084</t>
  </si>
  <si>
    <t>Rūjienas Novads</t>
  </si>
  <si>
    <t>as:GENC:6:ed2:LV-084</t>
  </si>
  <si>
    <t>LV-083</t>
  </si>
  <si>
    <t>Rundāles Novads</t>
  </si>
  <si>
    <t>as:GENC:6:ed2:LV-083</t>
  </si>
  <si>
    <t>LV-086</t>
  </si>
  <si>
    <t>Salacgrīvas Novads</t>
  </si>
  <si>
    <t>as:GENC:6:ed2:LV-086</t>
  </si>
  <si>
    <t>LV-085</t>
  </si>
  <si>
    <t>Salas Novads</t>
  </si>
  <si>
    <t>as:GENC:6:ed2:LV-085</t>
  </si>
  <si>
    <t>LV-087</t>
  </si>
  <si>
    <t>Salaspils Novads</t>
  </si>
  <si>
    <t>as:GENC:6:ed2:LV-087</t>
  </si>
  <si>
    <t>LV-088</t>
  </si>
  <si>
    <t>Saldus Novads</t>
  </si>
  <si>
    <t>as:GENC:6:ed2:LV-088</t>
  </si>
  <si>
    <t>LV-089</t>
  </si>
  <si>
    <t>Saulkrastu Novads</t>
  </si>
  <si>
    <t>as:GENC:6:ed2:LV-089</t>
  </si>
  <si>
    <t>LV-090</t>
  </si>
  <si>
    <t>Sējas Novads</t>
  </si>
  <si>
    <t>as:GENC:6:ed2:LV-090</t>
  </si>
  <si>
    <t>LV-091</t>
  </si>
  <si>
    <t>Siguldas Novads</t>
  </si>
  <si>
    <t>as:GENC:6:ed2:LV-091</t>
  </si>
  <si>
    <t>LV-092</t>
  </si>
  <si>
    <t>Skrīveru Novads</t>
  </si>
  <si>
    <t>as:GENC:6:ed2:LV-092</t>
  </si>
  <si>
    <t>LV-093</t>
  </si>
  <si>
    <t>Skrundas Novads</t>
  </si>
  <si>
    <t>as:GENC:6:ed2:LV-093</t>
  </si>
  <si>
    <t>LV-094</t>
  </si>
  <si>
    <t>Smiltenes Novads</t>
  </si>
  <si>
    <t>as:GENC:6:ed2:LV-094</t>
  </si>
  <si>
    <t>LV-095</t>
  </si>
  <si>
    <t>Stopiņu Novads</t>
  </si>
  <si>
    <t>as:GENC:6:ed2:LV-095</t>
  </si>
  <si>
    <t>LV-096</t>
  </si>
  <si>
    <t>Strenču Novads</t>
  </si>
  <si>
    <t>as:GENC:6:ed2:LV-096</t>
  </si>
  <si>
    <t>LV-097</t>
  </si>
  <si>
    <t>Talsu Novads</t>
  </si>
  <si>
    <t>as:GENC:6:ed2:LV-097</t>
  </si>
  <si>
    <t>LV-098</t>
  </si>
  <si>
    <t>Tērvetes Novads</t>
  </si>
  <si>
    <t>as:GENC:6:ed2:LV-098</t>
  </si>
  <si>
    <t>LV-099</t>
  </si>
  <si>
    <t>Tukuma Novads</t>
  </si>
  <si>
    <t>as:GENC:6:ed2:LV-099</t>
  </si>
  <si>
    <t>LV-100</t>
  </si>
  <si>
    <t>Vaiņodes Novads</t>
  </si>
  <si>
    <t>as:GENC:6:ed2:LV-100</t>
  </si>
  <si>
    <t>LV-101</t>
  </si>
  <si>
    <t>Valkas Novads</t>
  </si>
  <si>
    <t>as:GENC:6:ed2:LV-101</t>
  </si>
  <si>
    <t>LV-VMR</t>
  </si>
  <si>
    <t>Valmiera</t>
  </si>
  <si>
    <t>as:GENC:6:ed2:LV-VMR</t>
  </si>
  <si>
    <t>LV-102</t>
  </si>
  <si>
    <t>Varakļānu Novads</t>
  </si>
  <si>
    <t>as:GENC:6:ed2:LV-102</t>
  </si>
  <si>
    <t>LV-103</t>
  </si>
  <si>
    <t>Vārkavas Novads</t>
  </si>
  <si>
    <t>as:GENC:6:ed2:LV-103</t>
  </si>
  <si>
    <t>LV-104</t>
  </si>
  <si>
    <t>Vecpiebalgas Novads</t>
  </si>
  <si>
    <t>as:GENC:6:ed2:LV-104</t>
  </si>
  <si>
    <t>LV-105</t>
  </si>
  <si>
    <t>Vecumnieku Novads</t>
  </si>
  <si>
    <t>as:GENC:6:ed2:LV-105</t>
  </si>
  <si>
    <t>LV-VEN</t>
  </si>
  <si>
    <t>Ventspils</t>
  </si>
  <si>
    <t>as:GENC:6:ed2:LV-VEN</t>
  </si>
  <si>
    <t>LV-106</t>
  </si>
  <si>
    <t>Ventspils Novads</t>
  </si>
  <si>
    <t>as:GENC:6:ed2:LV-106</t>
  </si>
  <si>
    <t>LV-107</t>
  </si>
  <si>
    <t>Viesītes Novads</t>
  </si>
  <si>
    <t>as:GENC:6:ed2:LV-107</t>
  </si>
  <si>
    <t>LV-108</t>
  </si>
  <si>
    <t>Viļakas Novads</t>
  </si>
  <si>
    <t>as:GENC:6:ed2:LV-108</t>
  </si>
  <si>
    <t>LV-109</t>
  </si>
  <si>
    <t>Viļānu Novads</t>
  </si>
  <si>
    <t>as:GENC:6:ed2:LV-109</t>
  </si>
  <si>
    <t>LV-110</t>
  </si>
  <si>
    <t>Zilupes Novads</t>
  </si>
  <si>
    <t>as:GENC:6:ed2:LV-110</t>
  </si>
  <si>
    <t>LB-AK</t>
  </si>
  <si>
    <t>Aakkâr</t>
  </si>
  <si>
    <t>as:GENC:6:ed2:LB-AK</t>
  </si>
  <si>
    <t>LB-BH</t>
  </si>
  <si>
    <t>Baalbek-Hermel</t>
  </si>
  <si>
    <t>as:GENC:6:ed2:LB-BH</t>
  </si>
  <si>
    <t>LB-BI</t>
  </si>
  <si>
    <t>Béqaa</t>
  </si>
  <si>
    <t>as:GENC:6:ed2:LB-BI</t>
  </si>
  <si>
    <t>LB-BA</t>
  </si>
  <si>
    <t>Beyrouth</t>
  </si>
  <si>
    <t>as:GENC:6:ed2:LB-BA</t>
  </si>
  <si>
    <t>LB-AS</t>
  </si>
  <si>
    <t>Liban-Nord</t>
  </si>
  <si>
    <t>as:GENC:6:ed2:LB-AS</t>
  </si>
  <si>
    <t>LB-JA</t>
  </si>
  <si>
    <t>Liban-Sud</t>
  </si>
  <si>
    <t>as:GENC:6:ed2:LB-JA</t>
  </si>
  <si>
    <t>LB-JL</t>
  </si>
  <si>
    <t>Mont-Liban</t>
  </si>
  <si>
    <t>as:GENC:6:ed2:LB-JL</t>
  </si>
  <si>
    <t>LB-NA</t>
  </si>
  <si>
    <t>Nabatîyé</t>
  </si>
  <si>
    <t>as:GENC:6:ed2:LB-NA</t>
  </si>
  <si>
    <t>LS-D</t>
  </si>
  <si>
    <t>Berea</t>
  </si>
  <si>
    <t>as:GENC:6:ed2:LS-D</t>
  </si>
  <si>
    <t>LS-B</t>
  </si>
  <si>
    <t>Butha-Buthe</t>
  </si>
  <si>
    <t>as:GENC:6:ed2:LS-B</t>
  </si>
  <si>
    <t>LS-C</t>
  </si>
  <si>
    <t>Leribe</t>
  </si>
  <si>
    <t>as:GENC:6:ed2:LS-C</t>
  </si>
  <si>
    <t>LS-E</t>
  </si>
  <si>
    <t>Mafeteng</t>
  </si>
  <si>
    <t>as:GENC:6:ed2:LS-E</t>
  </si>
  <si>
    <t>LS-A</t>
  </si>
  <si>
    <t>Maseru</t>
  </si>
  <si>
    <t>as:GENC:6:ed2:LS-A</t>
  </si>
  <si>
    <t>LS-F</t>
  </si>
  <si>
    <t>Mohale’s Hoek</t>
  </si>
  <si>
    <t>as:GENC:6:ed2:LS-F</t>
  </si>
  <si>
    <t>LS-J</t>
  </si>
  <si>
    <t>Mokhotlong</t>
  </si>
  <si>
    <t>as:GENC:6:ed2:LS-J</t>
  </si>
  <si>
    <t>LS-H</t>
  </si>
  <si>
    <t>Qacha’s Nek</t>
  </si>
  <si>
    <t>as:GENC:6:ed2:LS-H</t>
  </si>
  <si>
    <t>LS-G</t>
  </si>
  <si>
    <t>Quthing</t>
  </si>
  <si>
    <t>as:GENC:6:ed2:LS-G</t>
  </si>
  <si>
    <t>LS-K</t>
  </si>
  <si>
    <t>Thaba-Tseka</t>
  </si>
  <si>
    <t>as:GENC:6:ed2:LS-K</t>
  </si>
  <si>
    <t>LR-BM</t>
  </si>
  <si>
    <t>Bomi</t>
  </si>
  <si>
    <t>as:ISO2:6:ed3:LR-BM</t>
  </si>
  <si>
    <t>LR-BG</t>
  </si>
  <si>
    <t>Bong</t>
  </si>
  <si>
    <t>as:ISO2:6:ed3:LR-BG</t>
  </si>
  <si>
    <t>LR-GP</t>
  </si>
  <si>
    <t>Gbarpolu</t>
  </si>
  <si>
    <t>as:ISO2:6:ed3:LR-GP</t>
  </si>
  <si>
    <t>LR-GB</t>
  </si>
  <si>
    <t>Grand Bassa</t>
  </si>
  <si>
    <t>as:ISO2:6:ed3:LR-GB</t>
  </si>
  <si>
    <t>LR-CM</t>
  </si>
  <si>
    <t>Grand Cape Mount</t>
  </si>
  <si>
    <t>as:ISO2:6:ed3:LR-CM</t>
  </si>
  <si>
    <t>LR-GG</t>
  </si>
  <si>
    <t>Grand Gedeh</t>
  </si>
  <si>
    <t>as:ISO2:6:ed3:LR-GG</t>
  </si>
  <si>
    <t>LR-GK</t>
  </si>
  <si>
    <t>Grand Kru</t>
  </si>
  <si>
    <t>as:ISO2:6:ed3:LR-GK</t>
  </si>
  <si>
    <t>LR-LO</t>
  </si>
  <si>
    <t>Lofa</t>
  </si>
  <si>
    <t>as:ISO2:6:ed3:LR-LO</t>
  </si>
  <si>
    <t>LR-MG</t>
  </si>
  <si>
    <t>Margibi</t>
  </si>
  <si>
    <t>as:ISO2:6:ed3:LR-MG</t>
  </si>
  <si>
    <t>LR-MY</t>
  </si>
  <si>
    <t>Maryland</t>
  </si>
  <si>
    <t>as:ISO2:6:ed3:LR-MY</t>
  </si>
  <si>
    <t>LR-MO</t>
  </si>
  <si>
    <t>Montserrado</t>
  </si>
  <si>
    <t>as:ISO2:6:ed3:LR-MO</t>
  </si>
  <si>
    <t>LR-NI</t>
  </si>
  <si>
    <t>Nimba</t>
  </si>
  <si>
    <t>as:ISO2:6:ed3:LR-NI</t>
  </si>
  <si>
    <t>LR-RI</t>
  </si>
  <si>
    <t>River Cess</t>
  </si>
  <si>
    <t>as:GENC:6:ed2:LR-RI</t>
  </si>
  <si>
    <t>LR-RG</t>
  </si>
  <si>
    <t>River Gee</t>
  </si>
  <si>
    <t>as:ISO2:6:ed3:LR-RG</t>
  </si>
  <si>
    <t>LR-SI</t>
  </si>
  <si>
    <t>Sinoe</t>
  </si>
  <si>
    <t>as:ISO2:6:ed3:LR-SI</t>
  </si>
  <si>
    <t>LY-BU</t>
  </si>
  <si>
    <t>Al Buţnān</t>
  </si>
  <si>
    <t>popularate</t>
  </si>
  <si>
    <t>as:ISO2:6:ed3:LY-BU</t>
  </si>
  <si>
    <t>LY-JA</t>
  </si>
  <si>
    <t>Al Jabal al Akhḑar</t>
  </si>
  <si>
    <t>as:ISO2:6:ed3:LY-JA</t>
  </si>
  <si>
    <t>LY-JG</t>
  </si>
  <si>
    <t>Al Jabal al Gharbī</t>
  </si>
  <si>
    <t>as:ISO2:6:ed3:LY-JG</t>
  </si>
  <si>
    <t>LY-JI</t>
  </si>
  <si>
    <t>Al Jafārah</t>
  </si>
  <si>
    <t>as:GENC:6:ed2:LY-JI</t>
  </si>
  <si>
    <t>LY-JU</t>
  </si>
  <si>
    <t>Al Jufrah</t>
  </si>
  <si>
    <t>as:ISO2:6:ed3:LY-JU</t>
  </si>
  <si>
    <t>LY-KF</t>
  </si>
  <si>
    <t>Al Kufrah</t>
  </si>
  <si>
    <t>as:ISO2:6:ed3:LY-KF</t>
  </si>
  <si>
    <t>LY-MJ</t>
  </si>
  <si>
    <t>Al Marj</t>
  </si>
  <si>
    <t>as:ISO2:6:ed3:LY-MJ</t>
  </si>
  <si>
    <t>LY-MB</t>
  </si>
  <si>
    <t>Al Marqab</t>
  </si>
  <si>
    <t>as:ISO2:6:ed3:LY-MB</t>
  </si>
  <si>
    <t>LY-WA</t>
  </si>
  <si>
    <t>Al Wāḩāt</t>
  </si>
  <si>
    <t>as:GENC:6:ed2:LY-WA</t>
  </si>
  <si>
    <t>LY-NQ</t>
  </si>
  <si>
    <t>An Nuqāţ al Khams</t>
  </si>
  <si>
    <t>as:ISO2:6:ed3:LY-NQ</t>
  </si>
  <si>
    <t>LY-ZA</t>
  </si>
  <si>
    <t>Az Zāwiyah</t>
  </si>
  <si>
    <t>as:ISO2:6:ed3:LY-ZA</t>
  </si>
  <si>
    <t>LY-BA</t>
  </si>
  <si>
    <t>Banghāzī</t>
  </si>
  <si>
    <t>as:ISO2:6:ed3:LY-BA</t>
  </si>
  <si>
    <t>LY-DR</t>
  </si>
  <si>
    <t>Darnah</t>
  </si>
  <si>
    <t>as:ISO2:6:ed3:LY-DR</t>
  </si>
  <si>
    <t>LY-GT</t>
  </si>
  <si>
    <t>Ghāt</t>
  </si>
  <si>
    <t>as:ISO2:6:ed3:LY-GT</t>
  </si>
  <si>
    <t>LY-MI</t>
  </si>
  <si>
    <t>Mişrātah</t>
  </si>
  <si>
    <t>as:ISO2:6:ed3:LY-MI</t>
  </si>
  <si>
    <t>LY-MQ</t>
  </si>
  <si>
    <t>Murzuq</t>
  </si>
  <si>
    <t>as:ISO2:6:ed3:LY-MQ</t>
  </si>
  <si>
    <t>LY-NL</t>
  </si>
  <si>
    <t>Nālūt</t>
  </si>
  <si>
    <t>as:ISO2:6:ed3:LY-NL</t>
  </si>
  <si>
    <t>LY-SB</t>
  </si>
  <si>
    <t>Sabhā</t>
  </si>
  <si>
    <t>as:ISO2:6:ed3:LY-SB</t>
  </si>
  <si>
    <t>LY-SR</t>
  </si>
  <si>
    <t>Surt</t>
  </si>
  <si>
    <t>as:ISO2:6:ed3:LY-SR</t>
  </si>
  <si>
    <t>LY-TB</t>
  </si>
  <si>
    <t>Ţarābulus</t>
  </si>
  <si>
    <t>as:ISO2:6:ed3:LY-TB</t>
  </si>
  <si>
    <t>LY-WD</t>
  </si>
  <si>
    <t>Wādī al Ḩayāt</t>
  </si>
  <si>
    <t>as:ISO2:6:ed3:LY-WD</t>
  </si>
  <si>
    <t>LY-WS</t>
  </si>
  <si>
    <t>Wādī ash Shāţi’</t>
  </si>
  <si>
    <t>as:ISO2:6:ed3:LY-WS</t>
  </si>
  <si>
    <t>LI-01</t>
  </si>
  <si>
    <t>Balzers</t>
  </si>
  <si>
    <t>as:GENC:6:ed2:LI-01</t>
  </si>
  <si>
    <t>LI-02</t>
  </si>
  <si>
    <t>Eschen</t>
  </si>
  <si>
    <t>as:GENC:6:ed2:LI-02</t>
  </si>
  <si>
    <t>LI-03</t>
  </si>
  <si>
    <t>Gamprin</t>
  </si>
  <si>
    <t>as:GENC:6:ed2:LI-03</t>
  </si>
  <si>
    <t>LI-04</t>
  </si>
  <si>
    <t>Mauren</t>
  </si>
  <si>
    <t>as:GENC:6:ed2:LI-04</t>
  </si>
  <si>
    <t>LI-05</t>
  </si>
  <si>
    <t>Planken</t>
  </si>
  <si>
    <t>as:GENC:6:ed2:LI-05</t>
  </si>
  <si>
    <t>LI-06</t>
  </si>
  <si>
    <t>Ruggell</t>
  </si>
  <si>
    <t>as:GENC:6:ed2:LI-06</t>
  </si>
  <si>
    <t>LI-07</t>
  </si>
  <si>
    <t>Schaan</t>
  </si>
  <si>
    <t>as:GENC:6:ed2:LI-07</t>
  </si>
  <si>
    <t>LI-08</t>
  </si>
  <si>
    <t>Schellenberg</t>
  </si>
  <si>
    <t>as:GENC:6:ed2:LI-08</t>
  </si>
  <si>
    <t>LI-09</t>
  </si>
  <si>
    <t>Triesen</t>
  </si>
  <si>
    <t>as:GENC:6:ed2:LI-09</t>
  </si>
  <si>
    <t>LI-10</t>
  </si>
  <si>
    <t>Triesenberg</t>
  </si>
  <si>
    <t>as:GENC:6:ed2:LI-10</t>
  </si>
  <si>
    <t>LI-11</t>
  </si>
  <si>
    <t>Vaduz</t>
  </si>
  <si>
    <t>as:GENC:6:ed2:LI-11</t>
  </si>
  <si>
    <t>LT-AL</t>
  </si>
  <si>
    <t>Alytaus Apskritis</t>
  </si>
  <si>
    <t>as:GENC:6:ed2:LT-AL</t>
  </si>
  <si>
    <t>LT-KU</t>
  </si>
  <si>
    <t>Kauno Apskritis</t>
  </si>
  <si>
    <t>as:GENC:6:ed2:LT-KU</t>
  </si>
  <si>
    <t>LT-KL</t>
  </si>
  <si>
    <t>Klaipėdos Apskritis</t>
  </si>
  <si>
    <t>as:GENC:6:ed2:LT-KL</t>
  </si>
  <si>
    <t>LT-MR</t>
  </si>
  <si>
    <t>Marijampolės Apskritis</t>
  </si>
  <si>
    <t>as:GENC:6:ed2:LT-MR</t>
  </si>
  <si>
    <t>LT-PN</t>
  </si>
  <si>
    <t>Panevėžio Apskritis</t>
  </si>
  <si>
    <t>as:GENC:6:ed2:LT-PN</t>
  </si>
  <si>
    <t>LT-SA</t>
  </si>
  <si>
    <t>Šiaulių Apskritis</t>
  </si>
  <si>
    <t>as:GENC:6:ed2:LT-SA</t>
  </si>
  <si>
    <t>LT-TA</t>
  </si>
  <si>
    <t>Tauragės Apskritis</t>
  </si>
  <si>
    <t>as:GENC:6:ed2:LT-TA</t>
  </si>
  <si>
    <t>LT-TE</t>
  </si>
  <si>
    <t>Telšių Apskritis</t>
  </si>
  <si>
    <t>as:GENC:6:ed2:LT-TE</t>
  </si>
  <si>
    <t>LT-UT</t>
  </si>
  <si>
    <t>Utenos Apskritis</t>
  </si>
  <si>
    <t>as:GENC:6:ed2:LT-UT</t>
  </si>
  <si>
    <t>LT-VL</t>
  </si>
  <si>
    <t>Vilniaus Apskritis</t>
  </si>
  <si>
    <t>as:GENC:6:ed2:LT-VL</t>
  </si>
  <si>
    <t>LU-D</t>
  </si>
  <si>
    <t>Diekirch</t>
  </si>
  <si>
    <t>as:GENC:6:ed2:LU-D</t>
  </si>
  <si>
    <t>LU-G</t>
  </si>
  <si>
    <t>Grevenmacher</t>
  </si>
  <si>
    <t>as:GENC:6:ed2:LU-G</t>
  </si>
  <si>
    <t>LU-L</t>
  </si>
  <si>
    <t>as:GENC:6:ed2:LU-L</t>
  </si>
  <si>
    <t>MK-01</t>
  </si>
  <si>
    <t>Aerodrom</t>
  </si>
  <si>
    <t>as:GENC:6:ed2:MK-01</t>
  </si>
  <si>
    <t>MK-02</t>
  </si>
  <si>
    <t>Aračinovo</t>
  </si>
  <si>
    <t>as:ISO2:6:ed3:MK-02</t>
  </si>
  <si>
    <t>MK-03</t>
  </si>
  <si>
    <t>Berovo</t>
  </si>
  <si>
    <t>as:ISO2:6:ed3:MK-03</t>
  </si>
  <si>
    <t>MK-04</t>
  </si>
  <si>
    <t>Bitola</t>
  </si>
  <si>
    <t>as:ISO2:6:ed3:MK-04</t>
  </si>
  <si>
    <t>MK-05</t>
  </si>
  <si>
    <t>Bogdanci</t>
  </si>
  <si>
    <t>as:ISO2:6:ed3:MK-05</t>
  </si>
  <si>
    <t>MK-06</t>
  </si>
  <si>
    <t>Bogovinje</t>
  </si>
  <si>
    <t>as:ISO2:6:ed3:MK-06</t>
  </si>
  <si>
    <t>MK-07</t>
  </si>
  <si>
    <t>Bosilovo</t>
  </si>
  <si>
    <t>as:ISO2:6:ed3:MK-07</t>
  </si>
  <si>
    <t>MK-08</t>
  </si>
  <si>
    <t>Brvenica</t>
  </si>
  <si>
    <t>as:ISO2:6:ed3:MK-08</t>
  </si>
  <si>
    <t>MK-09</t>
  </si>
  <si>
    <t>Butel</t>
  </si>
  <si>
    <t>as:GENC:6:ed2:MK-09</t>
  </si>
  <si>
    <t>MK-79</t>
  </si>
  <si>
    <t>Čair</t>
  </si>
  <si>
    <t>as:GENC:6:ed2:MK-79</t>
  </si>
  <si>
    <t>MK-80</t>
  </si>
  <si>
    <t>Čaška</t>
  </si>
  <si>
    <t>as:ISO2:6:ed3:MK-80</t>
  </si>
  <si>
    <t>MK-77</t>
  </si>
  <si>
    <t>Centar</t>
  </si>
  <si>
    <t>as:GENC:6:ed2:MK-77</t>
  </si>
  <si>
    <t>MK-78</t>
  </si>
  <si>
    <t>Centar Župa</t>
  </si>
  <si>
    <t>as:ISO2:6:ed3:MK-78</t>
  </si>
  <si>
    <t>MK-81</t>
  </si>
  <si>
    <t>Češinovo-Obleševo</t>
  </si>
  <si>
    <t>as:ISO2:6:ed3:MK-81</t>
  </si>
  <si>
    <t>MK-82</t>
  </si>
  <si>
    <t>Čučer-Sandevo</t>
  </si>
  <si>
    <t>as:GENC:6:ed2:MK-82</t>
  </si>
  <si>
    <t>MK-21</t>
  </si>
  <si>
    <t>Debar</t>
  </si>
  <si>
    <t>as:ISO2:6:ed3:MK-21</t>
  </si>
  <si>
    <t>MK-22</t>
  </si>
  <si>
    <t>Debarca</t>
  </si>
  <si>
    <t>as:ISO2:6:ed3:MK-22</t>
  </si>
  <si>
    <t>MK-23</t>
  </si>
  <si>
    <t>Delčevo</t>
  </si>
  <si>
    <t>as:ISO2:6:ed3:MK-23</t>
  </si>
  <si>
    <t>MK-25</t>
  </si>
  <si>
    <t>Demir Hisar</t>
  </si>
  <si>
    <t>as:ISO2:6:ed3:MK-25</t>
  </si>
  <si>
    <t>MK-24</t>
  </si>
  <si>
    <t>Demir Kapija</t>
  </si>
  <si>
    <t>as:ISO2:6:ed3:MK-24</t>
  </si>
  <si>
    <t>MK-26</t>
  </si>
  <si>
    <t>Dojran</t>
  </si>
  <si>
    <t>as:ISO2:6:ed3:MK-26</t>
  </si>
  <si>
    <t>MK-27</t>
  </si>
  <si>
    <t>Dolneni</t>
  </si>
  <si>
    <t>as:ISO2:6:ed3:MK-27</t>
  </si>
  <si>
    <t>MK-28</t>
  </si>
  <si>
    <t>Drugovo</t>
  </si>
  <si>
    <t>as:GENC:6:ed2:MK-28</t>
  </si>
  <si>
    <t>MK-17</t>
  </si>
  <si>
    <t>Gazi Baba</t>
  </si>
  <si>
    <t>as:GENC:6:ed2:MK-17</t>
  </si>
  <si>
    <t>MK-18</t>
  </si>
  <si>
    <t>Gevgelija</t>
  </si>
  <si>
    <t>as:ISO2:6:ed3:MK-18</t>
  </si>
  <si>
    <t>MK-29</t>
  </si>
  <si>
    <t>Gjorče Petrov</t>
  </si>
  <si>
    <t>as:GENC:6:ed2:MK-29</t>
  </si>
  <si>
    <t>MK-19</t>
  </si>
  <si>
    <t>Gostivar</t>
  </si>
  <si>
    <t>as:ISO2:6:ed3:MK-19</t>
  </si>
  <si>
    <t>MK-20</t>
  </si>
  <si>
    <t>Gradsko</t>
  </si>
  <si>
    <t>as:ISO2:6:ed3:MK-20</t>
  </si>
  <si>
    <t>MK-34</t>
  </si>
  <si>
    <t>Ilinden</t>
  </si>
  <si>
    <t>as:ISO2:6:ed3:MK-34</t>
  </si>
  <si>
    <t>MK-35</t>
  </si>
  <si>
    <t>Jegunovce</t>
  </si>
  <si>
    <t>as:ISO2:6:ed3:MK-35</t>
  </si>
  <si>
    <t>MK-37</t>
  </si>
  <si>
    <t>Karbinci</t>
  </si>
  <si>
    <t>as:ISO2:6:ed3:MK-37</t>
  </si>
  <si>
    <t>MK-38</t>
  </si>
  <si>
    <t>Karpoš</t>
  </si>
  <si>
    <t>as:GENC:6:ed2:MK-38</t>
  </si>
  <si>
    <t>MK-36</t>
  </si>
  <si>
    <t>Kavadarci</t>
  </si>
  <si>
    <t>as:ISO2:6:ed3:MK-36</t>
  </si>
  <si>
    <t>MK-40</t>
  </si>
  <si>
    <t>Kičevo</t>
  </si>
  <si>
    <t>as:ISO2:6:ed3:MK-40</t>
  </si>
  <si>
    <t>MK-39</t>
  </si>
  <si>
    <t>Kisela Voda</t>
  </si>
  <si>
    <t>as:GENC:6:ed2:MK-39</t>
  </si>
  <si>
    <t>MK-42</t>
  </si>
  <si>
    <t>Kočani</t>
  </si>
  <si>
    <t>as:ISO2:6:ed3:MK-42</t>
  </si>
  <si>
    <t>MK-41</t>
  </si>
  <si>
    <t>Konče</t>
  </si>
  <si>
    <t>as:ISO2:6:ed3:MK-41</t>
  </si>
  <si>
    <t>MK-43</t>
  </si>
  <si>
    <t>Kratovo</t>
  </si>
  <si>
    <t>as:ISO2:6:ed3:MK-43</t>
  </si>
  <si>
    <t>MK-44</t>
  </si>
  <si>
    <t>Kriva Palanka</t>
  </si>
  <si>
    <t>as:ISO2:6:ed3:MK-44</t>
  </si>
  <si>
    <t>MK-45</t>
  </si>
  <si>
    <t>Krivogaštani</t>
  </si>
  <si>
    <t>as:ISO2:6:ed3:MK-45</t>
  </si>
  <si>
    <t>MK-46</t>
  </si>
  <si>
    <t>Kruševo</t>
  </si>
  <si>
    <t>as:ISO2:6:ed3:MK-46</t>
  </si>
  <si>
    <t>MK-47</t>
  </si>
  <si>
    <t>Kumanovo</t>
  </si>
  <si>
    <t>as:ISO2:6:ed3:MK-47</t>
  </si>
  <si>
    <t>MK-48</t>
  </si>
  <si>
    <t>Lipkovo</t>
  </si>
  <si>
    <t>as:ISO2:6:ed3:MK-48</t>
  </si>
  <si>
    <t>MK-49</t>
  </si>
  <si>
    <t>Lozovo</t>
  </si>
  <si>
    <t>as:ISO2:6:ed3:MK-49</t>
  </si>
  <si>
    <t>MK-51</t>
  </si>
  <si>
    <t>Makedonska Kamenica</t>
  </si>
  <si>
    <t>as:ISO2:6:ed3:MK-51</t>
  </si>
  <si>
    <t>MK-52</t>
  </si>
  <si>
    <t>Makedonski Brod</t>
  </si>
  <si>
    <t>as:ISO2:6:ed3:MK-52</t>
  </si>
  <si>
    <t>MK-50</t>
  </si>
  <si>
    <t>Mavrovo i Rostuša</t>
  </si>
  <si>
    <t>as:GENC:6:ed2:MK-50</t>
  </si>
  <si>
    <t>MK-53</t>
  </si>
  <si>
    <t>Mogila</t>
  </si>
  <si>
    <t>as:ISO2:6:ed3:MK-53</t>
  </si>
  <si>
    <t>MK-54</t>
  </si>
  <si>
    <t>Negotino</t>
  </si>
  <si>
    <t>as:ISO2:6:ed3:MK-54</t>
  </si>
  <si>
    <t>MK-55</t>
  </si>
  <si>
    <t>Novaci</t>
  </si>
  <si>
    <t>as:ISO2:6:ed3:MK-55</t>
  </si>
  <si>
    <t>MK-56</t>
  </si>
  <si>
    <t>Novo Selo</t>
  </si>
  <si>
    <t>as:ISO2:6:ed3:MK-56</t>
  </si>
  <si>
    <t>MK-58</t>
  </si>
  <si>
    <t>Ohrid</t>
  </si>
  <si>
    <t>as:ISO2:6:ed3:MK-58</t>
  </si>
  <si>
    <t>MK-57</t>
  </si>
  <si>
    <t>Oslomej</t>
  </si>
  <si>
    <t>as:GENC:6:ed2:MK-57</t>
  </si>
  <si>
    <t>MK-60</t>
  </si>
  <si>
    <t>Pehčevo</t>
  </si>
  <si>
    <t>as:ISO2:6:ed3:MK-60</t>
  </si>
  <si>
    <t>MK-59</t>
  </si>
  <si>
    <t>Petrovec</t>
  </si>
  <si>
    <t>as:ISO2:6:ed3:MK-59</t>
  </si>
  <si>
    <t>MK-61</t>
  </si>
  <si>
    <t>Plasnica</t>
  </si>
  <si>
    <t>as:ISO2:6:ed3:MK-61</t>
  </si>
  <si>
    <t>MK-62</t>
  </si>
  <si>
    <t>Prilep</t>
  </si>
  <si>
    <t>as:ISO2:6:ed3:MK-62</t>
  </si>
  <si>
    <t>MK-63</t>
  </si>
  <si>
    <t>Probištip</t>
  </si>
  <si>
    <t>as:ISO2:6:ed3:MK-63</t>
  </si>
  <si>
    <t>MK-64</t>
  </si>
  <si>
    <t>Radoviš</t>
  </si>
  <si>
    <t>as:ISO2:6:ed3:MK-64</t>
  </si>
  <si>
    <t>MK-65</t>
  </si>
  <si>
    <t>Rankovce</t>
  </si>
  <si>
    <t>as:ISO2:6:ed3:MK-65</t>
  </si>
  <si>
    <t>MK-66</t>
  </si>
  <si>
    <t>Resen</t>
  </si>
  <si>
    <t>as:ISO2:6:ed3:MK-66</t>
  </si>
  <si>
    <t>MK-67</t>
  </si>
  <si>
    <t>Rosoman</t>
  </si>
  <si>
    <t>as:ISO2:6:ed3:MK-67</t>
  </si>
  <si>
    <t>MK-68</t>
  </si>
  <si>
    <t>Saraj</t>
  </si>
  <si>
    <t>as:GENC:6:ed2:MK-68</t>
  </si>
  <si>
    <t>MK-85</t>
  </si>
  <si>
    <t>Skopje</t>
  </si>
  <si>
    <t>as:GENC:6:ed2:MK-85</t>
  </si>
  <si>
    <t>MK-70</t>
  </si>
  <si>
    <t>Sopište</t>
  </si>
  <si>
    <t>as:ISO2:6:ed3:MK-70</t>
  </si>
  <si>
    <t>MK-71</t>
  </si>
  <si>
    <t>Staro Nagoričane</t>
  </si>
  <si>
    <t>as:ISO2:6:ed3:MK-71</t>
  </si>
  <si>
    <t>MK-83</t>
  </si>
  <si>
    <t>Štip</t>
  </si>
  <si>
    <t>as:ISO2:6:ed3:MK-83</t>
  </si>
  <si>
    <t>MK-72</t>
  </si>
  <si>
    <t>Struga</t>
  </si>
  <si>
    <t>as:ISO2:6:ed3:MK-72</t>
  </si>
  <si>
    <t>MK-73</t>
  </si>
  <si>
    <t>Strumica</t>
  </si>
  <si>
    <t>as:ISO2:6:ed3:MK-73</t>
  </si>
  <si>
    <t>MK-74</t>
  </si>
  <si>
    <t>Studeničani</t>
  </si>
  <si>
    <t>as:ISO2:6:ed3:MK-74</t>
  </si>
  <si>
    <t>MK-84</t>
  </si>
  <si>
    <t>Šuto Orizari</t>
  </si>
  <si>
    <t>as:GENC:6:ed2:MK-84</t>
  </si>
  <si>
    <t>MK-69</t>
  </si>
  <si>
    <t>Sveti Nikole</t>
  </si>
  <si>
    <t>as:ISO2:6:ed3:MK-69</t>
  </si>
  <si>
    <t>MK-75</t>
  </si>
  <si>
    <t>Tearce</t>
  </si>
  <si>
    <t>as:ISO2:6:ed3:MK-75</t>
  </si>
  <si>
    <t>MK-76</t>
  </si>
  <si>
    <t>Tetovo</t>
  </si>
  <si>
    <t>as:ISO2:6:ed3:MK-76</t>
  </si>
  <si>
    <t>MK-10</t>
  </si>
  <si>
    <t>Valandovo</t>
  </si>
  <si>
    <t>as:ISO2:6:ed3:MK-10</t>
  </si>
  <si>
    <t>MK-11</t>
  </si>
  <si>
    <t>Vasilevo</t>
  </si>
  <si>
    <t>as:ISO2:6:ed3:MK-11</t>
  </si>
  <si>
    <t>MK-13</t>
  </si>
  <si>
    <t>Veles</t>
  </si>
  <si>
    <t>as:ISO2:6:ed3:MK-13</t>
  </si>
  <si>
    <t>MK-12</t>
  </si>
  <si>
    <t>Vevčani</t>
  </si>
  <si>
    <t>as:ISO2:6:ed3:MK-12</t>
  </si>
  <si>
    <t>MK-14</t>
  </si>
  <si>
    <t>Vinica</t>
  </si>
  <si>
    <t>as:ISO2:6:ed3:MK-14</t>
  </si>
  <si>
    <t>MK-15</t>
  </si>
  <si>
    <t>Vraneštica</t>
  </si>
  <si>
    <t>as:GENC:6:ed2:MK-15</t>
  </si>
  <si>
    <t>MK-16</t>
  </si>
  <si>
    <t>Vrapčište</t>
  </si>
  <si>
    <t>as:ISO2:6:ed3:MK-16</t>
  </si>
  <si>
    <t>MK-31</t>
  </si>
  <si>
    <t>Zajas</t>
  </si>
  <si>
    <t>as:GENC:6:ed2:MK-31</t>
  </si>
  <si>
    <t>MK-32</t>
  </si>
  <si>
    <t>Zelenikovo</t>
  </si>
  <si>
    <t>as:ISO2:6:ed3:MK-32</t>
  </si>
  <si>
    <t>MK-30</t>
  </si>
  <si>
    <t>Želino</t>
  </si>
  <si>
    <t>as:ISO2:6:ed3:MK-30</t>
  </si>
  <si>
    <t>MK-33</t>
  </si>
  <si>
    <t>Zrnovci</t>
  </si>
  <si>
    <t>as:ISO2:6:ed3:MK-33</t>
  </si>
  <si>
    <t>MG-T</t>
  </si>
  <si>
    <t>Antananarivo</t>
  </si>
  <si>
    <t>as:GENC:6:ed2:MG-T</t>
  </si>
  <si>
    <t>MG-D</t>
  </si>
  <si>
    <t>Antsiranana</t>
  </si>
  <si>
    <t>as:GENC:6:ed2:MG-D</t>
  </si>
  <si>
    <t>MG-F</t>
  </si>
  <si>
    <t>Fianarantsoa</t>
  </si>
  <si>
    <t>as:GENC:6:ed2:MG-F</t>
  </si>
  <si>
    <t>MG-M</t>
  </si>
  <si>
    <t>Mahajanga</t>
  </si>
  <si>
    <t>as:GENC:6:ed2:MG-M</t>
  </si>
  <si>
    <t>MG-A</t>
  </si>
  <si>
    <t>Toamasina</t>
  </si>
  <si>
    <t>as:GENC:6:ed2:MG-A</t>
  </si>
  <si>
    <t>MG-U</t>
  </si>
  <si>
    <t>Toliara</t>
  </si>
  <si>
    <t>as:GENC:6:ed2:MG-U</t>
  </si>
  <si>
    <t>MW-BA</t>
  </si>
  <si>
    <t>Balaka</t>
  </si>
  <si>
    <t>as:GENC:6:ed2:MW-BA</t>
  </si>
  <si>
    <t>MW-BL</t>
  </si>
  <si>
    <t>Blantyre</t>
  </si>
  <si>
    <t>as:GENC:6:ed2:MW-BL</t>
  </si>
  <si>
    <t>MW-C</t>
  </si>
  <si>
    <t>Central Region</t>
  </si>
  <si>
    <t>as:GENC:6:ed2:MW-C</t>
  </si>
  <si>
    <t>MW-CK</t>
  </si>
  <si>
    <t>Chikwawa</t>
  </si>
  <si>
    <t>as:GENC:6:ed2:MW-CK</t>
  </si>
  <si>
    <t>MW-CR</t>
  </si>
  <si>
    <t>Chiradzulu</t>
  </si>
  <si>
    <t>as:GENC:6:ed2:MW-CR</t>
  </si>
  <si>
    <t>MW-CT</t>
  </si>
  <si>
    <t>Chitipa</t>
  </si>
  <si>
    <t>as:GENC:6:ed2:MW-CT</t>
  </si>
  <si>
    <t>MW-DE</t>
  </si>
  <si>
    <t>Dedza</t>
  </si>
  <si>
    <t>as:GENC:6:ed2:MW-DE</t>
  </si>
  <si>
    <t>MW-DO</t>
  </si>
  <si>
    <t>Dowa</t>
  </si>
  <si>
    <t>as:GENC:6:ed2:MW-DO</t>
  </si>
  <si>
    <t>MW-KR</t>
  </si>
  <si>
    <t>Karonga</t>
  </si>
  <si>
    <t>as:GENC:6:ed2:MW-KR</t>
  </si>
  <si>
    <t>MW-KS</t>
  </si>
  <si>
    <t>Kasungu</t>
  </si>
  <si>
    <t>as:GENC:6:ed2:MW-KS</t>
  </si>
  <si>
    <t>MW-LK</t>
  </si>
  <si>
    <t>Likoma</t>
  </si>
  <si>
    <t>as:GENC:6:ed2:MW-LK</t>
  </si>
  <si>
    <t>MW-LI</t>
  </si>
  <si>
    <t>Lilongwe</t>
  </si>
  <si>
    <t>as:GENC:6:ed2:MW-LI</t>
  </si>
  <si>
    <t>MW-MH</t>
  </si>
  <si>
    <t>Machinga</t>
  </si>
  <si>
    <t>as:GENC:6:ed2:MW-MH</t>
  </si>
  <si>
    <t>MW-MG</t>
  </si>
  <si>
    <t>Mangochi</t>
  </si>
  <si>
    <t>as:GENC:6:ed2:MW-MG</t>
  </si>
  <si>
    <t>MW-MC</t>
  </si>
  <si>
    <t>Mchinji</t>
  </si>
  <si>
    <t>as:GENC:6:ed2:MW-MC</t>
  </si>
  <si>
    <t>MW-MU</t>
  </si>
  <si>
    <t>Mulanje</t>
  </si>
  <si>
    <t>as:GENC:6:ed2:MW-MU</t>
  </si>
  <si>
    <t>MW-MW</t>
  </si>
  <si>
    <t>Mwanza</t>
  </si>
  <si>
    <t>as:GENC:6:ed2:MW-MW</t>
  </si>
  <si>
    <t>MW-MZ</t>
  </si>
  <si>
    <t>Mzimba</t>
  </si>
  <si>
    <t>as:GENC:6:ed2:MW-MZ</t>
  </si>
  <si>
    <t>MW-NE</t>
  </si>
  <si>
    <t>Neno</t>
  </si>
  <si>
    <t>as:GENC:6:ed2:MW-NE</t>
  </si>
  <si>
    <t>MW-NB</t>
  </si>
  <si>
    <t>Nkhata Bay</t>
  </si>
  <si>
    <t>as:GENC:6:ed2:MW-NB</t>
  </si>
  <si>
    <t>MW-NK</t>
  </si>
  <si>
    <t>Nkhotakota</t>
  </si>
  <si>
    <t>as:GENC:6:ed2:MW-NK</t>
  </si>
  <si>
    <t>MW-N</t>
  </si>
  <si>
    <t>Northern Region</t>
  </si>
  <si>
    <t>as:GENC:6:ed2:MW-N</t>
  </si>
  <si>
    <t>MW-NS</t>
  </si>
  <si>
    <t>Nsanje</t>
  </si>
  <si>
    <t>as:GENC:6:ed2:MW-NS</t>
  </si>
  <si>
    <t>MW-NU</t>
  </si>
  <si>
    <t>Ntcheu</t>
  </si>
  <si>
    <t>as:GENC:6:ed2:MW-NU</t>
  </si>
  <si>
    <t>MW-NI</t>
  </si>
  <si>
    <t>Ntchisi</t>
  </si>
  <si>
    <t>as:GENC:6:ed2:MW-NI</t>
  </si>
  <si>
    <t>MW-PH</t>
  </si>
  <si>
    <t>Phalombe</t>
  </si>
  <si>
    <t>as:GENC:6:ed2:MW-PH</t>
  </si>
  <si>
    <t>MW-RU</t>
  </si>
  <si>
    <t>Rumphi</t>
  </si>
  <si>
    <t>as:GENC:6:ed2:MW-RU</t>
  </si>
  <si>
    <t>MW-SA</t>
  </si>
  <si>
    <t>Salima</t>
  </si>
  <si>
    <t>as:GENC:6:ed2:MW-SA</t>
  </si>
  <si>
    <t>MW-S</t>
  </si>
  <si>
    <t>Southern Region</t>
  </si>
  <si>
    <t>as:GENC:6:ed2:MW-S</t>
  </si>
  <si>
    <t>MW-TH</t>
  </si>
  <si>
    <t>Thyolo</t>
  </si>
  <si>
    <t>as:GENC:6:ed2:MW-TH</t>
  </si>
  <si>
    <t>MW-ZO</t>
  </si>
  <si>
    <t>Zomba</t>
  </si>
  <si>
    <t>as:GENC:6:ed2:MW-ZO</t>
  </si>
  <si>
    <t>MY-01</t>
  </si>
  <si>
    <t>Johor</t>
  </si>
  <si>
    <t>as:ISO2:6:ed3:MY-01</t>
  </si>
  <si>
    <t>MY-02</t>
  </si>
  <si>
    <t>Kedah</t>
  </si>
  <si>
    <t>as:ISO2:6:ed3:MY-02</t>
  </si>
  <si>
    <t>MY-03</t>
  </si>
  <si>
    <t>Kelantan</t>
  </si>
  <si>
    <t>as:ISO2:6:ed3:MY-03</t>
  </si>
  <si>
    <t>MY-14</t>
  </si>
  <si>
    <t xml:space="preserve">Kuala Lumpur </t>
  </si>
  <si>
    <t>federal territory</t>
  </si>
  <si>
    <t>as:GENC:6:ed2:MY-14</t>
  </si>
  <si>
    <t>MY-15</t>
  </si>
  <si>
    <t>Labuan</t>
  </si>
  <si>
    <t>as:GENC:6:ed2:MY-15</t>
  </si>
  <si>
    <t>MY-04</t>
  </si>
  <si>
    <t>Melaka</t>
  </si>
  <si>
    <t>as:ISO2:6:ed3:MY-04</t>
  </si>
  <si>
    <t>MY-05</t>
  </si>
  <si>
    <t>Negeri Sembilan</t>
  </si>
  <si>
    <t>as:ISO2:6:ed3:MY-05</t>
  </si>
  <si>
    <t>MY-06</t>
  </si>
  <si>
    <t>Pahang</t>
  </si>
  <si>
    <t>as:ISO2:6:ed3:MY-06</t>
  </si>
  <si>
    <t>MY-08</t>
  </si>
  <si>
    <t>Perak</t>
  </si>
  <si>
    <t>as:ISO2:6:ed3:MY-08</t>
  </si>
  <si>
    <t>MY-09</t>
  </si>
  <si>
    <t>Perlis</t>
  </si>
  <si>
    <t>as:ISO2:6:ed3:MY-09</t>
  </si>
  <si>
    <t>MY-07</t>
  </si>
  <si>
    <t>Pulau Pinang</t>
  </si>
  <si>
    <t>as:ISO2:6:ed3:MY-07</t>
  </si>
  <si>
    <t>MY-16</t>
  </si>
  <si>
    <t>Putrajaya</t>
  </si>
  <si>
    <t>as:GENC:6:ed2:MY-16</t>
  </si>
  <si>
    <t>MY-12</t>
  </si>
  <si>
    <t>Sabah</t>
  </si>
  <si>
    <t>as:ISO2:6:ed3:MY-12</t>
  </si>
  <si>
    <t>MY-13</t>
  </si>
  <si>
    <t>Sarawak</t>
  </si>
  <si>
    <t>as:ISO2:6:ed3:MY-13</t>
  </si>
  <si>
    <t>MY-10</t>
  </si>
  <si>
    <t>Selangor</t>
  </si>
  <si>
    <t>as:ISO2:6:ed3:MY-10</t>
  </si>
  <si>
    <t>MY-11</t>
  </si>
  <si>
    <t>Terengganu</t>
  </si>
  <si>
    <t>as:ISO2:6:ed3:MY-11</t>
  </si>
  <si>
    <t>MV-01</t>
  </si>
  <si>
    <t>Addu Atholhu</t>
  </si>
  <si>
    <t>administrative atoll</t>
  </si>
  <si>
    <t>as:GENC:6:ed2:MV-01</t>
  </si>
  <si>
    <t>MV-00</t>
  </si>
  <si>
    <t>Ari Atholhu Dhekunuburi</t>
  </si>
  <si>
    <t>as:GENC:6:ed2:MV-00</t>
  </si>
  <si>
    <t>MV-02</t>
  </si>
  <si>
    <t>Ari Atholhu Uthuruburi</t>
  </si>
  <si>
    <t>as:GENC:6:ed2:MV-02</t>
  </si>
  <si>
    <t>MV-SU</t>
  </si>
  <si>
    <t>Dhekunu</t>
  </si>
  <si>
    <t>as:GENC:6:ed2:MV-SU</t>
  </si>
  <si>
    <t>MV-03</t>
  </si>
  <si>
    <t>Faadhippolhu</t>
  </si>
  <si>
    <t>as:GENC:6:ed2:MV-03</t>
  </si>
  <si>
    <t>MV-04</t>
  </si>
  <si>
    <t>Felidhu Atholhu</t>
  </si>
  <si>
    <t>as:GENC:6:ed2:MV-04</t>
  </si>
  <si>
    <t>MV-29</t>
  </si>
  <si>
    <t>Fuvammulah</t>
  </si>
  <si>
    <t>as:GENC:6:ed2:MV-29</t>
  </si>
  <si>
    <t>MV-05</t>
  </si>
  <si>
    <t>Hadhdhunmathi</t>
  </si>
  <si>
    <t>as:GENC:6:ed2:MV-05</t>
  </si>
  <si>
    <t>MV-28</t>
  </si>
  <si>
    <t>Huvadhu Atholhu Dhekunuburi</t>
  </si>
  <si>
    <t>as:GENC:6:ed2:MV-28</t>
  </si>
  <si>
    <t>MV-27</t>
  </si>
  <si>
    <t>Huvadhu Atholhu Uthuruburi</t>
  </si>
  <si>
    <t>as:GENC:6:ed2:MV-27</t>
  </si>
  <si>
    <t>MV-08</t>
  </si>
  <si>
    <t>Kolhumadulu</t>
  </si>
  <si>
    <t>as:GENC:6:ed2:MV-08</t>
  </si>
  <si>
    <t>MV-MLE</t>
  </si>
  <si>
    <t>Maale</t>
  </si>
  <si>
    <t>as:GENC:6:ed2:MV-MLE</t>
  </si>
  <si>
    <t>MV-26</t>
  </si>
  <si>
    <t>Maale Atholhu</t>
  </si>
  <si>
    <t>as:GENC:6:ed2:MV-26</t>
  </si>
  <si>
    <t>MV-20</t>
  </si>
  <si>
    <t>Maalhosmadulu Dhekunuburi</t>
  </si>
  <si>
    <t>as:GENC:6:ed2:MV-20</t>
  </si>
  <si>
    <t>MV-13</t>
  </si>
  <si>
    <t>Maalhosmadulu Uthuruburi</t>
  </si>
  <si>
    <t>as:GENC:6:ed2:MV-13</t>
  </si>
  <si>
    <t>MV-US</t>
  </si>
  <si>
    <t>Mathi Dhekunu</t>
  </si>
  <si>
    <t>as:GENC:6:ed2:MV-US</t>
  </si>
  <si>
    <t>MV-UN</t>
  </si>
  <si>
    <t>Mathi Uthuru</t>
  </si>
  <si>
    <t>as:GENC:6:ed2:MV-UN</t>
  </si>
  <si>
    <t>MV-CE</t>
  </si>
  <si>
    <t>Medhu</t>
  </si>
  <si>
    <t>as:GENC:6:ed2:MV-CE</t>
  </si>
  <si>
    <t>MV-SC</t>
  </si>
  <si>
    <t>Medhu Dhekunu</t>
  </si>
  <si>
    <t>as:GENC:6:ed2:MV-SC</t>
  </si>
  <si>
    <t>MV-NC</t>
  </si>
  <si>
    <t>Medhu Uthuru</t>
  </si>
  <si>
    <t>as:GENC:6:ed2:MV-NC</t>
  </si>
  <si>
    <t>MV-25</t>
  </si>
  <si>
    <t>Miladhunmadulu Dhekunuburi</t>
  </si>
  <si>
    <t>as:GENC:6:ed2:MV-25</t>
  </si>
  <si>
    <t>MV-24</t>
  </si>
  <si>
    <t>Miladhunmadulu Uthuruburi</t>
  </si>
  <si>
    <t>as:GENC:6:ed2:MV-24</t>
  </si>
  <si>
    <t>MV-12</t>
  </si>
  <si>
    <t>Mulakatholhu</t>
  </si>
  <si>
    <t>as:GENC:6:ed2:MV-12</t>
  </si>
  <si>
    <t>MV-17</t>
  </si>
  <si>
    <t>Nilandhe Atholhu Dhekunuburi</t>
  </si>
  <si>
    <t>as:GENC:6:ed2:MV-17</t>
  </si>
  <si>
    <t>MV-14</t>
  </si>
  <si>
    <t>Nilandhe Atholhu Uthuruburi</t>
  </si>
  <si>
    <t>as:GENC:6:ed2:MV-14</t>
  </si>
  <si>
    <t>MV-23</t>
  </si>
  <si>
    <t>Thiladhunmathee Dhekunuburi</t>
  </si>
  <si>
    <t>as:GENC:6:ed2:MV-23</t>
  </si>
  <si>
    <t>MV-07</t>
  </si>
  <si>
    <t>Thiladhunmathee Uthuruburi</t>
  </si>
  <si>
    <t>as:GENC:6:ed2:MV-07</t>
  </si>
  <si>
    <t>MV-NO</t>
  </si>
  <si>
    <t>Uthuru</t>
  </si>
  <si>
    <t>as:GENC:6:ed2:MV-NO</t>
  </si>
  <si>
    <t>ML-BKO</t>
  </si>
  <si>
    <t>Bamako</t>
  </si>
  <si>
    <t>as:ISO2:6:ed3:ML-BKO</t>
  </si>
  <si>
    <t>ML-7</t>
  </si>
  <si>
    <t>Gao</t>
  </si>
  <si>
    <t>as:ISO2:6:ed3:ML-7</t>
  </si>
  <si>
    <t>ML-1</t>
  </si>
  <si>
    <t>Kayes</t>
  </si>
  <si>
    <t>as:ISO2:6:ed3:ML-1</t>
  </si>
  <si>
    <t>ML-8</t>
  </si>
  <si>
    <t>Kidal</t>
  </si>
  <si>
    <t>as:ISO2:6:ed3:ML-8</t>
  </si>
  <si>
    <t>ML-2</t>
  </si>
  <si>
    <t>Koulikoro</t>
  </si>
  <si>
    <t>as:ISO2:6:ed3:ML-2</t>
  </si>
  <si>
    <t>ML-5</t>
  </si>
  <si>
    <t>Mopti</t>
  </si>
  <si>
    <t>as:ISO2:6:ed3:ML-5</t>
  </si>
  <si>
    <t>ML-4</t>
  </si>
  <si>
    <t>Ségou</t>
  </si>
  <si>
    <t>as:ISO2:6:ed3:ML-4</t>
  </si>
  <si>
    <t>ML-3</t>
  </si>
  <si>
    <t>Sikasso</t>
  </si>
  <si>
    <t>as:ISO2:6:ed3:ML-3</t>
  </si>
  <si>
    <t>ML-6</t>
  </si>
  <si>
    <t>Tombouctou</t>
  </si>
  <si>
    <t>as:ISO2:6:ed3:ML-6</t>
  </si>
  <si>
    <t>MT-01</t>
  </si>
  <si>
    <t>Attard</t>
  </si>
  <si>
    <t>locality</t>
  </si>
  <si>
    <t>as:GENC:6:ed2:MT-01</t>
  </si>
  <si>
    <t>MT-02</t>
  </si>
  <si>
    <t>Balzan</t>
  </si>
  <si>
    <t>as:GENC:6:ed2:MT-02</t>
  </si>
  <si>
    <t>MT-03</t>
  </si>
  <si>
    <t>Birgu</t>
  </si>
  <si>
    <t>as:GENC:6:ed2:MT-03</t>
  </si>
  <si>
    <t>MT-04</t>
  </si>
  <si>
    <t>Birkirkara</t>
  </si>
  <si>
    <t>as:GENC:6:ed2:MT-04</t>
  </si>
  <si>
    <t>MT-05</t>
  </si>
  <si>
    <t>Birżebbuġa</t>
  </si>
  <si>
    <t>as:GENC:6:ed2:MT-05</t>
  </si>
  <si>
    <t>MT-06</t>
  </si>
  <si>
    <t>Bormla</t>
  </si>
  <si>
    <t>as:GENC:6:ed2:MT-06</t>
  </si>
  <si>
    <t>MT-07</t>
  </si>
  <si>
    <t>Dingli</t>
  </si>
  <si>
    <t>as:GENC:6:ed2:MT-07</t>
  </si>
  <si>
    <t>MT-08</t>
  </si>
  <si>
    <t>Fgura</t>
  </si>
  <si>
    <t>as:GENC:6:ed2:MT-08</t>
  </si>
  <si>
    <t>MT-09</t>
  </si>
  <si>
    <t>Floriana</t>
  </si>
  <si>
    <t>as:GENC:6:ed2:MT-09</t>
  </si>
  <si>
    <t>MT-10</t>
  </si>
  <si>
    <t>Fontana</t>
  </si>
  <si>
    <t>as:GENC:6:ed2:MT-10</t>
  </si>
  <si>
    <t>MT-13</t>
  </si>
  <si>
    <t>Għajnsielem</t>
  </si>
  <si>
    <t>as:GENC:6:ed2:MT-13</t>
  </si>
  <si>
    <t>MT-14</t>
  </si>
  <si>
    <t>Għarb</t>
  </si>
  <si>
    <t>as:GENC:6:ed2:MT-14</t>
  </si>
  <si>
    <t>MT-15</t>
  </si>
  <si>
    <t>Għargħur</t>
  </si>
  <si>
    <t>as:GENC:6:ed2:MT-15</t>
  </si>
  <si>
    <t>MT-16</t>
  </si>
  <si>
    <t>Għasri</t>
  </si>
  <si>
    <t>as:GENC:6:ed2:MT-16</t>
  </si>
  <si>
    <t>MT-17</t>
  </si>
  <si>
    <t>Għaxaq</t>
  </si>
  <si>
    <t>as:GENC:6:ed2:MT-17</t>
  </si>
  <si>
    <t>MT-11</t>
  </si>
  <si>
    <t>Gudja</t>
  </si>
  <si>
    <t>as:GENC:6:ed2:MT-11</t>
  </si>
  <si>
    <t>MT-12</t>
  </si>
  <si>
    <t>Gżira</t>
  </si>
  <si>
    <t>as:GENC:6:ed2:MT-12</t>
  </si>
  <si>
    <t>MT-18</t>
  </si>
  <si>
    <t>Ħamrun</t>
  </si>
  <si>
    <t>as:GENC:6:ed2:MT-18</t>
  </si>
  <si>
    <t>MT-19</t>
  </si>
  <si>
    <t>Iklin</t>
  </si>
  <si>
    <t>as:GENC:6:ed2:MT-19</t>
  </si>
  <si>
    <t>MT-29</t>
  </si>
  <si>
    <t>Imdina</t>
  </si>
  <si>
    <t>as:GENC:6:ed2:MT-29</t>
  </si>
  <si>
    <t>MT-31</t>
  </si>
  <si>
    <t>Imġarr</t>
  </si>
  <si>
    <t>as:GENC:6:ed2:MT-31</t>
  </si>
  <si>
    <t>MT-33</t>
  </si>
  <si>
    <t>Imqabba</t>
  </si>
  <si>
    <t>as:GENC:6:ed2:MT-33</t>
  </si>
  <si>
    <t>MT-34</t>
  </si>
  <si>
    <t>Imsida</t>
  </si>
  <si>
    <t>as:GENC:6:ed2:MT-34</t>
  </si>
  <si>
    <t>MT-35</t>
  </si>
  <si>
    <t>Imtarfa</t>
  </si>
  <si>
    <t>as:GENC:6:ed2:MT-35</t>
  </si>
  <si>
    <t>MT-20</t>
  </si>
  <si>
    <t>Isla</t>
  </si>
  <si>
    <t>as:GENC:6:ed2:MT-20</t>
  </si>
  <si>
    <t>MT-21</t>
  </si>
  <si>
    <t>Kalkara</t>
  </si>
  <si>
    <t>as:GENC:6:ed2:MT-21</t>
  </si>
  <si>
    <t>MT-22</t>
  </si>
  <si>
    <t>Kerċem</t>
  </si>
  <si>
    <t>as:GENC:6:ed2:MT-22</t>
  </si>
  <si>
    <t>MT-23</t>
  </si>
  <si>
    <t>Kirkop</t>
  </si>
  <si>
    <t>as:GENC:6:ed2:MT-23</t>
  </si>
  <si>
    <t>MT-24</t>
  </si>
  <si>
    <t>Lija</t>
  </si>
  <si>
    <t>as:GENC:6:ed2:MT-24</t>
  </si>
  <si>
    <t>MT-25</t>
  </si>
  <si>
    <t>Luqa</t>
  </si>
  <si>
    <t>as:GENC:6:ed2:MT-25</t>
  </si>
  <si>
    <t>MT-26</t>
  </si>
  <si>
    <t>Marsa</t>
  </si>
  <si>
    <t>as:GENC:6:ed2:MT-26</t>
  </si>
  <si>
    <t>MT-27</t>
  </si>
  <si>
    <t>Marsaskala</t>
  </si>
  <si>
    <t>as:GENC:6:ed2:MT-27</t>
  </si>
  <si>
    <t>MT-28</t>
  </si>
  <si>
    <t>Marsaxlokk</t>
  </si>
  <si>
    <t>as:GENC:6:ed2:MT-28</t>
  </si>
  <si>
    <t>MT-30</t>
  </si>
  <si>
    <t>Mellieħa</t>
  </si>
  <si>
    <t>as:GENC:6:ed2:MT-30</t>
  </si>
  <si>
    <t>MT-32</t>
  </si>
  <si>
    <t>Mosta</t>
  </si>
  <si>
    <t>as:GENC:6:ed2:MT-32</t>
  </si>
  <si>
    <t>MT-36</t>
  </si>
  <si>
    <t>Munxar</t>
  </si>
  <si>
    <t>as:GENC:6:ed2:MT-36</t>
  </si>
  <si>
    <t>MT-37</t>
  </si>
  <si>
    <t>Nadur</t>
  </si>
  <si>
    <t>as:GENC:6:ed2:MT-37</t>
  </si>
  <si>
    <t>MT-38</t>
  </si>
  <si>
    <t>Naxxar</t>
  </si>
  <si>
    <t>as:GENC:6:ed2:MT-38</t>
  </si>
  <si>
    <t>MT-39</t>
  </si>
  <si>
    <t>Paola</t>
  </si>
  <si>
    <t>as:GENC:6:ed2:MT-39</t>
  </si>
  <si>
    <t>MT-40</t>
  </si>
  <si>
    <t>as:GENC:6:ed2:MT-40</t>
  </si>
  <si>
    <t>MT-41</t>
  </si>
  <si>
    <t>Pietà</t>
  </si>
  <si>
    <t>as:GENC:6:ed2:MT-41</t>
  </si>
  <si>
    <t>MT-42</t>
  </si>
  <si>
    <t>Qala</t>
  </si>
  <si>
    <t>as:GENC:6:ed2:MT-42</t>
  </si>
  <si>
    <t>MT-43</t>
  </si>
  <si>
    <t>Qormi</t>
  </si>
  <si>
    <t>as:GENC:6:ed2:MT-43</t>
  </si>
  <si>
    <t>MT-44</t>
  </si>
  <si>
    <t>Qrendi</t>
  </si>
  <si>
    <t>as:GENC:6:ed2:MT-44</t>
  </si>
  <si>
    <t>MT-46</t>
  </si>
  <si>
    <t>Rabat</t>
  </si>
  <si>
    <t>as:GENC:6:ed2:MT-46</t>
  </si>
  <si>
    <t>MT-45</t>
  </si>
  <si>
    <t>Rabat (Ghawdex)</t>
  </si>
  <si>
    <t>as:GENC:6:ed2:MT-45</t>
  </si>
  <si>
    <t>MT-47</t>
  </si>
  <si>
    <t>Safi</t>
  </si>
  <si>
    <t>as:GENC:6:ed2:MT-47</t>
  </si>
  <si>
    <t>MT-48</t>
  </si>
  <si>
    <t>San Ġiljan</t>
  </si>
  <si>
    <t>as:GENC:6:ed2:MT-48</t>
  </si>
  <si>
    <t>MT-49</t>
  </si>
  <si>
    <t>San Ġwann</t>
  </si>
  <si>
    <t>as:GENC:6:ed2:MT-49</t>
  </si>
  <si>
    <t>MT-50</t>
  </si>
  <si>
    <t>San Lawrenz</t>
  </si>
  <si>
    <t>as:GENC:6:ed2:MT-50</t>
  </si>
  <si>
    <t>MT-52</t>
  </si>
  <si>
    <t>Sannat</t>
  </si>
  <si>
    <t>as:GENC:6:ed2:MT-52</t>
  </si>
  <si>
    <t>MT-51</t>
  </si>
  <si>
    <t>San Pawl il-Baħar</t>
  </si>
  <si>
    <t>as:GENC:6:ed2:MT-51</t>
  </si>
  <si>
    <t>MT-53</t>
  </si>
  <si>
    <t>Santa Luċija</t>
  </si>
  <si>
    <t>as:GENC:6:ed2:MT-53</t>
  </si>
  <si>
    <t>MT-54</t>
  </si>
  <si>
    <t>Santa Venera</t>
  </si>
  <si>
    <t>as:GENC:6:ed2:MT-54</t>
  </si>
  <si>
    <t>MT-55</t>
  </si>
  <si>
    <t>Siġġiewi</t>
  </si>
  <si>
    <t>as:GENC:6:ed2:MT-55</t>
  </si>
  <si>
    <t>MT-56</t>
  </si>
  <si>
    <t>Sliema</t>
  </si>
  <si>
    <t>as:GENC:6:ed2:MT-56</t>
  </si>
  <si>
    <t>MT-57</t>
  </si>
  <si>
    <t>Swieqi</t>
  </si>
  <si>
    <t>as:GENC:6:ed2:MT-57</t>
  </si>
  <si>
    <t>MT-59</t>
  </si>
  <si>
    <t>Tarxien</t>
  </si>
  <si>
    <t>as:GENC:6:ed2:MT-59</t>
  </si>
  <si>
    <t>MT-58</t>
  </si>
  <si>
    <t>Ta’ Xbiex</t>
  </si>
  <si>
    <t>as:GENC:6:ed2:MT-58</t>
  </si>
  <si>
    <t>MT-60</t>
  </si>
  <si>
    <t>Valletta</t>
  </si>
  <si>
    <t>as:GENC:6:ed2:MT-60</t>
  </si>
  <si>
    <t>MT-61</t>
  </si>
  <si>
    <t>Xagħra</t>
  </si>
  <si>
    <t>as:GENC:6:ed2:MT-61</t>
  </si>
  <si>
    <t>MT-62</t>
  </si>
  <si>
    <t>Xewkija</t>
  </si>
  <si>
    <t>as:GENC:6:ed2:MT-62</t>
  </si>
  <si>
    <t>MT-63</t>
  </si>
  <si>
    <t>Xgħajra</t>
  </si>
  <si>
    <t>as:GENC:6:ed2:MT-63</t>
  </si>
  <si>
    <t>MT-64</t>
  </si>
  <si>
    <t>Żabbar</t>
  </si>
  <si>
    <t>as:GENC:6:ed2:MT-64</t>
  </si>
  <si>
    <t>MT-66</t>
  </si>
  <si>
    <t>Żebbuġ</t>
  </si>
  <si>
    <t>as:GENC:6:ed2:MT-66</t>
  </si>
  <si>
    <t>MT-65</t>
  </si>
  <si>
    <t>Żebbuġ (Ghawdex)</t>
  </si>
  <si>
    <t>as:GENC:6:ed2:MT-65</t>
  </si>
  <si>
    <t>MT-67</t>
  </si>
  <si>
    <t>Żejtun</t>
  </si>
  <si>
    <t>as:GENC:6:ed2:MT-67</t>
  </si>
  <si>
    <t>MT-68</t>
  </si>
  <si>
    <t>Żurrieq</t>
  </si>
  <si>
    <t>as:GENC:6:ed2:MT-68</t>
  </si>
  <si>
    <t>MH-ALL</t>
  </si>
  <si>
    <t>Ailinglaplap</t>
  </si>
  <si>
    <t>as:GENC:6:ed2:MH-ALL</t>
  </si>
  <si>
    <t>MH-ALK</t>
  </si>
  <si>
    <t>Ailuk</t>
  </si>
  <si>
    <t>as:GENC:6:ed2:MH-ALK</t>
  </si>
  <si>
    <t>MH-ARN</t>
  </si>
  <si>
    <t>Arno</t>
  </si>
  <si>
    <t>as:GENC:6:ed2:MH-ARN</t>
  </si>
  <si>
    <t>MH-AUR</t>
  </si>
  <si>
    <t>Aur</t>
  </si>
  <si>
    <t>as:GENC:6:ed2:MH-AUR</t>
  </si>
  <si>
    <t>MH-KIL</t>
  </si>
  <si>
    <t>Bikini &amp; Kili</t>
  </si>
  <si>
    <t>as:GENC:6:ed2:MH-KIL</t>
  </si>
  <si>
    <t>MH-EBO</t>
  </si>
  <si>
    <t>Ebon</t>
  </si>
  <si>
    <t>as:GENC:6:ed2:MH-EBO</t>
  </si>
  <si>
    <t>MH-ENI</t>
  </si>
  <si>
    <t>Enewtak &amp; Ujelang</t>
  </si>
  <si>
    <t>as:GENC:6:ed2:MH-ENI</t>
  </si>
  <si>
    <t>MH-JAB</t>
  </si>
  <si>
    <t>Jabat</t>
  </si>
  <si>
    <t>as:GENC:6:ed2:MH-JAB</t>
  </si>
  <si>
    <t>MH-JAL</t>
  </si>
  <si>
    <t>Jaluit</t>
  </si>
  <si>
    <t>as:GENC:6:ed2:MH-JAL</t>
  </si>
  <si>
    <t>MH-KWA</t>
  </si>
  <si>
    <t>Kwajalein</t>
  </si>
  <si>
    <t>as:GENC:6:ed2:MH-KWA</t>
  </si>
  <si>
    <t>MH-LAE</t>
  </si>
  <si>
    <t>Lae</t>
  </si>
  <si>
    <t>as:GENC:6:ed2:MH-LAE</t>
  </si>
  <si>
    <t>MH-LIB</t>
  </si>
  <si>
    <t>Lib</t>
  </si>
  <si>
    <t>as:GENC:6:ed2:MH-LIB</t>
  </si>
  <si>
    <t>MH-LIK</t>
  </si>
  <si>
    <t>Likiep</t>
  </si>
  <si>
    <t>as:GENC:6:ed2:MH-LIK</t>
  </si>
  <si>
    <t>MH-MAJ</t>
  </si>
  <si>
    <t>Majuro</t>
  </si>
  <si>
    <t>as:GENC:6:ed2:MH-MAJ</t>
  </si>
  <si>
    <t>MH-MAL</t>
  </si>
  <si>
    <t>Maloelap</t>
  </si>
  <si>
    <t>as:GENC:6:ed2:MH-MAL</t>
  </si>
  <si>
    <t>MH-MEJ</t>
  </si>
  <si>
    <t>Mejit</t>
  </si>
  <si>
    <t>as:GENC:6:ed2:MH-MEJ</t>
  </si>
  <si>
    <t>MH-MIL</t>
  </si>
  <si>
    <t>Mili</t>
  </si>
  <si>
    <t>as:GENC:6:ed2:MH-MIL</t>
  </si>
  <si>
    <t>MH-NMK</t>
  </si>
  <si>
    <t>Namdrik</t>
  </si>
  <si>
    <t>as:GENC:6:ed2:MH-NMK</t>
  </si>
  <si>
    <t>MH-NMU</t>
  </si>
  <si>
    <t>Namu</t>
  </si>
  <si>
    <t>as:GENC:6:ed2:MH-NMU</t>
  </si>
  <si>
    <t>MH-L</t>
  </si>
  <si>
    <t>Ralik Chain</t>
  </si>
  <si>
    <t>chain (of islands)</t>
  </si>
  <si>
    <t>as:GENC:6:ed2:MH-L</t>
  </si>
  <si>
    <t>MH-T</t>
  </si>
  <si>
    <t>Ratak Chain</t>
  </si>
  <si>
    <t>as:GENC:6:ed2:MH-T</t>
  </si>
  <si>
    <t>MH-RON</t>
  </si>
  <si>
    <t>Rongelap</t>
  </si>
  <si>
    <t>as:GENC:6:ed2:MH-RON</t>
  </si>
  <si>
    <t>MH-UJA</t>
  </si>
  <si>
    <t>Ujae</t>
  </si>
  <si>
    <t>as:GENC:6:ed2:MH-UJA</t>
  </si>
  <si>
    <t>MH-UTI</t>
  </si>
  <si>
    <t>Utrik</t>
  </si>
  <si>
    <t>as:GENC:6:ed2:MH-UTI</t>
  </si>
  <si>
    <t>MH-WTH</t>
  </si>
  <si>
    <t>Wotho</t>
  </si>
  <si>
    <t>as:GENC:6:ed2:MH-WTH</t>
  </si>
  <si>
    <t>MH-WTJ</t>
  </si>
  <si>
    <t>Wotje</t>
  </si>
  <si>
    <t>as:GENC:6:ed2:MH-WTJ</t>
  </si>
  <si>
    <t>MR-07</t>
  </si>
  <si>
    <t>as:ISO2:6:ed3:MR-07</t>
  </si>
  <si>
    <t>MR-03</t>
  </si>
  <si>
    <t>Assaba</t>
  </si>
  <si>
    <t>as:ISO2:6:ed3:MR-03</t>
  </si>
  <si>
    <t>MR-05</t>
  </si>
  <si>
    <t>Brakna</t>
  </si>
  <si>
    <t>as:ISO2:6:ed3:MR-05</t>
  </si>
  <si>
    <t>MR-08</t>
  </si>
  <si>
    <t>Dakhlet Nouadhibou</t>
  </si>
  <si>
    <t>as:GENC:6:ed2:MR-08</t>
  </si>
  <si>
    <t>MR-04</t>
  </si>
  <si>
    <t>Gorgol</t>
  </si>
  <si>
    <t>as:ISO2:6:ed3:MR-04</t>
  </si>
  <si>
    <t>MR-10</t>
  </si>
  <si>
    <t>Guidimaka</t>
  </si>
  <si>
    <t>as:ISO2:6:ed3:MR-10</t>
  </si>
  <si>
    <t>MR-01</t>
  </si>
  <si>
    <t>Hodh ech Chargui</t>
  </si>
  <si>
    <t>as:ISO2:6:ed3:MR-01</t>
  </si>
  <si>
    <t>MR-02</t>
  </si>
  <si>
    <t>Hodh el Gharbi</t>
  </si>
  <si>
    <t>as:ISO2:6:ed3:MR-02</t>
  </si>
  <si>
    <t>MR-12</t>
  </si>
  <si>
    <t>Inchiri</t>
  </si>
  <si>
    <t>as:ISO2:6:ed3:MR-12</t>
  </si>
  <si>
    <t>MR-NKC</t>
  </si>
  <si>
    <t>Nouakchott</t>
  </si>
  <si>
    <t>as:GENC:6:ed2:MR-NKC</t>
  </si>
  <si>
    <t>MR-09</t>
  </si>
  <si>
    <t>Tagant</t>
  </si>
  <si>
    <t>as:ISO2:6:ed3:MR-09</t>
  </si>
  <si>
    <t>MR-11</t>
  </si>
  <si>
    <t>Tiris Zemmour</t>
  </si>
  <si>
    <t>as:ISO2:6:ed3:MR-11</t>
  </si>
  <si>
    <t>MR-06</t>
  </si>
  <si>
    <t>Trarza</t>
  </si>
  <si>
    <t>as:ISO2:6:ed3:MR-06</t>
  </si>
  <si>
    <t>MU-AG</t>
  </si>
  <si>
    <t>Agalega Islands</t>
  </si>
  <si>
    <t>as:ISO2:6:ed3:MU-AG</t>
  </si>
  <si>
    <t>MU-BR</t>
  </si>
  <si>
    <t>Beau Bassin-Rose Hill</t>
  </si>
  <si>
    <t>as:ISO2:6:ed3:MU-BR</t>
  </si>
  <si>
    <t>MU-BL</t>
  </si>
  <si>
    <t>Black River</t>
  </si>
  <si>
    <t>as:ISO2:6:ed3:MU-BL</t>
  </si>
  <si>
    <t>MU-CC</t>
  </si>
  <si>
    <t>Cargados Carajos</t>
  </si>
  <si>
    <t>as:GENC:6:ed2:MU-CC</t>
  </si>
  <si>
    <t>MU-CU</t>
  </si>
  <si>
    <t>Curepipe</t>
  </si>
  <si>
    <t>as:ISO2:6:ed3:MU-CU</t>
  </si>
  <si>
    <t>MU-FL</t>
  </si>
  <si>
    <t>Flacq</t>
  </si>
  <si>
    <t>as:ISO2:6:ed3:MU-FL</t>
  </si>
  <si>
    <t>MU-GP</t>
  </si>
  <si>
    <t>Grand Port</t>
  </si>
  <si>
    <t>as:ISO2:6:ed3:MU-GP</t>
  </si>
  <si>
    <t>MU-MO</t>
  </si>
  <si>
    <t>Moka</t>
  </si>
  <si>
    <t>as:ISO2:6:ed3:MU-MO</t>
  </si>
  <si>
    <t>MU-PA</t>
  </si>
  <si>
    <t>Pamplemousses</t>
  </si>
  <si>
    <t>as:ISO2:6:ed3:MU-PA</t>
  </si>
  <si>
    <t>MU-PW</t>
  </si>
  <si>
    <t>Plaines Wilhems</t>
  </si>
  <si>
    <t>as:ISO2:6:ed3:MU-PW</t>
  </si>
  <si>
    <t>MU-PU</t>
  </si>
  <si>
    <t>Port Louis</t>
  </si>
  <si>
    <t>as:ISO2:6:ed3:MU-PU</t>
  </si>
  <si>
    <t>MU-PL</t>
  </si>
  <si>
    <t>as:ISO2:6:ed3:MU-PL</t>
  </si>
  <si>
    <t>MU-QB</t>
  </si>
  <si>
    <t>Quatre Bornes</t>
  </si>
  <si>
    <t>as:ISO2:6:ed3:MU-QB</t>
  </si>
  <si>
    <t>MU-RR</t>
  </si>
  <si>
    <t>Rivière du Rempart</t>
  </si>
  <si>
    <t>as:ISO2:6:ed3:MU-RR</t>
  </si>
  <si>
    <t>MU-RO</t>
  </si>
  <si>
    <t>Rodrigues</t>
  </si>
  <si>
    <t>as:GENC:6:ed2:MU-RO</t>
  </si>
  <si>
    <t>MU-SA</t>
  </si>
  <si>
    <t>Savanne</t>
  </si>
  <si>
    <t>as:ISO2:6:ed3:MU-SA</t>
  </si>
  <si>
    <t>MU-VP</t>
  </si>
  <si>
    <t>Vacoas-Phoenix</t>
  </si>
  <si>
    <t>as:ISO2:6:ed3:MU-VP</t>
  </si>
  <si>
    <t>MX-AGU</t>
  </si>
  <si>
    <t>Aguascalientes</t>
  </si>
  <si>
    <t>as:ISO2:6:ed3:MX-AGU</t>
  </si>
  <si>
    <t>MX-BCN</t>
  </si>
  <si>
    <t>Baja California</t>
  </si>
  <si>
    <t>as:ISO2:6:ed3:MX-BCN</t>
  </si>
  <si>
    <t>MX-BCS</t>
  </si>
  <si>
    <t>Baja California Sur</t>
  </si>
  <si>
    <t>as:ISO2:6:ed3:MX-BCS</t>
  </si>
  <si>
    <t>MX-CAM</t>
  </si>
  <si>
    <t>Campeche</t>
  </si>
  <si>
    <t>as:ISO2:6:ed3:MX-CAM</t>
  </si>
  <si>
    <t>MX-CHP</t>
  </si>
  <si>
    <t>Chiapas</t>
  </si>
  <si>
    <t>as:ISO2:6:ed3:MX-CHP</t>
  </si>
  <si>
    <t>MX-CHH</t>
  </si>
  <si>
    <t>Chihuahua</t>
  </si>
  <si>
    <t>as:ISO2:6:ed3:MX-CHH</t>
  </si>
  <si>
    <t>MX-COA</t>
  </si>
  <si>
    <t>Coahuila de Zaragoza</t>
  </si>
  <si>
    <t>as:GENC:6:ed2:MX-COA</t>
  </si>
  <si>
    <t>MX-COL</t>
  </si>
  <si>
    <t>Colima</t>
  </si>
  <si>
    <t>as:ISO2:6:ed3:MX-COL</t>
  </si>
  <si>
    <t>MX-DIF</t>
  </si>
  <si>
    <t>as:ISO2:6:ed3:MX-DIF</t>
  </si>
  <si>
    <t>MX-DUR</t>
  </si>
  <si>
    <t>Durango</t>
  </si>
  <si>
    <t>as:ISO2:6:ed3:MX-DUR</t>
  </si>
  <si>
    <t>MX-GUA</t>
  </si>
  <si>
    <t>Guanajuato</t>
  </si>
  <si>
    <t>as:ISO2:6:ed3:MX-GUA</t>
  </si>
  <si>
    <t>MX-GRO</t>
  </si>
  <si>
    <t>Guerrero</t>
  </si>
  <si>
    <t>as:ISO2:6:ed3:MX-GRO</t>
  </si>
  <si>
    <t>MX-HID</t>
  </si>
  <si>
    <t>Hidalgo</t>
  </si>
  <si>
    <t>as:ISO2:6:ed3:MX-HID</t>
  </si>
  <si>
    <t>MX-JAL</t>
  </si>
  <si>
    <t>Jalisco</t>
  </si>
  <si>
    <t>as:ISO2:6:ed3:MX-JAL</t>
  </si>
  <si>
    <t>MX-MEX</t>
  </si>
  <si>
    <t>México</t>
  </si>
  <si>
    <t>as:ISO2:6:ed3:MX-MEX</t>
  </si>
  <si>
    <t>MX-MIC</t>
  </si>
  <si>
    <t>Michoacán de Ocampo</t>
  </si>
  <si>
    <t>as:GENC:6:ed2:MX-MIC</t>
  </si>
  <si>
    <t>MX-MOR</t>
  </si>
  <si>
    <t>Morelos</t>
  </si>
  <si>
    <t>as:ISO2:6:ed3:MX-MOR</t>
  </si>
  <si>
    <t>MX-NAY</t>
  </si>
  <si>
    <t>Nayarit</t>
  </si>
  <si>
    <t>as:ISO2:6:ed3:MX-NAY</t>
  </si>
  <si>
    <t>MX-NLE</t>
  </si>
  <si>
    <t>Nuevo León</t>
  </si>
  <si>
    <t>as:ISO2:6:ed3:MX-NLE</t>
  </si>
  <si>
    <t>MX-OAX</t>
  </si>
  <si>
    <t>Oaxaca</t>
  </si>
  <si>
    <t>as:ISO2:6:ed3:MX-OAX</t>
  </si>
  <si>
    <t>MX-PUE</t>
  </si>
  <si>
    <t>Puebla</t>
  </si>
  <si>
    <t>as:ISO2:6:ed3:MX-PUE</t>
  </si>
  <si>
    <t>MX-QUE</t>
  </si>
  <si>
    <t>Querétaro de Arteaga</t>
  </si>
  <si>
    <t>as:GENC:6:ed2:MX-QUE</t>
  </si>
  <si>
    <t>MX-ROO</t>
  </si>
  <si>
    <t>Quintana Roo</t>
  </si>
  <si>
    <t>as:ISO2:6:ed3:MX-ROO</t>
  </si>
  <si>
    <t>MX-SLP</t>
  </si>
  <si>
    <t>San Luis Potosí</t>
  </si>
  <si>
    <t>as:ISO2:6:ed3:MX-SLP</t>
  </si>
  <si>
    <t>MX-SIN</t>
  </si>
  <si>
    <t>Sinaloa</t>
  </si>
  <si>
    <t>as:ISO2:6:ed3:MX-SIN</t>
  </si>
  <si>
    <t>MX-SON</t>
  </si>
  <si>
    <t>Sonora</t>
  </si>
  <si>
    <t>as:ISO2:6:ed3:MX-SON</t>
  </si>
  <si>
    <t>MX-TAB</t>
  </si>
  <si>
    <t>Tabasco</t>
  </si>
  <si>
    <t>as:ISO2:6:ed3:MX-TAB</t>
  </si>
  <si>
    <t>MX-TAM</t>
  </si>
  <si>
    <t>Tamaulipas</t>
  </si>
  <si>
    <t>as:ISO2:6:ed3:MX-TAM</t>
  </si>
  <si>
    <t>MX-TLA</t>
  </si>
  <si>
    <t>Tlaxcala</t>
  </si>
  <si>
    <t>as:ISO2:6:ed3:MX-TLA</t>
  </si>
  <si>
    <t>MX-VER</t>
  </si>
  <si>
    <t>Veracruz</t>
  </si>
  <si>
    <t>as:ISO2:6:ed3:MX-VER</t>
  </si>
  <si>
    <t>MX-YUC</t>
  </si>
  <si>
    <t>Yucatán</t>
  </si>
  <si>
    <t>as:ISO2:6:ed3:MX-YUC</t>
  </si>
  <si>
    <t>MX-ZAC</t>
  </si>
  <si>
    <t>Zacatecas</t>
  </si>
  <si>
    <t>as:ISO2:6:ed3:MX-ZAC</t>
  </si>
  <si>
    <t>FM-TRK</t>
  </si>
  <si>
    <t>Chuuk</t>
  </si>
  <si>
    <t>as:ISO2:6:ed3:FM-TRK</t>
  </si>
  <si>
    <t>FM-KSA</t>
  </si>
  <si>
    <t>Kosrae</t>
  </si>
  <si>
    <t>as:ISO2:6:ed3:FM-KSA</t>
  </si>
  <si>
    <t>FM-PNI</t>
  </si>
  <si>
    <t>Pohnpei</t>
  </si>
  <si>
    <t>as:ISO2:6:ed3:FM-PNI</t>
  </si>
  <si>
    <t>FM-YAP</t>
  </si>
  <si>
    <t>Yap</t>
  </si>
  <si>
    <t>as:ISO2:6:ed3:FM-YAP</t>
  </si>
  <si>
    <t>MD-AN</t>
  </si>
  <si>
    <t>Anenii Noi</t>
  </si>
  <si>
    <t>as:GENC:6:ed2:MD-AN</t>
  </si>
  <si>
    <t>MD-BA</t>
  </si>
  <si>
    <t>Bălţi</t>
  </si>
  <si>
    <t>as:GENC:6:ed2:MD-BA</t>
  </si>
  <si>
    <t>MD-BS</t>
  </si>
  <si>
    <t>Basarabeasca</t>
  </si>
  <si>
    <t>as:GENC:6:ed2:MD-BS</t>
  </si>
  <si>
    <t>MD-BD</t>
  </si>
  <si>
    <t>Bender</t>
  </si>
  <si>
    <t>as:GENC:6:ed2:MD-BD</t>
  </si>
  <si>
    <t>MD-BR</t>
  </si>
  <si>
    <t>Briceni</t>
  </si>
  <si>
    <t>as:GENC:6:ed2:MD-BR</t>
  </si>
  <si>
    <t>MD-CA</t>
  </si>
  <si>
    <t>Cahul</t>
  </si>
  <si>
    <t>as:GENC:6:ed2:MD-CA</t>
  </si>
  <si>
    <t>MD-CL</t>
  </si>
  <si>
    <t>Călăraşi</t>
  </si>
  <si>
    <t>as:GENC:6:ed2:MD-CL</t>
  </si>
  <si>
    <t>MD-CT</t>
  </si>
  <si>
    <t>Cantemir</t>
  </si>
  <si>
    <t>as:GENC:6:ed2:MD-CT</t>
  </si>
  <si>
    <t>MD-CS</t>
  </si>
  <si>
    <t>Căuşeni</t>
  </si>
  <si>
    <t>as:GENC:6:ed2:MD-CS</t>
  </si>
  <si>
    <t>MD-CU</t>
  </si>
  <si>
    <t>Chişinău</t>
  </si>
  <si>
    <t>as:GENC:6:ed2:MD-CU</t>
  </si>
  <si>
    <t>MD-CM</t>
  </si>
  <si>
    <t>Cimişlia</t>
  </si>
  <si>
    <t>as:GENC:6:ed2:MD-CM</t>
  </si>
  <si>
    <t>MD-CR</t>
  </si>
  <si>
    <t>Criuleni</t>
  </si>
  <si>
    <t>as:GENC:6:ed2:MD-CR</t>
  </si>
  <si>
    <t>MD-DO</t>
  </si>
  <si>
    <t>Donduşeni</t>
  </si>
  <si>
    <t>as:GENC:6:ed2:MD-DO</t>
  </si>
  <si>
    <t>MD-DR</t>
  </si>
  <si>
    <t>Drochia</t>
  </si>
  <si>
    <t>as:GENC:6:ed2:MD-DR</t>
  </si>
  <si>
    <t>MD-DU</t>
  </si>
  <si>
    <t>Dubăsari</t>
  </si>
  <si>
    <t>as:GENC:6:ed2:MD-DU</t>
  </si>
  <si>
    <t>MD-ED</t>
  </si>
  <si>
    <t>Edineţ</t>
  </si>
  <si>
    <t>as:GENC:6:ed2:MD-ED</t>
  </si>
  <si>
    <t>MD-FA</t>
  </si>
  <si>
    <t>Făleşti</t>
  </si>
  <si>
    <t>as:GENC:6:ed2:MD-FA</t>
  </si>
  <si>
    <t>MD-FL</t>
  </si>
  <si>
    <t>Floreşti</t>
  </si>
  <si>
    <t>as:GENC:6:ed2:MD-FL</t>
  </si>
  <si>
    <t>MD-GA</t>
  </si>
  <si>
    <t>Găgăuzia</t>
  </si>
  <si>
    <t>autonomous territorial unit</t>
  </si>
  <si>
    <t>as:GENC:6:ed2:MD-GA</t>
  </si>
  <si>
    <t>MD-GL</t>
  </si>
  <si>
    <t>Glodeni</t>
  </si>
  <si>
    <t>as:GENC:6:ed2:MD-GL</t>
  </si>
  <si>
    <t>MD-HI</t>
  </si>
  <si>
    <t>Hînceşti</t>
  </si>
  <si>
    <t>as:GENC:6:ed2:MD-HI</t>
  </si>
  <si>
    <t>MD-IA</t>
  </si>
  <si>
    <t>Ialoveni</t>
  </si>
  <si>
    <t>as:GENC:6:ed2:MD-IA</t>
  </si>
  <si>
    <t>MD-LE</t>
  </si>
  <si>
    <t>Leova</t>
  </si>
  <si>
    <t>as:GENC:6:ed2:MD-LE</t>
  </si>
  <si>
    <t>MD-NI</t>
  </si>
  <si>
    <t>Nisporeni</t>
  </si>
  <si>
    <t>as:GENC:6:ed2:MD-NI</t>
  </si>
  <si>
    <t>MD-OC</t>
  </si>
  <si>
    <t>Ocniţa</t>
  </si>
  <si>
    <t>as:GENC:6:ed2:MD-OC</t>
  </si>
  <si>
    <t>MD-OR</t>
  </si>
  <si>
    <t>Orhei</t>
  </si>
  <si>
    <t>as:GENC:6:ed2:MD-OR</t>
  </si>
  <si>
    <t>MD-RE</t>
  </si>
  <si>
    <t>Rezina</t>
  </si>
  <si>
    <t>as:GENC:6:ed2:MD-RE</t>
  </si>
  <si>
    <t>MD-RI</t>
  </si>
  <si>
    <t>Rîşcani</t>
  </si>
  <si>
    <t>as:GENC:6:ed2:MD-RI</t>
  </si>
  <si>
    <t>MD-SI</t>
  </si>
  <si>
    <t>Sîngerei</t>
  </si>
  <si>
    <t>as:GENC:6:ed2:MD-SI</t>
  </si>
  <si>
    <t>MD-SD</t>
  </si>
  <si>
    <t>Şoldăneşti</t>
  </si>
  <si>
    <t>as:GENC:6:ed2:MD-SD</t>
  </si>
  <si>
    <t>MD-SO</t>
  </si>
  <si>
    <t>Soroca</t>
  </si>
  <si>
    <t>as:GENC:6:ed2:MD-SO</t>
  </si>
  <si>
    <t>MD-SV</t>
  </si>
  <si>
    <t>Ştefan-Vodă</t>
  </si>
  <si>
    <t>as:GENC:6:ed2:MD-SV</t>
  </si>
  <si>
    <t>MD-SN</t>
  </si>
  <si>
    <t>Stînga Nistrului</t>
  </si>
  <si>
    <t>territorial unit</t>
  </si>
  <si>
    <t>as:GENC:6:ed2:MD-SN</t>
  </si>
  <si>
    <t>MD-ST</t>
  </si>
  <si>
    <t>Străşeni</t>
  </si>
  <si>
    <t>as:GENC:6:ed2:MD-ST</t>
  </si>
  <si>
    <t>MD-TA</t>
  </si>
  <si>
    <t>Taraclia</t>
  </si>
  <si>
    <t>as:GENC:6:ed2:MD-TA</t>
  </si>
  <si>
    <t>MD-TE</t>
  </si>
  <si>
    <t>Teleneşti</t>
  </si>
  <si>
    <t>as:GENC:6:ed2:MD-TE</t>
  </si>
  <si>
    <t>MD-UN</t>
  </si>
  <si>
    <t>Ungheni</t>
  </si>
  <si>
    <t>as:GENC:6:ed2:MD-UN</t>
  </si>
  <si>
    <t>MC-FO</t>
  </si>
  <si>
    <t>Fontvieille</t>
  </si>
  <si>
    <t>quarter</t>
  </si>
  <si>
    <t>as:ISO2:6:ed3:MC-FO</t>
  </si>
  <si>
    <t>MC-JE</t>
  </si>
  <si>
    <t>Jardin Exotique</t>
  </si>
  <si>
    <t>as:ISO2:6:ed3:MC-JE</t>
  </si>
  <si>
    <t>MC-CL</t>
  </si>
  <si>
    <t>La Colle</t>
  </si>
  <si>
    <t>as:ISO2:6:ed3:MC-CL</t>
  </si>
  <si>
    <t>MC-CO</t>
  </si>
  <si>
    <t>La Condamine</t>
  </si>
  <si>
    <t>as:ISO2:6:ed3:MC-CO</t>
  </si>
  <si>
    <t>MC-GA</t>
  </si>
  <si>
    <t>La Gare</t>
  </si>
  <si>
    <t>as:ISO2:6:ed3:MC-GA</t>
  </si>
  <si>
    <t>MC-LA</t>
  </si>
  <si>
    <t>Larvotto</t>
  </si>
  <si>
    <t>as:ISO2:6:ed3:MC-LA</t>
  </si>
  <si>
    <t>MC-SO</t>
  </si>
  <si>
    <t>La Source</t>
  </si>
  <si>
    <t>as:ISO2:6:ed3:MC-SO</t>
  </si>
  <si>
    <t>MC-MA</t>
  </si>
  <si>
    <t>Malbousquet</t>
  </si>
  <si>
    <t>as:ISO2:6:ed3:MC-MA</t>
  </si>
  <si>
    <t>MC-MO</t>
  </si>
  <si>
    <t>Monaco-Ville</t>
  </si>
  <si>
    <t>as:ISO2:6:ed3:MC-MO</t>
  </si>
  <si>
    <t>MC-MG</t>
  </si>
  <si>
    <t>Moneghetti</t>
  </si>
  <si>
    <t>as:ISO2:6:ed3:MC-MG</t>
  </si>
  <si>
    <t>MC-MC</t>
  </si>
  <si>
    <t>Monte-Carlo</t>
  </si>
  <si>
    <t>as:ISO2:6:ed3:MC-MC</t>
  </si>
  <si>
    <t>MC-MU</t>
  </si>
  <si>
    <t>Moulins</t>
  </si>
  <si>
    <t>as:ISO2:6:ed3:MC-MU</t>
  </si>
  <si>
    <t>MC-PH</t>
  </si>
  <si>
    <t>Port-Hercule</t>
  </si>
  <si>
    <t>as:ISO2:6:ed3:MC-PH</t>
  </si>
  <si>
    <t>MC-SD</t>
  </si>
  <si>
    <t>Sainte-Dévote</t>
  </si>
  <si>
    <t>as:ISO2:6:ed3:MC-SD</t>
  </si>
  <si>
    <t>MC-SR</t>
  </si>
  <si>
    <t>Saint-Roman</t>
  </si>
  <si>
    <t>as:ISO2:6:ed3:MC-SR</t>
  </si>
  <si>
    <t>MC-SP</t>
  </si>
  <si>
    <t>Spélugues</t>
  </si>
  <si>
    <t>as:ISO2:6:ed3:MC-SP</t>
  </si>
  <si>
    <t>MC-VR</t>
  </si>
  <si>
    <t>Vallon de la Rousse</t>
  </si>
  <si>
    <t>as:ISO2:6:ed3:MC-VR</t>
  </si>
  <si>
    <t>MN-073</t>
  </si>
  <si>
    <t>Arhangay</t>
  </si>
  <si>
    <t>as:ISO2:6:ed3:MN-073</t>
  </si>
  <si>
    <t>MN-069</t>
  </si>
  <si>
    <t>Bayanhongor</t>
  </si>
  <si>
    <t>as:ISO2:6:ed3:MN-069</t>
  </si>
  <si>
    <t>MN-071</t>
  </si>
  <si>
    <t>Bayan-Ölgiy</t>
  </si>
  <si>
    <t>as:ISO2:6:ed3:MN-071</t>
  </si>
  <si>
    <t>MN-067</t>
  </si>
  <si>
    <t>Bulgan</t>
  </si>
  <si>
    <t>as:ISO2:6:ed3:MN-067</t>
  </si>
  <si>
    <t>MN-037</t>
  </si>
  <si>
    <t>Darhan-Uul</t>
  </si>
  <si>
    <t>as:GENC:6:ed2:MN-037</t>
  </si>
  <si>
    <t>MN-061</t>
  </si>
  <si>
    <t>Dornod</t>
  </si>
  <si>
    <t>as:ISO2:6:ed3:MN-061</t>
  </si>
  <si>
    <t>MN-063</t>
  </si>
  <si>
    <t>Dornogovĭ</t>
  </si>
  <si>
    <t>as:ISO2:6:ed3:MN-063</t>
  </si>
  <si>
    <t>MN-059</t>
  </si>
  <si>
    <t>Dundgovĭ</t>
  </si>
  <si>
    <t>as:ISO2:6:ed3:MN-059</t>
  </si>
  <si>
    <t>MN-057</t>
  </si>
  <si>
    <t>Dzavhan</t>
  </si>
  <si>
    <t>as:ISO2:6:ed3:MN-057</t>
  </si>
  <si>
    <t>MN-065</t>
  </si>
  <si>
    <t>Govĭ-Altay</t>
  </si>
  <si>
    <t>as:ISO2:6:ed3:MN-065</t>
  </si>
  <si>
    <t>MN-064</t>
  </si>
  <si>
    <t>Govĭsümber</t>
  </si>
  <si>
    <t>as:GENC:6:ed2:MN-064</t>
  </si>
  <si>
    <t>MN-039</t>
  </si>
  <si>
    <t>Hentiy</t>
  </si>
  <si>
    <t>as:ISO2:6:ed3:MN-039</t>
  </si>
  <si>
    <t>MN-043</t>
  </si>
  <si>
    <t>Hovd</t>
  </si>
  <si>
    <t>as:ISO2:6:ed3:MN-043</t>
  </si>
  <si>
    <t>MN-041</t>
  </si>
  <si>
    <t>Hövsgöl</t>
  </si>
  <si>
    <t>as:ISO2:6:ed3:MN-041</t>
  </si>
  <si>
    <t>MN-053</t>
  </si>
  <si>
    <t>Ömnögovĭ</t>
  </si>
  <si>
    <t>as:ISO2:6:ed3:MN-053</t>
  </si>
  <si>
    <t>MN-035</t>
  </si>
  <si>
    <t>Orhon</t>
  </si>
  <si>
    <t>as:ISO2:6:ed3:MN-035</t>
  </si>
  <si>
    <t>MN-055</t>
  </si>
  <si>
    <t>Övörhangay</t>
  </si>
  <si>
    <t>as:ISO2:6:ed3:MN-055</t>
  </si>
  <si>
    <t>MN-049</t>
  </si>
  <si>
    <t>Selenge</t>
  </si>
  <si>
    <t>as:ISO2:6:ed3:MN-049</t>
  </si>
  <si>
    <t>MN-051</t>
  </si>
  <si>
    <t>Sühbaatar</t>
  </si>
  <si>
    <t>as:ISO2:6:ed3:MN-051</t>
  </si>
  <si>
    <t>MN-047</t>
  </si>
  <si>
    <t>Töv</t>
  </si>
  <si>
    <t>as:ISO2:6:ed3:MN-047</t>
  </si>
  <si>
    <t>MN-1</t>
  </si>
  <si>
    <t>Ulaanbaatar</t>
  </si>
  <si>
    <t>as:GENC:6:ed2:MN-1</t>
  </si>
  <si>
    <t>MN-046</t>
  </si>
  <si>
    <t>Uvs</t>
  </si>
  <si>
    <t>as:ISO2:6:ed3:MN-046</t>
  </si>
  <si>
    <t>ME-01</t>
  </si>
  <si>
    <t>Andrijevica</t>
  </si>
  <si>
    <t>as:GENC:6:ed2:ME-01</t>
  </si>
  <si>
    <t>ME-02</t>
  </si>
  <si>
    <t>Bar</t>
  </si>
  <si>
    <t>as:GENC:6:ed2:ME-02</t>
  </si>
  <si>
    <t>ME-03</t>
  </si>
  <si>
    <t>Berane</t>
  </si>
  <si>
    <t>as:GENC:6:ed2:ME-03</t>
  </si>
  <si>
    <t>ME-04</t>
  </si>
  <si>
    <t>Bijelo Polje</t>
  </si>
  <si>
    <t>as:GENC:6:ed2:ME-04</t>
  </si>
  <si>
    <t>ME-05</t>
  </si>
  <si>
    <t>Budva</t>
  </si>
  <si>
    <t>as:GENC:6:ed2:ME-05</t>
  </si>
  <si>
    <t>ME-06</t>
  </si>
  <si>
    <t>Cetinje</t>
  </si>
  <si>
    <t>as:GENC:6:ed2:ME-06</t>
  </si>
  <si>
    <t>ME-07</t>
  </si>
  <si>
    <t>Danilovgrad</t>
  </si>
  <si>
    <t>as:GENC:6:ed2:ME-07</t>
  </si>
  <si>
    <t>ME-08</t>
  </si>
  <si>
    <t>Herceg Novi</t>
  </si>
  <si>
    <t>as:GENC:6:ed2:ME-08</t>
  </si>
  <si>
    <t>ME-09</t>
  </si>
  <si>
    <t>Kolašin</t>
  </si>
  <si>
    <t>as:GENC:6:ed2:ME-09</t>
  </si>
  <si>
    <t>ME-10</t>
  </si>
  <si>
    <t>Kotor</t>
  </si>
  <si>
    <t>as:GENC:6:ed2:ME-10</t>
  </si>
  <si>
    <t>ME-11</t>
  </si>
  <si>
    <t>Mojkovac</t>
  </si>
  <si>
    <t>as:GENC:6:ed2:ME-11</t>
  </si>
  <si>
    <t>ME-12</t>
  </si>
  <si>
    <t>Nikšić</t>
  </si>
  <si>
    <t>as:GENC:6:ed2:ME-12</t>
  </si>
  <si>
    <t>ME-13</t>
  </si>
  <si>
    <t>Plav</t>
  </si>
  <si>
    <t>as:GENC:6:ed2:ME-13</t>
  </si>
  <si>
    <t>ME-14</t>
  </si>
  <si>
    <t>Pljevlja</t>
  </si>
  <si>
    <t>as:GENC:6:ed2:ME-14</t>
  </si>
  <si>
    <t>ME-15</t>
  </si>
  <si>
    <t>Plužine</t>
  </si>
  <si>
    <t>as:GENC:6:ed2:ME-15</t>
  </si>
  <si>
    <t>ME-16</t>
  </si>
  <si>
    <t>Podgorica</t>
  </si>
  <si>
    <t>as:GENC:6:ed2:ME-16</t>
  </si>
  <si>
    <t>ME-17</t>
  </si>
  <si>
    <t>Rožaje</t>
  </si>
  <si>
    <t>as:GENC:6:ed2:ME-17</t>
  </si>
  <si>
    <t>ME-18</t>
  </si>
  <si>
    <t>Šavnik</t>
  </si>
  <si>
    <t>as:GENC:6:ed2:ME-18</t>
  </si>
  <si>
    <t>ME-19</t>
  </si>
  <si>
    <t>Tivat</t>
  </si>
  <si>
    <t>as:GENC:6:ed2:ME-19</t>
  </si>
  <si>
    <t>ME-20</t>
  </si>
  <si>
    <t>Ulcinj</t>
  </si>
  <si>
    <t>as:GENC:6:ed2:ME-20</t>
  </si>
  <si>
    <t>ME-21</t>
  </si>
  <si>
    <t>Žabljak</t>
  </si>
  <si>
    <t>as:GENC:6:ed2:ME-21</t>
  </si>
  <si>
    <t>MS-01</t>
  </si>
  <si>
    <t>Saint Anthony</t>
  </si>
  <si>
    <t>as:GENC:6:ed2:MS-01</t>
  </si>
  <si>
    <t>MS-02</t>
  </si>
  <si>
    <t>Saint Georges</t>
  </si>
  <si>
    <t>as:GENC:6:ed2:MS-02</t>
  </si>
  <si>
    <t>MS-03</t>
  </si>
  <si>
    <t>as:GENC:6:ed2:MS-03</t>
  </si>
  <si>
    <t>MA-AGD</t>
  </si>
  <si>
    <t>Agadir Ida Outanane</t>
  </si>
  <si>
    <t>as:GENC:6:ed2:MA-AGD</t>
  </si>
  <si>
    <t>MA-HAO</t>
  </si>
  <si>
    <t>Al Haouz</t>
  </si>
  <si>
    <t>as:GENC:6:ed2:MA-HAO</t>
  </si>
  <si>
    <t>MA-HOC</t>
  </si>
  <si>
    <t>Al Hoceïma</t>
  </si>
  <si>
    <t>as:GENC:6:ed2:MA-HOC</t>
  </si>
  <si>
    <t>MA-AOU</t>
  </si>
  <si>
    <t>Aousserd</t>
  </si>
  <si>
    <t>as:GENC:6:ed2:MA-AOU</t>
  </si>
  <si>
    <t>MA-ASZ</t>
  </si>
  <si>
    <t>Assa-Zag</t>
  </si>
  <si>
    <t>as:GENC:6:ed2:MA-ASZ</t>
  </si>
  <si>
    <t>MA-AZI</t>
  </si>
  <si>
    <t>Azilal</t>
  </si>
  <si>
    <t>as:GENC:6:ed2:MA-AZI</t>
  </si>
  <si>
    <t>MA-BEM</t>
  </si>
  <si>
    <t>Beni Mellal</t>
  </si>
  <si>
    <t>as:GENC:6:ed2:MA-BEM</t>
  </si>
  <si>
    <t>MA-BES</t>
  </si>
  <si>
    <t>Ben Slimane</t>
  </si>
  <si>
    <t>as:GENC:6:ed2:MA-BES</t>
  </si>
  <si>
    <t>MA-BER</t>
  </si>
  <si>
    <t>Berkane</t>
  </si>
  <si>
    <t>as:GENC:6:ed2:MA-BER</t>
  </si>
  <si>
    <t>MA-BOD</t>
  </si>
  <si>
    <t>Boujdour</t>
  </si>
  <si>
    <t>as:GENC:6:ed2:MA-BOD</t>
  </si>
  <si>
    <t>MA-BOM</t>
  </si>
  <si>
    <t>Boulemane</t>
  </si>
  <si>
    <t>as:GENC:6:ed2:MA-BOM</t>
  </si>
  <si>
    <t>MA-CAS</t>
  </si>
  <si>
    <t>Casablanca</t>
  </si>
  <si>
    <t>as:GENC:6:ed2:MA-CAS</t>
  </si>
  <si>
    <t>MA-09</t>
  </si>
  <si>
    <t>Chaouia-Ouardigha</t>
  </si>
  <si>
    <t>as:GENC:6:ed2:MA-09</t>
  </si>
  <si>
    <t>MA-CHE</t>
  </si>
  <si>
    <t>Chefchaouen</t>
  </si>
  <si>
    <t>as:GENC:6:ed2:MA-CHE</t>
  </si>
  <si>
    <t>MA-CHI</t>
  </si>
  <si>
    <t>Chichaoua</t>
  </si>
  <si>
    <t>as:GENC:6:ed2:MA-CHI</t>
  </si>
  <si>
    <t>MA-CHT</t>
  </si>
  <si>
    <t>Chtouka-Ait Baha</t>
  </si>
  <si>
    <t>as:GENC:6:ed2:MA-CHT</t>
  </si>
  <si>
    <t>MA-10</t>
  </si>
  <si>
    <t>Doukkala-Abda</t>
  </si>
  <si>
    <t>as:GENC:6:ed2:MA-10</t>
  </si>
  <si>
    <t>MA-HAJ</t>
  </si>
  <si>
    <t>El Hajeb</t>
  </si>
  <si>
    <t>as:GENC:6:ed2:MA-HAJ</t>
  </si>
  <si>
    <t>MA-JDI</t>
  </si>
  <si>
    <t>El Jadida</t>
  </si>
  <si>
    <t>as:GENC:6:ed2:MA-JDI</t>
  </si>
  <si>
    <t>MA-KES</t>
  </si>
  <si>
    <t>El Kelaa des Sraghna</t>
  </si>
  <si>
    <t>as:GENC:6:ed2:MA-KES</t>
  </si>
  <si>
    <t>MA-ERR</t>
  </si>
  <si>
    <t>Er Rachidia</t>
  </si>
  <si>
    <t>as:GENC:6:ed2:MA-ERR</t>
  </si>
  <si>
    <t>MA-ESI</t>
  </si>
  <si>
    <t>Essaouira</t>
  </si>
  <si>
    <t>as:GENC:6:ed2:MA-ESI</t>
  </si>
  <si>
    <t>MA-ESM</t>
  </si>
  <si>
    <t>Es Smara</t>
  </si>
  <si>
    <t>as:GENC:6:ed2:MA-ESM</t>
  </si>
  <si>
    <t>MA-FAH</t>
  </si>
  <si>
    <t>Fahs-Beni Makada</t>
  </si>
  <si>
    <t>as:GENC:6:ed2:MA-FAH</t>
  </si>
  <si>
    <t>MA-05</t>
  </si>
  <si>
    <t>Fès-Boulemane</t>
  </si>
  <si>
    <t>as:GENC:6:ed2:MA-05</t>
  </si>
  <si>
    <t>MA-FES</t>
  </si>
  <si>
    <t>Fès-Dar-Dbibegh</t>
  </si>
  <si>
    <t>as:GENC:6:ed2:MA-FES</t>
  </si>
  <si>
    <t>MA-FIG</t>
  </si>
  <si>
    <t>Figuig</t>
  </si>
  <si>
    <t>as:GENC:6:ed2:MA-FIG</t>
  </si>
  <si>
    <t>MA-02</t>
  </si>
  <si>
    <t>Gharb-Chrarda-Beni Hssen</t>
  </si>
  <si>
    <t>as:GENC:6:ed2:MA-02</t>
  </si>
  <si>
    <t>MA-08</t>
  </si>
  <si>
    <t>Grand Casablanca</t>
  </si>
  <si>
    <t>as:GENC:6:ed2:MA-08</t>
  </si>
  <si>
    <t>MA-GUE</t>
  </si>
  <si>
    <t>Guelmim</t>
  </si>
  <si>
    <t>as:GENC:6:ed2:MA-GUE</t>
  </si>
  <si>
    <t>MA-14</t>
  </si>
  <si>
    <t>Guelmim-Es Semara</t>
  </si>
  <si>
    <t>as:GENC:6:ed2:MA-14</t>
  </si>
  <si>
    <t>MA-IFR</t>
  </si>
  <si>
    <t>Ifrane</t>
  </si>
  <si>
    <t>as:GENC:6:ed2:MA-IFR</t>
  </si>
  <si>
    <t>MA-INE</t>
  </si>
  <si>
    <t>Inezgane-Ait Melloul</t>
  </si>
  <si>
    <t>as:GENC:6:ed2:MA-INE</t>
  </si>
  <si>
    <t>MA-JRA</t>
  </si>
  <si>
    <t>Jrada</t>
  </si>
  <si>
    <t>as:GENC:6:ed2:MA-JRA</t>
  </si>
  <si>
    <t>MA-KEN</t>
  </si>
  <si>
    <t>Kénitra</t>
  </si>
  <si>
    <t>as:GENC:6:ed2:MA-KEN</t>
  </si>
  <si>
    <t>MA-KHE</t>
  </si>
  <si>
    <t>Khemisset</t>
  </si>
  <si>
    <t>as:GENC:6:ed2:MA-KHE</t>
  </si>
  <si>
    <t>MA-KHN</t>
  </si>
  <si>
    <t>Khenifra</t>
  </si>
  <si>
    <t>as:GENC:6:ed2:MA-KHN</t>
  </si>
  <si>
    <t>MA-KHO</t>
  </si>
  <si>
    <t>Khouribga</t>
  </si>
  <si>
    <t>as:GENC:6:ed2:MA-KHO</t>
  </si>
  <si>
    <t>MA-LAA</t>
  </si>
  <si>
    <t>Laâyoune</t>
  </si>
  <si>
    <t>as:GENC:6:ed2:MA-LAA</t>
  </si>
  <si>
    <t>MA-15</t>
  </si>
  <si>
    <t>Laâyoune-Boujdour-Sakia El Hamra</t>
  </si>
  <si>
    <t>as:GENC:6:ed2:MA-15</t>
  </si>
  <si>
    <t>MA-LAR</t>
  </si>
  <si>
    <t>Larache</t>
  </si>
  <si>
    <t>as:GENC:6:ed2:MA-LAR</t>
  </si>
  <si>
    <t>MA-MMD</t>
  </si>
  <si>
    <t>Marrakech-Medina</t>
  </si>
  <si>
    <t>as:GENC:6:ed2:MA-MMD</t>
  </si>
  <si>
    <t>MA-MMN</t>
  </si>
  <si>
    <t>Marrakech-Menara</t>
  </si>
  <si>
    <t>as:GENC:6:ed2:MA-MMN</t>
  </si>
  <si>
    <t>MA-11</t>
  </si>
  <si>
    <t>Marrakech-Tensift-Al Haouz</t>
  </si>
  <si>
    <t>as:GENC:6:ed2:MA-11</t>
  </si>
  <si>
    <t>MA-MED</t>
  </si>
  <si>
    <t>Médiouna</t>
  </si>
  <si>
    <t>as:GENC:6:ed2:MA-MED</t>
  </si>
  <si>
    <t>MA-MEK</t>
  </si>
  <si>
    <t>Meknès</t>
  </si>
  <si>
    <t>as:GENC:6:ed2:MA-MEK</t>
  </si>
  <si>
    <t>MA-06</t>
  </si>
  <si>
    <t>Meknès-Tafilalet</t>
  </si>
  <si>
    <t>as:GENC:6:ed2:MA-06</t>
  </si>
  <si>
    <t>MA-MOH</t>
  </si>
  <si>
    <t>Mohammadia</t>
  </si>
  <si>
    <t>as:GENC:6:ed2:MA-MOH</t>
  </si>
  <si>
    <t>MA-MOU</t>
  </si>
  <si>
    <t>Moulay Yacoub</t>
  </si>
  <si>
    <t>as:GENC:6:ed2:MA-MOU</t>
  </si>
  <si>
    <t>MA-NAD</t>
  </si>
  <si>
    <t>Nador</t>
  </si>
  <si>
    <t>as:GENC:6:ed2:MA-NAD</t>
  </si>
  <si>
    <t>MA-NOU</t>
  </si>
  <si>
    <t>Nouaceur</t>
  </si>
  <si>
    <t>as:GENC:6:ed2:MA-NOU</t>
  </si>
  <si>
    <t>MA-04</t>
  </si>
  <si>
    <t>Oriental</t>
  </si>
  <si>
    <t>as:GENC:6:ed2:MA-04</t>
  </si>
  <si>
    <t>MA-OUA</t>
  </si>
  <si>
    <t>Ouarzazate</t>
  </si>
  <si>
    <t>as:GENC:6:ed2:MA-OUA</t>
  </si>
  <si>
    <t>MA-OUD</t>
  </si>
  <si>
    <t>Oued ed Dahab</t>
  </si>
  <si>
    <t>as:GENC:6:ed2:MA-OUD</t>
  </si>
  <si>
    <t>MA-16</t>
  </si>
  <si>
    <t>Oued ed Dahab-Lagouira</t>
  </si>
  <si>
    <t>as:GENC:6:ed2:MA-16</t>
  </si>
  <si>
    <t>MA-OUJ</t>
  </si>
  <si>
    <t>Oujda-Angad</t>
  </si>
  <si>
    <t>as:GENC:6:ed2:MA-OUJ</t>
  </si>
  <si>
    <t>MA-RAB</t>
  </si>
  <si>
    <t>as:GENC:6:ed2:MA-RAB</t>
  </si>
  <si>
    <t>MA-07</t>
  </si>
  <si>
    <t>Rabat-Salé-Zemmour-Zaër</t>
  </si>
  <si>
    <t>as:GENC:6:ed2:MA-07</t>
  </si>
  <si>
    <t>MA-SAF</t>
  </si>
  <si>
    <t>as:GENC:6:ed2:MA-SAF</t>
  </si>
  <si>
    <t>MA-SAL</t>
  </si>
  <si>
    <t>Salé</t>
  </si>
  <si>
    <t>as:GENC:6:ed2:MA-SAL</t>
  </si>
  <si>
    <t>MA-SEF</t>
  </si>
  <si>
    <t>Sefrou</t>
  </si>
  <si>
    <t>as:GENC:6:ed2:MA-SEF</t>
  </si>
  <si>
    <t>MA-SET</t>
  </si>
  <si>
    <t>Settat</t>
  </si>
  <si>
    <t>as:GENC:6:ed2:MA-SET</t>
  </si>
  <si>
    <t>MA-SIK</t>
  </si>
  <si>
    <t>Sidi Kacem</t>
  </si>
  <si>
    <t>as:GENC:6:ed2:MA-SIK</t>
  </si>
  <si>
    <t>MA-SYB</t>
  </si>
  <si>
    <t>Sidi Youssef Ben Ali</t>
  </si>
  <si>
    <t>as:GENC:6:ed2:MA-SYB</t>
  </si>
  <si>
    <t>MA-SKH</t>
  </si>
  <si>
    <t>Skhirat-Temara</t>
  </si>
  <si>
    <t>as:GENC:6:ed2:MA-SKH</t>
  </si>
  <si>
    <t>MA-13</t>
  </si>
  <si>
    <t>Souss-Massa-Drâa</t>
  </si>
  <si>
    <t>as:GENC:6:ed2:MA-13</t>
  </si>
  <si>
    <t>MA-12</t>
  </si>
  <si>
    <t>Tadla-Azilal</t>
  </si>
  <si>
    <t>as:GENC:6:ed2:MA-12</t>
  </si>
  <si>
    <t>MA-TNG</t>
  </si>
  <si>
    <t>Tanger-Asilah</t>
  </si>
  <si>
    <t>as:GENC:6:ed2:MA-TNG</t>
  </si>
  <si>
    <t>MA-01</t>
  </si>
  <si>
    <t>Tanger-Tétouan</t>
  </si>
  <si>
    <t>as:GENC:6:ed2:MA-01</t>
  </si>
  <si>
    <t>MA-TNT</t>
  </si>
  <si>
    <t>Tan-Tan</t>
  </si>
  <si>
    <t>as:GENC:6:ed2:MA-TNT</t>
  </si>
  <si>
    <t>MA-TAO</t>
  </si>
  <si>
    <t>Taounate</t>
  </si>
  <si>
    <t>as:GENC:6:ed2:MA-TAO</t>
  </si>
  <si>
    <t>MA-TAI</t>
  </si>
  <si>
    <t>Taourirt</t>
  </si>
  <si>
    <t>as:GENC:6:ed2:MA-TAI</t>
  </si>
  <si>
    <t>MA-TAR</t>
  </si>
  <si>
    <t>Taroudannt</t>
  </si>
  <si>
    <t>as:GENC:6:ed2:MA-TAR</t>
  </si>
  <si>
    <t>MA-TAT</t>
  </si>
  <si>
    <t>Tata</t>
  </si>
  <si>
    <t>as:GENC:6:ed2:MA-TAT</t>
  </si>
  <si>
    <t>MA-TAZ</t>
  </si>
  <si>
    <t>Taza</t>
  </si>
  <si>
    <t>as:GENC:6:ed2:MA-TAZ</t>
  </si>
  <si>
    <t>MA-03</t>
  </si>
  <si>
    <t>Taza-Al Hoceima-Taounate</t>
  </si>
  <si>
    <t>as:GENC:6:ed2:MA-03</t>
  </si>
  <si>
    <t>MA-TET</t>
  </si>
  <si>
    <t>Tétouan</t>
  </si>
  <si>
    <t>as:GENC:6:ed2:MA-TET</t>
  </si>
  <si>
    <t>MA-TIZ</t>
  </si>
  <si>
    <t>Tiznit</t>
  </si>
  <si>
    <t>as:GENC:6:ed2:MA-TIZ</t>
  </si>
  <si>
    <t>MA-ZAG</t>
  </si>
  <si>
    <t>Zagora</t>
  </si>
  <si>
    <t>as:GENC:6:ed2:MA-ZAG</t>
  </si>
  <si>
    <t>MZ-P</t>
  </si>
  <si>
    <t>Cabo Delgado</t>
  </si>
  <si>
    <t>as:ISO2:6:ed3:MZ-P</t>
  </si>
  <si>
    <t>MZ-G</t>
  </si>
  <si>
    <t>Gaza</t>
  </si>
  <si>
    <t>as:ISO2:6:ed3:MZ-G</t>
  </si>
  <si>
    <t>MZ-I</t>
  </si>
  <si>
    <t>Inhambane</t>
  </si>
  <si>
    <t>as:ISO2:6:ed3:MZ-I</t>
  </si>
  <si>
    <t>MZ-B</t>
  </si>
  <si>
    <t>Manica</t>
  </si>
  <si>
    <t>as:ISO2:6:ed3:MZ-B</t>
  </si>
  <si>
    <t>MZ-MPM</t>
  </si>
  <si>
    <t>Maputo</t>
  </si>
  <si>
    <t>as:ISO2:6:ed3:MZ-MPM</t>
  </si>
  <si>
    <t>MZ-L</t>
  </si>
  <si>
    <t>as:ISO2:6:ed3:MZ-L</t>
  </si>
  <si>
    <t>MZ-N</t>
  </si>
  <si>
    <t>Nampula</t>
  </si>
  <si>
    <t>as:ISO2:6:ed3:MZ-N</t>
  </si>
  <si>
    <t>MZ-A</t>
  </si>
  <si>
    <t>Niassa</t>
  </si>
  <si>
    <t>as:ISO2:6:ed3:MZ-A</t>
  </si>
  <si>
    <t>MZ-S</t>
  </si>
  <si>
    <t>Sofala</t>
  </si>
  <si>
    <t>as:ISO2:6:ed3:MZ-S</t>
  </si>
  <si>
    <t>MZ-T</t>
  </si>
  <si>
    <t>Tete</t>
  </si>
  <si>
    <t>as:ISO2:6:ed3:MZ-T</t>
  </si>
  <si>
    <t>MZ-Q</t>
  </si>
  <si>
    <t>Zambézia</t>
  </si>
  <si>
    <t>as:ISO2:6:ed3:MZ-Q</t>
  </si>
  <si>
    <t>NA-ER</t>
  </si>
  <si>
    <t>Erongo</t>
  </si>
  <si>
    <t>as:ISO2:6:ed3:NA-ER</t>
  </si>
  <si>
    <t>NA-HA</t>
  </si>
  <si>
    <t>Hardap</t>
  </si>
  <si>
    <t>as:ISO2:6:ed3:NA-HA</t>
  </si>
  <si>
    <t>NA-KA</t>
  </si>
  <si>
    <t>//Karas</t>
  </si>
  <si>
    <t>as:GENC:6:ed2:NA-KA</t>
  </si>
  <si>
    <t>NA-KE</t>
  </si>
  <si>
    <t>Kavango East</t>
  </si>
  <si>
    <t>as:GENC:6:ed2:NA-KE</t>
  </si>
  <si>
    <t>NA-KW</t>
  </si>
  <si>
    <t>Kavango West</t>
  </si>
  <si>
    <t>as:GENC:6:ed2:NA-KW</t>
  </si>
  <si>
    <t>NA-KH</t>
  </si>
  <si>
    <t>Khomas</t>
  </si>
  <si>
    <t>as:ISO2:6:ed3:NA-KH</t>
  </si>
  <si>
    <t>NA-KU</t>
  </si>
  <si>
    <t>Kunene</t>
  </si>
  <si>
    <t>as:ISO2:6:ed3:NA-KU</t>
  </si>
  <si>
    <t>NA-OW</t>
  </si>
  <si>
    <t>Ohangwena</t>
  </si>
  <si>
    <t>as:ISO2:6:ed3:NA-OW</t>
  </si>
  <si>
    <t>NA-OK</t>
  </si>
  <si>
    <t>Okavango</t>
  </si>
  <si>
    <t>as:GENC:6:ed2:NA-OK</t>
  </si>
  <si>
    <t>NA-OH</t>
  </si>
  <si>
    <t>Omaheke</t>
  </si>
  <si>
    <t>as:ISO2:6:ed3:NA-OH</t>
  </si>
  <si>
    <t>NA-OS</t>
  </si>
  <si>
    <t>Omusati</t>
  </si>
  <si>
    <t>as:ISO2:6:ed3:NA-OS</t>
  </si>
  <si>
    <t>NA-ON</t>
  </si>
  <si>
    <t>Oshana</t>
  </si>
  <si>
    <t>as:ISO2:6:ed3:NA-ON</t>
  </si>
  <si>
    <t>NA-OT</t>
  </si>
  <si>
    <t>Oshikoto</t>
  </si>
  <si>
    <t>as:ISO2:6:ed3:NA-OT</t>
  </si>
  <si>
    <t>NA-OD</t>
  </si>
  <si>
    <t>Otjozondjupa</t>
  </si>
  <si>
    <t>as:ISO2:6:ed3:NA-OD</t>
  </si>
  <si>
    <t>NA-CA</t>
  </si>
  <si>
    <t>Zambezi</t>
  </si>
  <si>
    <t>as:GENC:6:ed2:NA-CA</t>
  </si>
  <si>
    <t>NR-01</t>
  </si>
  <si>
    <t>Aiwo</t>
  </si>
  <si>
    <t>as:GENC:6:ed2:NR-01</t>
  </si>
  <si>
    <t>NR-02</t>
  </si>
  <si>
    <t>Anabar</t>
  </si>
  <si>
    <t>as:GENC:6:ed2:NR-02</t>
  </si>
  <si>
    <t>NR-03</t>
  </si>
  <si>
    <t>Anetan</t>
  </si>
  <si>
    <t>as:GENC:6:ed2:NR-03</t>
  </si>
  <si>
    <t>NR-04</t>
  </si>
  <si>
    <t>Anibare</t>
  </si>
  <si>
    <t>as:GENC:6:ed2:NR-04</t>
  </si>
  <si>
    <t>NR-05</t>
  </si>
  <si>
    <t>Baiti</t>
  </si>
  <si>
    <t>as:GENC:6:ed2:NR-05</t>
  </si>
  <si>
    <t>NR-06</t>
  </si>
  <si>
    <t>Boe</t>
  </si>
  <si>
    <t>as:GENC:6:ed2:NR-06</t>
  </si>
  <si>
    <t>NR-07</t>
  </si>
  <si>
    <t>Buada</t>
  </si>
  <si>
    <t>as:GENC:6:ed2:NR-07</t>
  </si>
  <si>
    <t>NR-08</t>
  </si>
  <si>
    <t>Denigomodu</t>
  </si>
  <si>
    <t>as:GENC:6:ed2:NR-08</t>
  </si>
  <si>
    <t>NR-09</t>
  </si>
  <si>
    <t>Ewa</t>
  </si>
  <si>
    <t>as:GENC:6:ed2:NR-09</t>
  </si>
  <si>
    <t>NR-10</t>
  </si>
  <si>
    <t>Ijuw</t>
  </si>
  <si>
    <t>as:GENC:6:ed2:NR-10</t>
  </si>
  <si>
    <t>NR-11</t>
  </si>
  <si>
    <t>Meneng</t>
  </si>
  <si>
    <t>as:GENC:6:ed2:NR-11</t>
  </si>
  <si>
    <t>NR-12</t>
  </si>
  <si>
    <t>Nibok</t>
  </si>
  <si>
    <t>as:GENC:6:ed2:NR-12</t>
  </si>
  <si>
    <t>NR-13</t>
  </si>
  <si>
    <t>Uaboe</t>
  </si>
  <si>
    <t>as:GENC:6:ed2:NR-13</t>
  </si>
  <si>
    <t>NR-14</t>
  </si>
  <si>
    <t>Yaren</t>
  </si>
  <si>
    <t>as:GENC:6:ed2:NR-14</t>
  </si>
  <si>
    <t>NP-BA</t>
  </si>
  <si>
    <t>Bāgmatī</t>
  </si>
  <si>
    <t>zone</t>
  </si>
  <si>
    <t>as:GENC:6:ed2:NP-BA</t>
  </si>
  <si>
    <t>NP-BH</t>
  </si>
  <si>
    <t>Bherī</t>
  </si>
  <si>
    <t>as:GENC:6:ed2:NP-BH</t>
  </si>
  <si>
    <t>NP-DH</t>
  </si>
  <si>
    <t>Dhawalāgiri</t>
  </si>
  <si>
    <t>as:GENC:6:ed2:NP-DH</t>
  </si>
  <si>
    <t>NP-GA</t>
  </si>
  <si>
    <t>Gandakī</t>
  </si>
  <si>
    <t>as:GENC:6:ed2:NP-GA</t>
  </si>
  <si>
    <t>NP-JA</t>
  </si>
  <si>
    <t>Janakpur</t>
  </si>
  <si>
    <t>as:GENC:6:ed2:NP-JA</t>
  </si>
  <si>
    <t>NP-KA</t>
  </si>
  <si>
    <t>Karnālī</t>
  </si>
  <si>
    <t>as:GENC:6:ed2:NP-KA</t>
  </si>
  <si>
    <t>NP-KO</t>
  </si>
  <si>
    <t>Kosī</t>
  </si>
  <si>
    <t>as:GENC:6:ed2:NP-KO</t>
  </si>
  <si>
    <t>NP-LU</t>
  </si>
  <si>
    <t>Lumbinī</t>
  </si>
  <si>
    <t>as:GENC:6:ed2:NP-LU</t>
  </si>
  <si>
    <t>NP-1</t>
  </si>
  <si>
    <t>Madhyamanchal</t>
  </si>
  <si>
    <t>development region</t>
  </si>
  <si>
    <t>as:GENC:6:ed2:NP-1</t>
  </si>
  <si>
    <t>NP-2</t>
  </si>
  <si>
    <t>Madhya Pashchimanchal</t>
  </si>
  <si>
    <t>as:GENC:6:ed2:NP-2</t>
  </si>
  <si>
    <t>NP-MA</t>
  </si>
  <si>
    <t>Mahākālī</t>
  </si>
  <si>
    <t>as:GENC:6:ed2:NP-MA</t>
  </si>
  <si>
    <t>NP-ME</t>
  </si>
  <si>
    <t>Mechī</t>
  </si>
  <si>
    <t>as:GENC:6:ed2:NP-ME</t>
  </si>
  <si>
    <t>NP-NA</t>
  </si>
  <si>
    <t>Nārāyanī</t>
  </si>
  <si>
    <t>as:GENC:6:ed2:NP-NA</t>
  </si>
  <si>
    <t>NP-3</t>
  </si>
  <si>
    <t>Pashchimanchal</t>
  </si>
  <si>
    <t>as:GENC:6:ed2:NP-3</t>
  </si>
  <si>
    <t>NP-4</t>
  </si>
  <si>
    <t>Purwanchal</t>
  </si>
  <si>
    <t>as:GENC:6:ed2:NP-4</t>
  </si>
  <si>
    <t>NP-RA</t>
  </si>
  <si>
    <t>Rāptī</t>
  </si>
  <si>
    <t>as:GENC:6:ed2:NP-RA</t>
  </si>
  <si>
    <t>NP-SA</t>
  </si>
  <si>
    <t>Sagarmāthā</t>
  </si>
  <si>
    <t>as:GENC:6:ed2:NP-SA</t>
  </si>
  <si>
    <t>NP-SE</t>
  </si>
  <si>
    <t>Setī</t>
  </si>
  <si>
    <t>as:GENC:6:ed2:NP-SE</t>
  </si>
  <si>
    <t>NP-5</t>
  </si>
  <si>
    <t>Sudur Pashchimanchal</t>
  </si>
  <si>
    <t>as:GENC:6:ed2:NP-5</t>
  </si>
  <si>
    <t>NL-AW</t>
  </si>
  <si>
    <t>country</t>
  </si>
  <si>
    <t>as:GENC:6:ed2:NL-AW</t>
  </si>
  <si>
    <t>NL-BQ1</t>
  </si>
  <si>
    <t>as:GENC:6:ed2:NL-BQ1</t>
  </si>
  <si>
    <t>NL-CW</t>
  </si>
  <si>
    <t>as:GENC:6:ed2:NL-CW</t>
  </si>
  <si>
    <t>NL-DR</t>
  </si>
  <si>
    <t>Drenthe</t>
  </si>
  <si>
    <t>as:ISO2:6:ed3:NL-DR</t>
  </si>
  <si>
    <t>NL-FL</t>
  </si>
  <si>
    <t>Flevoland</t>
  </si>
  <si>
    <t>as:ISO2:6:ed3:NL-FL</t>
  </si>
  <si>
    <t>NL-FR</t>
  </si>
  <si>
    <t>Fryslân</t>
  </si>
  <si>
    <t>as:GENC:6:ed2:NL-FR</t>
  </si>
  <si>
    <t>NL-GE</t>
  </si>
  <si>
    <t>Gelderland</t>
  </si>
  <si>
    <t>as:ISO2:6:ed3:NL-GE</t>
  </si>
  <si>
    <t>NL-GR</t>
  </si>
  <si>
    <t>Groningen</t>
  </si>
  <si>
    <t>as:ISO2:6:ed3:NL-GR</t>
  </si>
  <si>
    <t>NL-LI</t>
  </si>
  <si>
    <t>as:ISO2:6:ed3:NL-LI</t>
  </si>
  <si>
    <t>NL-NB</t>
  </si>
  <si>
    <t>Noord-Brabant</t>
  </si>
  <si>
    <t>as:ISO2:6:ed3:NL-NB</t>
  </si>
  <si>
    <t>NL-NH</t>
  </si>
  <si>
    <t>Noord-Holland</t>
  </si>
  <si>
    <t>as:ISO2:6:ed3:NL-NH</t>
  </si>
  <si>
    <t>NL-OV</t>
  </si>
  <si>
    <t>Overijssel</t>
  </si>
  <si>
    <t>as:ISO2:6:ed3:NL-OV</t>
  </si>
  <si>
    <t>NL-BQ2</t>
  </si>
  <si>
    <t>as:GENC:6:ed2:NL-BQ2</t>
  </si>
  <si>
    <t>NL-BQ3</t>
  </si>
  <si>
    <t>as:GENC:6:ed2:NL-BQ3</t>
  </si>
  <si>
    <t>NL-SX</t>
  </si>
  <si>
    <t>as:GENC:6:ed2:NL-SX</t>
  </si>
  <si>
    <t>NL-UT</t>
  </si>
  <si>
    <t>Utrecht</t>
  </si>
  <si>
    <t>as:ISO2:6:ed3:NL-UT</t>
  </si>
  <si>
    <t>NL-ZE</t>
  </si>
  <si>
    <t>Zeeland</t>
  </si>
  <si>
    <t>as:ISO2:6:ed3:NL-ZE</t>
  </si>
  <si>
    <t>NL-ZH</t>
  </si>
  <si>
    <t>Zuid-Holland</t>
  </si>
  <si>
    <t>as:ISO2:6:ed3:NL-ZH</t>
  </si>
  <si>
    <t>NZ-AUK</t>
  </si>
  <si>
    <t>Auckland</t>
  </si>
  <si>
    <t>as:GENC:6:ed2:NZ-AUK</t>
  </si>
  <si>
    <t>NZ-BOP</t>
  </si>
  <si>
    <t>Bay of Plenty</t>
  </si>
  <si>
    <t>as:GENC:6:ed2:NZ-BOP</t>
  </si>
  <si>
    <t>NZ-CAN</t>
  </si>
  <si>
    <t>Canterbury</t>
  </si>
  <si>
    <t>as:GENC:6:ed2:NZ-CAN</t>
  </si>
  <si>
    <t>NZ-CIT</t>
  </si>
  <si>
    <t>Chatham Islands</t>
  </si>
  <si>
    <t>as:GENC:6:ed2:NZ-CIT</t>
  </si>
  <si>
    <t>NZ-GIS</t>
  </si>
  <si>
    <t>Gisborne</t>
  </si>
  <si>
    <t>as:GENC:6:ed2:NZ-GIS</t>
  </si>
  <si>
    <t>NZ-HKB</t>
  </si>
  <si>
    <t>Hawke’s Bay</t>
  </si>
  <si>
    <t>as:GENC:6:ed2:NZ-HKB</t>
  </si>
  <si>
    <t>NZ-MWT</t>
  </si>
  <si>
    <t>Manawatu-Wanganui</t>
  </si>
  <si>
    <t>as:GENC:6:ed2:NZ-MWT</t>
  </si>
  <si>
    <t>NZ-MBH</t>
  </si>
  <si>
    <t>Marlborough</t>
  </si>
  <si>
    <t>as:GENC:6:ed2:NZ-MBH</t>
  </si>
  <si>
    <t>NZ-NSN</t>
  </si>
  <si>
    <t>Nelson</t>
  </si>
  <si>
    <t>as:GENC:6:ed2:NZ-NSN</t>
  </si>
  <si>
    <t>NZ-N</t>
  </si>
  <si>
    <t>North Island</t>
  </si>
  <si>
    <t>island</t>
  </si>
  <si>
    <t>as:ISO2:6:ed3:NZ-N</t>
  </si>
  <si>
    <t>NZ-NTL</t>
  </si>
  <si>
    <t>Northland</t>
  </si>
  <si>
    <t>as:GENC:6:ed2:NZ-NTL</t>
  </si>
  <si>
    <t>NZ-OTA</t>
  </si>
  <si>
    <t>Otago</t>
  </si>
  <si>
    <t>as:GENC:6:ed2:NZ-OTA</t>
  </si>
  <si>
    <t>NZ-S</t>
  </si>
  <si>
    <t>South Island</t>
  </si>
  <si>
    <t>as:ISO2:6:ed3:NZ-S</t>
  </si>
  <si>
    <t>NZ-STL</t>
  </si>
  <si>
    <t>Southland</t>
  </si>
  <si>
    <t>as:GENC:6:ed2:NZ-STL</t>
  </si>
  <si>
    <t>NZ-TKI</t>
  </si>
  <si>
    <t>Taranaki</t>
  </si>
  <si>
    <t>as:GENC:6:ed2:NZ-TKI</t>
  </si>
  <si>
    <t>NZ-TAS</t>
  </si>
  <si>
    <t>Tasman</t>
  </si>
  <si>
    <t>as:GENC:6:ed2:NZ-TAS</t>
  </si>
  <si>
    <t>NZ-WKO</t>
  </si>
  <si>
    <t>Waikato</t>
  </si>
  <si>
    <t>as:GENC:6:ed2:NZ-WKO</t>
  </si>
  <si>
    <t>NZ-WGN</t>
  </si>
  <si>
    <t>Wellington</t>
  </si>
  <si>
    <t>as:GENC:6:ed2:NZ-WGN</t>
  </si>
  <si>
    <t>NZ-WTC</t>
  </si>
  <si>
    <t>West Coast</t>
  </si>
  <si>
    <t>as:GENC:6:ed2:NZ-WTC</t>
  </si>
  <si>
    <t>NI-AN</t>
  </si>
  <si>
    <t>Atlántico Norte</t>
  </si>
  <si>
    <t>as:ISO2:6:ed3:NI-AN</t>
  </si>
  <si>
    <t>NI-AS</t>
  </si>
  <si>
    <t>Atlántico Sur</t>
  </si>
  <si>
    <t>as:ISO2:6:ed3:NI-AS</t>
  </si>
  <si>
    <t>NI-BO</t>
  </si>
  <si>
    <t>Boaco</t>
  </si>
  <si>
    <t>as:ISO2:6:ed3:NI-BO</t>
  </si>
  <si>
    <t>NI-CA</t>
  </si>
  <si>
    <t>Carazo</t>
  </si>
  <si>
    <t>as:ISO2:6:ed3:NI-CA</t>
  </si>
  <si>
    <t>NI-CI</t>
  </si>
  <si>
    <t>Chinandega</t>
  </si>
  <si>
    <t>as:ISO2:6:ed3:NI-CI</t>
  </si>
  <si>
    <t>NI-CO</t>
  </si>
  <si>
    <t>Chontales</t>
  </si>
  <si>
    <t>as:ISO2:6:ed3:NI-CO</t>
  </si>
  <si>
    <t>NI-ES</t>
  </si>
  <si>
    <t>Estelí</t>
  </si>
  <si>
    <t>as:ISO2:6:ed3:NI-ES</t>
  </si>
  <si>
    <t>NI-GR</t>
  </si>
  <si>
    <t>Granada</t>
  </si>
  <si>
    <t>as:ISO2:6:ed3:NI-GR</t>
  </si>
  <si>
    <t>NI-JI</t>
  </si>
  <si>
    <t>Jinotega</t>
  </si>
  <si>
    <t>as:ISO2:6:ed3:NI-JI</t>
  </si>
  <si>
    <t>NI-LE</t>
  </si>
  <si>
    <t>León</t>
  </si>
  <si>
    <t>as:ISO2:6:ed3:NI-LE</t>
  </si>
  <si>
    <t>NI-MD</t>
  </si>
  <si>
    <t>Madriz</t>
  </si>
  <si>
    <t>as:ISO2:6:ed3:NI-MD</t>
  </si>
  <si>
    <t>NI-MN</t>
  </si>
  <si>
    <t>Managua</t>
  </si>
  <si>
    <t>as:ISO2:6:ed3:NI-MN</t>
  </si>
  <si>
    <t>NI-MS</t>
  </si>
  <si>
    <t>Masaya</t>
  </si>
  <si>
    <t>as:ISO2:6:ed3:NI-MS</t>
  </si>
  <si>
    <t>NI-MT</t>
  </si>
  <si>
    <t>Matagalpa</t>
  </si>
  <si>
    <t>as:ISO2:6:ed3:NI-MT</t>
  </si>
  <si>
    <t>NI-NS</t>
  </si>
  <si>
    <t>Nueva Segovia</t>
  </si>
  <si>
    <t>as:ISO2:6:ed3:NI-NS</t>
  </si>
  <si>
    <t>NI-SJ</t>
  </si>
  <si>
    <t>Río San Juan</t>
  </si>
  <si>
    <t>as:ISO2:6:ed3:NI-SJ</t>
  </si>
  <si>
    <t>NI-RI</t>
  </si>
  <si>
    <t>Rivas</t>
  </si>
  <si>
    <t>as:ISO2:6:ed3:NI-RI</t>
  </si>
  <si>
    <t>NE-1</t>
  </si>
  <si>
    <t>Agadez</t>
  </si>
  <si>
    <t>as:GENC:6:ed2:NE-1</t>
  </si>
  <si>
    <t>NE-2</t>
  </si>
  <si>
    <t>Diffa</t>
  </si>
  <si>
    <t>as:GENC:6:ed2:NE-2</t>
  </si>
  <si>
    <t>NE-3</t>
  </si>
  <si>
    <t>Dosso</t>
  </si>
  <si>
    <t>as:GENC:6:ed2:NE-3</t>
  </si>
  <si>
    <t>NE-4</t>
  </si>
  <si>
    <t>Maradi</t>
  </si>
  <si>
    <t>as:GENC:6:ed2:NE-4</t>
  </si>
  <si>
    <t>NE-8</t>
  </si>
  <si>
    <t>Niamey</t>
  </si>
  <si>
    <t>as:GENC:6:ed2:NE-8</t>
  </si>
  <si>
    <t>NE-5</t>
  </si>
  <si>
    <t>Tahoua</t>
  </si>
  <si>
    <t>as:GENC:6:ed2:NE-5</t>
  </si>
  <si>
    <t>NE-6</t>
  </si>
  <si>
    <t>Tillabéri</t>
  </si>
  <si>
    <t>as:GENC:6:ed2:NE-6</t>
  </si>
  <si>
    <t>NE-7</t>
  </si>
  <si>
    <t>Zinder</t>
  </si>
  <si>
    <t>as:GENC:6:ed2:NE-7</t>
  </si>
  <si>
    <t>NG-AB</t>
  </si>
  <si>
    <t>Abia</t>
  </si>
  <si>
    <t>as:ISO2:6:ed3:NG-AB</t>
  </si>
  <si>
    <t>NG-AD</t>
  </si>
  <si>
    <t>Adamawa</t>
  </si>
  <si>
    <t>as:ISO2:6:ed3:NG-AD</t>
  </si>
  <si>
    <t>NG-AK</t>
  </si>
  <si>
    <t>Akwa Ibom</t>
  </si>
  <si>
    <t>as:ISO2:6:ed3:NG-AK</t>
  </si>
  <si>
    <t>NG-AN</t>
  </si>
  <si>
    <t>Anambra</t>
  </si>
  <si>
    <t>as:ISO2:6:ed3:NG-AN</t>
  </si>
  <si>
    <t>NG-BA</t>
  </si>
  <si>
    <t>Bauchi</t>
  </si>
  <si>
    <t>as:ISO2:6:ed3:NG-BA</t>
  </si>
  <si>
    <t>NG-BY</t>
  </si>
  <si>
    <t>Bayelsa</t>
  </si>
  <si>
    <t>as:ISO2:6:ed3:NG-BY</t>
  </si>
  <si>
    <t>NG-BE</t>
  </si>
  <si>
    <t>Benue</t>
  </si>
  <si>
    <t>as:ISO2:6:ed3:NG-BE</t>
  </si>
  <si>
    <t>NG-BO</t>
  </si>
  <si>
    <t>Borno</t>
  </si>
  <si>
    <t>as:ISO2:6:ed3:NG-BO</t>
  </si>
  <si>
    <t>NG-CR</t>
  </si>
  <si>
    <t>Cross River</t>
  </si>
  <si>
    <t>as:ISO2:6:ed3:NG-CR</t>
  </si>
  <si>
    <t>NG-DE</t>
  </si>
  <si>
    <t>Delta</t>
  </si>
  <si>
    <t>as:ISO2:6:ed3:NG-DE</t>
  </si>
  <si>
    <t>NG-EB</t>
  </si>
  <si>
    <t>Ebonyi</t>
  </si>
  <si>
    <t>as:ISO2:6:ed3:NG-EB</t>
  </si>
  <si>
    <t>NG-ED</t>
  </si>
  <si>
    <t>Edo</t>
  </si>
  <si>
    <t>as:ISO2:6:ed3:NG-ED</t>
  </si>
  <si>
    <t>NG-EK</t>
  </si>
  <si>
    <t>Ekiti</t>
  </si>
  <si>
    <t>as:ISO2:6:ed3:NG-EK</t>
  </si>
  <si>
    <t>NG-EN</t>
  </si>
  <si>
    <t>Enugu</t>
  </si>
  <si>
    <t>as:ISO2:6:ed3:NG-EN</t>
  </si>
  <si>
    <t>NG-FC</t>
  </si>
  <si>
    <t>Federal Capital Territory</t>
  </si>
  <si>
    <t>capital territory</t>
  </si>
  <si>
    <t>as:GENC:6:ed2:NG-FC</t>
  </si>
  <si>
    <t>NG-GO</t>
  </si>
  <si>
    <t>Gombe</t>
  </si>
  <si>
    <t>as:ISO2:6:ed3:NG-GO</t>
  </si>
  <si>
    <t>NG-IM</t>
  </si>
  <si>
    <t>Imo</t>
  </si>
  <si>
    <t>as:ISO2:6:ed3:NG-IM</t>
  </si>
  <si>
    <t>NG-JI</t>
  </si>
  <si>
    <t>Jigawa</t>
  </si>
  <si>
    <t>as:ISO2:6:ed3:NG-JI</t>
  </si>
  <si>
    <t>NG-KD</t>
  </si>
  <si>
    <t>Kaduna</t>
  </si>
  <si>
    <t>as:ISO2:6:ed3:NG-KD</t>
  </si>
  <si>
    <t>NG-KN</t>
  </si>
  <si>
    <t>Kano</t>
  </si>
  <si>
    <t>as:ISO2:6:ed3:NG-KN</t>
  </si>
  <si>
    <t>NG-KT</t>
  </si>
  <si>
    <t>Katsina</t>
  </si>
  <si>
    <t>as:ISO2:6:ed3:NG-KT</t>
  </si>
  <si>
    <t>NG-KE</t>
  </si>
  <si>
    <t>Kebbi</t>
  </si>
  <si>
    <t>as:ISO2:6:ed3:NG-KE</t>
  </si>
  <si>
    <t>NG-KO</t>
  </si>
  <si>
    <t>Kogi</t>
  </si>
  <si>
    <t>as:ISO2:6:ed3:NG-KO</t>
  </si>
  <si>
    <t>NG-KW</t>
  </si>
  <si>
    <t>Kwara</t>
  </si>
  <si>
    <t>as:ISO2:6:ed3:NG-KW</t>
  </si>
  <si>
    <t>NG-LA</t>
  </si>
  <si>
    <t>Lagos</t>
  </si>
  <si>
    <t>as:ISO2:6:ed3:NG-LA</t>
  </si>
  <si>
    <t>NG-NA</t>
  </si>
  <si>
    <t>Nasarawa</t>
  </si>
  <si>
    <t>as:GENC:6:ed2:NG-NA</t>
  </si>
  <si>
    <t>NG-NI</t>
  </si>
  <si>
    <t>as:ISO2:6:ed3:NG-NI</t>
  </si>
  <si>
    <t>NG-OG</t>
  </si>
  <si>
    <t>Ogun</t>
  </si>
  <si>
    <t>as:ISO2:6:ed3:NG-OG</t>
  </si>
  <si>
    <t>NG-ON</t>
  </si>
  <si>
    <t>Ondo</t>
  </si>
  <si>
    <t>as:ISO2:6:ed3:NG-ON</t>
  </si>
  <si>
    <t>NG-OS</t>
  </si>
  <si>
    <t>Osun</t>
  </si>
  <si>
    <t>as:ISO2:6:ed3:NG-OS</t>
  </si>
  <si>
    <t>NG-OY</t>
  </si>
  <si>
    <t>Oyo</t>
  </si>
  <si>
    <t>as:ISO2:6:ed3:NG-OY</t>
  </si>
  <si>
    <t>NG-PL</t>
  </si>
  <si>
    <t>as:ISO2:6:ed3:NG-PL</t>
  </si>
  <si>
    <t>NG-RI</t>
  </si>
  <si>
    <t>Rivers</t>
  </si>
  <si>
    <t>as:ISO2:6:ed3:NG-RI</t>
  </si>
  <si>
    <t>NG-SO</t>
  </si>
  <si>
    <t>Sokoto</t>
  </si>
  <si>
    <t>as:ISO2:6:ed3:NG-SO</t>
  </si>
  <si>
    <t>NG-TA</t>
  </si>
  <si>
    <t>Taraba</t>
  </si>
  <si>
    <t>as:ISO2:6:ed3:NG-TA</t>
  </si>
  <si>
    <t>NG-YO</t>
  </si>
  <si>
    <t>Yobe</t>
  </si>
  <si>
    <t>as:ISO2:6:ed3:NG-YO</t>
  </si>
  <si>
    <t>NG-ZA</t>
  </si>
  <si>
    <t>Zamfara</t>
  </si>
  <si>
    <t>as:ISO2:6:ed3:NG-ZA</t>
  </si>
  <si>
    <t>NO-02</t>
  </si>
  <si>
    <t>Akershus</t>
  </si>
  <si>
    <t>as:GENC:6:ed2:NO-02</t>
  </si>
  <si>
    <t>NO-09</t>
  </si>
  <si>
    <t>Aust-Agder</t>
  </si>
  <si>
    <t>as:GENC:6:ed2:NO-09</t>
  </si>
  <si>
    <t>NO-06</t>
  </si>
  <si>
    <t>Buskerud</t>
  </si>
  <si>
    <t>as:GENC:6:ed2:NO-06</t>
  </si>
  <si>
    <t>NO-20</t>
  </si>
  <si>
    <t>Finnmark</t>
  </si>
  <si>
    <t>as:GENC:6:ed2:NO-20</t>
  </si>
  <si>
    <t>NO-04</t>
  </si>
  <si>
    <t>Hedmark</t>
  </si>
  <si>
    <t>as:GENC:6:ed2:NO-04</t>
  </si>
  <si>
    <t>NO-12</t>
  </si>
  <si>
    <t>Hordaland</t>
  </si>
  <si>
    <t>as:GENC:6:ed2:NO-12</t>
  </si>
  <si>
    <t>NO-22</t>
  </si>
  <si>
    <t>Jan Mayen (Arctic Region)</t>
  </si>
  <si>
    <t>arctic region</t>
  </si>
  <si>
    <t>as:GENC:6:ed2:NO-22</t>
  </si>
  <si>
    <t>NO-15</t>
  </si>
  <si>
    <t>Møre og Romsdal</t>
  </si>
  <si>
    <t>as:GENC:6:ed2:NO-15</t>
  </si>
  <si>
    <t>NO-18</t>
  </si>
  <si>
    <t>Nordland</t>
  </si>
  <si>
    <t>as:GENC:6:ed2:NO-18</t>
  </si>
  <si>
    <t>NO-17</t>
  </si>
  <si>
    <t>Nord-Trøndelag</t>
  </si>
  <si>
    <t>as:GENC:6:ed2:NO-17</t>
  </si>
  <si>
    <t>NO-05</t>
  </si>
  <si>
    <t>Oppland</t>
  </si>
  <si>
    <t>as:GENC:6:ed2:NO-05</t>
  </si>
  <si>
    <t>NO-03</t>
  </si>
  <si>
    <t>Oslo</t>
  </si>
  <si>
    <t>as:GENC:6:ed2:NO-03</t>
  </si>
  <si>
    <t>NO-01</t>
  </si>
  <si>
    <t>Østfold</t>
  </si>
  <si>
    <t>as:GENC:6:ed2:NO-01</t>
  </si>
  <si>
    <t>NO-11</t>
  </si>
  <si>
    <t>Rogaland</t>
  </si>
  <si>
    <t>as:GENC:6:ed2:NO-11</t>
  </si>
  <si>
    <t>NO-14</t>
  </si>
  <si>
    <t>Sogn og Fjordane</t>
  </si>
  <si>
    <t>as:GENC:6:ed2:NO-14</t>
  </si>
  <si>
    <t>NO-16</t>
  </si>
  <si>
    <t>Sør-Trøndelag</t>
  </si>
  <si>
    <t>as:GENC:6:ed2:NO-16</t>
  </si>
  <si>
    <t>NO-21</t>
  </si>
  <si>
    <t>Svalbard (Arctic Region)</t>
  </si>
  <si>
    <t>as:GENC:6:ed2:NO-21</t>
  </si>
  <si>
    <t>NO-08</t>
  </si>
  <si>
    <t>Telemark</t>
  </si>
  <si>
    <t>as:GENC:6:ed2:NO-08</t>
  </si>
  <si>
    <t>NO-19</t>
  </si>
  <si>
    <t>Troms</t>
  </si>
  <si>
    <t>as:GENC:6:ed2:NO-19</t>
  </si>
  <si>
    <t>NO-10</t>
  </si>
  <si>
    <t>Vest-Agder</t>
  </si>
  <si>
    <t>as:GENC:6:ed2:NO-10</t>
  </si>
  <si>
    <t>NO-07</t>
  </si>
  <si>
    <t>Vestfold</t>
  </si>
  <si>
    <t>as:GENC:6:ed2:NO-07</t>
  </si>
  <si>
    <t>OM-DA</t>
  </si>
  <si>
    <t>Ad Dākhilīyah</t>
  </si>
  <si>
    <t>as:GENC:6:ed2:OM-DA</t>
  </si>
  <si>
    <t>OM-BA</t>
  </si>
  <si>
    <t>Al Bāţinah</t>
  </si>
  <si>
    <t>as:GENC:6:ed2:OM-BA</t>
  </si>
  <si>
    <t>OM-BU</t>
  </si>
  <si>
    <t>Al Buraymī</t>
  </si>
  <si>
    <t>as:GENC:6:ed2:OM-BU</t>
  </si>
  <si>
    <t>OM-WU</t>
  </si>
  <si>
    <t>as:GENC:6:ed2:OM-WU</t>
  </si>
  <si>
    <t>OM-SH</t>
  </si>
  <si>
    <t>as:GENC:6:ed2:OM-SH</t>
  </si>
  <si>
    <t>OM-ZA</t>
  </si>
  <si>
    <t>Az̧ Z̧āhirah</t>
  </si>
  <si>
    <t>as:GENC:6:ed2:OM-ZA</t>
  </si>
  <si>
    <t>OM-JB</t>
  </si>
  <si>
    <t>Janūb al Bāţinah</t>
  </si>
  <si>
    <t>as:GENC:6:ed2:OM-JB</t>
  </si>
  <si>
    <t>OM-JS</t>
  </si>
  <si>
    <t>Janūb ash Sharqīyah</t>
  </si>
  <si>
    <t>as:GENC:6:ed2:OM-JS</t>
  </si>
  <si>
    <t>OM-MA</t>
  </si>
  <si>
    <t>Masqaţ</t>
  </si>
  <si>
    <t>as:GENC:6:ed2:OM-MA</t>
  </si>
  <si>
    <t>OM-MU</t>
  </si>
  <si>
    <t>Musandam</t>
  </si>
  <si>
    <t>as:GENC:6:ed2:OM-MU</t>
  </si>
  <si>
    <t>OM-SB</t>
  </si>
  <si>
    <t>Shamāl al Bāţinah</t>
  </si>
  <si>
    <t>as:GENC:6:ed2:OM-SB</t>
  </si>
  <si>
    <t>OM-SS</t>
  </si>
  <si>
    <t>Shamāl ash Sharqīyah</t>
  </si>
  <si>
    <t>as:GENC:6:ed2:OM-SS</t>
  </si>
  <si>
    <t>OM-ZU</t>
  </si>
  <si>
    <t>Z̧ufār</t>
  </si>
  <si>
    <t>as:GENC:6:ed2:OM-ZU</t>
  </si>
  <si>
    <t>PK-JK</t>
  </si>
  <si>
    <t>Azad Kashmir</t>
  </si>
  <si>
    <t>Pakistan administered area</t>
  </si>
  <si>
    <t>as:GENC:6:ed2:PK-JK</t>
  </si>
  <si>
    <t>PK-BA</t>
  </si>
  <si>
    <t>Balochistān</t>
  </si>
  <si>
    <t>as:GENC:6:ed2:PK-BA</t>
  </si>
  <si>
    <t>PK-TA</t>
  </si>
  <si>
    <t>Federally Administered Tribal Areas</t>
  </si>
  <si>
    <t>as:GENC:6:ed2:PK-TA</t>
  </si>
  <si>
    <t>PK-GB</t>
  </si>
  <si>
    <t>Gilgit-Baltistan</t>
  </si>
  <si>
    <t>as:GENC:6:ed2:PK-GB</t>
  </si>
  <si>
    <t>PK-IS</t>
  </si>
  <si>
    <t>Islāmābād</t>
  </si>
  <si>
    <t>as:GENC:6:ed2:PK-IS</t>
  </si>
  <si>
    <t>PK-KP</t>
  </si>
  <si>
    <t>Khyber Pakhtunkhwa</t>
  </si>
  <si>
    <t>as:GENC:6:ed2:PK-KP</t>
  </si>
  <si>
    <t>PK-PB</t>
  </si>
  <si>
    <t>as:GENC:6:ed2:PK-PB</t>
  </si>
  <si>
    <t>PK-SD</t>
  </si>
  <si>
    <t>Sindh</t>
  </si>
  <si>
    <t>as:GENC:6:ed2:PK-SD</t>
  </si>
  <si>
    <t>PW-002</t>
  </si>
  <si>
    <t>Aimeliik</t>
  </si>
  <si>
    <t>as:GENC:6:ed2:PW-002</t>
  </si>
  <si>
    <t>PW-004</t>
  </si>
  <si>
    <t>Airai</t>
  </si>
  <si>
    <t>as:GENC:6:ed2:PW-004</t>
  </si>
  <si>
    <t>PW-010</t>
  </si>
  <si>
    <t>Angaur</t>
  </si>
  <si>
    <t>as:GENC:6:ed2:PW-010</t>
  </si>
  <si>
    <t>PW-050</t>
  </si>
  <si>
    <t>Hatohobei</t>
  </si>
  <si>
    <t>as:GENC:6:ed2:PW-050</t>
  </si>
  <si>
    <t>PW-100</t>
  </si>
  <si>
    <t>Kayangel</t>
  </si>
  <si>
    <t>as:GENC:6:ed2:PW-100</t>
  </si>
  <si>
    <t>PW-150</t>
  </si>
  <si>
    <t>Koror</t>
  </si>
  <si>
    <t>as:GENC:6:ed2:PW-150</t>
  </si>
  <si>
    <t>PW-212</t>
  </si>
  <si>
    <t>Melekeok</t>
  </si>
  <si>
    <t>as:GENC:6:ed2:PW-212</t>
  </si>
  <si>
    <t>PW-214</t>
  </si>
  <si>
    <t>Ngaraard</t>
  </si>
  <si>
    <t>as:GENC:6:ed2:PW-214</t>
  </si>
  <si>
    <t>PW-218</t>
  </si>
  <si>
    <t>Ngarchelong</t>
  </si>
  <si>
    <t>as:GENC:6:ed2:PW-218</t>
  </si>
  <si>
    <t>PW-222</t>
  </si>
  <si>
    <t>Ngardmau</t>
  </si>
  <si>
    <t>as:GENC:6:ed2:PW-222</t>
  </si>
  <si>
    <t>PW-224</t>
  </si>
  <si>
    <t>Ngatpang</t>
  </si>
  <si>
    <t>as:GENC:6:ed2:PW-224</t>
  </si>
  <si>
    <t>PW-226</t>
  </si>
  <si>
    <t>Ngchesar</t>
  </si>
  <si>
    <t>as:GENC:6:ed2:PW-226</t>
  </si>
  <si>
    <t>PW-227</t>
  </si>
  <si>
    <t>Ngeremlengui</t>
  </si>
  <si>
    <t>as:GENC:6:ed2:PW-227</t>
  </si>
  <si>
    <t>PW-228</t>
  </si>
  <si>
    <t>Ngiwal</t>
  </si>
  <si>
    <t>as:GENC:6:ed2:PW-228</t>
  </si>
  <si>
    <t>PW-350</t>
  </si>
  <si>
    <t>Peleliu</t>
  </si>
  <si>
    <t>as:GENC:6:ed2:PW-350</t>
  </si>
  <si>
    <t>PW-370</t>
  </si>
  <si>
    <t>Sonsorol</t>
  </si>
  <si>
    <t>as:GENC:6:ed2:PW-370</t>
  </si>
  <si>
    <t>PA-1</t>
  </si>
  <si>
    <t>Bocas del Toro</t>
  </si>
  <si>
    <t>as:ISO2:6:ed3:PA-1</t>
  </si>
  <si>
    <t>PA-4</t>
  </si>
  <si>
    <t>Chiriquí</t>
  </si>
  <si>
    <t>as:ISO2:6:ed3:PA-4</t>
  </si>
  <si>
    <t>PA-2</t>
  </si>
  <si>
    <t>Coclé</t>
  </si>
  <si>
    <t>as:ISO2:6:ed3:PA-2</t>
  </si>
  <si>
    <t>PA-3</t>
  </si>
  <si>
    <t>as:ISO2:6:ed3:PA-3</t>
  </si>
  <si>
    <t>PA-5</t>
  </si>
  <si>
    <t>Darién</t>
  </si>
  <si>
    <t>as:ISO2:6:ed3:PA-5</t>
  </si>
  <si>
    <t>PA-EM</t>
  </si>
  <si>
    <t>Emberá-Wounaan</t>
  </si>
  <si>
    <t>as:GENC:6:ed2:PA-EM</t>
  </si>
  <si>
    <t>PA-6</t>
  </si>
  <si>
    <t>Herrera</t>
  </si>
  <si>
    <t>as:ISO2:6:ed3:PA-6</t>
  </si>
  <si>
    <t>PA-KY</t>
  </si>
  <si>
    <t>Kuna Yala</t>
  </si>
  <si>
    <t>as:GENC:6:ed2:PA-KY</t>
  </si>
  <si>
    <t>PA-7</t>
  </si>
  <si>
    <t>Los Santos</t>
  </si>
  <si>
    <t>as:ISO2:6:ed3:PA-7</t>
  </si>
  <si>
    <t>PA-NB</t>
  </si>
  <si>
    <t>Ngöbe-Buglé</t>
  </si>
  <si>
    <t>as:GENC:6:ed2:PA-NB</t>
  </si>
  <si>
    <t>PA-8</t>
  </si>
  <si>
    <t>Panamá</t>
  </si>
  <si>
    <t>as:ISO2:6:ed3:PA-8</t>
  </si>
  <si>
    <t>PA-9</t>
  </si>
  <si>
    <t>Veraguas</t>
  </si>
  <si>
    <t>as:ISO2:6:ed3:PA-9</t>
  </si>
  <si>
    <t>PG-NSB</t>
  </si>
  <si>
    <t>Bougainville</t>
  </si>
  <si>
    <t>as:ISO2:6:ed3:PG-NSB</t>
  </si>
  <si>
    <t>PG-CPM</t>
  </si>
  <si>
    <t>as:GENC:6:ed2:PG-CPM</t>
  </si>
  <si>
    <t>PG-CPK</t>
  </si>
  <si>
    <t>Chimbu</t>
  </si>
  <si>
    <t>as:GENC:6:ed2:PG-CPK</t>
  </si>
  <si>
    <t>PG-EHG</t>
  </si>
  <si>
    <t>Eastern Highlands</t>
  </si>
  <si>
    <t>as:GENC:6:ed2:PG-EHG</t>
  </si>
  <si>
    <t>PG-EBR</t>
  </si>
  <si>
    <t>East New Britain</t>
  </si>
  <si>
    <t>as:GENC:6:ed2:PG-EBR</t>
  </si>
  <si>
    <t>PG-ESW</t>
  </si>
  <si>
    <t>East Sepik</t>
  </si>
  <si>
    <t>as:GENC:6:ed2:PG-ESW</t>
  </si>
  <si>
    <t>PG-EPW</t>
  </si>
  <si>
    <t>Enga</t>
  </si>
  <si>
    <t>as:GENC:6:ed2:PG-EPW</t>
  </si>
  <si>
    <t>PG-GPK</t>
  </si>
  <si>
    <t>Gulf</t>
  </si>
  <si>
    <t>as:GENC:6:ed2:PG-GPK</t>
  </si>
  <si>
    <t>PG-HLA</t>
  </si>
  <si>
    <t>Hela</t>
  </si>
  <si>
    <t>as:GENC:6:ed2:PG-HLA</t>
  </si>
  <si>
    <t>PG-JWK</t>
  </si>
  <si>
    <t>Jiwaka</t>
  </si>
  <si>
    <t>as:GENC:6:ed2:PG-JWK</t>
  </si>
  <si>
    <t>PG-MPM</t>
  </si>
  <si>
    <t>Madang</t>
  </si>
  <si>
    <t>as:GENC:6:ed2:PG-MPM</t>
  </si>
  <si>
    <t>PG-MRL</t>
  </si>
  <si>
    <t>Manus</t>
  </si>
  <si>
    <t>as:GENC:6:ed2:PG-MRL</t>
  </si>
  <si>
    <t>PG-MBA</t>
  </si>
  <si>
    <t>Milne Bay</t>
  </si>
  <si>
    <t>as:GENC:6:ed2:PG-MBA</t>
  </si>
  <si>
    <t>PG-MPL</t>
  </si>
  <si>
    <t>Morobe</t>
  </si>
  <si>
    <t>as:GENC:6:ed2:PG-MPL</t>
  </si>
  <si>
    <t>PG-NCD</t>
  </si>
  <si>
    <t>National Capital</t>
  </si>
  <si>
    <t>as:GENC:6:ed2:PG-NCD</t>
  </si>
  <si>
    <t>PG-NIK</t>
  </si>
  <si>
    <t>New Ireland</t>
  </si>
  <si>
    <t>as:GENC:6:ed2:PG-NIK</t>
  </si>
  <si>
    <t>PG-NPP</t>
  </si>
  <si>
    <t>as:GENC:6:ed2:PG-NPP</t>
  </si>
  <si>
    <t>PG-SHM</t>
  </si>
  <si>
    <t>Southern Highlands</t>
  </si>
  <si>
    <t>as:GENC:6:ed2:PG-SHM</t>
  </si>
  <si>
    <t>PG-WPD</t>
  </si>
  <si>
    <t>as:GENC:6:ed2:PG-WPD</t>
  </si>
  <si>
    <t>PG-WHM</t>
  </si>
  <si>
    <t>Western Highlands</t>
  </si>
  <si>
    <t>as:GENC:6:ed2:PG-WHM</t>
  </si>
  <si>
    <t>PG-WBK</t>
  </si>
  <si>
    <t>West New Britain</t>
  </si>
  <si>
    <t>as:GENC:6:ed2:PG-WBK</t>
  </si>
  <si>
    <t>PG-SAN</t>
  </si>
  <si>
    <t>West Sepik</t>
  </si>
  <si>
    <t>as:GENC:6:ed2:PG-SAN</t>
  </si>
  <si>
    <t>PY-16</t>
  </si>
  <si>
    <t>Alto Paraguay</t>
  </si>
  <si>
    <t>as:ISO2:6:ed3:PY-16</t>
  </si>
  <si>
    <t>PY-10</t>
  </si>
  <si>
    <t>Alto Paraná</t>
  </si>
  <si>
    <t>as:ISO2:6:ed3:PY-10</t>
  </si>
  <si>
    <t>PY-13</t>
  </si>
  <si>
    <t>Amambay</t>
  </si>
  <si>
    <t>as:ISO2:6:ed3:PY-13</t>
  </si>
  <si>
    <t>PY-ASU</t>
  </si>
  <si>
    <t>Asunción</t>
  </si>
  <si>
    <t>as:GENC:6:ed2:PY-ASU</t>
  </si>
  <si>
    <t>PY-19</t>
  </si>
  <si>
    <t>Boquerón</t>
  </si>
  <si>
    <t>as:ISO2:6:ed3:PY-19</t>
  </si>
  <si>
    <t>PY-5</t>
  </si>
  <si>
    <t>Caaguazú</t>
  </si>
  <si>
    <t>as:ISO2:6:ed3:PY-5</t>
  </si>
  <si>
    <t>PY-6</t>
  </si>
  <si>
    <t>Caazapá</t>
  </si>
  <si>
    <t>as:ISO2:6:ed3:PY-6</t>
  </si>
  <si>
    <t>PY-14</t>
  </si>
  <si>
    <t>Canindeyú</t>
  </si>
  <si>
    <t>as:ISO2:6:ed3:PY-14</t>
  </si>
  <si>
    <t>PY-11</t>
  </si>
  <si>
    <t>as:ISO2:6:ed3:PY-11</t>
  </si>
  <si>
    <t>PY-1</t>
  </si>
  <si>
    <t>Concepción</t>
  </si>
  <si>
    <t>as:ISO2:6:ed3:PY-1</t>
  </si>
  <si>
    <t>PY-3</t>
  </si>
  <si>
    <t>Cordillera</t>
  </si>
  <si>
    <t>as:ISO2:6:ed3:PY-3</t>
  </si>
  <si>
    <t>PY-4</t>
  </si>
  <si>
    <t>Guairá</t>
  </si>
  <si>
    <t>as:ISO2:6:ed3:PY-4</t>
  </si>
  <si>
    <t>PY-7</t>
  </si>
  <si>
    <t>Itapúa</t>
  </si>
  <si>
    <t>as:ISO2:6:ed3:PY-7</t>
  </si>
  <si>
    <t>PY-8</t>
  </si>
  <si>
    <t>as:ISO2:6:ed3:PY-8</t>
  </si>
  <si>
    <t>PY-12</t>
  </si>
  <si>
    <t>Ñeembucú</t>
  </si>
  <si>
    <t>as:ISO2:6:ed3:PY-12</t>
  </si>
  <si>
    <t>PY-9</t>
  </si>
  <si>
    <t>Paraguarí</t>
  </si>
  <si>
    <t>as:ISO2:6:ed3:PY-9</t>
  </si>
  <si>
    <t>PY-15</t>
  </si>
  <si>
    <t>Presidente Hayes</t>
  </si>
  <si>
    <t>as:ISO2:6:ed3:PY-15</t>
  </si>
  <si>
    <t>PY-2</t>
  </si>
  <si>
    <t>San Pedro</t>
  </si>
  <si>
    <t>as:ISO2:6:ed3:PY-2</t>
  </si>
  <si>
    <t>PE-AMA</t>
  </si>
  <si>
    <t>as:GENC:6:ed2:PE-AMA</t>
  </si>
  <si>
    <t>PE-ANC</t>
  </si>
  <si>
    <t>Ancash</t>
  </si>
  <si>
    <t>as:GENC:6:ed2:PE-ANC</t>
  </si>
  <si>
    <t>PE-APU</t>
  </si>
  <si>
    <t>Apurímac</t>
  </si>
  <si>
    <t>as:GENC:6:ed2:PE-APU</t>
  </si>
  <si>
    <t>PE-ARE</t>
  </si>
  <si>
    <t>Arequipa</t>
  </si>
  <si>
    <t>as:GENC:6:ed2:PE-ARE</t>
  </si>
  <si>
    <t>PE-AYA</t>
  </si>
  <si>
    <t>Ayacucho</t>
  </si>
  <si>
    <t>as:GENC:6:ed2:PE-AYA</t>
  </si>
  <si>
    <t>PE-CAJ</t>
  </si>
  <si>
    <t>Cajamarca</t>
  </si>
  <si>
    <t>as:GENC:6:ed2:PE-CAJ</t>
  </si>
  <si>
    <t>PE-CAL</t>
  </si>
  <si>
    <t>Callao</t>
  </si>
  <si>
    <t>as:GENC:6:ed2:PE-CAL</t>
  </si>
  <si>
    <t>PE-CUS</t>
  </si>
  <si>
    <t>Cusco</t>
  </si>
  <si>
    <t>as:GENC:6:ed2:PE-CUS</t>
  </si>
  <si>
    <t>PE-HUV</t>
  </si>
  <si>
    <t>Huancavelica</t>
  </si>
  <si>
    <t>as:GENC:6:ed2:PE-HUV</t>
  </si>
  <si>
    <t>PE-HUC</t>
  </si>
  <si>
    <t>Huánuco</t>
  </si>
  <si>
    <t>as:GENC:6:ed2:PE-HUC</t>
  </si>
  <si>
    <t>PE-ICA</t>
  </si>
  <si>
    <t>Ica</t>
  </si>
  <si>
    <t>as:GENC:6:ed2:PE-ICA</t>
  </si>
  <si>
    <t>PE-JUN</t>
  </si>
  <si>
    <t>Junín</t>
  </si>
  <si>
    <t>as:GENC:6:ed2:PE-JUN</t>
  </si>
  <si>
    <t>PE-LAL</t>
  </si>
  <si>
    <t>as:GENC:6:ed2:PE-LAL</t>
  </si>
  <si>
    <t>PE-LAM</t>
  </si>
  <si>
    <t>Lambayeque</t>
  </si>
  <si>
    <t>as:GENC:6:ed2:PE-LAM</t>
  </si>
  <si>
    <t>PE-LMA</t>
  </si>
  <si>
    <t>Lima</t>
  </si>
  <si>
    <t>as:GENC:6:ed2:PE-LMA</t>
  </si>
  <si>
    <t>PE-LIM</t>
  </si>
  <si>
    <t>as:GENC:6:ed2:PE-LIM</t>
  </si>
  <si>
    <t>PE-LOR</t>
  </si>
  <si>
    <t>Loreto</t>
  </si>
  <si>
    <t>as:GENC:6:ed2:PE-LOR</t>
  </si>
  <si>
    <t>PE-MDD</t>
  </si>
  <si>
    <t>Madre de Dios</t>
  </si>
  <si>
    <t>as:GENC:6:ed2:PE-MDD</t>
  </si>
  <si>
    <t>PE-MOQ</t>
  </si>
  <si>
    <t>Moquegua</t>
  </si>
  <si>
    <t>as:GENC:6:ed2:PE-MOQ</t>
  </si>
  <si>
    <t>PE-PAS</t>
  </si>
  <si>
    <t>Pasco</t>
  </si>
  <si>
    <t>as:GENC:6:ed2:PE-PAS</t>
  </si>
  <si>
    <t>PE-PIU</t>
  </si>
  <si>
    <t>Piura</t>
  </si>
  <si>
    <t>as:GENC:6:ed2:PE-PIU</t>
  </si>
  <si>
    <t>PE-PUN</t>
  </si>
  <si>
    <t>Puno</t>
  </si>
  <si>
    <t>as:GENC:6:ed2:PE-PUN</t>
  </si>
  <si>
    <t>PE-SAM</t>
  </si>
  <si>
    <t>San Martín</t>
  </si>
  <si>
    <t>as:GENC:6:ed2:PE-SAM</t>
  </si>
  <si>
    <t>PE-TAC</t>
  </si>
  <si>
    <t>Tacna</t>
  </si>
  <si>
    <t>as:GENC:6:ed2:PE-TAC</t>
  </si>
  <si>
    <t>PE-TUM</t>
  </si>
  <si>
    <t>Tumbes</t>
  </si>
  <si>
    <t>as:GENC:6:ed2:PE-TUM</t>
  </si>
  <si>
    <t>PE-UCA</t>
  </si>
  <si>
    <t>Ucayali</t>
  </si>
  <si>
    <t>as:GENC:6:ed2:PE-UCA</t>
  </si>
  <si>
    <t>PH-ABR</t>
  </si>
  <si>
    <t>Abra</t>
  </si>
  <si>
    <t>as:GENC:6:ed2:PH-ABR</t>
  </si>
  <si>
    <t>PH-AGN</t>
  </si>
  <si>
    <t>Agusan del Norte</t>
  </si>
  <si>
    <t>as:GENC:6:ed2:PH-AGN</t>
  </si>
  <si>
    <t>PH-AGS</t>
  </si>
  <si>
    <t>Agusan del Sur</t>
  </si>
  <si>
    <t>as:GENC:6:ed2:PH-AGS</t>
  </si>
  <si>
    <t>PH-AKL</t>
  </si>
  <si>
    <t>Aklan</t>
  </si>
  <si>
    <t>as:GENC:6:ed2:PH-AKL</t>
  </si>
  <si>
    <t>PH-ALB</t>
  </si>
  <si>
    <t>Albay</t>
  </si>
  <si>
    <t>as:GENC:6:ed2:PH-ALB</t>
  </si>
  <si>
    <t>PH-ANG</t>
  </si>
  <si>
    <t>Angeles</t>
  </si>
  <si>
    <t>highly urbanized city</t>
  </si>
  <si>
    <t>as:GENC:6:ed2:PH-ANG</t>
  </si>
  <si>
    <t>PH-ATP</t>
  </si>
  <si>
    <t>Antipolo</t>
  </si>
  <si>
    <t>independent component city</t>
  </si>
  <si>
    <t>as:GENC:6:ed2:PH-ATP</t>
  </si>
  <si>
    <t>PH-ANT</t>
  </si>
  <si>
    <t>Antique</t>
  </si>
  <si>
    <t>as:GENC:6:ed2:PH-ANT</t>
  </si>
  <si>
    <t>PH-APA</t>
  </si>
  <si>
    <t>Apayao</t>
  </si>
  <si>
    <t>as:GENC:6:ed2:PH-APA</t>
  </si>
  <si>
    <t>PH-AUR</t>
  </si>
  <si>
    <t>Aurora</t>
  </si>
  <si>
    <t>as:GENC:6:ed2:PH-AUR</t>
  </si>
  <si>
    <t>PH-14</t>
  </si>
  <si>
    <t>Autonomous Region in Muslim Mindanao (ARMM)</t>
  </si>
  <si>
    <t>as:GENC:6:ed2:PH-14</t>
  </si>
  <si>
    <t>PH-BAC</t>
  </si>
  <si>
    <t>Bacolod</t>
  </si>
  <si>
    <t>as:GENC:6:ed2:PH-BAC</t>
  </si>
  <si>
    <t>PH-BAG</t>
  </si>
  <si>
    <t>Baguio</t>
  </si>
  <si>
    <t>as:GENC:6:ed2:PH-BAG</t>
  </si>
  <si>
    <t>PH-BAS</t>
  </si>
  <si>
    <t>Basilan</t>
  </si>
  <si>
    <t>as:GENC:6:ed2:PH-BAS</t>
  </si>
  <si>
    <t>PH-BAN</t>
  </si>
  <si>
    <t>Bataan</t>
  </si>
  <si>
    <t>as:GENC:6:ed2:PH-BAN</t>
  </si>
  <si>
    <t>PH-BTN</t>
  </si>
  <si>
    <t>Batanes</t>
  </si>
  <si>
    <t>as:GENC:6:ed2:PH-BTN</t>
  </si>
  <si>
    <t>PH-BTG</t>
  </si>
  <si>
    <t>Batangas</t>
  </si>
  <si>
    <t>as:GENC:6:ed2:PH-BTG</t>
  </si>
  <si>
    <t>PH-BEN</t>
  </si>
  <si>
    <t>Benguet</t>
  </si>
  <si>
    <t>as:GENC:6:ed2:PH-BEN</t>
  </si>
  <si>
    <t>PH-05</t>
  </si>
  <si>
    <t>Bicol Region</t>
  </si>
  <si>
    <t>as:GENC:6:ed2:PH-05</t>
  </si>
  <si>
    <t>PH-BIL</t>
  </si>
  <si>
    <t>Biliran</t>
  </si>
  <si>
    <t>as:GENC:6:ed2:PH-BIL</t>
  </si>
  <si>
    <t>PH-BOH</t>
  </si>
  <si>
    <t>Bohol</t>
  </si>
  <si>
    <t>as:GENC:6:ed2:PH-BOH</t>
  </si>
  <si>
    <t>PH-BUK</t>
  </si>
  <si>
    <t>Bukidnon</t>
  </si>
  <si>
    <t>as:GENC:6:ed2:PH-BUK</t>
  </si>
  <si>
    <t>PH-BUL</t>
  </si>
  <si>
    <t>Bulacan</t>
  </si>
  <si>
    <t>as:GENC:6:ed2:PH-BUL</t>
  </si>
  <si>
    <t>PH-BUT</t>
  </si>
  <si>
    <t>Butuan</t>
  </si>
  <si>
    <t>as:GENC:6:ed2:PH-BUT</t>
  </si>
  <si>
    <t>PH-CAG</t>
  </si>
  <si>
    <t>Cagayan</t>
  </si>
  <si>
    <t>as:GENC:6:ed2:PH-CAG</t>
  </si>
  <si>
    <t>PH-CGO</t>
  </si>
  <si>
    <t>Cagayan de Oro</t>
  </si>
  <si>
    <t>as:GENC:6:ed2:PH-CGO</t>
  </si>
  <si>
    <t>PH-02</t>
  </si>
  <si>
    <t>Cagayan Valley</t>
  </si>
  <si>
    <t>as:GENC:6:ed2:PH-02</t>
  </si>
  <si>
    <t>PH-40</t>
  </si>
  <si>
    <t>CALABARZON</t>
  </si>
  <si>
    <t>as:GENC:6:ed2:PH-40</t>
  </si>
  <si>
    <t>PH-CAL</t>
  </si>
  <si>
    <t>Caloocan</t>
  </si>
  <si>
    <t>as:GENC:6:ed2:PH-CAL</t>
  </si>
  <si>
    <t>PH-CAN</t>
  </si>
  <si>
    <t>Camarines Norte</t>
  </si>
  <si>
    <t>as:GENC:6:ed2:PH-CAN</t>
  </si>
  <si>
    <t>PH-CAS</t>
  </si>
  <si>
    <t>Camarines Sur</t>
  </si>
  <si>
    <t>as:GENC:6:ed2:PH-CAS</t>
  </si>
  <si>
    <t>PH-CAM</t>
  </si>
  <si>
    <t>Camiguin</t>
  </si>
  <si>
    <t>as:GENC:6:ed2:PH-CAM</t>
  </si>
  <si>
    <t>PH-CAP</t>
  </si>
  <si>
    <t>Capiz</t>
  </si>
  <si>
    <t>as:GENC:6:ed2:PH-CAP</t>
  </si>
  <si>
    <t>PH-13</t>
  </si>
  <si>
    <t>CARAGA Region</t>
  </si>
  <si>
    <t>as:GENC:6:ed2:PH-13</t>
  </si>
  <si>
    <t>PH-CAT</t>
  </si>
  <si>
    <t>Catanduanes</t>
  </si>
  <si>
    <t>as:GENC:6:ed2:PH-CAT</t>
  </si>
  <si>
    <t>PH-CAV</t>
  </si>
  <si>
    <t>Cavite</t>
  </si>
  <si>
    <t>as:GENC:6:ed2:PH-CAV</t>
  </si>
  <si>
    <t>PH-CBU</t>
  </si>
  <si>
    <t>Cebu</t>
  </si>
  <si>
    <t>as:GENC:6:ed2:PH-CBU</t>
  </si>
  <si>
    <t>PH-CEB</t>
  </si>
  <si>
    <t>as:GENC:6:ed2:PH-CEB</t>
  </si>
  <si>
    <t>PH-03</t>
  </si>
  <si>
    <t>Central Luzon</t>
  </si>
  <si>
    <t>as:GENC:6:ed2:PH-03</t>
  </si>
  <si>
    <t>PH-07</t>
  </si>
  <si>
    <t>Central Visayas</t>
  </si>
  <si>
    <t>as:GENC:6:ed2:PH-07</t>
  </si>
  <si>
    <t>PH-COM</t>
  </si>
  <si>
    <t>Compostela Valley</t>
  </si>
  <si>
    <t>as:GENC:6:ed2:PH-COM</t>
  </si>
  <si>
    <t>PH-15</t>
  </si>
  <si>
    <t>Cordillera Administrative Region</t>
  </si>
  <si>
    <t>as:GENC:6:ed2:PH-15</t>
  </si>
  <si>
    <t>PH-COT</t>
  </si>
  <si>
    <t>Cotabato</t>
  </si>
  <si>
    <t>as:GENC:6:ed2:PH-COT</t>
  </si>
  <si>
    <t>PH-NCO</t>
  </si>
  <si>
    <t>as:GENC:6:ed2:PH-NCO</t>
  </si>
  <si>
    <t>PH-DAG</t>
  </si>
  <si>
    <t>Dagupan</t>
  </si>
  <si>
    <t>as:GENC:6:ed2:PH-DAG</t>
  </si>
  <si>
    <t>PH-DVO</t>
  </si>
  <si>
    <t>Davao</t>
  </si>
  <si>
    <t>as:GENC:6:ed2:PH-DVO</t>
  </si>
  <si>
    <t>PH-11</t>
  </si>
  <si>
    <t>as:GENC:6:ed2:PH-11</t>
  </si>
  <si>
    <t>PH-DAV</t>
  </si>
  <si>
    <t>Davao del Norte</t>
  </si>
  <si>
    <t>as:GENC:6:ed2:PH-DAV</t>
  </si>
  <si>
    <t>PH-DAS</t>
  </si>
  <si>
    <t>Davao del Sur</t>
  </si>
  <si>
    <t>as:GENC:6:ed2:PH-DAS</t>
  </si>
  <si>
    <t>PH-DAO</t>
  </si>
  <si>
    <t>Davao Oriental</t>
  </si>
  <si>
    <t>as:GENC:6:ed2:PH-DAO</t>
  </si>
  <si>
    <t>PH-DIN</t>
  </si>
  <si>
    <t>Dinagat Islands</t>
  </si>
  <si>
    <t>as:GENC:6:ed2:PH-DIN</t>
  </si>
  <si>
    <t>PH-EAS</t>
  </si>
  <si>
    <t>Eastern Samar</t>
  </si>
  <si>
    <t>as:GENC:6:ed2:PH-EAS</t>
  </si>
  <si>
    <t>PH-08</t>
  </si>
  <si>
    <t>Eastern Visayas</t>
  </si>
  <si>
    <t>as:GENC:6:ed2:PH-08</t>
  </si>
  <si>
    <t>PH-GNS</t>
  </si>
  <si>
    <t>General Santos</t>
  </si>
  <si>
    <t>as:GENC:6:ed2:PH-GNS</t>
  </si>
  <si>
    <t>PH-GUI</t>
  </si>
  <si>
    <t>Guimaras</t>
  </si>
  <si>
    <t>as:GENC:6:ed2:PH-GUI</t>
  </si>
  <si>
    <t>PH-IFU</t>
  </si>
  <si>
    <t>Ifugao</t>
  </si>
  <si>
    <t>as:GENC:6:ed2:PH-IFU</t>
  </si>
  <si>
    <t>PH-ILG</t>
  </si>
  <si>
    <t>Iligan</t>
  </si>
  <si>
    <t>as:GENC:6:ed2:PH-ILG</t>
  </si>
  <si>
    <t>PH-01</t>
  </si>
  <si>
    <t>Ilocos</t>
  </si>
  <si>
    <t>as:GENC:6:ed2:PH-01</t>
  </si>
  <si>
    <t>PH-ILN</t>
  </si>
  <si>
    <t>Ilocos Norte</t>
  </si>
  <si>
    <t>as:GENC:6:ed2:PH-ILN</t>
  </si>
  <si>
    <t>PH-ILS</t>
  </si>
  <si>
    <t>Ilocos Sur</t>
  </si>
  <si>
    <t>as:GENC:6:ed2:PH-ILS</t>
  </si>
  <si>
    <t>PH-ILO</t>
  </si>
  <si>
    <t>Iloilo</t>
  </si>
  <si>
    <t>as:GENC:6:ed2:PH-ILO</t>
  </si>
  <si>
    <t>PH-ILI</t>
  </si>
  <si>
    <t>as:GENC:6:ed2:PH-ILI</t>
  </si>
  <si>
    <t>PH-ISA</t>
  </si>
  <si>
    <t>Isabela</t>
  </si>
  <si>
    <t>as:GENC:6:ed2:PH-ISA</t>
  </si>
  <si>
    <t>PH-KAL</t>
  </si>
  <si>
    <t>Kalinga</t>
  </si>
  <si>
    <t>as:GENC:6:ed2:PH-KAL</t>
  </si>
  <si>
    <t>PH-LAG</t>
  </si>
  <si>
    <t>Laguna</t>
  </si>
  <si>
    <t>as:GENC:6:ed2:PH-LAG</t>
  </si>
  <si>
    <t>PH-LAN</t>
  </si>
  <si>
    <t>Lanao del Norte</t>
  </si>
  <si>
    <t>as:GENC:6:ed2:PH-LAN</t>
  </si>
  <si>
    <t>PH-LAS</t>
  </si>
  <si>
    <t>Lanao del Sur</t>
  </si>
  <si>
    <t>as:GENC:6:ed2:PH-LAS</t>
  </si>
  <si>
    <t>PH-LAP</t>
  </si>
  <si>
    <t>Lapu-Lapu</t>
  </si>
  <si>
    <t>as:GENC:6:ed2:PH-LAP</t>
  </si>
  <si>
    <t>PH-ILP</t>
  </si>
  <si>
    <t>Las Piñas</t>
  </si>
  <si>
    <t>as:GENC:6:ed2:PH-ILP</t>
  </si>
  <si>
    <t>PH-LUN</t>
  </si>
  <si>
    <t>La Union</t>
  </si>
  <si>
    <t>as:GENC:6:ed2:PH-LUN</t>
  </si>
  <si>
    <t>PH-LEY</t>
  </si>
  <si>
    <t>Leyte</t>
  </si>
  <si>
    <t>as:GENC:6:ed2:PH-LEY</t>
  </si>
  <si>
    <t>PH-LUC</t>
  </si>
  <si>
    <t>Lucena</t>
  </si>
  <si>
    <t>as:GENC:6:ed2:PH-LUC</t>
  </si>
  <si>
    <t>PH-MAG</t>
  </si>
  <si>
    <t>Maguindanao</t>
  </si>
  <si>
    <t>as:GENC:6:ed2:PH-MAG</t>
  </si>
  <si>
    <t>PH-MAK</t>
  </si>
  <si>
    <t>Makati</t>
  </si>
  <si>
    <t>as:GENC:6:ed2:PH-MAK</t>
  </si>
  <si>
    <t>PH-MAL</t>
  </si>
  <si>
    <t>Malabon</t>
  </si>
  <si>
    <t>as:GENC:6:ed2:PH-MAL</t>
  </si>
  <si>
    <t>PH-MDY</t>
  </si>
  <si>
    <t>Mandaluyong</t>
  </si>
  <si>
    <t>as:GENC:6:ed2:PH-MDY</t>
  </si>
  <si>
    <t>PH-MDU</t>
  </si>
  <si>
    <t>Mandaue</t>
  </si>
  <si>
    <t>as:GENC:6:ed2:PH-MDU</t>
  </si>
  <si>
    <t>PH-MAN</t>
  </si>
  <si>
    <t>Manila</t>
  </si>
  <si>
    <t>as:GENC:6:ed2:PH-MAN</t>
  </si>
  <si>
    <t>PH-MAR</t>
  </si>
  <si>
    <t>Marikina</t>
  </si>
  <si>
    <t>as:GENC:6:ed2:PH-MAR</t>
  </si>
  <si>
    <t>PH-MAD</t>
  </si>
  <si>
    <t>Marinduque</t>
  </si>
  <si>
    <t>as:GENC:6:ed2:PH-MAD</t>
  </si>
  <si>
    <t>PH-MAS</t>
  </si>
  <si>
    <t>Masbate</t>
  </si>
  <si>
    <t>as:GENC:6:ed2:PH-MAS</t>
  </si>
  <si>
    <t>PH-41</t>
  </si>
  <si>
    <t>MIMAROPA</t>
  </si>
  <si>
    <t>as:GENC:6:ed2:PH-41</t>
  </si>
  <si>
    <t>PH-MSC</t>
  </si>
  <si>
    <t>Misamis Occidental</t>
  </si>
  <si>
    <t>as:GENC:6:ed2:PH-MSC</t>
  </si>
  <si>
    <t>PH-MSR</t>
  </si>
  <si>
    <t>Misamis Oriental</t>
  </si>
  <si>
    <t>as:GENC:6:ed2:PH-MSR</t>
  </si>
  <si>
    <t>PH-MOU</t>
  </si>
  <si>
    <t>Mountain</t>
  </si>
  <si>
    <t>as:GENC:6:ed2:PH-MOU</t>
  </si>
  <si>
    <t>PH-MUN</t>
  </si>
  <si>
    <t>Muntinlupa</t>
  </si>
  <si>
    <t>as:GENC:6:ed2:PH-MUN</t>
  </si>
  <si>
    <t>PH-NAG</t>
  </si>
  <si>
    <t>Naga</t>
  </si>
  <si>
    <t>as:GENC:6:ed2:PH-NAG</t>
  </si>
  <si>
    <t>PH-00</t>
  </si>
  <si>
    <t>National Capital Region</t>
  </si>
  <si>
    <t>as:GENC:6:ed2:PH-00</t>
  </si>
  <si>
    <t>PH-NAV</t>
  </si>
  <si>
    <t>Navotas</t>
  </si>
  <si>
    <t>as:GENC:6:ed2:PH-NAV</t>
  </si>
  <si>
    <t>PH-NEC</t>
  </si>
  <si>
    <t>Negros Occidental</t>
  </si>
  <si>
    <t>as:GENC:6:ed2:PH-NEC</t>
  </si>
  <si>
    <t>PH-NER</t>
  </si>
  <si>
    <t>Negros Oriental</t>
  </si>
  <si>
    <t>as:GENC:6:ed2:PH-NER</t>
  </si>
  <si>
    <t>PH-10</t>
  </si>
  <si>
    <t>Northern Mindanao</t>
  </si>
  <si>
    <t>as:GENC:6:ed2:PH-10</t>
  </si>
  <si>
    <t>PH-NSA</t>
  </si>
  <si>
    <t>Northern Samar</t>
  </si>
  <si>
    <t>as:GENC:6:ed2:PH-NSA</t>
  </si>
  <si>
    <t>PH-NUE</t>
  </si>
  <si>
    <t>Nueva Ecija</t>
  </si>
  <si>
    <t>as:GENC:6:ed2:PH-NUE</t>
  </si>
  <si>
    <t>PH-NUV</t>
  </si>
  <si>
    <t>Nueva Vizcaya</t>
  </si>
  <si>
    <t>as:GENC:6:ed2:PH-NUV</t>
  </si>
  <si>
    <t>PH-MDC</t>
  </si>
  <si>
    <t>Occidental Mindoro</t>
  </si>
  <si>
    <t>as:GENC:6:ed2:PH-MDC</t>
  </si>
  <si>
    <t>PH-OLG</t>
  </si>
  <si>
    <t>Olongapo</t>
  </si>
  <si>
    <t>as:GENC:6:ed2:PH-OLG</t>
  </si>
  <si>
    <t>PH-MDR</t>
  </si>
  <si>
    <t>Oriental Mindoro</t>
  </si>
  <si>
    <t>as:GENC:6:ed2:PH-MDR</t>
  </si>
  <si>
    <t>PH-ORM</t>
  </si>
  <si>
    <t>Ormoc</t>
  </si>
  <si>
    <t>as:GENC:6:ed2:PH-ORM</t>
  </si>
  <si>
    <t>PH-PLW</t>
  </si>
  <si>
    <t>Palawan</t>
  </si>
  <si>
    <t>as:GENC:6:ed2:PH-PLW</t>
  </si>
  <si>
    <t>PH-PAM</t>
  </si>
  <si>
    <t>Pampanga</t>
  </si>
  <si>
    <t>as:GENC:6:ed2:PH-PAM</t>
  </si>
  <si>
    <t>PH-PAN</t>
  </si>
  <si>
    <t>Pangasinan</t>
  </si>
  <si>
    <t>as:GENC:6:ed2:PH-PAN</t>
  </si>
  <si>
    <t>PH-PAR</t>
  </si>
  <si>
    <t>Parañaque</t>
  </si>
  <si>
    <t>as:GENC:6:ed2:PH-PAR</t>
  </si>
  <si>
    <t>PH-PAS</t>
  </si>
  <si>
    <t>Pasay</t>
  </si>
  <si>
    <t>as:GENC:6:ed2:PH-PAS</t>
  </si>
  <si>
    <t>PH-PSG</t>
  </si>
  <si>
    <t>Pasig</t>
  </si>
  <si>
    <t>as:GENC:6:ed2:PH-PSG</t>
  </si>
  <si>
    <t>PH-PPR</t>
  </si>
  <si>
    <t>Puerto Princesa</t>
  </si>
  <si>
    <t>as:GENC:6:ed2:PH-PPR</t>
  </si>
  <si>
    <t>PH-QZN</t>
  </si>
  <si>
    <t>Quezon</t>
  </si>
  <si>
    <t>as:GENC:6:ed2:PH-QZN</t>
  </si>
  <si>
    <t>PH-QUE</t>
  </si>
  <si>
    <t>as:GENC:6:ed2:PH-QUE</t>
  </si>
  <si>
    <t>PH-QUI</t>
  </si>
  <si>
    <t>Quirino</t>
  </si>
  <si>
    <t>as:GENC:6:ed2:PH-QUI</t>
  </si>
  <si>
    <t>PH-RIZ</t>
  </si>
  <si>
    <t>Rizal</t>
  </si>
  <si>
    <t>as:GENC:6:ed2:PH-RIZ</t>
  </si>
  <si>
    <t>PH-ROM</t>
  </si>
  <si>
    <t>Romblon</t>
  </si>
  <si>
    <t>as:GENC:6:ed2:PH-ROM</t>
  </si>
  <si>
    <t>PH-WSA</t>
  </si>
  <si>
    <t>Samar</t>
  </si>
  <si>
    <t>as:GENC:6:ed2:PH-WSA</t>
  </si>
  <si>
    <t>PH-SNJ</t>
  </si>
  <si>
    <t>as:GENC:6:ed2:PH-SNJ</t>
  </si>
  <si>
    <t>PH-SAN</t>
  </si>
  <si>
    <t>as:GENC:6:ed2:PH-SAN</t>
  </si>
  <si>
    <t>PH-SAR</t>
  </si>
  <si>
    <t>Sarangani</t>
  </si>
  <si>
    <t>as:GENC:6:ed2:PH-SAR</t>
  </si>
  <si>
    <t>PH-SIG</t>
  </si>
  <si>
    <t>Siquijor</t>
  </si>
  <si>
    <t>as:GENC:6:ed2:PH-SIG</t>
  </si>
  <si>
    <t>PH-12</t>
  </si>
  <si>
    <t>SOCCSKSARGEN Region</t>
  </si>
  <si>
    <t>as:GENC:6:ed2:PH-12</t>
  </si>
  <si>
    <t>PH-SOR</t>
  </si>
  <si>
    <t>Sorsogon</t>
  </si>
  <si>
    <t>as:GENC:6:ed2:PH-SOR</t>
  </si>
  <si>
    <t>PH-SCO</t>
  </si>
  <si>
    <t>South Cotabato</t>
  </si>
  <si>
    <t>as:GENC:6:ed2:PH-SCO</t>
  </si>
  <si>
    <t>PH-SLE</t>
  </si>
  <si>
    <t>Southern Leyte</t>
  </si>
  <si>
    <t>as:GENC:6:ed2:PH-SLE</t>
  </si>
  <si>
    <t>PH-SUK</t>
  </si>
  <si>
    <t>Sultan Kudarat</t>
  </si>
  <si>
    <t>as:GENC:6:ed2:PH-SUK</t>
  </si>
  <si>
    <t>PH-SLU</t>
  </si>
  <si>
    <t>Sulu</t>
  </si>
  <si>
    <t>as:GENC:6:ed2:PH-SLU</t>
  </si>
  <si>
    <t>PH-SUN</t>
  </si>
  <si>
    <t>Surigao del Norte</t>
  </si>
  <si>
    <t>as:GENC:6:ed2:PH-SUN</t>
  </si>
  <si>
    <t>PH-SUR</t>
  </si>
  <si>
    <t>Surigao del Sur</t>
  </si>
  <si>
    <t>as:GENC:6:ed2:PH-SUR</t>
  </si>
  <si>
    <t>PH-TAC</t>
  </si>
  <si>
    <t>Tacloban</t>
  </si>
  <si>
    <t>as:GENC:6:ed2:PH-TAC</t>
  </si>
  <si>
    <t>PH-TAG</t>
  </si>
  <si>
    <t>Taguig</t>
  </si>
  <si>
    <t>as:GENC:6:ed2:PH-TAG</t>
  </si>
  <si>
    <t>PH-TAR</t>
  </si>
  <si>
    <t>Tarlac</t>
  </si>
  <si>
    <t>as:GENC:6:ed2:PH-TAR</t>
  </si>
  <si>
    <t>PH-TAW</t>
  </si>
  <si>
    <t>Tawi-Tawi</t>
  </si>
  <si>
    <t>as:GENC:6:ed2:PH-TAW</t>
  </si>
  <si>
    <t>PH-VAL</t>
  </si>
  <si>
    <t>Valenzuela</t>
  </si>
  <si>
    <t>as:GENC:6:ed2:PH-VAL</t>
  </si>
  <si>
    <t>PH-06</t>
  </si>
  <si>
    <t>Western Visayas</t>
  </si>
  <si>
    <t>as:GENC:6:ed2:PH-06</t>
  </si>
  <si>
    <t>PH-ZMB</t>
  </si>
  <si>
    <t>Zambales</t>
  </si>
  <si>
    <t>as:GENC:6:ed2:PH-ZMB</t>
  </si>
  <si>
    <t>PH-ZAM</t>
  </si>
  <si>
    <t>Zamboanga</t>
  </si>
  <si>
    <t>as:GENC:6:ed2:PH-ZAM</t>
  </si>
  <si>
    <t>PH-ZAN</t>
  </si>
  <si>
    <t>Zamboanga del Norte</t>
  </si>
  <si>
    <t>as:GENC:6:ed2:PH-ZAN</t>
  </si>
  <si>
    <t>PH-ZAS</t>
  </si>
  <si>
    <t>Zamboanga del Sur</t>
  </si>
  <si>
    <t>as:GENC:6:ed2:PH-ZAS</t>
  </si>
  <si>
    <t>PH-09</t>
  </si>
  <si>
    <t>Zamboanga Peninsula</t>
  </si>
  <si>
    <t>as:GENC:6:ed2:PH-09</t>
  </si>
  <si>
    <t>PH-ZSI</t>
  </si>
  <si>
    <t>Zamboanga Sibugay</t>
  </si>
  <si>
    <t>as:GENC:6:ed2:PH-ZSI</t>
  </si>
  <si>
    <t>PL-DS</t>
  </si>
  <si>
    <t>Dolnośląskie</t>
  </si>
  <si>
    <t>as:ISO2:6:ed3:PL-DS</t>
  </si>
  <si>
    <t>PL-KP</t>
  </si>
  <si>
    <t>Kujawsko-Pomorskie</t>
  </si>
  <si>
    <t>as:GENC:6:ed2:PL-KP</t>
  </si>
  <si>
    <t>PL-LD</t>
  </si>
  <si>
    <t>Łódzkie</t>
  </si>
  <si>
    <t>as:ISO2:6:ed3:PL-LD</t>
  </si>
  <si>
    <t>PL-LU</t>
  </si>
  <si>
    <t>Lubelskie</t>
  </si>
  <si>
    <t>as:ISO2:6:ed3:PL-LU</t>
  </si>
  <si>
    <t>PL-LB</t>
  </si>
  <si>
    <t>Lubuskie</t>
  </si>
  <si>
    <t>as:ISO2:6:ed3:PL-LB</t>
  </si>
  <si>
    <t>PL-MA</t>
  </si>
  <si>
    <t>Małopolskie</t>
  </si>
  <si>
    <t>as:ISO2:6:ed3:PL-MA</t>
  </si>
  <si>
    <t>PL-MZ</t>
  </si>
  <si>
    <t>Mazowieckie</t>
  </si>
  <si>
    <t>as:ISO2:6:ed3:PL-MZ</t>
  </si>
  <si>
    <t>PL-OP</t>
  </si>
  <si>
    <t>Opolskie</t>
  </si>
  <si>
    <t>as:ISO2:6:ed3:PL-OP</t>
  </si>
  <si>
    <t>PL-PK</t>
  </si>
  <si>
    <t>Podkarpackie</t>
  </si>
  <si>
    <t>as:ISO2:6:ed3:PL-PK</t>
  </si>
  <si>
    <t>PL-PD</t>
  </si>
  <si>
    <t>Podlaskie</t>
  </si>
  <si>
    <t>as:ISO2:6:ed3:PL-PD</t>
  </si>
  <si>
    <t>PL-PM</t>
  </si>
  <si>
    <t>Pomorskie</t>
  </si>
  <si>
    <t>as:ISO2:6:ed3:PL-PM</t>
  </si>
  <si>
    <t>PL-SL</t>
  </si>
  <si>
    <t>Śląskie</t>
  </si>
  <si>
    <t>as:ISO2:6:ed3:PL-SL</t>
  </si>
  <si>
    <t>PL-SK</t>
  </si>
  <si>
    <t>Świętokrzyskie</t>
  </si>
  <si>
    <t>as:ISO2:6:ed3:PL-SK</t>
  </si>
  <si>
    <t>PL-WN</t>
  </si>
  <si>
    <t>Warmińsko-Mazurskie</t>
  </si>
  <si>
    <t>as:GENC:6:ed2:PL-WN</t>
  </si>
  <si>
    <t>PL-WP</t>
  </si>
  <si>
    <t>Wielkopolskie</t>
  </si>
  <si>
    <t>as:ISO2:6:ed3:PL-WP</t>
  </si>
  <si>
    <t>PL-ZP</t>
  </si>
  <si>
    <t>Zachodniopomorskie</t>
  </si>
  <si>
    <t>as:ISO2:6:ed3:PL-ZP</t>
  </si>
  <si>
    <t>PT-01</t>
  </si>
  <si>
    <t>Aveiro</t>
  </si>
  <si>
    <t>as:ISO2:6:ed3:PT-01</t>
  </si>
  <si>
    <t>PT-20</t>
  </si>
  <si>
    <t>Azores</t>
  </si>
  <si>
    <t>as:GENC:6:ed2:PT-20</t>
  </si>
  <si>
    <t>PT-02</t>
  </si>
  <si>
    <t>Beja</t>
  </si>
  <si>
    <t>as:ISO2:6:ed3:PT-02</t>
  </si>
  <si>
    <t>PT-03</t>
  </si>
  <si>
    <t>Braga</t>
  </si>
  <si>
    <t>as:ISO2:6:ed3:PT-03</t>
  </si>
  <si>
    <t>PT-04</t>
  </si>
  <si>
    <t>Bragança</t>
  </si>
  <si>
    <t>as:ISO2:6:ed3:PT-04</t>
  </si>
  <si>
    <t>PT-05</t>
  </si>
  <si>
    <t>Castelo Branco</t>
  </si>
  <si>
    <t>as:ISO2:6:ed3:PT-05</t>
  </si>
  <si>
    <t>PT-06</t>
  </si>
  <si>
    <t>Coimbra</t>
  </si>
  <si>
    <t>as:ISO2:6:ed3:PT-06</t>
  </si>
  <si>
    <t>PT-07</t>
  </si>
  <si>
    <t>Évora</t>
  </si>
  <si>
    <t>as:ISO2:6:ed3:PT-07</t>
  </si>
  <si>
    <t>PT-08</t>
  </si>
  <si>
    <t>Faro</t>
  </si>
  <si>
    <t>as:ISO2:6:ed3:PT-08</t>
  </si>
  <si>
    <t>PT-09</t>
  </si>
  <si>
    <t>Guarda</t>
  </si>
  <si>
    <t>as:ISO2:6:ed3:PT-09</t>
  </si>
  <si>
    <t>PT-10</t>
  </si>
  <si>
    <t>Leiria</t>
  </si>
  <si>
    <t>as:ISO2:6:ed3:PT-10</t>
  </si>
  <si>
    <t>PT-11</t>
  </si>
  <si>
    <t>Lisboa</t>
  </si>
  <si>
    <t>as:ISO2:6:ed3:PT-11</t>
  </si>
  <si>
    <t>PT-30</t>
  </si>
  <si>
    <t>Madeira</t>
  </si>
  <si>
    <t>as:GENC:6:ed2:PT-30</t>
  </si>
  <si>
    <t>PT-12</t>
  </si>
  <si>
    <t>Portalegre</t>
  </si>
  <si>
    <t>as:ISO2:6:ed3:PT-12</t>
  </si>
  <si>
    <t>PT-13</t>
  </si>
  <si>
    <t>Porto</t>
  </si>
  <si>
    <t>as:ISO2:6:ed3:PT-13</t>
  </si>
  <si>
    <t>PT-14</t>
  </si>
  <si>
    <t>Santarém</t>
  </si>
  <si>
    <t>as:ISO2:6:ed3:PT-14</t>
  </si>
  <si>
    <t>PT-15</t>
  </si>
  <si>
    <t>Setúbal</t>
  </si>
  <si>
    <t>as:ISO2:6:ed3:PT-15</t>
  </si>
  <si>
    <t>PT-16</t>
  </si>
  <si>
    <t>Viana do Castelo</t>
  </si>
  <si>
    <t>as:ISO2:6:ed3:PT-16</t>
  </si>
  <si>
    <t>PT-17</t>
  </si>
  <si>
    <t>Vila Real</t>
  </si>
  <si>
    <t>as:ISO2:6:ed3:PT-17</t>
  </si>
  <si>
    <t>PT-18</t>
  </si>
  <si>
    <t>Viseu</t>
  </si>
  <si>
    <t>as:ISO2:6:ed3:PT-18</t>
  </si>
  <si>
    <t>QA-DA</t>
  </si>
  <si>
    <t>Ad Dawḩah</t>
  </si>
  <si>
    <t>as:ISO2:6:ed3:QA-DA</t>
  </si>
  <si>
    <t>QA-KH</t>
  </si>
  <si>
    <t>Al Khawr wa adh Dhakhīrah</t>
  </si>
  <si>
    <t>as:ISO2:6:ed3:QA-KH</t>
  </si>
  <si>
    <t>QA-WA</t>
  </si>
  <si>
    <t>Al Wakrah</t>
  </si>
  <si>
    <t>as:ISO2:6:ed3:QA-WA</t>
  </si>
  <si>
    <t>QA-RA</t>
  </si>
  <si>
    <t>Ar Rayyān</t>
  </si>
  <si>
    <t>as:ISO2:6:ed3:QA-RA</t>
  </si>
  <si>
    <t>QA-MS</t>
  </si>
  <si>
    <t>Ash Shamāl</t>
  </si>
  <si>
    <t>as:ISO2:6:ed3:QA-MS</t>
  </si>
  <si>
    <t>QA-ZA</t>
  </si>
  <si>
    <t>Az̧ Z̧a‘āyin</t>
  </si>
  <si>
    <t>as:ISO2:6:ed3:QA-ZA</t>
  </si>
  <si>
    <t>QA-US</t>
  </si>
  <si>
    <t>Umm Şalāl</t>
  </si>
  <si>
    <t>as:ISO2:6:ed3:QA-US</t>
  </si>
  <si>
    <t>RO-AB</t>
  </si>
  <si>
    <t>Alba</t>
  </si>
  <si>
    <t>as:GENC:6:ed2:RO-AB</t>
  </si>
  <si>
    <t>RO-AR</t>
  </si>
  <si>
    <t>Arad</t>
  </si>
  <si>
    <t>as:GENC:6:ed2:RO-AR</t>
  </si>
  <si>
    <t>RO-AG</t>
  </si>
  <si>
    <t>Argeş</t>
  </si>
  <si>
    <t>as:GENC:6:ed2:RO-AG</t>
  </si>
  <si>
    <t>RO-BC</t>
  </si>
  <si>
    <t>Bacău</t>
  </si>
  <si>
    <t>as:GENC:6:ed2:RO-BC</t>
  </si>
  <si>
    <t>RO-BH</t>
  </si>
  <si>
    <t>Bihor</t>
  </si>
  <si>
    <t>as:GENC:6:ed2:RO-BH</t>
  </si>
  <si>
    <t>RO-BN</t>
  </si>
  <si>
    <t>Bistriţa-Năsăud</t>
  </si>
  <si>
    <t>as:GENC:6:ed2:RO-BN</t>
  </si>
  <si>
    <t>RO-BT</t>
  </si>
  <si>
    <t>Botoşani</t>
  </si>
  <si>
    <t>as:GENC:6:ed2:RO-BT</t>
  </si>
  <si>
    <t>RO-BR</t>
  </si>
  <si>
    <t>Brăila</t>
  </si>
  <si>
    <t>as:GENC:6:ed2:RO-BR</t>
  </si>
  <si>
    <t>RO-BV</t>
  </si>
  <si>
    <t>Braşov</t>
  </si>
  <si>
    <t>as:GENC:6:ed2:RO-BV</t>
  </si>
  <si>
    <t>RO-B</t>
  </si>
  <si>
    <t>Bucureşti</t>
  </si>
  <si>
    <t>as:GENC:6:ed2:RO-B</t>
  </si>
  <si>
    <t>RO-BZ</t>
  </si>
  <si>
    <t>Buzău</t>
  </si>
  <si>
    <t>as:GENC:6:ed2:RO-BZ</t>
  </si>
  <si>
    <t>RO-CL</t>
  </si>
  <si>
    <t>as:GENC:6:ed2:RO-CL</t>
  </si>
  <si>
    <t>RO-CS</t>
  </si>
  <si>
    <t>Caraş-Severin</t>
  </si>
  <si>
    <t>as:GENC:6:ed2:RO-CS</t>
  </si>
  <si>
    <t>RO-CJ</t>
  </si>
  <si>
    <t>Cluj</t>
  </si>
  <si>
    <t>as:GENC:6:ed2:RO-CJ</t>
  </si>
  <si>
    <t>RO-CT</t>
  </si>
  <si>
    <t>Constanţa</t>
  </si>
  <si>
    <t>as:GENC:6:ed2:RO-CT</t>
  </si>
  <si>
    <t>RO-CV</t>
  </si>
  <si>
    <t>Covasna</t>
  </si>
  <si>
    <t>as:GENC:6:ed2:RO-CV</t>
  </si>
  <si>
    <t>RO-DB</t>
  </si>
  <si>
    <t>Dâmboviţa</t>
  </si>
  <si>
    <t>as:GENC:6:ed2:RO-DB</t>
  </si>
  <si>
    <t>RO-DJ</t>
  </si>
  <si>
    <t>Dolj</t>
  </si>
  <si>
    <t>as:GENC:6:ed2:RO-DJ</t>
  </si>
  <si>
    <t>RO-GL</t>
  </si>
  <si>
    <t>Galaţi</t>
  </si>
  <si>
    <t>as:GENC:6:ed2:RO-GL</t>
  </si>
  <si>
    <t>RO-GR</t>
  </si>
  <si>
    <t>Giurgiu</t>
  </si>
  <si>
    <t>as:GENC:6:ed2:RO-GR</t>
  </si>
  <si>
    <t>RO-GJ</t>
  </si>
  <si>
    <t>Gorj</t>
  </si>
  <si>
    <t>as:GENC:6:ed2:RO-GJ</t>
  </si>
  <si>
    <t>RO-HR</t>
  </si>
  <si>
    <t>Harghita</t>
  </si>
  <si>
    <t>as:GENC:6:ed2:RO-HR</t>
  </si>
  <si>
    <t>RO-HD</t>
  </si>
  <si>
    <t>Hunedoara</t>
  </si>
  <si>
    <t>as:GENC:6:ed2:RO-HD</t>
  </si>
  <si>
    <t>RO-IL</t>
  </si>
  <si>
    <t>Ialomiţa</t>
  </si>
  <si>
    <t>as:GENC:6:ed2:RO-IL</t>
  </si>
  <si>
    <t>RO-IS</t>
  </si>
  <si>
    <t>Iaşi</t>
  </si>
  <si>
    <t>as:GENC:6:ed2:RO-IS</t>
  </si>
  <si>
    <t>RO-IF</t>
  </si>
  <si>
    <t>Ilfov</t>
  </si>
  <si>
    <t>as:GENC:6:ed2:RO-IF</t>
  </si>
  <si>
    <t>RO-MM</t>
  </si>
  <si>
    <t>Maramureş</t>
  </si>
  <si>
    <t>as:GENC:6:ed2:RO-MM</t>
  </si>
  <si>
    <t>RO-MH</t>
  </si>
  <si>
    <t>Mehedinţi</t>
  </si>
  <si>
    <t>as:GENC:6:ed2:RO-MH</t>
  </si>
  <si>
    <t>RO-MS</t>
  </si>
  <si>
    <t>Mureş</t>
  </si>
  <si>
    <t>as:GENC:6:ed2:RO-MS</t>
  </si>
  <si>
    <t>RO-NT</t>
  </si>
  <si>
    <t>Neamţ</t>
  </si>
  <si>
    <t>as:GENC:6:ed2:RO-NT</t>
  </si>
  <si>
    <t>RO-OT</t>
  </si>
  <si>
    <t>Olt</t>
  </si>
  <si>
    <t>as:GENC:6:ed2:RO-OT</t>
  </si>
  <si>
    <t>RO-PH</t>
  </si>
  <si>
    <t>Prahova</t>
  </si>
  <si>
    <t>as:GENC:6:ed2:RO-PH</t>
  </si>
  <si>
    <t>RO-SJ</t>
  </si>
  <si>
    <t>Sălaj</t>
  </si>
  <si>
    <t>as:GENC:6:ed2:RO-SJ</t>
  </si>
  <si>
    <t>RO-SM</t>
  </si>
  <si>
    <t>Satu Mare</t>
  </si>
  <si>
    <t>as:GENC:6:ed2:RO-SM</t>
  </si>
  <si>
    <t>RO-SB</t>
  </si>
  <si>
    <t>Sibiu</t>
  </si>
  <si>
    <t>as:GENC:6:ed2:RO-SB</t>
  </si>
  <si>
    <t>RO-SV</t>
  </si>
  <si>
    <t>Suceava</t>
  </si>
  <si>
    <t>as:GENC:6:ed2:RO-SV</t>
  </si>
  <si>
    <t>RO-TR</t>
  </si>
  <si>
    <t>Teleorman</t>
  </si>
  <si>
    <t>as:GENC:6:ed2:RO-TR</t>
  </si>
  <si>
    <t>RO-TM</t>
  </si>
  <si>
    <t>Timiş</t>
  </si>
  <si>
    <t>as:GENC:6:ed2:RO-TM</t>
  </si>
  <si>
    <t>RO-TL</t>
  </si>
  <si>
    <t>Tulcea</t>
  </si>
  <si>
    <t>as:GENC:6:ed2:RO-TL</t>
  </si>
  <si>
    <t>RO-VL</t>
  </si>
  <si>
    <t>Vâlcea</t>
  </si>
  <si>
    <t>as:GENC:6:ed2:RO-VL</t>
  </si>
  <si>
    <t>RO-VS</t>
  </si>
  <si>
    <t>Vaslui</t>
  </si>
  <si>
    <t>as:GENC:6:ed2:RO-VS</t>
  </si>
  <si>
    <t>RO-VN</t>
  </si>
  <si>
    <t>Vrancea</t>
  </si>
  <si>
    <t>as:GENC:6:ed2:RO-VN</t>
  </si>
  <si>
    <t>RU-AD</t>
  </si>
  <si>
    <t>Adygeya</t>
  </si>
  <si>
    <t>as:GENC:6:ed2:RU-AD</t>
  </si>
  <si>
    <t>RU-AL</t>
  </si>
  <si>
    <t>Altay</t>
  </si>
  <si>
    <t>as:GENC:6:ed2:RU-AL</t>
  </si>
  <si>
    <t>RU-ALT</t>
  </si>
  <si>
    <t>Altayskiy Kray</t>
  </si>
  <si>
    <t>as:GENC:6:ed2:RU-ALT</t>
  </si>
  <si>
    <t>RU-AMU</t>
  </si>
  <si>
    <t>Amurskaya Oblast’</t>
  </si>
  <si>
    <t>as:GENC:6:ed2:RU-AMU</t>
  </si>
  <si>
    <t>RU-ARK</t>
  </si>
  <si>
    <t>Arkhangel’skaya Oblast’</t>
  </si>
  <si>
    <t>as:GENC:6:ed2:RU-ARK</t>
  </si>
  <si>
    <t>RU-AST</t>
  </si>
  <si>
    <t>Astrakhanskaya Oblast’</t>
  </si>
  <si>
    <t>as:GENC:6:ed2:RU-AST</t>
  </si>
  <si>
    <t>RU-BA</t>
  </si>
  <si>
    <t>Bashkortostan</t>
  </si>
  <si>
    <t>as:GENC:6:ed2:RU-BA</t>
  </si>
  <si>
    <t>RU-BEL</t>
  </si>
  <si>
    <t>Belgorodskaya Oblast’</t>
  </si>
  <si>
    <t>as:GENC:6:ed2:RU-BEL</t>
  </si>
  <si>
    <t>RU-BRY</t>
  </si>
  <si>
    <t>Bryanskaya Oblast’</t>
  </si>
  <si>
    <t>as:GENC:6:ed2:RU-BRY</t>
  </si>
  <si>
    <t>RU-BU</t>
  </si>
  <si>
    <t>Buryatiya</t>
  </si>
  <si>
    <t>as:GENC:6:ed2:RU-BU</t>
  </si>
  <si>
    <t>RU-CE</t>
  </si>
  <si>
    <t>Chechnya</t>
  </si>
  <si>
    <t>as:GENC:6:ed2:RU-CE</t>
  </si>
  <si>
    <t>RU-CHE</t>
  </si>
  <si>
    <t>Chelyabinskaya Oblast’</t>
  </si>
  <si>
    <t>as:GENC:6:ed2:RU-CHE</t>
  </si>
  <si>
    <t>RU-CHU</t>
  </si>
  <si>
    <t>Chukotskiy Avtonomnyy Okrug</t>
  </si>
  <si>
    <t>as:GENC:6:ed2:RU-CHU</t>
  </si>
  <si>
    <t>RU-CU</t>
  </si>
  <si>
    <t>Chuvashiya</t>
  </si>
  <si>
    <t>as:GENC:6:ed2:RU-CU</t>
  </si>
  <si>
    <t>RU-DA</t>
  </si>
  <si>
    <t>Dagestan</t>
  </si>
  <si>
    <t>as:GENC:6:ed2:RU-DA</t>
  </si>
  <si>
    <t>RU-IN</t>
  </si>
  <si>
    <t>Ingushetiya</t>
  </si>
  <si>
    <t>as:GENC:6:ed2:RU-IN</t>
  </si>
  <si>
    <t>RU-IRK</t>
  </si>
  <si>
    <t>Irkutskaya Oblast’</t>
  </si>
  <si>
    <t>as:GENC:6:ed2:RU-IRK</t>
  </si>
  <si>
    <t>RU-IVA</t>
  </si>
  <si>
    <t>Ivanovskaya Oblast’</t>
  </si>
  <si>
    <t>as:GENC:6:ed2:RU-IVA</t>
  </si>
  <si>
    <t>RU-KB</t>
  </si>
  <si>
    <t>Kabardino-Balkariya</t>
  </si>
  <si>
    <t>as:GENC:6:ed2:RU-KB</t>
  </si>
  <si>
    <t>RU-KGD</t>
  </si>
  <si>
    <t>Kaliningradskaya Oblast’</t>
  </si>
  <si>
    <t>as:GENC:6:ed2:RU-KGD</t>
  </si>
  <si>
    <t>RU-KL</t>
  </si>
  <si>
    <t>Kalmykiya</t>
  </si>
  <si>
    <t>as:GENC:6:ed2:RU-KL</t>
  </si>
  <si>
    <t>RU-KLU</t>
  </si>
  <si>
    <t>Kaluzhskaya Oblast’</t>
  </si>
  <si>
    <t>as:GENC:6:ed2:RU-KLU</t>
  </si>
  <si>
    <t>RU-KAM</t>
  </si>
  <si>
    <t>Kamchatskiy Kray</t>
  </si>
  <si>
    <t>as:GENC:6:ed2:RU-KAM</t>
  </si>
  <si>
    <t>RU-KC</t>
  </si>
  <si>
    <t>Karachayevo-Cherkesiya</t>
  </si>
  <si>
    <t>as:GENC:6:ed2:RU-KC</t>
  </si>
  <si>
    <t>RU-KR</t>
  </si>
  <si>
    <t>Kareliya</t>
  </si>
  <si>
    <t>as:GENC:6:ed2:RU-KR</t>
  </si>
  <si>
    <t>RU-KEM</t>
  </si>
  <si>
    <t>Kemerovskaya Oblast’</t>
  </si>
  <si>
    <t>as:GENC:6:ed2:RU-KEM</t>
  </si>
  <si>
    <t>RU-KHA</t>
  </si>
  <si>
    <t>Khabarovskiy Kray</t>
  </si>
  <si>
    <t>as:GENC:6:ed2:RU-KHA</t>
  </si>
  <si>
    <t>RU-KK</t>
  </si>
  <si>
    <t>Khakasiya</t>
  </si>
  <si>
    <t>as:GENC:6:ed2:RU-KK</t>
  </si>
  <si>
    <t>RU-KHM</t>
  </si>
  <si>
    <t>Khanty-Mansiyskiy Avtonomnyy Okrug</t>
  </si>
  <si>
    <t>as:GENC:6:ed2:RU-KHM</t>
  </si>
  <si>
    <t>RU-KIR</t>
  </si>
  <si>
    <t>Kirovskaya Oblast’</t>
  </si>
  <si>
    <t>as:GENC:6:ed2:RU-KIR</t>
  </si>
  <si>
    <t>RU-KO</t>
  </si>
  <si>
    <t>Komi</t>
  </si>
  <si>
    <t>as:GENC:6:ed2:RU-KO</t>
  </si>
  <si>
    <t>RU-KOS</t>
  </si>
  <si>
    <t>Kostromskaya Oblast’</t>
  </si>
  <si>
    <t>as:GENC:6:ed2:RU-KOS</t>
  </si>
  <si>
    <t>RU-KDA</t>
  </si>
  <si>
    <t>Krasnodarskiy Kray</t>
  </si>
  <si>
    <t>as:GENC:6:ed2:RU-KDA</t>
  </si>
  <si>
    <t>RU-KYA</t>
  </si>
  <si>
    <t>Krasnoyarskiy Kray</t>
  </si>
  <si>
    <t>as:GENC:6:ed2:RU-KYA</t>
  </si>
  <si>
    <t>RU-KGN</t>
  </si>
  <si>
    <t>Kurganskaya Oblast’</t>
  </si>
  <si>
    <t>as:GENC:6:ed2:RU-KGN</t>
  </si>
  <si>
    <t>RU-KRS</t>
  </si>
  <si>
    <t>Kurskaya Oblast’</t>
  </si>
  <si>
    <t>as:GENC:6:ed2:RU-KRS</t>
  </si>
  <si>
    <t>RU-LEN</t>
  </si>
  <si>
    <t>Leningradskaya Oblast’</t>
  </si>
  <si>
    <t>as:GENC:6:ed2:RU-LEN</t>
  </si>
  <si>
    <t>RU-LIP</t>
  </si>
  <si>
    <t>Lipetskaya Oblast’</t>
  </si>
  <si>
    <t>as:GENC:6:ed2:RU-LIP</t>
  </si>
  <si>
    <t>RU-MAG</t>
  </si>
  <si>
    <t>Magadanskaya Oblast’</t>
  </si>
  <si>
    <t>as:GENC:6:ed2:RU-MAG</t>
  </si>
  <si>
    <t>RU-ME</t>
  </si>
  <si>
    <t>Mariy-El</t>
  </si>
  <si>
    <t>as:GENC:6:ed2:RU-ME</t>
  </si>
  <si>
    <t>RU-MO</t>
  </si>
  <si>
    <t>Mordoviya</t>
  </si>
  <si>
    <t>as:GENC:6:ed2:RU-MO</t>
  </si>
  <si>
    <t>RU-MOS</t>
  </si>
  <si>
    <t>Moskovskaya Oblast’</t>
  </si>
  <si>
    <t>as:GENC:6:ed2:RU-MOS</t>
  </si>
  <si>
    <t>RU-MOW</t>
  </si>
  <si>
    <t>Moskva</t>
  </si>
  <si>
    <t>as:GENC:6:ed2:RU-MOW</t>
  </si>
  <si>
    <t>RU-MUR</t>
  </si>
  <si>
    <t>Murmanskaya Oblast’</t>
  </si>
  <si>
    <t>as:GENC:6:ed2:RU-MUR</t>
  </si>
  <si>
    <t>RU-NEN</t>
  </si>
  <si>
    <t>Nenetskiy Avtonomnyy Okrug</t>
  </si>
  <si>
    <t>as:GENC:6:ed2:RU-NEN</t>
  </si>
  <si>
    <t>RU-NIZ</t>
  </si>
  <si>
    <t>Nizhegorodskaya Oblast’</t>
  </si>
  <si>
    <t>as:GENC:6:ed2:RU-NIZ</t>
  </si>
  <si>
    <t>RU-SE</t>
  </si>
  <si>
    <t>North Ossetia</t>
  </si>
  <si>
    <t>as:GENC:6:ed2:RU-SE</t>
  </si>
  <si>
    <t>RU-NGR</t>
  </si>
  <si>
    <t>Novgorodskaya Oblast’</t>
  </si>
  <si>
    <t>as:GENC:6:ed2:RU-NGR</t>
  </si>
  <si>
    <t>RU-NVS</t>
  </si>
  <si>
    <t>Novosibirskaya Oblast’</t>
  </si>
  <si>
    <t>as:GENC:6:ed2:RU-NVS</t>
  </si>
  <si>
    <t>RU-OMS</t>
  </si>
  <si>
    <t>Omskaya Oblast’</t>
  </si>
  <si>
    <t>as:GENC:6:ed2:RU-OMS</t>
  </si>
  <si>
    <t>RU-ORE</t>
  </si>
  <si>
    <t>Orenburgskaya Oblast’</t>
  </si>
  <si>
    <t>as:GENC:6:ed2:RU-ORE</t>
  </si>
  <si>
    <t>RU-ORL</t>
  </si>
  <si>
    <t>Orlovskaya Oblast’</t>
  </si>
  <si>
    <t>as:GENC:6:ed2:RU-ORL</t>
  </si>
  <si>
    <t>RU-PNZ</t>
  </si>
  <si>
    <t>Penzenskaya Oblast’</t>
  </si>
  <si>
    <t>as:GENC:6:ed2:RU-PNZ</t>
  </si>
  <si>
    <t>RU-PER</t>
  </si>
  <si>
    <t>Permskiy Kray</t>
  </si>
  <si>
    <t>as:GENC:6:ed2:RU-PER</t>
  </si>
  <si>
    <t>RU-PRI</t>
  </si>
  <si>
    <t>Primorskiy Kray</t>
  </si>
  <si>
    <t>as:GENC:6:ed2:RU-PRI</t>
  </si>
  <si>
    <t>RU-PSK</t>
  </si>
  <si>
    <t>Pskovskaya Oblast’</t>
  </si>
  <si>
    <t>as:GENC:6:ed2:RU-PSK</t>
  </si>
  <si>
    <t>RU-ROS</t>
  </si>
  <si>
    <t>Rostovskaya Oblast’</t>
  </si>
  <si>
    <t>as:GENC:6:ed2:RU-ROS</t>
  </si>
  <si>
    <t>RU-RYA</t>
  </si>
  <si>
    <t>Ryazanskaya Oblast’</t>
  </si>
  <si>
    <t>as:GENC:6:ed2:RU-RYA</t>
  </si>
  <si>
    <t>RU-SA</t>
  </si>
  <si>
    <t>Sakha (Yakutiya)</t>
  </si>
  <si>
    <t>as:GENC:6:ed2:RU-SA</t>
  </si>
  <si>
    <t>RU-SAK</t>
  </si>
  <si>
    <t>Sakhalinskaya Oblast’</t>
  </si>
  <si>
    <t>as:GENC:6:ed2:RU-SAK</t>
  </si>
  <si>
    <t>RU-SAM</t>
  </si>
  <si>
    <t>Samarskaya Oblast’</t>
  </si>
  <si>
    <t>as:GENC:6:ed2:RU-SAM</t>
  </si>
  <si>
    <t>RU-SPE</t>
  </si>
  <si>
    <t>Sankt-Peterburg</t>
  </si>
  <si>
    <t>as:GENC:6:ed2:RU-SPE</t>
  </si>
  <si>
    <t>RU-SAR</t>
  </si>
  <si>
    <t>Saratovskaya Oblast’</t>
  </si>
  <si>
    <t>as:GENC:6:ed2:RU-SAR</t>
  </si>
  <si>
    <t>RU-SMO</t>
  </si>
  <si>
    <t>Smolenskaya Oblast’</t>
  </si>
  <si>
    <t>as:GENC:6:ed2:RU-SMO</t>
  </si>
  <si>
    <t>RU-STA</t>
  </si>
  <si>
    <t>Stavropol’skiy Kray</t>
  </si>
  <si>
    <t>as:GENC:6:ed2:RU-STA</t>
  </si>
  <si>
    <t>RU-SVE</t>
  </si>
  <si>
    <t>Sverdlovskaya Oblast’</t>
  </si>
  <si>
    <t>as:GENC:6:ed2:RU-SVE</t>
  </si>
  <si>
    <t>RU-TAM</t>
  </si>
  <si>
    <t>Tambovskaya Oblast’</t>
  </si>
  <si>
    <t>as:GENC:6:ed2:RU-TAM</t>
  </si>
  <si>
    <t>RU-TA</t>
  </si>
  <si>
    <t>Tatarstan</t>
  </si>
  <si>
    <t>as:GENC:6:ed2:RU-TA</t>
  </si>
  <si>
    <t>RU-TOM</t>
  </si>
  <si>
    <t>Tomskaya Oblast’</t>
  </si>
  <si>
    <t>as:GENC:6:ed2:RU-TOM</t>
  </si>
  <si>
    <t>RU-TUL</t>
  </si>
  <si>
    <t>Tul’skaya Oblast’</t>
  </si>
  <si>
    <t>as:GENC:6:ed2:RU-TUL</t>
  </si>
  <si>
    <t>RU-TVE</t>
  </si>
  <si>
    <t>Tverskaya Oblast’</t>
  </si>
  <si>
    <t>as:GENC:6:ed2:RU-TVE</t>
  </si>
  <si>
    <t>RU-TYU</t>
  </si>
  <si>
    <t>Tyumenskaya Oblast’</t>
  </si>
  <si>
    <t>as:GENC:6:ed2:RU-TYU</t>
  </si>
  <si>
    <t>RU-TY</t>
  </si>
  <si>
    <t>Tyva</t>
  </si>
  <si>
    <t>as:GENC:6:ed2:RU-TY</t>
  </si>
  <si>
    <t>RU-UD</t>
  </si>
  <si>
    <t>Udmurtiya</t>
  </si>
  <si>
    <t>as:GENC:6:ed2:RU-UD</t>
  </si>
  <si>
    <t>RU-ULY</t>
  </si>
  <si>
    <t>Ul’yanovskaya Oblast’</t>
  </si>
  <si>
    <t>as:GENC:6:ed2:RU-ULY</t>
  </si>
  <si>
    <t>RU-VLA</t>
  </si>
  <si>
    <t>Vladimirskaya Oblast’</t>
  </si>
  <si>
    <t>as:GENC:6:ed2:RU-VLA</t>
  </si>
  <si>
    <t>RU-VGG</t>
  </si>
  <si>
    <t>Volgogradskaya Oblast’</t>
  </si>
  <si>
    <t>as:GENC:6:ed2:RU-VGG</t>
  </si>
  <si>
    <t>RU-VLG</t>
  </si>
  <si>
    <t>Vologodskaya Oblast’</t>
  </si>
  <si>
    <t>as:GENC:6:ed2:RU-VLG</t>
  </si>
  <si>
    <t>RU-VOR</t>
  </si>
  <si>
    <t>Voronezhskaya Oblast’</t>
  </si>
  <si>
    <t>as:GENC:6:ed2:RU-VOR</t>
  </si>
  <si>
    <t>RU-YAN</t>
  </si>
  <si>
    <t>Yamalo-Nenetskiy Avtonomnyy Okrug</t>
  </si>
  <si>
    <t>as:GENC:6:ed2:RU-YAN</t>
  </si>
  <si>
    <t>RU-YAR</t>
  </si>
  <si>
    <t>Yaroslavskaya Oblast’</t>
  </si>
  <si>
    <t>as:GENC:6:ed2:RU-YAR</t>
  </si>
  <si>
    <t>RU-YEV</t>
  </si>
  <si>
    <t>Yevreyskaya Avtonomnaya Oblast’</t>
  </si>
  <si>
    <t>autonomous province</t>
  </si>
  <si>
    <t>as:GENC:6:ed2:RU-YEV</t>
  </si>
  <si>
    <t>RU-ZAB</t>
  </si>
  <si>
    <t>Zabaykal’skiy Kray</t>
  </si>
  <si>
    <t>as:GENC:6:ed2:RU-ZAB</t>
  </si>
  <si>
    <t>RW-02</t>
  </si>
  <si>
    <t>Eastern Province</t>
  </si>
  <si>
    <t>as:GENC:6:ed2:RW-02</t>
  </si>
  <si>
    <t>RW-01</t>
  </si>
  <si>
    <t>Kigali</t>
  </si>
  <si>
    <t>as:GENC:6:ed2:RW-01</t>
  </si>
  <si>
    <t>RW-03</t>
  </si>
  <si>
    <t>Northern Province</t>
  </si>
  <si>
    <t>as:GENC:6:ed2:RW-03</t>
  </si>
  <si>
    <t>RW-05</t>
  </si>
  <si>
    <t>Southern Province</t>
  </si>
  <si>
    <t>as:GENC:6:ed2:RW-05</t>
  </si>
  <si>
    <t>RW-04</t>
  </si>
  <si>
    <t>Western Province</t>
  </si>
  <si>
    <t>as:GENC:6:ed2:RW-04</t>
  </si>
  <si>
    <t>SH-AC</t>
  </si>
  <si>
    <t>Ascension</t>
  </si>
  <si>
    <t>administrative area</t>
  </si>
  <si>
    <t>as:GENC:6:ed2:SH-AC</t>
  </si>
  <si>
    <t>SH-HL</t>
  </si>
  <si>
    <t>Saint Helena</t>
  </si>
  <si>
    <t>as:GENC:6:ed2:SH-HL</t>
  </si>
  <si>
    <t>SH-TA</t>
  </si>
  <si>
    <t>Tristan da Cunha</t>
  </si>
  <si>
    <t>as:GENC:6:ed2:SH-TA</t>
  </si>
  <si>
    <t>KN-01</t>
  </si>
  <si>
    <t>Christ Church Nichola Town</t>
  </si>
  <si>
    <t>as:ISO2:6:ed3:KN-01</t>
  </si>
  <si>
    <t>KN-N</t>
  </si>
  <si>
    <t>Nevis</t>
  </si>
  <si>
    <t>as:ISO2:6:ed3:KN-N</t>
  </si>
  <si>
    <t>KN-02</t>
  </si>
  <si>
    <t>Saint Anne Sandy Point</t>
  </si>
  <si>
    <t>as:ISO2:6:ed3:KN-02</t>
  </si>
  <si>
    <t>KN-03</t>
  </si>
  <si>
    <t>Saint George Basseterre</t>
  </si>
  <si>
    <t>as:ISO2:6:ed3:KN-03</t>
  </si>
  <si>
    <t>KN-04</t>
  </si>
  <si>
    <t>Saint George Gingerland</t>
  </si>
  <si>
    <t>as:ISO2:6:ed3:KN-04</t>
  </si>
  <si>
    <t>KN-05</t>
  </si>
  <si>
    <t>Saint James Windward</t>
  </si>
  <si>
    <t>as:ISO2:6:ed3:KN-05</t>
  </si>
  <si>
    <t>KN-06</t>
  </si>
  <si>
    <t>Saint John Capesterre</t>
  </si>
  <si>
    <t>as:GENC:6:ed2:KN-06</t>
  </si>
  <si>
    <t>KN-07</t>
  </si>
  <si>
    <t>Saint John Figtree</t>
  </si>
  <si>
    <t>as:ISO2:6:ed3:KN-07</t>
  </si>
  <si>
    <t>KN-K</t>
  </si>
  <si>
    <t>Saint Kitts</t>
  </si>
  <si>
    <t>as:ISO2:6:ed3:KN-K</t>
  </si>
  <si>
    <t>KN-08</t>
  </si>
  <si>
    <t>Saint Mary Cayon</t>
  </si>
  <si>
    <t>as:ISO2:6:ed3:KN-08</t>
  </si>
  <si>
    <t>KN-09</t>
  </si>
  <si>
    <t>Saint Paul Capesterre</t>
  </si>
  <si>
    <t>as:GENC:6:ed2:KN-09</t>
  </si>
  <si>
    <t>KN-10</t>
  </si>
  <si>
    <t>Saint Paul Charlestown</t>
  </si>
  <si>
    <t>as:ISO2:6:ed3:KN-10</t>
  </si>
  <si>
    <t>KN-11</t>
  </si>
  <si>
    <t>Saint Peter Basseterre</t>
  </si>
  <si>
    <t>as:ISO2:6:ed3:KN-11</t>
  </si>
  <si>
    <t>KN-12</t>
  </si>
  <si>
    <t>Saint Thomas Lowland</t>
  </si>
  <si>
    <t>as:ISO2:6:ed3:KN-12</t>
  </si>
  <si>
    <t>KN-13</t>
  </si>
  <si>
    <t>Saint Thomas Middle Island</t>
  </si>
  <si>
    <t>as:ISO2:6:ed3:KN-13</t>
  </si>
  <si>
    <t>KN-15</t>
  </si>
  <si>
    <t>Trinity Palmetto Point</t>
  </si>
  <si>
    <t>as:ISO2:6:ed3:KN-15</t>
  </si>
  <si>
    <t>LC-01</t>
  </si>
  <si>
    <t>Anse-la-Raye</t>
  </si>
  <si>
    <t>as:GENC:6:ed2:LC-01</t>
  </si>
  <si>
    <t>LC-12</t>
  </si>
  <si>
    <t>Canaries</t>
  </si>
  <si>
    <t>as:GENC:6:ed2:LC-12</t>
  </si>
  <si>
    <t>LC-02</t>
  </si>
  <si>
    <t>Castries</t>
  </si>
  <si>
    <t>as:GENC:6:ed2:LC-02</t>
  </si>
  <si>
    <t>LC-03</t>
  </si>
  <si>
    <t>Choiseul</t>
  </si>
  <si>
    <t>as:GENC:6:ed2:LC-03</t>
  </si>
  <si>
    <t>LC-04</t>
  </si>
  <si>
    <t>Dauphin</t>
  </si>
  <si>
    <t>as:GENC:6:ed2:LC-04</t>
  </si>
  <si>
    <t>LC-05</t>
  </si>
  <si>
    <t>Dennery</t>
  </si>
  <si>
    <t>as:GENC:6:ed2:LC-05</t>
  </si>
  <si>
    <t>LC-06</t>
  </si>
  <si>
    <t>Gros-Islet</t>
  </si>
  <si>
    <t>as:GENC:6:ed2:LC-06</t>
  </si>
  <si>
    <t>LC-07</t>
  </si>
  <si>
    <t>Laborie</t>
  </si>
  <si>
    <t>as:GENC:6:ed2:LC-07</t>
  </si>
  <si>
    <t>LC-08</t>
  </si>
  <si>
    <t>Micoud</t>
  </si>
  <si>
    <t>as:GENC:6:ed2:LC-08</t>
  </si>
  <si>
    <t>LC-09</t>
  </si>
  <si>
    <t>Praslin</t>
  </si>
  <si>
    <t>as:GENC:6:ed2:LC-09</t>
  </si>
  <si>
    <t>LC-10</t>
  </si>
  <si>
    <t>Soufrière</t>
  </si>
  <si>
    <t>as:GENC:6:ed2:LC-10</t>
  </si>
  <si>
    <t>LC-11</t>
  </si>
  <si>
    <t>Vieux-Fort</t>
  </si>
  <si>
    <t>as:GENC:6:ed2:LC-11</t>
  </si>
  <si>
    <t>VC-01</t>
  </si>
  <si>
    <t>Charlotte</t>
  </si>
  <si>
    <t>as:ISO2:6:ed3:VC-01</t>
  </si>
  <si>
    <t>VC-06</t>
  </si>
  <si>
    <t>Grenadines</t>
  </si>
  <si>
    <t>as:ISO2:6:ed3:VC-06</t>
  </si>
  <si>
    <t>VC-02</t>
  </si>
  <si>
    <t>as:ISO2:6:ed3:VC-02</t>
  </si>
  <si>
    <t>VC-03</t>
  </si>
  <si>
    <t>as:ISO2:6:ed3:VC-03</t>
  </si>
  <si>
    <t>VC-04</t>
  </si>
  <si>
    <t>as:ISO2:6:ed3:VC-04</t>
  </si>
  <si>
    <t>VC-05</t>
  </si>
  <si>
    <t>as:ISO2:6:ed3:VC-05</t>
  </si>
  <si>
    <t>WS-AA</t>
  </si>
  <si>
    <t>A‘ana</t>
  </si>
  <si>
    <t>as:GENC:6:ed2:WS-AA</t>
  </si>
  <si>
    <t>WS-AL</t>
  </si>
  <si>
    <t>Aiga-i-le-Tai</t>
  </si>
  <si>
    <t>as:GENC:6:ed2:WS-AL</t>
  </si>
  <si>
    <t>WS-AT</t>
  </si>
  <si>
    <t>Atua</t>
  </si>
  <si>
    <t>as:GENC:6:ed2:WS-AT</t>
  </si>
  <si>
    <t>WS-FA</t>
  </si>
  <si>
    <t>Fa‘asaleleaga</t>
  </si>
  <si>
    <t>as:GENC:6:ed2:WS-FA</t>
  </si>
  <si>
    <t>WS-GE</t>
  </si>
  <si>
    <t>Gaga‘emauga</t>
  </si>
  <si>
    <t>as:GENC:6:ed2:WS-GE</t>
  </si>
  <si>
    <t>WS-GI</t>
  </si>
  <si>
    <t>Gagaifomauga</t>
  </si>
  <si>
    <t>as:GENC:6:ed2:WS-GI</t>
  </si>
  <si>
    <t>WS-PA</t>
  </si>
  <si>
    <t>Palauli</t>
  </si>
  <si>
    <t>as:GENC:6:ed2:WS-PA</t>
  </si>
  <si>
    <t>WS-SA</t>
  </si>
  <si>
    <t>Satupa‘itea</t>
  </si>
  <si>
    <t>as:GENC:6:ed2:WS-SA</t>
  </si>
  <si>
    <t>WS-TU</t>
  </si>
  <si>
    <t>Tuamasaga</t>
  </si>
  <si>
    <t>as:GENC:6:ed2:WS-TU</t>
  </si>
  <si>
    <t>WS-VF</t>
  </si>
  <si>
    <t>Va‘a-o-Fonoti</t>
  </si>
  <si>
    <t>as:GENC:6:ed2:WS-VF</t>
  </si>
  <si>
    <t>WS-VS</t>
  </si>
  <si>
    <t>Vaisigano</t>
  </si>
  <si>
    <t>as:GENC:6:ed2:WS-VS</t>
  </si>
  <si>
    <t>SM-01</t>
  </si>
  <si>
    <t>Acquaviva</t>
  </si>
  <si>
    <t>as:ISO2:6:ed3:SM-01</t>
  </si>
  <si>
    <t>SM-06</t>
  </si>
  <si>
    <t>Borgo Maggiore</t>
  </si>
  <si>
    <t>as:ISO2:6:ed3:SM-06</t>
  </si>
  <si>
    <t>SM-02</t>
  </si>
  <si>
    <t>Chiesanuova</t>
  </si>
  <si>
    <t>as:ISO2:6:ed3:SM-02</t>
  </si>
  <si>
    <t>SM-03</t>
  </si>
  <si>
    <t>Domagnano</t>
  </si>
  <si>
    <t>as:ISO2:6:ed3:SM-03</t>
  </si>
  <si>
    <t>SM-04</t>
  </si>
  <si>
    <t>Faetano</t>
  </si>
  <si>
    <t>as:ISO2:6:ed3:SM-04</t>
  </si>
  <si>
    <t>SM-05</t>
  </si>
  <si>
    <t>Fiorentino</t>
  </si>
  <si>
    <t>as:ISO2:6:ed3:SM-05</t>
  </si>
  <si>
    <t>SM-08</t>
  </si>
  <si>
    <t>Montegiardino</t>
  </si>
  <si>
    <t>as:ISO2:6:ed3:SM-08</t>
  </si>
  <si>
    <t>SM-07</t>
  </si>
  <si>
    <t>San Marino Città</t>
  </si>
  <si>
    <t>as:GENC:6:ed2:SM-07</t>
  </si>
  <si>
    <t>SM-09</t>
  </si>
  <si>
    <t>Serravalle</t>
  </si>
  <si>
    <t>as:ISO2:6:ed3:SM-09</t>
  </si>
  <si>
    <t>ST-P</t>
  </si>
  <si>
    <t>Príncipe</t>
  </si>
  <si>
    <t>as:GENC:6:ed2:ST-P</t>
  </si>
  <si>
    <t>ST-S</t>
  </si>
  <si>
    <t>São Tomé</t>
  </si>
  <si>
    <t>as:GENC:6:ed2:ST-S</t>
  </si>
  <si>
    <t>SA-11</t>
  </si>
  <si>
    <t>Al Bāḩah</t>
  </si>
  <si>
    <t>as:GENC:6:ed2:SA-11</t>
  </si>
  <si>
    <t>SA-08</t>
  </si>
  <si>
    <t>Al Ḩudūd ash Shamālīyah</t>
  </si>
  <si>
    <t>as:GENC:6:ed2:SA-08</t>
  </si>
  <si>
    <t>SA-12</t>
  </si>
  <si>
    <t>Al Jawf</t>
  </si>
  <si>
    <t>as:GENC:6:ed2:SA-12</t>
  </si>
  <si>
    <t>SA-03</t>
  </si>
  <si>
    <t>Al Madīnah al Munawwarah</t>
  </si>
  <si>
    <t>as:GENC:6:ed2:SA-03</t>
  </si>
  <si>
    <t>SA-05</t>
  </si>
  <si>
    <t>Al Qaşīm</t>
  </si>
  <si>
    <t>as:GENC:6:ed2:SA-05</t>
  </si>
  <si>
    <t>SA-01</t>
  </si>
  <si>
    <t>Ar Riyāḑ</t>
  </si>
  <si>
    <t>as:GENC:6:ed2:SA-01</t>
  </si>
  <si>
    <t>SA-04</t>
  </si>
  <si>
    <t>as:GENC:6:ed2:SA-04</t>
  </si>
  <si>
    <t>SA-14</t>
  </si>
  <si>
    <t>‘Asīr</t>
  </si>
  <si>
    <t>as:GENC:6:ed2:SA-14</t>
  </si>
  <si>
    <t>SA-06</t>
  </si>
  <si>
    <t>Ḩā’il</t>
  </si>
  <si>
    <t>as:GENC:6:ed2:SA-06</t>
  </si>
  <si>
    <t>SA-09</t>
  </si>
  <si>
    <t>Jāzān</t>
  </si>
  <si>
    <t>as:GENC:6:ed2:SA-09</t>
  </si>
  <si>
    <t>SA-02</t>
  </si>
  <si>
    <t>Makkah al Mukarramah</t>
  </si>
  <si>
    <t>as:GENC:6:ed2:SA-02</t>
  </si>
  <si>
    <t>SA-10</t>
  </si>
  <si>
    <t>Najrān</t>
  </si>
  <si>
    <t>as:GENC:6:ed2:SA-10</t>
  </si>
  <si>
    <t>SA-07</t>
  </si>
  <si>
    <t>Tabūk</t>
  </si>
  <si>
    <t>as:GENC:6:ed2:SA-07</t>
  </si>
  <si>
    <t>SN-DK</t>
  </si>
  <si>
    <t>Dakar</t>
  </si>
  <si>
    <t>as:ISO2:6:ed3:SN-DK</t>
  </si>
  <si>
    <t>SN-DB</t>
  </si>
  <si>
    <t>Diourbel</t>
  </si>
  <si>
    <t>as:ISO2:6:ed3:SN-DB</t>
  </si>
  <si>
    <t>SN-FK</t>
  </si>
  <si>
    <t>Fatick</t>
  </si>
  <si>
    <t>as:ISO2:6:ed3:SN-FK</t>
  </si>
  <si>
    <t>SN-KA</t>
  </si>
  <si>
    <t>Kaffrine</t>
  </si>
  <si>
    <t>as:ISO2:6:ed3:SN-KA</t>
  </si>
  <si>
    <t>SN-KL</t>
  </si>
  <si>
    <t>Kaolack</t>
  </si>
  <si>
    <t>as:ISO2:6:ed3:SN-KL</t>
  </si>
  <si>
    <t>SN-KE</t>
  </si>
  <si>
    <t>Kédougou</t>
  </si>
  <si>
    <t>as:ISO2:6:ed3:SN-KE</t>
  </si>
  <si>
    <t>SN-KD</t>
  </si>
  <si>
    <t>Kolda</t>
  </si>
  <si>
    <t>as:ISO2:6:ed3:SN-KD</t>
  </si>
  <si>
    <t>SN-LG</t>
  </si>
  <si>
    <t>Louga</t>
  </si>
  <si>
    <t>as:ISO2:6:ed3:SN-LG</t>
  </si>
  <si>
    <t>SN-MT</t>
  </si>
  <si>
    <t>Matam</t>
  </si>
  <si>
    <t>as:ISO2:6:ed3:SN-MT</t>
  </si>
  <si>
    <t>SN-SL</t>
  </si>
  <si>
    <t>Saint-Louis</t>
  </si>
  <si>
    <t>as:ISO2:6:ed3:SN-SL</t>
  </si>
  <si>
    <t>SN-SE</t>
  </si>
  <si>
    <t>Sédhiou</t>
  </si>
  <si>
    <t>as:ISO2:6:ed3:SN-SE</t>
  </si>
  <si>
    <t>SN-TC</t>
  </si>
  <si>
    <t>Tambacounda</t>
  </si>
  <si>
    <t>as:ISO2:6:ed3:SN-TC</t>
  </si>
  <si>
    <t>SN-TH</t>
  </si>
  <si>
    <t>Thiès</t>
  </si>
  <si>
    <t>as:ISO2:6:ed3:SN-TH</t>
  </si>
  <si>
    <t>SN-ZG</t>
  </si>
  <si>
    <t>Ziguinchor</t>
  </si>
  <si>
    <t>as:ISO2:6:ed3:SN-ZG</t>
  </si>
  <si>
    <t>RS-30</t>
  </si>
  <si>
    <t>Ada</t>
  </si>
  <si>
    <t>as:GENC:6:ed2:RS-30</t>
  </si>
  <si>
    <t>RS-31</t>
  </si>
  <si>
    <t>Aleksandrovac</t>
  </si>
  <si>
    <t>as:GENC:6:ed2:RS-31</t>
  </si>
  <si>
    <t>RS-32</t>
  </si>
  <si>
    <t>Aleksinac</t>
  </si>
  <si>
    <t>as:GENC:6:ed2:RS-32</t>
  </si>
  <si>
    <t>RS-33</t>
  </si>
  <si>
    <t>Alibunar</t>
  </si>
  <si>
    <t>as:GENC:6:ed2:RS-33</t>
  </si>
  <si>
    <t>RS-34</t>
  </si>
  <si>
    <t>Apatin</t>
  </si>
  <si>
    <t>as:GENC:6:ed2:RS-34</t>
  </si>
  <si>
    <t>RS-35</t>
  </si>
  <si>
    <t>Aranđelovac</t>
  </si>
  <si>
    <t>as:GENC:6:ed2:RS-35</t>
  </si>
  <si>
    <t>RS-36</t>
  </si>
  <si>
    <t>Arilje</t>
  </si>
  <si>
    <t>as:GENC:6:ed2:RS-36</t>
  </si>
  <si>
    <t>RS-37</t>
  </si>
  <si>
    <t>Babušnica</t>
  </si>
  <si>
    <t>as:GENC:6:ed2:RS-37</t>
  </si>
  <si>
    <t>RS-38</t>
  </si>
  <si>
    <t>Bač</t>
  </si>
  <si>
    <t>as:GENC:6:ed2:RS-38</t>
  </si>
  <si>
    <t>RS-39</t>
  </si>
  <si>
    <t>Bačka Palanka</t>
  </si>
  <si>
    <t>as:GENC:6:ed2:RS-39</t>
  </si>
  <si>
    <t>RS-40</t>
  </si>
  <si>
    <t>Bačka Topola</t>
  </si>
  <si>
    <t>as:GENC:6:ed2:RS-40</t>
  </si>
  <si>
    <t>RS-41</t>
  </si>
  <si>
    <t>Bački Petrovac</t>
  </si>
  <si>
    <t>as:GENC:6:ed2:RS-41</t>
  </si>
  <si>
    <t>RS-42</t>
  </si>
  <si>
    <t>Bajina Bašta</t>
  </si>
  <si>
    <t>as:GENC:6:ed2:RS-42</t>
  </si>
  <si>
    <t>RS-43</t>
  </si>
  <si>
    <t>Batočina</t>
  </si>
  <si>
    <t>as:GENC:6:ed2:RS-43</t>
  </si>
  <si>
    <t>RS-44</t>
  </si>
  <si>
    <t>Bečej</t>
  </si>
  <si>
    <t>as:GENC:6:ed2:RS-44</t>
  </si>
  <si>
    <t>RS-45</t>
  </si>
  <si>
    <t>Bela Crkva</t>
  </si>
  <si>
    <t>as:GENC:6:ed2:RS-45</t>
  </si>
  <si>
    <t>RS-46</t>
  </si>
  <si>
    <t>Bela Palanka</t>
  </si>
  <si>
    <t>as:GENC:6:ed2:RS-46</t>
  </si>
  <si>
    <t>RS-47</t>
  </si>
  <si>
    <t xml:space="preserve">Beočin </t>
  </si>
  <si>
    <t>as:GENC:6:ed2:RS-47</t>
  </si>
  <si>
    <t>RS-00</t>
  </si>
  <si>
    <t>Beograd</t>
  </si>
  <si>
    <t>as:ISO2:6:ed3:RS-00</t>
  </si>
  <si>
    <t>RS-48</t>
  </si>
  <si>
    <t>Blace</t>
  </si>
  <si>
    <t>as:GENC:6:ed2:RS-48</t>
  </si>
  <si>
    <t>RS-49</t>
  </si>
  <si>
    <t>Bogatić</t>
  </si>
  <si>
    <t>as:GENC:6:ed2:RS-49</t>
  </si>
  <si>
    <t>RS-50</t>
  </si>
  <si>
    <t>Bojnik</t>
  </si>
  <si>
    <t>as:GENC:6:ed2:RS-50</t>
  </si>
  <si>
    <t>RS-51</t>
  </si>
  <si>
    <t>Boljevac</t>
  </si>
  <si>
    <t>as:GENC:6:ed2:RS-51</t>
  </si>
  <si>
    <t>RS-52</t>
  </si>
  <si>
    <t>Bor</t>
  </si>
  <si>
    <t>as:GENC:6:ed2:RS-52</t>
  </si>
  <si>
    <t>RS-14</t>
  </si>
  <si>
    <t>Borski Okrug</t>
  </si>
  <si>
    <t>as:GENC:6:ed2:RS-14</t>
  </si>
  <si>
    <t>RS-53</t>
  </si>
  <si>
    <t>Bosilegrad</t>
  </si>
  <si>
    <t>as:GENC:6:ed2:RS-53</t>
  </si>
  <si>
    <t>RS-11</t>
  </si>
  <si>
    <t>Braničevski Okrug</t>
  </si>
  <si>
    <t>as:GENC:6:ed2:RS-11</t>
  </si>
  <si>
    <t>RS-54</t>
  </si>
  <si>
    <t>Brus</t>
  </si>
  <si>
    <t>as:GENC:6:ed2:RS-54</t>
  </si>
  <si>
    <t>RS-55</t>
  </si>
  <si>
    <t>Bujanovac</t>
  </si>
  <si>
    <t>as:GENC:6:ed2:RS-55</t>
  </si>
  <si>
    <t>RS-56</t>
  </si>
  <si>
    <t>Čačak</t>
  </si>
  <si>
    <t>as:GENC:6:ed2:RS-56</t>
  </si>
  <si>
    <t>RS-57</t>
  </si>
  <si>
    <t>Čajetina</t>
  </si>
  <si>
    <t>as:GENC:6:ed2:RS-57</t>
  </si>
  <si>
    <t>RS-58</t>
  </si>
  <si>
    <t>Ćićevac</t>
  </si>
  <si>
    <t>as:GENC:6:ed2:RS-58</t>
  </si>
  <si>
    <t>RS-59</t>
  </si>
  <si>
    <t>Čoka</t>
  </si>
  <si>
    <t>as:GENC:6:ed2:RS-59</t>
  </si>
  <si>
    <t>RS-60</t>
  </si>
  <si>
    <t>Crna Trava</t>
  </si>
  <si>
    <t>as:GENC:6:ed2:RS-60</t>
  </si>
  <si>
    <t>RS-61</t>
  </si>
  <si>
    <t>Ćuprija</t>
  </si>
  <si>
    <t>as:GENC:6:ed2:RS-61</t>
  </si>
  <si>
    <t>RS-62</t>
  </si>
  <si>
    <t>Despotovac</t>
  </si>
  <si>
    <t>as:GENC:6:ed2:RS-62</t>
  </si>
  <si>
    <t>RS-63</t>
  </si>
  <si>
    <t>Dimitrovgrad</t>
  </si>
  <si>
    <t>as:GENC:6:ed2:RS-63</t>
  </si>
  <si>
    <t>RS-64</t>
  </si>
  <si>
    <t>Doljevac</t>
  </si>
  <si>
    <t>as:GENC:6:ed2:RS-64</t>
  </si>
  <si>
    <t>RS-65</t>
  </si>
  <si>
    <t>Gadžin Han</t>
  </si>
  <si>
    <t>as:GENC:6:ed2:RS-65</t>
  </si>
  <si>
    <t>RS-66</t>
  </si>
  <si>
    <t>Golubac</t>
  </si>
  <si>
    <t>as:GENC:6:ed2:RS-66</t>
  </si>
  <si>
    <t>RS-67</t>
  </si>
  <si>
    <t>Gornji Milanovac</t>
  </si>
  <si>
    <t>as:GENC:6:ed2:RS-67</t>
  </si>
  <si>
    <t>RS-68</t>
  </si>
  <si>
    <t>Inđija</t>
  </si>
  <si>
    <t>as:GENC:6:ed2:RS-68</t>
  </si>
  <si>
    <t>RS-69</t>
  </si>
  <si>
    <t>Irig</t>
  </si>
  <si>
    <t>as:GENC:6:ed2:RS-69</t>
  </si>
  <si>
    <t>RS-70</t>
  </si>
  <si>
    <t>Ivanjica</t>
  </si>
  <si>
    <t>as:GENC:6:ed2:RS-70</t>
  </si>
  <si>
    <t>RS-23</t>
  </si>
  <si>
    <t>Jablanički Okrug</t>
  </si>
  <si>
    <t>as:GENC:6:ed2:RS-23</t>
  </si>
  <si>
    <t>RS-71</t>
  </si>
  <si>
    <t>Jagodina</t>
  </si>
  <si>
    <t>as:GENC:6:ed2:RS-71</t>
  </si>
  <si>
    <t>RS-06</t>
  </si>
  <si>
    <t>Južno Bački Okrug</t>
  </si>
  <si>
    <t>as:GENC:6:ed2:RS-06</t>
  </si>
  <si>
    <t>RS-04</t>
  </si>
  <si>
    <t>Južno Banatski Okrug</t>
  </si>
  <si>
    <t>as:GENC:6:ed2:RS-04</t>
  </si>
  <si>
    <t>RS-72</t>
  </si>
  <si>
    <t>Kanjiža</t>
  </si>
  <si>
    <t>as:GENC:6:ed2:RS-72</t>
  </si>
  <si>
    <t>RS-73</t>
  </si>
  <si>
    <t>Kikinda</t>
  </si>
  <si>
    <t>as:GENC:6:ed2:RS-73</t>
  </si>
  <si>
    <t>RS-74</t>
  </si>
  <si>
    <t>Kladovo</t>
  </si>
  <si>
    <t>as:GENC:6:ed2:RS-74</t>
  </si>
  <si>
    <t>RS-75</t>
  </si>
  <si>
    <t>Knić</t>
  </si>
  <si>
    <t>as:GENC:6:ed2:RS-75</t>
  </si>
  <si>
    <t>RS-76</t>
  </si>
  <si>
    <t>Knjaževac</t>
  </si>
  <si>
    <t>as:GENC:6:ed2:RS-76</t>
  </si>
  <si>
    <t>RS-77</t>
  </si>
  <si>
    <t>Koceljeva</t>
  </si>
  <si>
    <t>as:GENC:6:ed2:RS-77</t>
  </si>
  <si>
    <t>RS-09</t>
  </si>
  <si>
    <t>Kolubarski Okrug</t>
  </si>
  <si>
    <t>as:GENC:6:ed2:RS-09</t>
  </si>
  <si>
    <t>RS-78</t>
  </si>
  <si>
    <t>Kosjerić</t>
  </si>
  <si>
    <t>as:GENC:6:ed2:RS-78</t>
  </si>
  <si>
    <t>RS-KM</t>
  </si>
  <si>
    <t>Kosovo-Metohija</t>
  </si>
  <si>
    <t>as:GENC:6:ed2:RS-KM</t>
  </si>
  <si>
    <t>RS-25</t>
  </si>
  <si>
    <t>Kosovski okrug</t>
  </si>
  <si>
    <t>as:GENC:6:ed2:RS-25</t>
  </si>
  <si>
    <t>RS-28</t>
  </si>
  <si>
    <t>Kosovsko-Mitrovački okrug</t>
  </si>
  <si>
    <t>as:GENC:6:ed2:RS-28</t>
  </si>
  <si>
    <t>RS-29</t>
  </si>
  <si>
    <t>Kosovsko-Pomoravski okrug</t>
  </si>
  <si>
    <t>as:GENC:6:ed2:RS-29</t>
  </si>
  <si>
    <t>RS-79</t>
  </si>
  <si>
    <t>Kovačica</t>
  </si>
  <si>
    <t>as:GENC:6:ed2:RS-79</t>
  </si>
  <si>
    <t>RS-80</t>
  </si>
  <si>
    <t>Kovin</t>
  </si>
  <si>
    <t>as:GENC:6:ed2:RS-80</t>
  </si>
  <si>
    <t>RS-81</t>
  </si>
  <si>
    <t>Kragujevac</t>
  </si>
  <si>
    <t>as:GENC:6:ed2:RS-81</t>
  </si>
  <si>
    <t>RS-82</t>
  </si>
  <si>
    <t>Kraljevo</t>
  </si>
  <si>
    <t>as:GENC:6:ed2:RS-82</t>
  </si>
  <si>
    <t>RS-83</t>
  </si>
  <si>
    <t>Krupanj</t>
  </si>
  <si>
    <t>as:GENC:6:ed2:RS-83</t>
  </si>
  <si>
    <t>RS-84</t>
  </si>
  <si>
    <t>Kruševac</t>
  </si>
  <si>
    <t>as:GENC:6:ed2:RS-84</t>
  </si>
  <si>
    <t>RS-85</t>
  </si>
  <si>
    <t>Kučevo</t>
  </si>
  <si>
    <t>as:GENC:6:ed2:RS-85</t>
  </si>
  <si>
    <t>RS-86</t>
  </si>
  <si>
    <t>Kula</t>
  </si>
  <si>
    <t>as:GENC:6:ed2:RS-86</t>
  </si>
  <si>
    <t>RS-87</t>
  </si>
  <si>
    <t>Kuršumlija</t>
  </si>
  <si>
    <t>as:GENC:6:ed2:RS-87</t>
  </si>
  <si>
    <t>RS-88</t>
  </si>
  <si>
    <t>Lajkovac</t>
  </si>
  <si>
    <t>as:GENC:6:ed2:RS-88</t>
  </si>
  <si>
    <t>RS-89</t>
  </si>
  <si>
    <t>Lapovo</t>
  </si>
  <si>
    <t>as:GENC:6:ed2:RS-89</t>
  </si>
  <si>
    <t>RS-90</t>
  </si>
  <si>
    <t>Lebane</t>
  </si>
  <si>
    <t>as:GENC:6:ed2:RS-90</t>
  </si>
  <si>
    <t>RS-91</t>
  </si>
  <si>
    <t>Leskovac</t>
  </si>
  <si>
    <t>as:GENC:6:ed2:RS-91</t>
  </si>
  <si>
    <t>RS-92</t>
  </si>
  <si>
    <t>Ljig</t>
  </si>
  <si>
    <t>as:GENC:6:ed2:RS-92</t>
  </si>
  <si>
    <t>RS-93</t>
  </si>
  <si>
    <t>Ljubovija</t>
  </si>
  <si>
    <t>as:GENC:6:ed2:RS-93</t>
  </si>
  <si>
    <t>RS-94</t>
  </si>
  <si>
    <t>Loznica</t>
  </si>
  <si>
    <t>as:GENC:6:ed2:RS-94</t>
  </si>
  <si>
    <t>RS-95</t>
  </si>
  <si>
    <t>Lučani</t>
  </si>
  <si>
    <t>as:GENC:6:ed2:RS-95</t>
  </si>
  <si>
    <t>RS-08</t>
  </si>
  <si>
    <t>Mačvanski Okrug</t>
  </si>
  <si>
    <t>as:GENC:6:ed2:RS-08</t>
  </si>
  <si>
    <t>RS-96</t>
  </si>
  <si>
    <t>Majdanpek</t>
  </si>
  <si>
    <t>as:GENC:6:ed2:RS-96</t>
  </si>
  <si>
    <t>RS-97</t>
  </si>
  <si>
    <t>Mali Iđoš</t>
  </si>
  <si>
    <t>as:GENC:6:ed2:RS-97</t>
  </si>
  <si>
    <t>RS-98</t>
  </si>
  <si>
    <t>Mali Zvornik</t>
  </si>
  <si>
    <t>as:GENC:6:ed2:RS-98</t>
  </si>
  <si>
    <t>RS-99</t>
  </si>
  <si>
    <t>Malo Crniće</t>
  </si>
  <si>
    <t>as:GENC:6:ed2:RS-99</t>
  </si>
  <si>
    <t>RS-100</t>
  </si>
  <si>
    <t>Medveđa</t>
  </si>
  <si>
    <t>as:GENC:6:ed2:RS-100</t>
  </si>
  <si>
    <t>RS-101</t>
  </si>
  <si>
    <t>Merošina</t>
  </si>
  <si>
    <t>as:GENC:6:ed2:RS-101</t>
  </si>
  <si>
    <t>RS-102</t>
  </si>
  <si>
    <t>Mionica</t>
  </si>
  <si>
    <t>as:GENC:6:ed2:RS-102</t>
  </si>
  <si>
    <t>RS-17</t>
  </si>
  <si>
    <t>Moravički Okrug</t>
  </si>
  <si>
    <t>as:GENC:6:ed2:RS-17</t>
  </si>
  <si>
    <t>RS-103</t>
  </si>
  <si>
    <t>Negotin</t>
  </si>
  <si>
    <t>as:GENC:6:ed2:RS-103</t>
  </si>
  <si>
    <t>RS-104</t>
  </si>
  <si>
    <t>Niš</t>
  </si>
  <si>
    <t>as:GENC:6:ed2:RS-104</t>
  </si>
  <si>
    <t>RS-20</t>
  </si>
  <si>
    <t>Nišavski Okrug</t>
  </si>
  <si>
    <t>as:GENC:6:ed2:RS-20</t>
  </si>
  <si>
    <t>RS-105</t>
  </si>
  <si>
    <t>Nova Crnja</t>
  </si>
  <si>
    <t>as:GENC:6:ed2:RS-105</t>
  </si>
  <si>
    <t>RS-106</t>
  </si>
  <si>
    <t>Nova Varoš</t>
  </si>
  <si>
    <t>as:GENC:6:ed2:RS-106</t>
  </si>
  <si>
    <t>RS-107</t>
  </si>
  <si>
    <t>Novi Bečej</t>
  </si>
  <si>
    <t>as:GENC:6:ed2:RS-107</t>
  </si>
  <si>
    <t>RS-108</t>
  </si>
  <si>
    <t>Novi Kneževac</t>
  </si>
  <si>
    <t>as:GENC:6:ed2:RS-108</t>
  </si>
  <si>
    <t>RS-109</t>
  </si>
  <si>
    <t>Novi Pazar</t>
  </si>
  <si>
    <t>as:GENC:6:ed2:RS-109</t>
  </si>
  <si>
    <t>RS-110</t>
  </si>
  <si>
    <t>Novi Sad</t>
  </si>
  <si>
    <t>as:GENC:6:ed2:RS-110</t>
  </si>
  <si>
    <t>RS-111</t>
  </si>
  <si>
    <t>Odžaci</t>
  </si>
  <si>
    <t>as:GENC:6:ed2:RS-111</t>
  </si>
  <si>
    <t>RS-112</t>
  </si>
  <si>
    <t>Opovo</t>
  </si>
  <si>
    <t>as:GENC:6:ed2:RS-112</t>
  </si>
  <si>
    <t>RS-113</t>
  </si>
  <si>
    <t>Osečina</t>
  </si>
  <si>
    <t>as:GENC:6:ed2:RS-113</t>
  </si>
  <si>
    <t>RS-114</t>
  </si>
  <si>
    <t>Pančevo</t>
  </si>
  <si>
    <t>as:GENC:6:ed2:RS-114</t>
  </si>
  <si>
    <t>RS-115</t>
  </si>
  <si>
    <t>Paraćin</t>
  </si>
  <si>
    <t>as:GENC:6:ed2:RS-115</t>
  </si>
  <si>
    <t>RS-24</t>
  </si>
  <si>
    <t>Pčinjski Okrug</t>
  </si>
  <si>
    <t>as:GENC:6:ed2:RS-24</t>
  </si>
  <si>
    <t>RS-116</t>
  </si>
  <si>
    <t>Pećinci</t>
  </si>
  <si>
    <t>as:GENC:6:ed2:RS-116</t>
  </si>
  <si>
    <t>RS-26</t>
  </si>
  <si>
    <t>Pećki okrug</t>
  </si>
  <si>
    <t>as:GENC:6:ed2:RS-26</t>
  </si>
  <si>
    <t>RS-117</t>
  </si>
  <si>
    <t>Petrovac na Mlavi</t>
  </si>
  <si>
    <t>as:GENC:6:ed2:RS-117</t>
  </si>
  <si>
    <t>RS-118</t>
  </si>
  <si>
    <t>Pirot</t>
  </si>
  <si>
    <t>as:GENC:6:ed2:RS-118</t>
  </si>
  <si>
    <t>RS-22</t>
  </si>
  <si>
    <t>Pirotski Okrug</t>
  </si>
  <si>
    <t>as:GENC:6:ed2:RS-22</t>
  </si>
  <si>
    <t>RS-119</t>
  </si>
  <si>
    <t>Plandište</t>
  </si>
  <si>
    <t>as:GENC:6:ed2:RS-119</t>
  </si>
  <si>
    <t>RS-10</t>
  </si>
  <si>
    <t>Podunavski Okrug</t>
  </si>
  <si>
    <t>as:GENC:6:ed2:RS-10</t>
  </si>
  <si>
    <t>RS-13</t>
  </si>
  <si>
    <t>Pomoravski Okrug</t>
  </si>
  <si>
    <t>as:GENC:6:ed2:RS-13</t>
  </si>
  <si>
    <t>RS-120</t>
  </si>
  <si>
    <t>Požarevac</t>
  </si>
  <si>
    <t>as:GENC:6:ed2:RS-120</t>
  </si>
  <si>
    <t>RS-121</t>
  </si>
  <si>
    <t>Požega</t>
  </si>
  <si>
    <t>as:GENC:6:ed2:RS-121</t>
  </si>
  <si>
    <t>RS-122</t>
  </si>
  <si>
    <t>Preševo</t>
  </si>
  <si>
    <t>as:GENC:6:ed2:RS-122</t>
  </si>
  <si>
    <t>RS-123</t>
  </si>
  <si>
    <t>Priboj</t>
  </si>
  <si>
    <t>as:GENC:6:ed2:RS-123</t>
  </si>
  <si>
    <t>RS-124</t>
  </si>
  <si>
    <t>Prijepolje</t>
  </si>
  <si>
    <t>as:GENC:6:ed2:RS-124</t>
  </si>
  <si>
    <t>RS-27</t>
  </si>
  <si>
    <t>Prizrenski okrug</t>
  </si>
  <si>
    <t>as:GENC:6:ed2:RS-27</t>
  </si>
  <si>
    <t>RS-125</t>
  </si>
  <si>
    <t>Prokuplje</t>
  </si>
  <si>
    <t>as:GENC:6:ed2:RS-125</t>
  </si>
  <si>
    <t>RS-126</t>
  </si>
  <si>
    <t>Rača</t>
  </si>
  <si>
    <t>as:GENC:6:ed2:RS-126</t>
  </si>
  <si>
    <t>RS-19</t>
  </si>
  <si>
    <t>Rasinski Okrug</t>
  </si>
  <si>
    <t>as:GENC:6:ed2:RS-19</t>
  </si>
  <si>
    <t>RS-127</t>
  </si>
  <si>
    <t>Raška</t>
  </si>
  <si>
    <t>as:GENC:6:ed2:RS-127</t>
  </si>
  <si>
    <t>RS-18</t>
  </si>
  <si>
    <t>Raški Okrug</t>
  </si>
  <si>
    <t>as:GENC:6:ed2:RS-18</t>
  </si>
  <si>
    <t>RS-128</t>
  </si>
  <si>
    <t>Ražanj</t>
  </si>
  <si>
    <t>as:GENC:6:ed2:RS-128</t>
  </si>
  <si>
    <t>RS-129</t>
  </si>
  <si>
    <t>Rekovac</t>
  </si>
  <si>
    <t>as:GENC:6:ed2:RS-129</t>
  </si>
  <si>
    <t>RS-130</t>
  </si>
  <si>
    <t>Ruma</t>
  </si>
  <si>
    <t>as:GENC:6:ed2:RS-130</t>
  </si>
  <si>
    <t>RS-131</t>
  </si>
  <si>
    <t>Šabac</t>
  </si>
  <si>
    <t>as:GENC:6:ed2:RS-131</t>
  </si>
  <si>
    <t>RS-132</t>
  </si>
  <si>
    <t>Sečanj</t>
  </si>
  <si>
    <t>as:GENC:6:ed2:RS-132</t>
  </si>
  <si>
    <t>RS-133</t>
  </si>
  <si>
    <t>Senta</t>
  </si>
  <si>
    <t>as:GENC:6:ed2:RS-133</t>
  </si>
  <si>
    <t>RS-01</t>
  </si>
  <si>
    <t>Severno Bački Okrug</t>
  </si>
  <si>
    <t>as:GENC:6:ed2:RS-01</t>
  </si>
  <si>
    <t>RS-03</t>
  </si>
  <si>
    <t>Severno Banatski Okrug</t>
  </si>
  <si>
    <t>as:GENC:6:ed2:RS-03</t>
  </si>
  <si>
    <t>RS-134</t>
  </si>
  <si>
    <t>Šid</t>
  </si>
  <si>
    <t>as:GENC:6:ed2:RS-134</t>
  </si>
  <si>
    <t>RS-135</t>
  </si>
  <si>
    <t>Sjenica</t>
  </si>
  <si>
    <t>as:GENC:6:ed2:RS-135</t>
  </si>
  <si>
    <t>RS-136</t>
  </si>
  <si>
    <t>Smederevo</t>
  </si>
  <si>
    <t>as:GENC:6:ed2:RS-136</t>
  </si>
  <si>
    <t>RS-137</t>
  </si>
  <si>
    <t>Smederevska Palanka</t>
  </si>
  <si>
    <t>as:GENC:6:ed2:RS-137</t>
  </si>
  <si>
    <t>RS-138</t>
  </si>
  <si>
    <t>Sokobanja</t>
  </si>
  <si>
    <t>as:GENC:6:ed2:RS-138</t>
  </si>
  <si>
    <t>RS-139</t>
  </si>
  <si>
    <t>Sombor</t>
  </si>
  <si>
    <t>as:GENC:6:ed2:RS-139</t>
  </si>
  <si>
    <t>RS-140</t>
  </si>
  <si>
    <t>Srbobran</t>
  </si>
  <si>
    <t>as:GENC:6:ed2:RS-140</t>
  </si>
  <si>
    <t>RS-02</t>
  </si>
  <si>
    <t>Srednje Banatski Okrug</t>
  </si>
  <si>
    <t>as:GENC:6:ed2:RS-02</t>
  </si>
  <si>
    <t>RS-141</t>
  </si>
  <si>
    <t>Sremska Mitrovica</t>
  </si>
  <si>
    <t>as:GENC:6:ed2:RS-141</t>
  </si>
  <si>
    <t>RS-142</t>
  </si>
  <si>
    <t>Sremski Karlovci</t>
  </si>
  <si>
    <t>as:GENC:6:ed2:RS-142</t>
  </si>
  <si>
    <t>RS-07</t>
  </si>
  <si>
    <t>Sremski Okrug</t>
  </si>
  <si>
    <t>as:GENC:6:ed2:RS-07</t>
  </si>
  <si>
    <t>RS-143</t>
  </si>
  <si>
    <t>Stara Pazova</t>
  </si>
  <si>
    <t>as:GENC:6:ed2:RS-143</t>
  </si>
  <si>
    <t>RS-144</t>
  </si>
  <si>
    <t>Subotica</t>
  </si>
  <si>
    <t>as:GENC:6:ed2:RS-144</t>
  </si>
  <si>
    <t>RS-12</t>
  </si>
  <si>
    <t>Šumadijski Okrug</t>
  </si>
  <si>
    <t>as:GENC:6:ed2:RS-12</t>
  </si>
  <si>
    <t>RS-145</t>
  </si>
  <si>
    <t>Surdulica</t>
  </si>
  <si>
    <t>as:GENC:6:ed2:RS-145</t>
  </si>
  <si>
    <t>RS-146</t>
  </si>
  <si>
    <t>Svilajnac</t>
  </si>
  <si>
    <t>as:GENC:6:ed2:RS-146</t>
  </si>
  <si>
    <t>RS-147</t>
  </si>
  <si>
    <t>Svrljig</t>
  </si>
  <si>
    <t>as:GENC:6:ed2:RS-147</t>
  </si>
  <si>
    <t>RS-148</t>
  </si>
  <si>
    <t>Temerin</t>
  </si>
  <si>
    <t>as:GENC:6:ed2:RS-148</t>
  </si>
  <si>
    <t>RS-149</t>
  </si>
  <si>
    <t>Titel</t>
  </si>
  <si>
    <t>as:GENC:6:ed2:RS-149</t>
  </si>
  <si>
    <t>RS-21</t>
  </si>
  <si>
    <t>Toplički Okrug</t>
  </si>
  <si>
    <t>as:GENC:6:ed2:RS-21</t>
  </si>
  <si>
    <t>RS-150</t>
  </si>
  <si>
    <t>Topola</t>
  </si>
  <si>
    <t>as:GENC:6:ed2:RS-150</t>
  </si>
  <si>
    <t>RS-151</t>
  </si>
  <si>
    <t>Trgovište</t>
  </si>
  <si>
    <t>as:GENC:6:ed2:RS-151</t>
  </si>
  <si>
    <t>RS-152</t>
  </si>
  <si>
    <t>Trstenik</t>
  </si>
  <si>
    <t>as:GENC:6:ed2:RS-152</t>
  </si>
  <si>
    <t>RS-153</t>
  </si>
  <si>
    <t>Tutin</t>
  </si>
  <si>
    <t>as:GENC:6:ed2:RS-153</t>
  </si>
  <si>
    <t>RS-154</t>
  </si>
  <si>
    <t>Ub</t>
  </si>
  <si>
    <t>as:GENC:6:ed2:RS-154</t>
  </si>
  <si>
    <t>RS-155</t>
  </si>
  <si>
    <t>Užice</t>
  </si>
  <si>
    <t>as:GENC:6:ed2:RS-155</t>
  </si>
  <si>
    <t>RS-156</t>
  </si>
  <si>
    <t>Valjevo</t>
  </si>
  <si>
    <t>as:GENC:6:ed2:RS-156</t>
  </si>
  <si>
    <t>RS-157</t>
  </si>
  <si>
    <t>Varvarin</t>
  </si>
  <si>
    <t>as:GENC:6:ed2:RS-157</t>
  </si>
  <si>
    <t>RS-158</t>
  </si>
  <si>
    <t>Velika Plana</t>
  </si>
  <si>
    <t>as:GENC:6:ed2:RS-158</t>
  </si>
  <si>
    <t>RS-159</t>
  </si>
  <si>
    <t>Veliko Gradište</t>
  </si>
  <si>
    <t>as:GENC:6:ed2:RS-159</t>
  </si>
  <si>
    <t>RS-160</t>
  </si>
  <si>
    <t>Vladičin Han</t>
  </si>
  <si>
    <t>as:GENC:6:ed2:RS-160</t>
  </si>
  <si>
    <t>RS-161</t>
  </si>
  <si>
    <t>Vladimirci</t>
  </si>
  <si>
    <t>as:GENC:6:ed2:RS-161</t>
  </si>
  <si>
    <t>RS-162</t>
  </si>
  <si>
    <t>Vlasotince</t>
  </si>
  <si>
    <t>as:GENC:6:ed2:RS-162</t>
  </si>
  <si>
    <t>RS-VO</t>
  </si>
  <si>
    <t>Vojvodina</t>
  </si>
  <si>
    <t>as:ISO2:6:ed3:RS-VO</t>
  </si>
  <si>
    <t>RS-163</t>
  </si>
  <si>
    <t>Vranje</t>
  </si>
  <si>
    <t>as:GENC:6:ed2:RS-163</t>
  </si>
  <si>
    <t>RS-164</t>
  </si>
  <si>
    <t>Vrbas</t>
  </si>
  <si>
    <t>as:GENC:6:ed2:RS-164</t>
  </si>
  <si>
    <t>RS-165</t>
  </si>
  <si>
    <t>Vrnjačka Banja</t>
  </si>
  <si>
    <t>as:GENC:6:ed2:RS-165</t>
  </si>
  <si>
    <t>RS-166</t>
  </si>
  <si>
    <t>Vršac</t>
  </si>
  <si>
    <t>as:GENC:6:ed2:RS-166</t>
  </si>
  <si>
    <t>RS-167</t>
  </si>
  <si>
    <t>Žabalj</t>
  </si>
  <si>
    <t>as:GENC:6:ed2:RS-167</t>
  </si>
  <si>
    <t>RS-168</t>
  </si>
  <si>
    <t>Žabari</t>
  </si>
  <si>
    <t>as:GENC:6:ed2:RS-168</t>
  </si>
  <si>
    <t>RS-169</t>
  </si>
  <si>
    <t>Žagubica</t>
  </si>
  <si>
    <t>as:GENC:6:ed2:RS-169</t>
  </si>
  <si>
    <t>RS-170</t>
  </si>
  <si>
    <t>Zaječar</t>
  </si>
  <si>
    <t>as:GENC:6:ed2:RS-170</t>
  </si>
  <si>
    <t>RS-15</t>
  </si>
  <si>
    <t>Zaječarski Okrug</t>
  </si>
  <si>
    <t>as:GENC:6:ed2:RS-15</t>
  </si>
  <si>
    <t>RS-05</t>
  </si>
  <si>
    <t>Zapadno Bački Okrug</t>
  </si>
  <si>
    <t>as:GENC:6:ed2:RS-05</t>
  </si>
  <si>
    <t>RS-171</t>
  </si>
  <si>
    <t>Žitište</t>
  </si>
  <si>
    <t>as:GENC:6:ed2:RS-171</t>
  </si>
  <si>
    <t>RS-172</t>
  </si>
  <si>
    <t>Žitorađa</t>
  </si>
  <si>
    <t>as:GENC:6:ed2:RS-172</t>
  </si>
  <si>
    <t>RS-16</t>
  </si>
  <si>
    <t>Zlatiborski Okrug</t>
  </si>
  <si>
    <t>as:GENC:6:ed2:RS-16</t>
  </si>
  <si>
    <t>RS-173</t>
  </si>
  <si>
    <t>Zrenjanin</t>
  </si>
  <si>
    <t>as:GENC:6:ed2:RS-173</t>
  </si>
  <si>
    <t>SC-01</t>
  </si>
  <si>
    <t>Anse aux Pins</t>
  </si>
  <si>
    <t>as:GENC:6:ed2:SC-01</t>
  </si>
  <si>
    <t>SC-02</t>
  </si>
  <si>
    <t>Anse Boileau</t>
  </si>
  <si>
    <t>as:GENC:6:ed2:SC-02</t>
  </si>
  <si>
    <t>SC-03</t>
  </si>
  <si>
    <t>Anse Etoile</t>
  </si>
  <si>
    <t>as:GENC:6:ed2:SC-03</t>
  </si>
  <si>
    <t>SC-05</t>
  </si>
  <si>
    <t>Anse Royale</t>
  </si>
  <si>
    <t>as:GENC:6:ed2:SC-05</t>
  </si>
  <si>
    <t>SC-04</t>
  </si>
  <si>
    <t>Au Cap</t>
  </si>
  <si>
    <t>as:GENC:6:ed2:SC-04</t>
  </si>
  <si>
    <t>SC-06</t>
  </si>
  <si>
    <t>Baie Lazare</t>
  </si>
  <si>
    <t>as:GENC:6:ed2:SC-06</t>
  </si>
  <si>
    <t>SC-07</t>
  </si>
  <si>
    <t>Baie Sainte Anne</t>
  </si>
  <si>
    <t>as:GENC:6:ed2:SC-07</t>
  </si>
  <si>
    <t>SC-08</t>
  </si>
  <si>
    <t>Beau Vallon</t>
  </si>
  <si>
    <t>as:GENC:6:ed2:SC-08</t>
  </si>
  <si>
    <t>SC-09</t>
  </si>
  <si>
    <t>Bel Air</t>
  </si>
  <si>
    <t>as:GENC:6:ed2:SC-09</t>
  </si>
  <si>
    <t>SC-10</t>
  </si>
  <si>
    <t>Bel Ombre</t>
  </si>
  <si>
    <t>as:GENC:6:ed2:SC-10</t>
  </si>
  <si>
    <t>SC-11</t>
  </si>
  <si>
    <t>Cascade</t>
  </si>
  <si>
    <t>as:GENC:6:ed2:SC-11</t>
  </si>
  <si>
    <t>SC-16</t>
  </si>
  <si>
    <t>English River</t>
  </si>
  <si>
    <t>as:GENC:6:ed2:SC-16</t>
  </si>
  <si>
    <t>SC-12</t>
  </si>
  <si>
    <t>Glacis</t>
  </si>
  <si>
    <t>as:GENC:6:ed2:SC-12</t>
  </si>
  <si>
    <t>SC-13</t>
  </si>
  <si>
    <t>Grand Anse Mahe</t>
  </si>
  <si>
    <t>as:GENC:6:ed2:SC-13</t>
  </si>
  <si>
    <t>SC-14</t>
  </si>
  <si>
    <t>Grand Anse Praslin</t>
  </si>
  <si>
    <t>as:GENC:6:ed2:SC-14</t>
  </si>
  <si>
    <t>SC-15</t>
  </si>
  <si>
    <t>Inner Islands</t>
  </si>
  <si>
    <t>as:GENC:6:ed2:SC-15</t>
  </si>
  <si>
    <t>SC-24</t>
  </si>
  <si>
    <t>Les Mamelles</t>
  </si>
  <si>
    <t>as:GENC:6:ed2:SC-24</t>
  </si>
  <si>
    <t>SC-17</t>
  </si>
  <si>
    <t>Mont Buxton</t>
  </si>
  <si>
    <t>as:GENC:6:ed2:SC-17</t>
  </si>
  <si>
    <t>SC-18</t>
  </si>
  <si>
    <t>Mont Fleuri</t>
  </si>
  <si>
    <t>as:GENC:6:ed2:SC-18</t>
  </si>
  <si>
    <t>SC-19</t>
  </si>
  <si>
    <t>Plaisance</t>
  </si>
  <si>
    <t>as:GENC:6:ed2:SC-19</t>
  </si>
  <si>
    <t>SC-20</t>
  </si>
  <si>
    <t>Pointe Larue</t>
  </si>
  <si>
    <t>as:GENC:6:ed2:SC-20</t>
  </si>
  <si>
    <t>SC-21</t>
  </si>
  <si>
    <t>Port Glaud</t>
  </si>
  <si>
    <t>as:GENC:6:ed2:SC-21</t>
  </si>
  <si>
    <t>SC-25</t>
  </si>
  <si>
    <t>Roche Caiman</t>
  </si>
  <si>
    <t>as:GENC:6:ed2:SC-25</t>
  </si>
  <si>
    <t>SC-22</t>
  </si>
  <si>
    <t>Saint Louis</t>
  </si>
  <si>
    <t>as:GENC:6:ed2:SC-22</t>
  </si>
  <si>
    <t>SC-23</t>
  </si>
  <si>
    <t>Takamaka</t>
  </si>
  <si>
    <t>as:GENC:6:ed2:SC-23</t>
  </si>
  <si>
    <t>SL-E</t>
  </si>
  <si>
    <t>as:ISO2:6:ed3:SL-E</t>
  </si>
  <si>
    <t>SL-N</t>
  </si>
  <si>
    <t>as:ISO2:6:ed3:SL-N</t>
  </si>
  <si>
    <t>SL-S</t>
  </si>
  <si>
    <t>as:ISO2:6:ed3:SL-S</t>
  </si>
  <si>
    <t>SL-W</t>
  </si>
  <si>
    <t>Western Area</t>
  </si>
  <si>
    <t>as:GENC:6:ed2:SL-W</t>
  </si>
  <si>
    <t>SG-01</t>
  </si>
  <si>
    <t>Central Singapore</t>
  </si>
  <si>
    <t>as:ISO2:6:ed3:SG-01</t>
  </si>
  <si>
    <t>SG-02</t>
  </si>
  <si>
    <t>as:ISO2:6:ed3:SG-02</t>
  </si>
  <si>
    <t>SG-03</t>
  </si>
  <si>
    <t>as:ISO2:6:ed3:SG-03</t>
  </si>
  <si>
    <t>SG-04</t>
  </si>
  <si>
    <t>as:ISO2:6:ed3:SG-04</t>
  </si>
  <si>
    <t>SG-05</t>
  </si>
  <si>
    <t>South West</t>
  </si>
  <si>
    <t>as:ISO2:6:ed3:SG-05</t>
  </si>
  <si>
    <t>SK-BC</t>
  </si>
  <si>
    <t>Banskobystrický</t>
  </si>
  <si>
    <t>as:GENC:6:ed2:SK-BC</t>
  </si>
  <si>
    <t>SK-BL</t>
  </si>
  <si>
    <t>Bratislavský</t>
  </si>
  <si>
    <t>as:GENC:6:ed2:SK-BL</t>
  </si>
  <si>
    <t>SK-KI</t>
  </si>
  <si>
    <t>Košický</t>
  </si>
  <si>
    <t>as:GENC:6:ed2:SK-KI</t>
  </si>
  <si>
    <t>SK-NI</t>
  </si>
  <si>
    <t>Nitriansky</t>
  </si>
  <si>
    <t>as:GENC:6:ed2:SK-NI</t>
  </si>
  <si>
    <t>SK-PV</t>
  </si>
  <si>
    <t>Prešovský</t>
  </si>
  <si>
    <t>as:GENC:6:ed2:SK-PV</t>
  </si>
  <si>
    <t>SK-TC</t>
  </si>
  <si>
    <t>Trenčiansky</t>
  </si>
  <si>
    <t>as:GENC:6:ed2:SK-TC</t>
  </si>
  <si>
    <t>SK-TA</t>
  </si>
  <si>
    <t>Trnavský</t>
  </si>
  <si>
    <t>as:GENC:6:ed2:SK-TA</t>
  </si>
  <si>
    <t>SK-ZI</t>
  </si>
  <si>
    <t>Žilinský</t>
  </si>
  <si>
    <t>as:GENC:6:ed2:SK-ZI</t>
  </si>
  <si>
    <t>SI-001</t>
  </si>
  <si>
    <t>Ajdovščina</t>
  </si>
  <si>
    <t>as:ISO2:6:ed3:SI-001</t>
  </si>
  <si>
    <t>SI-195</t>
  </si>
  <si>
    <t>Apače</t>
  </si>
  <si>
    <t>as:ISO2:6:ed3:SI-195</t>
  </si>
  <si>
    <t>SI-002</t>
  </si>
  <si>
    <t>Beltinci</t>
  </si>
  <si>
    <t>as:ISO2:6:ed3:SI-002</t>
  </si>
  <si>
    <t>SI-148</t>
  </si>
  <si>
    <t>Benedikt</t>
  </si>
  <si>
    <t>as:ISO2:6:ed3:SI-148</t>
  </si>
  <si>
    <t>SI-149</t>
  </si>
  <si>
    <t>Bistrica ob Sotli</t>
  </si>
  <si>
    <t>as:ISO2:6:ed3:SI-149</t>
  </si>
  <si>
    <t>SI-003</t>
  </si>
  <si>
    <t>Bled</t>
  </si>
  <si>
    <t>as:ISO2:6:ed3:SI-003</t>
  </si>
  <si>
    <t>SI-150</t>
  </si>
  <si>
    <t>Bloke</t>
  </si>
  <si>
    <t>as:ISO2:6:ed3:SI-150</t>
  </si>
  <si>
    <t>SI-004</t>
  </si>
  <si>
    <t>Bohinj</t>
  </si>
  <si>
    <t>as:ISO2:6:ed3:SI-004</t>
  </si>
  <si>
    <t>SI-005</t>
  </si>
  <si>
    <t>Borovnica</t>
  </si>
  <si>
    <t>as:ISO2:6:ed3:SI-005</t>
  </si>
  <si>
    <t>SI-006</t>
  </si>
  <si>
    <t>Bovec</t>
  </si>
  <si>
    <t>as:ISO2:6:ed3:SI-006</t>
  </si>
  <si>
    <t>SI-151</t>
  </si>
  <si>
    <t>Braslovče</t>
  </si>
  <si>
    <t>as:ISO2:6:ed3:SI-151</t>
  </si>
  <si>
    <t>SI-007</t>
  </si>
  <si>
    <t>Brda</t>
  </si>
  <si>
    <t>as:ISO2:6:ed3:SI-007</t>
  </si>
  <si>
    <t>SI-009</t>
  </si>
  <si>
    <t>Brežice</t>
  </si>
  <si>
    <t>as:ISO2:6:ed3:SI-009</t>
  </si>
  <si>
    <t>SI-008</t>
  </si>
  <si>
    <t>Brezovica</t>
  </si>
  <si>
    <t>as:ISO2:6:ed3:SI-008</t>
  </si>
  <si>
    <t>SI-152</t>
  </si>
  <si>
    <t>Cankova</t>
  </si>
  <si>
    <t>as:ISO2:6:ed3:SI-152</t>
  </si>
  <si>
    <t>SI-011</t>
  </si>
  <si>
    <t>Celje</t>
  </si>
  <si>
    <t>as:ISO2:6:ed3:SI-011</t>
  </si>
  <si>
    <t>SI-012</t>
  </si>
  <si>
    <t>Cerklje na Gorenjskem</t>
  </si>
  <si>
    <t>as:ISO2:6:ed3:SI-012</t>
  </si>
  <si>
    <t>SI-013</t>
  </si>
  <si>
    <t>Cerknica</t>
  </si>
  <si>
    <t>as:ISO2:6:ed3:SI-013</t>
  </si>
  <si>
    <t>SI-014</t>
  </si>
  <si>
    <t>Cerkno</t>
  </si>
  <si>
    <t>as:ISO2:6:ed3:SI-014</t>
  </si>
  <si>
    <t>SI-153</t>
  </si>
  <si>
    <t>Cerkvenjak</t>
  </si>
  <si>
    <t>as:ISO2:6:ed3:SI-153</t>
  </si>
  <si>
    <t>SI-196</t>
  </si>
  <si>
    <t>Cirkulane</t>
  </si>
  <si>
    <t>as:ISO2:6:ed3:SI-196</t>
  </si>
  <si>
    <t>SI-015</t>
  </si>
  <si>
    <t>Črenšovci</t>
  </si>
  <si>
    <t>as:ISO2:6:ed3:SI-015</t>
  </si>
  <si>
    <t>SI-016</t>
  </si>
  <si>
    <t>Črna na Koroškem</t>
  </si>
  <si>
    <t>as:ISO2:6:ed3:SI-016</t>
  </si>
  <si>
    <t>SI-017</t>
  </si>
  <si>
    <t>Črnomelj</t>
  </si>
  <si>
    <t>as:ISO2:6:ed3:SI-017</t>
  </si>
  <si>
    <t>SI-018</t>
  </si>
  <si>
    <t>Destrnik</t>
  </si>
  <si>
    <t>as:ISO2:6:ed3:SI-018</t>
  </si>
  <si>
    <t>SI-019</t>
  </si>
  <si>
    <t>Divača</t>
  </si>
  <si>
    <t>as:ISO2:6:ed3:SI-019</t>
  </si>
  <si>
    <t>SI-154</t>
  </si>
  <si>
    <t>Dobje</t>
  </si>
  <si>
    <t>as:ISO2:6:ed3:SI-154</t>
  </si>
  <si>
    <t>SI-020</t>
  </si>
  <si>
    <t>Dobrepolje</t>
  </si>
  <si>
    <t>as:ISO2:6:ed3:SI-020</t>
  </si>
  <si>
    <t>SI-155</t>
  </si>
  <si>
    <t>Dobrna</t>
  </si>
  <si>
    <t>as:ISO2:6:ed3:SI-155</t>
  </si>
  <si>
    <t>SI-021</t>
  </si>
  <si>
    <t>Dobrova-Polhov Gradec</t>
  </si>
  <si>
    <t>as:GENC:6:ed2:SI-021</t>
  </si>
  <si>
    <t>SI-156</t>
  </si>
  <si>
    <t>Dobrovnik</t>
  </si>
  <si>
    <t>as:GENC:6:ed2:SI-156</t>
  </si>
  <si>
    <t>SI-157</t>
  </si>
  <si>
    <t>Dolenjske Toplice</t>
  </si>
  <si>
    <t>as:ISO2:6:ed3:SI-157</t>
  </si>
  <si>
    <t>SI-022</t>
  </si>
  <si>
    <t>Dol pri Ljubljani</t>
  </si>
  <si>
    <t>as:ISO2:6:ed3:SI-022</t>
  </si>
  <si>
    <t>SI-023</t>
  </si>
  <si>
    <t>Domžale</t>
  </si>
  <si>
    <t>as:ISO2:6:ed3:SI-023</t>
  </si>
  <si>
    <t>SI-024</t>
  </si>
  <si>
    <t>Dornava</t>
  </si>
  <si>
    <t>as:ISO2:6:ed3:SI-024</t>
  </si>
  <si>
    <t>SI-025</t>
  </si>
  <si>
    <t>Dravograd</t>
  </si>
  <si>
    <t>as:ISO2:6:ed3:SI-025</t>
  </si>
  <si>
    <t>SI-026</t>
  </si>
  <si>
    <t>Duplek</t>
  </si>
  <si>
    <t>as:ISO2:6:ed3:SI-026</t>
  </si>
  <si>
    <t>SI-027</t>
  </si>
  <si>
    <t>Gorenja Vas-Poljane</t>
  </si>
  <si>
    <t>as:ISO2:6:ed3:SI-027</t>
  </si>
  <si>
    <t>SI-028</t>
  </si>
  <si>
    <t>Gorišnica</t>
  </si>
  <si>
    <t>as:ISO2:6:ed3:SI-028</t>
  </si>
  <si>
    <t>SI-207</t>
  </si>
  <si>
    <t>Gorje</t>
  </si>
  <si>
    <t>as:ISO2:6:ed3:SI-207</t>
  </si>
  <si>
    <t>SI-029</t>
  </si>
  <si>
    <t>Gornja Radgona</t>
  </si>
  <si>
    <t>as:ISO2:6:ed3:SI-029</t>
  </si>
  <si>
    <t>SI-030</t>
  </si>
  <si>
    <t>Gornji Grad</t>
  </si>
  <si>
    <t>as:ISO2:6:ed3:SI-030</t>
  </si>
  <si>
    <t>SI-031</t>
  </si>
  <si>
    <t>Gornji Petrovci</t>
  </si>
  <si>
    <t>as:ISO2:6:ed3:SI-031</t>
  </si>
  <si>
    <t>SI-158</t>
  </si>
  <si>
    <t>Grad</t>
  </si>
  <si>
    <t>as:ISO2:6:ed3:SI-158</t>
  </si>
  <si>
    <t>SI-032</t>
  </si>
  <si>
    <t>Grosuplje</t>
  </si>
  <si>
    <t>as:ISO2:6:ed3:SI-032</t>
  </si>
  <si>
    <t>SI-159</t>
  </si>
  <si>
    <t>Hajdina</t>
  </si>
  <si>
    <t>as:ISO2:6:ed3:SI-159</t>
  </si>
  <si>
    <t>SI-160</t>
  </si>
  <si>
    <t>Hoče-Slivnica</t>
  </si>
  <si>
    <t>as:ISO2:6:ed3:SI-160</t>
  </si>
  <si>
    <t>SI-161</t>
  </si>
  <si>
    <t>Hodoš</t>
  </si>
  <si>
    <t>as:GENC:6:ed2:SI-161</t>
  </si>
  <si>
    <t>SI-162</t>
  </si>
  <si>
    <t>Horjul</t>
  </si>
  <si>
    <t>as:ISO2:6:ed3:SI-162</t>
  </si>
  <si>
    <t>SI-034</t>
  </si>
  <si>
    <t>Hrastnik</t>
  </si>
  <si>
    <t>as:ISO2:6:ed3:SI-034</t>
  </si>
  <si>
    <t>SI-035</t>
  </si>
  <si>
    <t>Hrpelje-Kozina</t>
  </si>
  <si>
    <t>as:ISO2:6:ed3:SI-035</t>
  </si>
  <si>
    <t>SI-036</t>
  </si>
  <si>
    <t>Idrija</t>
  </si>
  <si>
    <t>as:ISO2:6:ed3:SI-036</t>
  </si>
  <si>
    <t>SI-037</t>
  </si>
  <si>
    <t>Ig</t>
  </si>
  <si>
    <t>as:ISO2:6:ed3:SI-037</t>
  </si>
  <si>
    <t>SI-038</t>
  </si>
  <si>
    <t>Ilirska Bistrica</t>
  </si>
  <si>
    <t>as:ISO2:6:ed3:SI-038</t>
  </si>
  <si>
    <t>SI-039</t>
  </si>
  <si>
    <t>Ivančna Gorica</t>
  </si>
  <si>
    <t>as:ISO2:6:ed3:SI-039</t>
  </si>
  <si>
    <t>SI-040</t>
  </si>
  <si>
    <t>Izola</t>
  </si>
  <si>
    <t>as:GENC:6:ed2:SI-040</t>
  </si>
  <si>
    <t>SI-041</t>
  </si>
  <si>
    <t>Jesenice</t>
  </si>
  <si>
    <t>as:ISO2:6:ed3:SI-041</t>
  </si>
  <si>
    <t>SI-163</t>
  </si>
  <si>
    <t>Jezersko</t>
  </si>
  <si>
    <t>as:ISO2:6:ed3:SI-163</t>
  </si>
  <si>
    <t>SI-042</t>
  </si>
  <si>
    <t>Juršinci</t>
  </si>
  <si>
    <t>as:ISO2:6:ed3:SI-042</t>
  </si>
  <si>
    <t>SI-043</t>
  </si>
  <si>
    <t>Kamnik</t>
  </si>
  <si>
    <t>as:ISO2:6:ed3:SI-043</t>
  </si>
  <si>
    <t>SI-044</t>
  </si>
  <si>
    <t>Kanal</t>
  </si>
  <si>
    <t>as:ISO2:6:ed3:SI-044</t>
  </si>
  <si>
    <t>SI-045</t>
  </si>
  <si>
    <t>Kidričevo</t>
  </si>
  <si>
    <t>as:ISO2:6:ed3:SI-045</t>
  </si>
  <si>
    <t>SI-046</t>
  </si>
  <si>
    <t>Kobarid</t>
  </si>
  <si>
    <t>as:ISO2:6:ed3:SI-046</t>
  </si>
  <si>
    <t>SI-047</t>
  </si>
  <si>
    <t>Kobilje</t>
  </si>
  <si>
    <t>as:ISO2:6:ed3:SI-047</t>
  </si>
  <si>
    <t>SI-048</t>
  </si>
  <si>
    <t>Kočevje</t>
  </si>
  <si>
    <t>as:ISO2:6:ed3:SI-048</t>
  </si>
  <si>
    <t>SI-049</t>
  </si>
  <si>
    <t>Komen</t>
  </si>
  <si>
    <t>as:ISO2:6:ed3:SI-049</t>
  </si>
  <si>
    <t>SI-164</t>
  </si>
  <si>
    <t>Komenda</t>
  </si>
  <si>
    <t>as:ISO2:6:ed3:SI-164</t>
  </si>
  <si>
    <t>SI-050</t>
  </si>
  <si>
    <t>Koper</t>
  </si>
  <si>
    <t>urban commune</t>
  </si>
  <si>
    <t>as:GENC:6:ed2:SI-050</t>
  </si>
  <si>
    <t>SI-197</t>
  </si>
  <si>
    <t>Kostanjevica na Krki</t>
  </si>
  <si>
    <t>as:GENC:6:ed2:SI-197</t>
  </si>
  <si>
    <t>SI-165</t>
  </si>
  <si>
    <t>Kostel</t>
  </si>
  <si>
    <t>as:ISO2:6:ed3:SI-165</t>
  </si>
  <si>
    <t>SI-051</t>
  </si>
  <si>
    <t>Kozje</t>
  </si>
  <si>
    <t>as:ISO2:6:ed3:SI-051</t>
  </si>
  <si>
    <t>SI-052</t>
  </si>
  <si>
    <t>Kranj</t>
  </si>
  <si>
    <t>as:ISO2:6:ed3:SI-052</t>
  </si>
  <si>
    <t>SI-053</t>
  </si>
  <si>
    <t>Kranjska Gora</t>
  </si>
  <si>
    <t>as:ISO2:6:ed3:SI-053</t>
  </si>
  <si>
    <t>SI-166</t>
  </si>
  <si>
    <t>Križevci</t>
  </si>
  <si>
    <t>as:ISO2:6:ed3:SI-166</t>
  </si>
  <si>
    <t>SI-054</t>
  </si>
  <si>
    <t>Krško</t>
  </si>
  <si>
    <t>as:ISO2:6:ed3:SI-054</t>
  </si>
  <si>
    <t>SI-055</t>
  </si>
  <si>
    <t>Kungota</t>
  </si>
  <si>
    <t>as:ISO2:6:ed3:SI-055</t>
  </si>
  <si>
    <t>SI-056</t>
  </si>
  <si>
    <t>Kuzma</t>
  </si>
  <si>
    <t>as:ISO2:6:ed3:SI-056</t>
  </si>
  <si>
    <t>SI-057</t>
  </si>
  <si>
    <t>Laško</t>
  </si>
  <si>
    <t>as:ISO2:6:ed3:SI-057</t>
  </si>
  <si>
    <t>SI-058</t>
  </si>
  <si>
    <t>Lenart</t>
  </si>
  <si>
    <t>as:ISO2:6:ed3:SI-058</t>
  </si>
  <si>
    <t>SI-059</t>
  </si>
  <si>
    <t>Lendava</t>
  </si>
  <si>
    <t>as:GENC:6:ed2:SI-059</t>
  </si>
  <si>
    <t>SI-060</t>
  </si>
  <si>
    <t>Litija</t>
  </si>
  <si>
    <t>as:ISO2:6:ed3:SI-060</t>
  </si>
  <si>
    <t>SI-061</t>
  </si>
  <si>
    <t>Ljubljana</t>
  </si>
  <si>
    <t>as:GENC:6:ed2:SI-061</t>
  </si>
  <si>
    <t>SI-062</t>
  </si>
  <si>
    <t>Ljubno</t>
  </si>
  <si>
    <t>as:ISO2:6:ed3:SI-062</t>
  </si>
  <si>
    <t>SI-063</t>
  </si>
  <si>
    <t>Ljutomer</t>
  </si>
  <si>
    <t>as:ISO2:6:ed3:SI-063</t>
  </si>
  <si>
    <t>SI-064</t>
  </si>
  <si>
    <t>Logatec</t>
  </si>
  <si>
    <t>as:ISO2:6:ed3:SI-064</t>
  </si>
  <si>
    <t>SI-208</t>
  </si>
  <si>
    <t>Log-Dragomer</t>
  </si>
  <si>
    <t>as:ISO2:6:ed3:SI-208</t>
  </si>
  <si>
    <t>SI-065</t>
  </si>
  <si>
    <t>Loška Dolina</t>
  </si>
  <si>
    <t>as:ISO2:6:ed3:SI-065</t>
  </si>
  <si>
    <t>SI-066</t>
  </si>
  <si>
    <t>Loški Potok</t>
  </si>
  <si>
    <t>as:ISO2:6:ed3:SI-066</t>
  </si>
  <si>
    <t>SI-167</t>
  </si>
  <si>
    <t>Lovrenc na Pohorju</t>
  </si>
  <si>
    <t>as:ISO2:6:ed3:SI-167</t>
  </si>
  <si>
    <t>SI-067</t>
  </si>
  <si>
    <t>Luče</t>
  </si>
  <si>
    <t>as:ISO2:6:ed3:SI-067</t>
  </si>
  <si>
    <t>SI-068</t>
  </si>
  <si>
    <t>Lukovica</t>
  </si>
  <si>
    <t>as:ISO2:6:ed3:SI-068</t>
  </si>
  <si>
    <t>SI-069</t>
  </si>
  <si>
    <t>Majšperk</t>
  </si>
  <si>
    <t>as:ISO2:6:ed3:SI-069</t>
  </si>
  <si>
    <t>SI-198</t>
  </si>
  <si>
    <t>Makole</t>
  </si>
  <si>
    <t>as:ISO2:6:ed3:SI-198</t>
  </si>
  <si>
    <t>SI-070</t>
  </si>
  <si>
    <t>Maribor</t>
  </si>
  <si>
    <t>as:GENC:6:ed2:SI-070</t>
  </si>
  <si>
    <t>SI-168</t>
  </si>
  <si>
    <t>Markovci</t>
  </si>
  <si>
    <t>as:ISO2:6:ed3:SI-168</t>
  </si>
  <si>
    <t>SI-071</t>
  </si>
  <si>
    <t>Medvode</t>
  </si>
  <si>
    <t>as:ISO2:6:ed3:SI-071</t>
  </si>
  <si>
    <t>SI-072</t>
  </si>
  <si>
    <t>Mengeš</t>
  </si>
  <si>
    <t>as:ISO2:6:ed3:SI-072</t>
  </si>
  <si>
    <t>SI-073</t>
  </si>
  <si>
    <t>Metlika</t>
  </si>
  <si>
    <t>as:ISO2:6:ed3:SI-073</t>
  </si>
  <si>
    <t>SI-074</t>
  </si>
  <si>
    <t>Mežica</t>
  </si>
  <si>
    <t>as:ISO2:6:ed3:SI-074</t>
  </si>
  <si>
    <t>SI-169</t>
  </si>
  <si>
    <t>Miklavž na Dravskem Polju</t>
  </si>
  <si>
    <t>as:ISO2:6:ed3:SI-169</t>
  </si>
  <si>
    <t>SI-075</t>
  </si>
  <si>
    <t>Miren-Kostanjevica</t>
  </si>
  <si>
    <t>as:ISO2:6:ed3:SI-075</t>
  </si>
  <si>
    <t>SI-212</t>
  </si>
  <si>
    <t>Mirna</t>
  </si>
  <si>
    <t>as:GENC:6:ed2:SI-212</t>
  </si>
  <si>
    <t>SI-170</t>
  </si>
  <si>
    <t>Mirna Peč</t>
  </si>
  <si>
    <t>as:ISO2:6:ed3:SI-170</t>
  </si>
  <si>
    <t>SI-076</t>
  </si>
  <si>
    <t>Mislinja</t>
  </si>
  <si>
    <t>as:ISO2:6:ed3:SI-076</t>
  </si>
  <si>
    <t>SI-199</t>
  </si>
  <si>
    <t>Mokronog-Trebelno</t>
  </si>
  <si>
    <t>as:ISO2:6:ed3:SI-199</t>
  </si>
  <si>
    <t>SI-077</t>
  </si>
  <si>
    <t>Moravče</t>
  </si>
  <si>
    <t>as:ISO2:6:ed3:SI-077</t>
  </si>
  <si>
    <t>SI-078</t>
  </si>
  <si>
    <t>Moravske Toplice</t>
  </si>
  <si>
    <t>as:ISO2:6:ed3:SI-078</t>
  </si>
  <si>
    <t>SI-079</t>
  </si>
  <si>
    <t>Mozirje</t>
  </si>
  <si>
    <t>as:ISO2:6:ed3:SI-079</t>
  </si>
  <si>
    <t>SI-080</t>
  </si>
  <si>
    <t>Murska Sobota</t>
  </si>
  <si>
    <t>as:GENC:6:ed2:SI-080</t>
  </si>
  <si>
    <t>SI-081</t>
  </si>
  <si>
    <t>Muta</t>
  </si>
  <si>
    <t>as:ISO2:6:ed3:SI-081</t>
  </si>
  <si>
    <t>SI-082</t>
  </si>
  <si>
    <t>Naklo</t>
  </si>
  <si>
    <t>as:ISO2:6:ed3:SI-082</t>
  </si>
  <si>
    <t>SI-083</t>
  </si>
  <si>
    <t>Nazarje</t>
  </si>
  <si>
    <t>as:ISO2:6:ed3:SI-083</t>
  </si>
  <si>
    <t>SI-084</t>
  </si>
  <si>
    <t>Nova Gorica</t>
  </si>
  <si>
    <t>as:GENC:6:ed2:SI-084</t>
  </si>
  <si>
    <t>SI-085</t>
  </si>
  <si>
    <t>Novo Mesto</t>
  </si>
  <si>
    <t>as:GENC:6:ed2:SI-085</t>
  </si>
  <si>
    <t>SI-086</t>
  </si>
  <si>
    <t>Odranci</t>
  </si>
  <si>
    <t>as:ISO2:6:ed3:SI-086</t>
  </si>
  <si>
    <t>SI-171</t>
  </si>
  <si>
    <t>Oplotnica</t>
  </si>
  <si>
    <t>as:ISO2:6:ed3:SI-171</t>
  </si>
  <si>
    <t>SI-087</t>
  </si>
  <si>
    <t>Ormož</t>
  </si>
  <si>
    <t>as:ISO2:6:ed3:SI-087</t>
  </si>
  <si>
    <t>SI-088</t>
  </si>
  <si>
    <t>Osilnica</t>
  </si>
  <si>
    <t>as:ISO2:6:ed3:SI-088</t>
  </si>
  <si>
    <t>SI-089</t>
  </si>
  <si>
    <t>Pesnica</t>
  </si>
  <si>
    <t>as:ISO2:6:ed3:SI-089</t>
  </si>
  <si>
    <t>SI-090</t>
  </si>
  <si>
    <t>Piran</t>
  </si>
  <si>
    <t>as:GENC:6:ed2:SI-090</t>
  </si>
  <si>
    <t>SI-091</t>
  </si>
  <si>
    <t>Pivka</t>
  </si>
  <si>
    <t>as:ISO2:6:ed3:SI-091</t>
  </si>
  <si>
    <t>SI-092</t>
  </si>
  <si>
    <t>Podčetrtek</t>
  </si>
  <si>
    <t>as:ISO2:6:ed3:SI-092</t>
  </si>
  <si>
    <t>SI-172</t>
  </si>
  <si>
    <t>Podlehnik</t>
  </si>
  <si>
    <t>as:ISO2:6:ed3:SI-172</t>
  </si>
  <si>
    <t>SI-093</t>
  </si>
  <si>
    <t>Podvelka</t>
  </si>
  <si>
    <t>as:ISO2:6:ed3:SI-093</t>
  </si>
  <si>
    <t>SI-200</t>
  </si>
  <si>
    <t>Poljčane</t>
  </si>
  <si>
    <t>as:ISO2:6:ed3:SI-200</t>
  </si>
  <si>
    <t>SI-173</t>
  </si>
  <si>
    <t>Polzela</t>
  </si>
  <si>
    <t>as:ISO2:6:ed3:SI-173</t>
  </si>
  <si>
    <t>SI-094</t>
  </si>
  <si>
    <t>Postojna</t>
  </si>
  <si>
    <t>as:ISO2:6:ed3:SI-094</t>
  </si>
  <si>
    <t>SI-174</t>
  </si>
  <si>
    <t>Prebold</t>
  </si>
  <si>
    <t>as:ISO2:6:ed3:SI-174</t>
  </si>
  <si>
    <t>SI-095</t>
  </si>
  <si>
    <t>Preddvor</t>
  </si>
  <si>
    <t>as:ISO2:6:ed3:SI-095</t>
  </si>
  <si>
    <t>SI-175</t>
  </si>
  <si>
    <t>Prevalje</t>
  </si>
  <si>
    <t>as:ISO2:6:ed3:SI-175</t>
  </si>
  <si>
    <t>SI-096</t>
  </si>
  <si>
    <t>Ptuj</t>
  </si>
  <si>
    <t>as:GENC:6:ed2:SI-096</t>
  </si>
  <si>
    <t>SI-097</t>
  </si>
  <si>
    <t>Puconci</t>
  </si>
  <si>
    <t>as:ISO2:6:ed3:SI-097</t>
  </si>
  <si>
    <t>SI-098</t>
  </si>
  <si>
    <t>Rače-Fram</t>
  </si>
  <si>
    <t>as:ISO2:6:ed3:SI-098</t>
  </si>
  <si>
    <t>SI-099</t>
  </si>
  <si>
    <t>Radeče</t>
  </si>
  <si>
    <t>as:ISO2:6:ed3:SI-099</t>
  </si>
  <si>
    <t>SI-100</t>
  </si>
  <si>
    <t>Radenci</t>
  </si>
  <si>
    <t>as:ISO2:6:ed3:SI-100</t>
  </si>
  <si>
    <t>SI-101</t>
  </si>
  <si>
    <t>Radlje ob Dravi</t>
  </si>
  <si>
    <t>as:ISO2:6:ed3:SI-101</t>
  </si>
  <si>
    <t>SI-102</t>
  </si>
  <si>
    <t>Radovljica</t>
  </si>
  <si>
    <t>as:ISO2:6:ed3:SI-102</t>
  </si>
  <si>
    <t>SI-103</t>
  </si>
  <si>
    <t>Ravne na Koroškem</t>
  </si>
  <si>
    <t>as:ISO2:6:ed3:SI-103</t>
  </si>
  <si>
    <t>SI-176</t>
  </si>
  <si>
    <t>Razkrižje</t>
  </si>
  <si>
    <t>as:ISO2:6:ed3:SI-176</t>
  </si>
  <si>
    <t>SI-209</t>
  </si>
  <si>
    <t>Rečica ob Savinji</t>
  </si>
  <si>
    <t>as:ISO2:6:ed3:SI-209</t>
  </si>
  <si>
    <t>SI-201</t>
  </si>
  <si>
    <t>Renče-Vogrsko</t>
  </si>
  <si>
    <t>as:ISO2:6:ed3:SI-201</t>
  </si>
  <si>
    <t>SI-104</t>
  </si>
  <si>
    <t>Ribnica</t>
  </si>
  <si>
    <t>as:ISO2:6:ed3:SI-104</t>
  </si>
  <si>
    <t>SI-177</t>
  </si>
  <si>
    <t>Ribnica na Pohorju</t>
  </si>
  <si>
    <t>as:ISO2:6:ed3:SI-177</t>
  </si>
  <si>
    <t>SI-106</t>
  </si>
  <si>
    <t>Rogaška Slatina</t>
  </si>
  <si>
    <t>as:ISO2:6:ed3:SI-106</t>
  </si>
  <si>
    <t>SI-105</t>
  </si>
  <si>
    <t>Rogašovci</t>
  </si>
  <si>
    <t>as:ISO2:6:ed3:SI-105</t>
  </si>
  <si>
    <t>SI-107</t>
  </si>
  <si>
    <t>Rogatec</t>
  </si>
  <si>
    <t>as:ISO2:6:ed3:SI-107</t>
  </si>
  <si>
    <t>SI-108</t>
  </si>
  <si>
    <t>Ruše</t>
  </si>
  <si>
    <t>as:ISO2:6:ed3:SI-108</t>
  </si>
  <si>
    <t>SI-033</t>
  </si>
  <si>
    <t>Šalovci</t>
  </si>
  <si>
    <t>as:ISO2:6:ed3:SI-033</t>
  </si>
  <si>
    <t>SI-178</t>
  </si>
  <si>
    <t>Selnica ob Dravi</t>
  </si>
  <si>
    <t>as:ISO2:6:ed3:SI-178</t>
  </si>
  <si>
    <t>SI-109</t>
  </si>
  <si>
    <t>Semič</t>
  </si>
  <si>
    <t>as:ISO2:6:ed3:SI-109</t>
  </si>
  <si>
    <t>SI-183</t>
  </si>
  <si>
    <t>Šempeter-Vrtojba</t>
  </si>
  <si>
    <t>as:ISO2:6:ed3:SI-183</t>
  </si>
  <si>
    <t>SI-117</t>
  </si>
  <si>
    <t>Šenčur</t>
  </si>
  <si>
    <t>as:ISO2:6:ed3:SI-117</t>
  </si>
  <si>
    <t>SI-118</t>
  </si>
  <si>
    <t>Šentilj</t>
  </si>
  <si>
    <t>as:ISO2:6:ed3:SI-118</t>
  </si>
  <si>
    <t>SI-119</t>
  </si>
  <si>
    <t>Šentjernej</t>
  </si>
  <si>
    <t>as:ISO2:6:ed3:SI-119</t>
  </si>
  <si>
    <t>SI-120</t>
  </si>
  <si>
    <t>Šentjur</t>
  </si>
  <si>
    <t>as:ISO2:6:ed3:SI-120</t>
  </si>
  <si>
    <t>SI-211</t>
  </si>
  <si>
    <t>Šentrupert</t>
  </si>
  <si>
    <t>as:ISO2:6:ed3:SI-211</t>
  </si>
  <si>
    <t>SI-110</t>
  </si>
  <si>
    <t>Sevnica</t>
  </si>
  <si>
    <t>as:ISO2:6:ed3:SI-110</t>
  </si>
  <si>
    <t>SI-111</t>
  </si>
  <si>
    <t>Sežana</t>
  </si>
  <si>
    <t>as:ISO2:6:ed3:SI-111</t>
  </si>
  <si>
    <t>SI-121</t>
  </si>
  <si>
    <t>Škocjan</t>
  </si>
  <si>
    <t>as:ISO2:6:ed3:SI-121</t>
  </si>
  <si>
    <t>SI-122</t>
  </si>
  <si>
    <t>Škofja Loka</t>
  </si>
  <si>
    <t>as:ISO2:6:ed3:SI-122</t>
  </si>
  <si>
    <t>SI-123</t>
  </si>
  <si>
    <t>Škofljica</t>
  </si>
  <si>
    <t>as:ISO2:6:ed3:SI-123</t>
  </si>
  <si>
    <t>SI-112</t>
  </si>
  <si>
    <t>Slovenj Gradec</t>
  </si>
  <si>
    <t>as:GENC:6:ed2:SI-112</t>
  </si>
  <si>
    <t>SI-113</t>
  </si>
  <si>
    <t>Slovenska Bistrica</t>
  </si>
  <si>
    <t>as:ISO2:6:ed3:SI-113</t>
  </si>
  <si>
    <t>SI-114</t>
  </si>
  <si>
    <t>Slovenske Konjice</t>
  </si>
  <si>
    <t>as:ISO2:6:ed3:SI-114</t>
  </si>
  <si>
    <t>SI-124</t>
  </si>
  <si>
    <t>Šmarje pri Jelšah</t>
  </si>
  <si>
    <t>as:ISO2:6:ed3:SI-124</t>
  </si>
  <si>
    <t>SI-206</t>
  </si>
  <si>
    <t>Šmarješke Toplice</t>
  </si>
  <si>
    <t>as:ISO2:6:ed3:SI-206</t>
  </si>
  <si>
    <t>SI-125</t>
  </si>
  <si>
    <t>Šmartno ob Paki</t>
  </si>
  <si>
    <t>as:ISO2:6:ed3:SI-125</t>
  </si>
  <si>
    <t>SI-194</t>
  </si>
  <si>
    <t>Šmartno pri Litiji</t>
  </si>
  <si>
    <t>as:ISO2:6:ed3:SI-194</t>
  </si>
  <si>
    <t>SI-179</t>
  </si>
  <si>
    <t>Sodražica</t>
  </si>
  <si>
    <t>as:ISO2:6:ed3:SI-179</t>
  </si>
  <si>
    <t>SI-180</t>
  </si>
  <si>
    <t>Solčava</t>
  </si>
  <si>
    <t>as:ISO2:6:ed3:SI-180</t>
  </si>
  <si>
    <t>SI-126</t>
  </si>
  <si>
    <t>Šoštanj</t>
  </si>
  <si>
    <t>as:ISO2:6:ed3:SI-126</t>
  </si>
  <si>
    <t>SI-202</t>
  </si>
  <si>
    <t>Središče ob Dravi</t>
  </si>
  <si>
    <t>as:ISO2:6:ed3:SI-202</t>
  </si>
  <si>
    <t>SI-115</t>
  </si>
  <si>
    <t>Starše</t>
  </si>
  <si>
    <t>as:ISO2:6:ed3:SI-115</t>
  </si>
  <si>
    <t>SI-127</t>
  </si>
  <si>
    <t>Štore</t>
  </si>
  <si>
    <t>as:ISO2:6:ed3:SI-127</t>
  </si>
  <si>
    <t>SI-203</t>
  </si>
  <si>
    <t>Straža</t>
  </si>
  <si>
    <t>as:ISO2:6:ed3:SI-203</t>
  </si>
  <si>
    <t>SI-181</t>
  </si>
  <si>
    <t>Sveta Ana</t>
  </si>
  <si>
    <t>as:ISO2:6:ed3:SI-181</t>
  </si>
  <si>
    <t>SI-204</t>
  </si>
  <si>
    <t>Sveta Trojica v Slovenskih Goricah</t>
  </si>
  <si>
    <t>as:ISO2:6:ed3:SI-204</t>
  </si>
  <si>
    <t>SI-182</t>
  </si>
  <si>
    <t>Sveti Andraž v Slovenskih Goricah</t>
  </si>
  <si>
    <t>as:ISO2:6:ed3:SI-182</t>
  </si>
  <si>
    <t>SI-116</t>
  </si>
  <si>
    <t>Sveti Jurij ob Ščavnici</t>
  </si>
  <si>
    <t>as:GENC:6:ed2:SI-116</t>
  </si>
  <si>
    <t>SI-210</t>
  </si>
  <si>
    <t>Sveti Jurij v Slovenskih Goricah</t>
  </si>
  <si>
    <t>as:ISO2:6:ed3:SI-210</t>
  </si>
  <si>
    <t>SI-205</t>
  </si>
  <si>
    <t>Sveti Tomaž</t>
  </si>
  <si>
    <t>as:ISO2:6:ed3:SI-205</t>
  </si>
  <si>
    <t>SI-184</t>
  </si>
  <si>
    <t>Tabor</t>
  </si>
  <si>
    <t>as:ISO2:6:ed3:SI-184</t>
  </si>
  <si>
    <t>SI-010</t>
  </si>
  <si>
    <t>Tišina</t>
  </si>
  <si>
    <t>as:ISO2:6:ed3:SI-010</t>
  </si>
  <si>
    <t>SI-128</t>
  </si>
  <si>
    <t>Tolmin</t>
  </si>
  <si>
    <t>as:ISO2:6:ed3:SI-128</t>
  </si>
  <si>
    <t>SI-129</t>
  </si>
  <si>
    <t>Trbovlje</t>
  </si>
  <si>
    <t>as:ISO2:6:ed3:SI-129</t>
  </si>
  <si>
    <t>SI-130</t>
  </si>
  <si>
    <t>Trebnje</t>
  </si>
  <si>
    <t>as:ISO2:6:ed3:SI-130</t>
  </si>
  <si>
    <t>SI-185</t>
  </si>
  <si>
    <t>Trnovska Vas</t>
  </si>
  <si>
    <t>as:ISO2:6:ed3:SI-185</t>
  </si>
  <si>
    <t>SI-131</t>
  </si>
  <si>
    <t>Tržič</t>
  </si>
  <si>
    <t>as:ISO2:6:ed3:SI-131</t>
  </si>
  <si>
    <t>SI-186</t>
  </si>
  <si>
    <t>Trzin</t>
  </si>
  <si>
    <t>as:ISO2:6:ed3:SI-186</t>
  </si>
  <si>
    <t>SI-132</t>
  </si>
  <si>
    <t>Turnišče</t>
  </si>
  <si>
    <t>as:ISO2:6:ed3:SI-132</t>
  </si>
  <si>
    <t>SI-133</t>
  </si>
  <si>
    <t>Velenje</t>
  </si>
  <si>
    <t>as:GENC:6:ed2:SI-133</t>
  </si>
  <si>
    <t>SI-187</t>
  </si>
  <si>
    <t>Velika Polana</t>
  </si>
  <si>
    <t>as:ISO2:6:ed3:SI-187</t>
  </si>
  <si>
    <t>SI-134</t>
  </si>
  <si>
    <t>Velike Lašče</t>
  </si>
  <si>
    <t>as:ISO2:6:ed3:SI-134</t>
  </si>
  <si>
    <t>SI-188</t>
  </si>
  <si>
    <t>Veržej</t>
  </si>
  <si>
    <t>as:ISO2:6:ed3:SI-188</t>
  </si>
  <si>
    <t>SI-135</t>
  </si>
  <si>
    <t>Videm</t>
  </si>
  <si>
    <t>as:ISO2:6:ed3:SI-135</t>
  </si>
  <si>
    <t>SI-136</t>
  </si>
  <si>
    <t>Vipava</t>
  </si>
  <si>
    <t>as:ISO2:6:ed3:SI-136</t>
  </si>
  <si>
    <t>SI-137</t>
  </si>
  <si>
    <t>Vitanje</t>
  </si>
  <si>
    <t>as:ISO2:6:ed3:SI-137</t>
  </si>
  <si>
    <t>SI-138</t>
  </si>
  <si>
    <t>Vodice</t>
  </si>
  <si>
    <t>as:ISO2:6:ed3:SI-138</t>
  </si>
  <si>
    <t>SI-139</t>
  </si>
  <si>
    <t>Vojnik</t>
  </si>
  <si>
    <t>as:ISO2:6:ed3:SI-139</t>
  </si>
  <si>
    <t>SI-189</t>
  </si>
  <si>
    <t>Vransko</t>
  </si>
  <si>
    <t>as:ISO2:6:ed3:SI-189</t>
  </si>
  <si>
    <t>SI-140</t>
  </si>
  <si>
    <t>Vrhnika</t>
  </si>
  <si>
    <t>as:ISO2:6:ed3:SI-140</t>
  </si>
  <si>
    <t>SI-141</t>
  </si>
  <si>
    <t>Vuzenica</t>
  </si>
  <si>
    <t>as:ISO2:6:ed3:SI-141</t>
  </si>
  <si>
    <t>SI-142</t>
  </si>
  <si>
    <t>Zagorje ob Savi</t>
  </si>
  <si>
    <t>as:ISO2:6:ed3:SI-142</t>
  </si>
  <si>
    <t>SI-190</t>
  </si>
  <si>
    <t>Žalec</t>
  </si>
  <si>
    <t>as:ISO2:6:ed3:SI-190</t>
  </si>
  <si>
    <t>SI-143</t>
  </si>
  <si>
    <t>Zavrč</t>
  </si>
  <si>
    <t>as:ISO2:6:ed3:SI-143</t>
  </si>
  <si>
    <t>SI-146</t>
  </si>
  <si>
    <t>Železniki</t>
  </si>
  <si>
    <t>as:ISO2:6:ed3:SI-146</t>
  </si>
  <si>
    <t>SI-191</t>
  </si>
  <si>
    <t>Žetale</t>
  </si>
  <si>
    <t>as:ISO2:6:ed3:SI-191</t>
  </si>
  <si>
    <t>SI-147</t>
  </si>
  <si>
    <t>Žiri</t>
  </si>
  <si>
    <t>as:ISO2:6:ed3:SI-147</t>
  </si>
  <si>
    <t>SI-192</t>
  </si>
  <si>
    <t>Žirovnica</t>
  </si>
  <si>
    <t>as:ISO2:6:ed3:SI-192</t>
  </si>
  <si>
    <t>SI-144</t>
  </si>
  <si>
    <t>Zreče</t>
  </si>
  <si>
    <t>as:ISO2:6:ed3:SI-144</t>
  </si>
  <si>
    <t>SI-193</t>
  </si>
  <si>
    <t>Žužemberk</t>
  </si>
  <si>
    <t>as:ISO2:6:ed3:SI-193</t>
  </si>
  <si>
    <t>SB-CE</t>
  </si>
  <si>
    <t>as:ISO2:6:ed3:SB-CE</t>
  </si>
  <si>
    <t>SB-CH</t>
  </si>
  <si>
    <t>as:ISO2:6:ed3:SB-CH</t>
  </si>
  <si>
    <t>SB-GU</t>
  </si>
  <si>
    <t>Guadalcanal</t>
  </si>
  <si>
    <t>as:ISO2:6:ed3:SB-GU</t>
  </si>
  <si>
    <t>SB-CT</t>
  </si>
  <si>
    <t>Honiara</t>
  </si>
  <si>
    <t>as:GENC:6:ed2:SB-CT</t>
  </si>
  <si>
    <t>SB-IS</t>
  </si>
  <si>
    <t>Isabel</t>
  </si>
  <si>
    <t>as:ISO2:6:ed3:SB-IS</t>
  </si>
  <si>
    <t>SB-MK</t>
  </si>
  <si>
    <t>Makira</t>
  </si>
  <si>
    <t>as:GENC:6:ed2:SB-MK</t>
  </si>
  <si>
    <t>SB-ML</t>
  </si>
  <si>
    <t>Malaita</t>
  </si>
  <si>
    <t>as:ISO2:6:ed3:SB-ML</t>
  </si>
  <si>
    <t>SB-RB</t>
  </si>
  <si>
    <t>Rennell and Bellona</t>
  </si>
  <si>
    <t>as:ISO2:6:ed3:SB-RB</t>
  </si>
  <si>
    <t>SB-TE</t>
  </si>
  <si>
    <t>Temotu</t>
  </si>
  <si>
    <t>as:ISO2:6:ed3:SB-TE</t>
  </si>
  <si>
    <t>SB-WE</t>
  </si>
  <si>
    <t>as:ISO2:6:ed3:SB-WE</t>
  </si>
  <si>
    <t>SO-AW</t>
  </si>
  <si>
    <t>Awdal</t>
  </si>
  <si>
    <t>as:GENC:6:ed2:SO-AW</t>
  </si>
  <si>
    <t>SO-BK</t>
  </si>
  <si>
    <t>Bakool</t>
  </si>
  <si>
    <t>as:GENC:6:ed2:SO-BK</t>
  </si>
  <si>
    <t>SO-BN</t>
  </si>
  <si>
    <t>Banaadir</t>
  </si>
  <si>
    <t>as:GENC:6:ed2:SO-BN</t>
  </si>
  <si>
    <t>SO-BR</t>
  </si>
  <si>
    <t>as:GENC:6:ed2:SO-BR</t>
  </si>
  <si>
    <t>SO-BY</t>
  </si>
  <si>
    <t>Bay</t>
  </si>
  <si>
    <t>as:GENC:6:ed2:SO-BY</t>
  </si>
  <si>
    <t>SO-GA</t>
  </si>
  <si>
    <t>Galguduud</t>
  </si>
  <si>
    <t>as:GENC:6:ed2:SO-GA</t>
  </si>
  <si>
    <t>SO-GE</t>
  </si>
  <si>
    <t>Gedo</t>
  </si>
  <si>
    <t>as:GENC:6:ed2:SO-GE</t>
  </si>
  <si>
    <t>SO-HI</t>
  </si>
  <si>
    <t>Hiiraan</t>
  </si>
  <si>
    <t>as:GENC:6:ed2:SO-HI</t>
  </si>
  <si>
    <t>SO-JD</t>
  </si>
  <si>
    <t>Jubbada Dhexe</t>
  </si>
  <si>
    <t>as:GENC:6:ed2:SO-JD</t>
  </si>
  <si>
    <t>SO-JH</t>
  </si>
  <si>
    <t>Jubbada Hoose</t>
  </si>
  <si>
    <t>as:GENC:6:ed2:SO-JH</t>
  </si>
  <si>
    <t>SO-MU</t>
  </si>
  <si>
    <t>Mudug</t>
  </si>
  <si>
    <t>as:GENC:6:ed2:SO-MU</t>
  </si>
  <si>
    <t>SO-NU</t>
  </si>
  <si>
    <t>Nugaal</t>
  </si>
  <si>
    <t>as:GENC:6:ed2:SO-NU</t>
  </si>
  <si>
    <t>SO-SA</t>
  </si>
  <si>
    <t>Sanaag</t>
  </si>
  <si>
    <t>as:GENC:6:ed2:SO-SA</t>
  </si>
  <si>
    <t>SO-SD</t>
  </si>
  <si>
    <t>Shabeellaha Dhexe</t>
  </si>
  <si>
    <t>as:GENC:6:ed2:SO-SD</t>
  </si>
  <si>
    <t>SO-SH</t>
  </si>
  <si>
    <t>Shabeellaha Hoose</t>
  </si>
  <si>
    <t>as:GENC:6:ed2:SO-SH</t>
  </si>
  <si>
    <t>SO-SO</t>
  </si>
  <si>
    <t>Sool</t>
  </si>
  <si>
    <t>as:GENC:6:ed2:SO-SO</t>
  </si>
  <si>
    <t>SO-TO</t>
  </si>
  <si>
    <t>Togdheer</t>
  </si>
  <si>
    <t>as:GENC:6:ed2:SO-TO</t>
  </si>
  <si>
    <t>SO-WO</t>
  </si>
  <si>
    <t>Woqooyi Galbeed</t>
  </si>
  <si>
    <t>as:GENC:6:ed2:SO-WO</t>
  </si>
  <si>
    <t>ZA-EC</t>
  </si>
  <si>
    <t>Eastern Cape</t>
  </si>
  <si>
    <t>as:GENC:6:ed2:ZA-EC</t>
  </si>
  <si>
    <t>ZA-FS</t>
  </si>
  <si>
    <t>Free State</t>
  </si>
  <si>
    <t>as:GENC:6:ed2:ZA-FS</t>
  </si>
  <si>
    <t>ZA-GT</t>
  </si>
  <si>
    <t>Gauteng</t>
  </si>
  <si>
    <t>as:GENC:6:ed2:ZA-GT</t>
  </si>
  <si>
    <t>ZA-NL</t>
  </si>
  <si>
    <t>KwaZulu-Natal</t>
  </si>
  <si>
    <t>as:GENC:6:ed2:ZA-NL</t>
  </si>
  <si>
    <t>ZA-LP</t>
  </si>
  <si>
    <t>Limpopo</t>
  </si>
  <si>
    <t>as:GENC:6:ed2:ZA-LP</t>
  </si>
  <si>
    <t>ZA-MP</t>
  </si>
  <si>
    <t>Mpumalanga</t>
  </si>
  <si>
    <t>as:GENC:6:ed2:ZA-MP</t>
  </si>
  <si>
    <t>ZA-NC</t>
  </si>
  <si>
    <t>Northern Cape</t>
  </si>
  <si>
    <t>as:GENC:6:ed2:ZA-NC</t>
  </si>
  <si>
    <t>ZA-NW</t>
  </si>
  <si>
    <t>as:GENC:6:ed2:ZA-NW</t>
  </si>
  <si>
    <t>ZA-WC</t>
  </si>
  <si>
    <t>Western Cape</t>
  </si>
  <si>
    <t>as:GENC:6:ed2:ZA-WC</t>
  </si>
  <si>
    <t>SS-EC</t>
  </si>
  <si>
    <t>Central Equatoria</t>
  </si>
  <si>
    <t>as:ISO2:6:ed3:SS-EC</t>
  </si>
  <si>
    <t>SS-EE</t>
  </si>
  <si>
    <t>Eastern Equatoria</t>
  </si>
  <si>
    <t>as:ISO2:6:ed3:SS-EE</t>
  </si>
  <si>
    <t>SS-JG</t>
  </si>
  <si>
    <t>Jonglei</t>
  </si>
  <si>
    <t>as:ISO2:6:ed3:SS-JG</t>
  </si>
  <si>
    <t>SS-LK</t>
  </si>
  <si>
    <t>Lakes</t>
  </si>
  <si>
    <t>as:ISO2:6:ed3:SS-LK</t>
  </si>
  <si>
    <t>SS-BN</t>
  </si>
  <si>
    <t>Northern Bahr el Ghazal</t>
  </si>
  <si>
    <t>as:ISO2:6:ed3:SS-BN</t>
  </si>
  <si>
    <t>SS-UY</t>
  </si>
  <si>
    <t>Unity</t>
  </si>
  <si>
    <t>as:ISO2:6:ed3:SS-UY</t>
  </si>
  <si>
    <t>SS-NU</t>
  </si>
  <si>
    <t>Upper Nile</t>
  </si>
  <si>
    <t>as:ISO2:6:ed3:SS-NU</t>
  </si>
  <si>
    <t>SS-WR</t>
  </si>
  <si>
    <t>Warrap</t>
  </si>
  <si>
    <t>as:ISO2:6:ed3:SS-WR</t>
  </si>
  <si>
    <t>SS-BW</t>
  </si>
  <si>
    <t>Western Bahr el Ghazal</t>
  </si>
  <si>
    <t>as:ISO2:6:ed3:SS-BW</t>
  </si>
  <si>
    <t>SS-EW</t>
  </si>
  <si>
    <t>Western Equatoria</t>
  </si>
  <si>
    <t>as:ISO2:6:ed3:SS-EW</t>
  </si>
  <si>
    <t>ES-C</t>
  </si>
  <si>
    <t>A Coruña</t>
  </si>
  <si>
    <t>as:GENC:6:ed2:ES-C</t>
  </si>
  <si>
    <t>ES-VI</t>
  </si>
  <si>
    <t>Álava</t>
  </si>
  <si>
    <t>as:GENC:6:ed2:ES-VI</t>
  </si>
  <si>
    <t>ES-AB</t>
  </si>
  <si>
    <t>Albacete</t>
  </si>
  <si>
    <t>as:ISO2:6:ed3:ES-AB</t>
  </si>
  <si>
    <t>ES-A</t>
  </si>
  <si>
    <t>Alicante</t>
  </si>
  <si>
    <t>as:GENC:6:ed2:ES-A</t>
  </si>
  <si>
    <t>ES-AL</t>
  </si>
  <si>
    <t>Almería</t>
  </si>
  <si>
    <t>as:ISO2:6:ed3:ES-AL</t>
  </si>
  <si>
    <t>ES-AN</t>
  </si>
  <si>
    <t>Andalucía</t>
  </si>
  <si>
    <t>autonomous community</t>
  </si>
  <si>
    <t>as:ISO2:6:ed3:ES-AN</t>
  </si>
  <si>
    <t>ES-AR</t>
  </si>
  <si>
    <t>Aragón</t>
  </si>
  <si>
    <t>as:ISO2:6:ed3:ES-AR</t>
  </si>
  <si>
    <t>ES-AS</t>
  </si>
  <si>
    <t>Asturias</t>
  </si>
  <si>
    <t>as:GENC:6:ed2:ES-AS</t>
  </si>
  <si>
    <t>ES-O</t>
  </si>
  <si>
    <t>as:ISO2:6:ed3:ES-O</t>
  </si>
  <si>
    <t>ES-AV</t>
  </si>
  <si>
    <t>Ávila</t>
  </si>
  <si>
    <t>as:ISO2:6:ed3:ES-AV</t>
  </si>
  <si>
    <t>ES-BA</t>
  </si>
  <si>
    <t>Badajoz</t>
  </si>
  <si>
    <t>as:ISO2:6:ed3:ES-BA</t>
  </si>
  <si>
    <t>ES-PM</t>
  </si>
  <si>
    <t>Baleares</t>
  </si>
  <si>
    <t>as:GENC:6:ed2:ES-PM</t>
  </si>
  <si>
    <t>ES-B</t>
  </si>
  <si>
    <t>Barcelona</t>
  </si>
  <si>
    <t>as:GENC:6:ed2:ES-B</t>
  </si>
  <si>
    <t>ES-BU</t>
  </si>
  <si>
    <t>Burgos</t>
  </si>
  <si>
    <t>as:ISO2:6:ed3:ES-BU</t>
  </si>
  <si>
    <t>ES-CC</t>
  </si>
  <si>
    <t>Cáceres</t>
  </si>
  <si>
    <t>as:ISO2:6:ed3:ES-CC</t>
  </si>
  <si>
    <t>ES-CA</t>
  </si>
  <si>
    <t>Cádiz</t>
  </si>
  <si>
    <t>as:ISO2:6:ed3:ES-CA</t>
  </si>
  <si>
    <t>ES-CN</t>
  </si>
  <si>
    <t>Canarias</t>
  </si>
  <si>
    <t>as:ISO2:6:ed3:ES-CN</t>
  </si>
  <si>
    <t>ES-CB</t>
  </si>
  <si>
    <t>Cantabria</t>
  </si>
  <si>
    <t>as:ISO2:6:ed3:ES-CB</t>
  </si>
  <si>
    <t>ES-S</t>
  </si>
  <si>
    <t>as:ISO2:6:ed3:ES-S</t>
  </si>
  <si>
    <t>ES-CS</t>
  </si>
  <si>
    <t>Castellón</t>
  </si>
  <si>
    <t>as:GENC:6:ed2:ES-CS</t>
  </si>
  <si>
    <t>ES-CM</t>
  </si>
  <si>
    <t>Castilla-La Mancha</t>
  </si>
  <si>
    <t>as:ISO2:6:ed3:ES-CM</t>
  </si>
  <si>
    <t>ES-CL</t>
  </si>
  <si>
    <t>Castilla y León</t>
  </si>
  <si>
    <t>as:ISO2:6:ed3:ES-CL</t>
  </si>
  <si>
    <t>ES-CT</t>
  </si>
  <si>
    <t>Cataluña</t>
  </si>
  <si>
    <t>as:GENC:6:ed2:ES-CT</t>
  </si>
  <si>
    <t>ES-CE</t>
  </si>
  <si>
    <t>Ceuta</t>
  </si>
  <si>
    <t>autonomous city</t>
  </si>
  <si>
    <t>as:GENC:6:ed2:ES-CE</t>
  </si>
  <si>
    <t>ES-CR</t>
  </si>
  <si>
    <t>Ciudad Real</t>
  </si>
  <si>
    <t>as:ISO2:6:ed3:ES-CR</t>
  </si>
  <si>
    <t>ES-CO</t>
  </si>
  <si>
    <t>as:ISO2:6:ed3:ES-CO</t>
  </si>
  <si>
    <t>ES-CU</t>
  </si>
  <si>
    <t>Cuenca</t>
  </si>
  <si>
    <t>as:ISO2:6:ed3:ES-CU</t>
  </si>
  <si>
    <t>ES-EX</t>
  </si>
  <si>
    <t>Extremadura</t>
  </si>
  <si>
    <t>as:ISO2:6:ed3:ES-EX</t>
  </si>
  <si>
    <t>ES-GA</t>
  </si>
  <si>
    <t>Galicia</t>
  </si>
  <si>
    <t>as:GENC:6:ed2:ES-GA</t>
  </si>
  <si>
    <t>ES-GI</t>
  </si>
  <si>
    <t>Gerona</t>
  </si>
  <si>
    <t>as:GENC:6:ed2:ES-GI</t>
  </si>
  <si>
    <t>ES-GR</t>
  </si>
  <si>
    <t>as:ISO2:6:ed3:ES-GR</t>
  </si>
  <si>
    <t>ES-GU</t>
  </si>
  <si>
    <t>Guadalajara</t>
  </si>
  <si>
    <t>as:ISO2:6:ed3:ES-GU</t>
  </si>
  <si>
    <t>ES-SS</t>
  </si>
  <si>
    <t>Guipúzcoa</t>
  </si>
  <si>
    <t>as:GENC:6:ed2:ES-SS</t>
  </si>
  <si>
    <t>ES-H</t>
  </si>
  <si>
    <t>Huelva</t>
  </si>
  <si>
    <t>as:ISO2:6:ed3:ES-H</t>
  </si>
  <si>
    <t>ES-HU</t>
  </si>
  <si>
    <t>Huesca</t>
  </si>
  <si>
    <t>as:ISO2:6:ed3:ES-HU</t>
  </si>
  <si>
    <t>ES-IB</t>
  </si>
  <si>
    <t>Illes Balears</t>
  </si>
  <si>
    <t>as:GENC:6:ed2:ES-IB</t>
  </si>
  <si>
    <t>ES-J</t>
  </si>
  <si>
    <t>Jaén</t>
  </si>
  <si>
    <t>as:ISO2:6:ed3:ES-J</t>
  </si>
  <si>
    <t>ES-RI</t>
  </si>
  <si>
    <t>as:ISO2:6:ed3:ES-RI</t>
  </si>
  <si>
    <t>ES-LO</t>
  </si>
  <si>
    <t>as:ISO2:6:ed3:ES-LO</t>
  </si>
  <si>
    <t>ES-GC</t>
  </si>
  <si>
    <t>Las Palmas</t>
  </si>
  <si>
    <t>as:ISO2:6:ed3:ES-GC</t>
  </si>
  <si>
    <t>ES-LE</t>
  </si>
  <si>
    <t>as:ISO2:6:ed3:ES-LE</t>
  </si>
  <si>
    <t>ES-L</t>
  </si>
  <si>
    <t>Lérida</t>
  </si>
  <si>
    <t>as:GENC:6:ed2:ES-L</t>
  </si>
  <si>
    <t>ES-LU</t>
  </si>
  <si>
    <t>Lugo</t>
  </si>
  <si>
    <t>as:GENC:6:ed2:ES-LU</t>
  </si>
  <si>
    <t>ES-MD</t>
  </si>
  <si>
    <t>Madrid</t>
  </si>
  <si>
    <t>as:GENC:6:ed2:ES-MD</t>
  </si>
  <si>
    <t>ES-M</t>
  </si>
  <si>
    <t>as:ISO2:6:ed3:ES-M</t>
  </si>
  <si>
    <t>ES-MA</t>
  </si>
  <si>
    <t>Málaga</t>
  </si>
  <si>
    <t>as:ISO2:6:ed3:ES-MA</t>
  </si>
  <si>
    <t>ES-ML</t>
  </si>
  <si>
    <t>Melilla</t>
  </si>
  <si>
    <t>as:GENC:6:ed2:ES-ML</t>
  </si>
  <si>
    <t>ES-MC</t>
  </si>
  <si>
    <t>Murcia</t>
  </si>
  <si>
    <t>as:GENC:6:ed2:ES-MC</t>
  </si>
  <si>
    <t>ES-MU</t>
  </si>
  <si>
    <t>as:ISO2:6:ed3:ES-MU</t>
  </si>
  <si>
    <t>ES-NC</t>
  </si>
  <si>
    <t>Navarra</t>
  </si>
  <si>
    <t>as:GENC:6:ed2:ES-NC</t>
  </si>
  <si>
    <t>ES-NA</t>
  </si>
  <si>
    <t>as:GENC:6:ed2:ES-NA</t>
  </si>
  <si>
    <t>ES-OR</t>
  </si>
  <si>
    <t>Ourense</t>
  </si>
  <si>
    <t>as:GENC:6:ed2:ES-OR</t>
  </si>
  <si>
    <t>ES-PV</t>
  </si>
  <si>
    <t>País Vasco</t>
  </si>
  <si>
    <t>as:GENC:6:ed2:ES-PV</t>
  </si>
  <si>
    <t>ES-P</t>
  </si>
  <si>
    <t>Palencia</t>
  </si>
  <si>
    <t>as:ISO2:6:ed3:ES-P</t>
  </si>
  <si>
    <t>ES-PO</t>
  </si>
  <si>
    <t>Pontevedra</t>
  </si>
  <si>
    <t>as:GENC:6:ed2:ES-PO</t>
  </si>
  <si>
    <t>ES-SA</t>
  </si>
  <si>
    <t>Salamanca</t>
  </si>
  <si>
    <t>as:ISO2:6:ed3:ES-SA</t>
  </si>
  <si>
    <t>ES-TF</t>
  </si>
  <si>
    <t>Santa Cruz de Tenerife</t>
  </si>
  <si>
    <t>as:ISO2:6:ed3:ES-TF</t>
  </si>
  <si>
    <t>ES-SG</t>
  </si>
  <si>
    <t>Segovia</t>
  </si>
  <si>
    <t>as:ISO2:6:ed3:ES-SG</t>
  </si>
  <si>
    <t>ES-SE</t>
  </si>
  <si>
    <t>Sevilla</t>
  </si>
  <si>
    <t>as:ISO2:6:ed3:ES-SE</t>
  </si>
  <si>
    <t>ES-SO</t>
  </si>
  <si>
    <t>Soria</t>
  </si>
  <si>
    <t>as:ISO2:6:ed3:ES-SO</t>
  </si>
  <si>
    <t>ES-T</t>
  </si>
  <si>
    <t>Tarragona</t>
  </si>
  <si>
    <t>as:GENC:6:ed2:ES-T</t>
  </si>
  <si>
    <t>ES-TE</t>
  </si>
  <si>
    <t>Teruel</t>
  </si>
  <si>
    <t>as:ISO2:6:ed3:ES-TE</t>
  </si>
  <si>
    <t>ES-TO</t>
  </si>
  <si>
    <t>as:ISO2:6:ed3:ES-TO</t>
  </si>
  <si>
    <t>ES-V</t>
  </si>
  <si>
    <t>Valencia</t>
  </si>
  <si>
    <t>as:GENC:6:ed2:ES-V</t>
  </si>
  <si>
    <t>ES-VC</t>
  </si>
  <si>
    <t>Valenciana, Comunidad</t>
  </si>
  <si>
    <t>as:ISO2:6:ed3:ES-VC</t>
  </si>
  <si>
    <t>ES-VA</t>
  </si>
  <si>
    <t>Valladolid</t>
  </si>
  <si>
    <t>as:ISO2:6:ed3:ES-VA</t>
  </si>
  <si>
    <t>ES-BI</t>
  </si>
  <si>
    <t>Vizcaya</t>
  </si>
  <si>
    <t>as:GENC:6:ed2:ES-BI</t>
  </si>
  <si>
    <t>ES-ZA</t>
  </si>
  <si>
    <t>Zamora</t>
  </si>
  <si>
    <t>as:ISO2:6:ed3:ES-ZA</t>
  </si>
  <si>
    <t>ES-Z</t>
  </si>
  <si>
    <t>Zaragoza</t>
  </si>
  <si>
    <t>as:ISO2:6:ed3:ES-Z</t>
  </si>
  <si>
    <t>LK-52</t>
  </si>
  <si>
    <t>Ampara</t>
  </si>
  <si>
    <t>as:GENC:6:ed2:LK-52</t>
  </si>
  <si>
    <t>LK-71</t>
  </si>
  <si>
    <t>Anuradhapura</t>
  </si>
  <si>
    <t>as:GENC:6:ed2:LK-71</t>
  </si>
  <si>
    <t>LK-81</t>
  </si>
  <si>
    <t>Badulla</t>
  </si>
  <si>
    <t>as:GENC:6:ed2:LK-81</t>
  </si>
  <si>
    <t>LK-51</t>
  </si>
  <si>
    <t>Batticaloa</t>
  </si>
  <si>
    <t>as:GENC:6:ed2:LK-51</t>
  </si>
  <si>
    <t>LK-2</t>
  </si>
  <si>
    <t>as:GENC:6:ed2:LK-2</t>
  </si>
  <si>
    <t>LK-11</t>
  </si>
  <si>
    <t>Colombo</t>
  </si>
  <si>
    <t>as:GENC:6:ed2:LK-11</t>
  </si>
  <si>
    <t>LK-5</t>
  </si>
  <si>
    <t>as:GENC:6:ed2:LK-5</t>
  </si>
  <si>
    <t>LK-31</t>
  </si>
  <si>
    <t>Galle</t>
  </si>
  <si>
    <t>as:GENC:6:ed2:LK-31</t>
  </si>
  <si>
    <t>LK-12</t>
  </si>
  <si>
    <t>Gampaha</t>
  </si>
  <si>
    <t>as:GENC:6:ed2:LK-12</t>
  </si>
  <si>
    <t>LK-33</t>
  </si>
  <si>
    <t>Hambantota</t>
  </si>
  <si>
    <t>as:GENC:6:ed2:LK-33</t>
  </si>
  <si>
    <t>LK-41</t>
  </si>
  <si>
    <t>Jaffna</t>
  </si>
  <si>
    <t>as:GENC:6:ed2:LK-41</t>
  </si>
  <si>
    <t>LK-13</t>
  </si>
  <si>
    <t>Kalutara</t>
  </si>
  <si>
    <t>as:GENC:6:ed2:LK-13</t>
  </si>
  <si>
    <t>LK-21</t>
  </si>
  <si>
    <t>Kandy</t>
  </si>
  <si>
    <t>as:GENC:6:ed2:LK-21</t>
  </si>
  <si>
    <t>LK-92</t>
  </si>
  <si>
    <t>Kegalla</t>
  </si>
  <si>
    <t>as:GENC:6:ed2:LK-92</t>
  </si>
  <si>
    <t>LK-42</t>
  </si>
  <si>
    <t>Kilinochchi</t>
  </si>
  <si>
    <t>as:GENC:6:ed2:LK-42</t>
  </si>
  <si>
    <t>LK-61</t>
  </si>
  <si>
    <t>Kurunegala</t>
  </si>
  <si>
    <t>as:GENC:6:ed2:LK-61</t>
  </si>
  <si>
    <t>LK-43</t>
  </si>
  <si>
    <t>Mannar</t>
  </si>
  <si>
    <t>as:GENC:6:ed2:LK-43</t>
  </si>
  <si>
    <t>LK-22</t>
  </si>
  <si>
    <t>Matale</t>
  </si>
  <si>
    <t>as:GENC:6:ed2:LK-22</t>
  </si>
  <si>
    <t>LK-32</t>
  </si>
  <si>
    <t>Matara</t>
  </si>
  <si>
    <t>as:GENC:6:ed2:LK-32</t>
  </si>
  <si>
    <t>LK-82</t>
  </si>
  <si>
    <t>Monaragala</t>
  </si>
  <si>
    <t>as:GENC:6:ed2:LK-82</t>
  </si>
  <si>
    <t>LK-45</t>
  </si>
  <si>
    <t>Mullaittivu</t>
  </si>
  <si>
    <t>as:GENC:6:ed2:LK-45</t>
  </si>
  <si>
    <t>LK-4</t>
  </si>
  <si>
    <t>North Central</t>
  </si>
  <si>
    <t>as:GENC:6:ed2:LK-4</t>
  </si>
  <si>
    <t>LK-7</t>
  </si>
  <si>
    <t>as:GENC:6:ed2:LK-7</t>
  </si>
  <si>
    <t>LK-6</t>
  </si>
  <si>
    <t>North Western</t>
  </si>
  <si>
    <t>as:GENC:6:ed2:LK-6</t>
  </si>
  <si>
    <t>LK-23</t>
  </si>
  <si>
    <t>Nuwara Eliya</t>
  </si>
  <si>
    <t>as:GENC:6:ed2:LK-23</t>
  </si>
  <si>
    <t>LK-72</t>
  </si>
  <si>
    <t>Polonnaruwa</t>
  </si>
  <si>
    <t>as:GENC:6:ed2:LK-72</t>
  </si>
  <si>
    <t>LK-62</t>
  </si>
  <si>
    <t>Puttalam</t>
  </si>
  <si>
    <t>as:GENC:6:ed2:LK-62</t>
  </si>
  <si>
    <t>LK-91</t>
  </si>
  <si>
    <t>Ratnapura</t>
  </si>
  <si>
    <t>as:GENC:6:ed2:LK-91</t>
  </si>
  <si>
    <t>LK-9</t>
  </si>
  <si>
    <t>Sabaragamuwa</t>
  </si>
  <si>
    <t>as:GENC:6:ed2:LK-9</t>
  </si>
  <si>
    <t>LK-3</t>
  </si>
  <si>
    <t>as:GENC:6:ed2:LK-3</t>
  </si>
  <si>
    <t>LK-53</t>
  </si>
  <si>
    <t>Trincomalee</t>
  </si>
  <si>
    <t>as:GENC:6:ed2:LK-53</t>
  </si>
  <si>
    <t>LK-8</t>
  </si>
  <si>
    <t>Uva</t>
  </si>
  <si>
    <t>as:GENC:6:ed2:LK-8</t>
  </si>
  <si>
    <t>LK-44</t>
  </si>
  <si>
    <t>Vavuniya</t>
  </si>
  <si>
    <t>as:GENC:6:ed2:LK-44</t>
  </si>
  <si>
    <t>LK-1</t>
  </si>
  <si>
    <t>as:GENC:6:ed2:LK-1</t>
  </si>
  <si>
    <t>SD-RS</t>
  </si>
  <si>
    <t>as:GENC:6:ed2:SD-RS</t>
  </si>
  <si>
    <t>SD-GZ</t>
  </si>
  <si>
    <t>Al Jazīra</t>
  </si>
  <si>
    <t>as:GENC:6:ed2:SD-GZ</t>
  </si>
  <si>
    <t>SD-KH</t>
  </si>
  <si>
    <t>Al Kharţoum</t>
  </si>
  <si>
    <t>as:GENC:6:ed2:SD-KH</t>
  </si>
  <si>
    <t>SD-GD</t>
  </si>
  <si>
    <t>Al Qaḑārif</t>
  </si>
  <si>
    <t>as:GENC:6:ed2:SD-GD</t>
  </si>
  <si>
    <t>SD-NW</t>
  </si>
  <si>
    <t>An Nīl al Abyaḑ</t>
  </si>
  <si>
    <t>as:GENC:6:ed2:SD-NW</t>
  </si>
  <si>
    <t>SD-NB</t>
  </si>
  <si>
    <t>An Nīl al Azraq</t>
  </si>
  <si>
    <t>as:GENC:6:ed2:SD-NB</t>
  </si>
  <si>
    <t>SD-NO</t>
  </si>
  <si>
    <t>Ash Shimālīyya</t>
  </si>
  <si>
    <t>as:GENC:6:ed2:SD-NO</t>
  </si>
  <si>
    <t>SD-DW</t>
  </si>
  <si>
    <t>Gharb Dārfūr</t>
  </si>
  <si>
    <t>as:GENC:6:ed2:SD-DW</t>
  </si>
  <si>
    <t>SD-DS</t>
  </si>
  <si>
    <t>Janūb Dārfūr</t>
  </si>
  <si>
    <t>as:GENC:6:ed2:SD-DS</t>
  </si>
  <si>
    <t>SD-KS</t>
  </si>
  <si>
    <t>Janūb Kurdufān</t>
  </si>
  <si>
    <t>as:GENC:6:ed2:SD-KS</t>
  </si>
  <si>
    <t>SD-KA</t>
  </si>
  <si>
    <t>Kassalā</t>
  </si>
  <si>
    <t>as:GENC:6:ed2:SD-KA</t>
  </si>
  <si>
    <t>SD-NR</t>
  </si>
  <si>
    <t>Nahr an Nīl</t>
  </si>
  <si>
    <t>as:GENC:6:ed2:SD-NR</t>
  </si>
  <si>
    <t>SD-DE</t>
  </si>
  <si>
    <t>Sharq Dārfūr</t>
  </si>
  <si>
    <t>as:GENC:6:ed2:SD-DE</t>
  </si>
  <si>
    <t>SD-DN</t>
  </si>
  <si>
    <t>Shimāl Dārfūr</t>
  </si>
  <si>
    <t>as:GENC:6:ed2:SD-DN</t>
  </si>
  <si>
    <t>SD-KN</t>
  </si>
  <si>
    <t>Shimāl Kurdufān</t>
  </si>
  <si>
    <t>as:GENC:6:ed2:SD-KN</t>
  </si>
  <si>
    <t>SD-SI</t>
  </si>
  <si>
    <t>Sinnār</t>
  </si>
  <si>
    <t>as:GENC:6:ed2:SD-SI</t>
  </si>
  <si>
    <t>SD-DC</t>
  </si>
  <si>
    <t>Wasaţ Dārfūr</t>
  </si>
  <si>
    <t>as:GENC:6:ed2:SD-DC</t>
  </si>
  <si>
    <t>SR-BR</t>
  </si>
  <si>
    <t>Brokopondo</t>
  </si>
  <si>
    <t>as:ISO2:6:ed3:SR-BR</t>
  </si>
  <si>
    <t>SR-CM</t>
  </si>
  <si>
    <t>Commewijne</t>
  </si>
  <si>
    <t>as:ISO2:6:ed3:SR-CM</t>
  </si>
  <si>
    <t>SR-CR</t>
  </si>
  <si>
    <t>Coronie</t>
  </si>
  <si>
    <t>as:ISO2:6:ed3:SR-CR</t>
  </si>
  <si>
    <t>SR-MA</t>
  </si>
  <si>
    <t>Marowijne</t>
  </si>
  <si>
    <t>as:ISO2:6:ed3:SR-MA</t>
  </si>
  <si>
    <t>SR-NI</t>
  </si>
  <si>
    <t>Nickerie</t>
  </si>
  <si>
    <t>as:ISO2:6:ed3:SR-NI</t>
  </si>
  <si>
    <t>SR-PR</t>
  </si>
  <si>
    <t>Para</t>
  </si>
  <si>
    <t>as:ISO2:6:ed3:SR-PR</t>
  </si>
  <si>
    <t>SR-PM</t>
  </si>
  <si>
    <t>Paramaribo</t>
  </si>
  <si>
    <t>as:ISO2:6:ed3:SR-PM</t>
  </si>
  <si>
    <t>SR-SA</t>
  </si>
  <si>
    <t>Saramacca</t>
  </si>
  <si>
    <t>as:ISO2:6:ed3:SR-SA</t>
  </si>
  <si>
    <t>SR-SI</t>
  </si>
  <si>
    <t>Sipaliwini</t>
  </si>
  <si>
    <t>as:ISO2:6:ed3:SR-SI</t>
  </si>
  <si>
    <t>SR-WA</t>
  </si>
  <si>
    <t>Wanica</t>
  </si>
  <si>
    <t>as:ISO2:6:ed3:SR-WA</t>
  </si>
  <si>
    <t>SZ-HH</t>
  </si>
  <si>
    <t>Hhohho</t>
  </si>
  <si>
    <t>as:GENC:6:ed2:SZ-HH</t>
  </si>
  <si>
    <t>SZ-LU</t>
  </si>
  <si>
    <t>Lubombo</t>
  </si>
  <si>
    <t>as:GENC:6:ed2:SZ-LU</t>
  </si>
  <si>
    <t>SZ-MA</t>
  </si>
  <si>
    <t>Manzini</t>
  </si>
  <si>
    <t>as:GENC:6:ed2:SZ-MA</t>
  </si>
  <si>
    <t>SZ-SH</t>
  </si>
  <si>
    <t>Shiselweni</t>
  </si>
  <si>
    <t>as:GENC:6:ed2:SZ-SH</t>
  </si>
  <si>
    <t>SE-K</t>
  </si>
  <si>
    <t>Blekinge</t>
  </si>
  <si>
    <t>as:GENC:6:ed2:SE-K</t>
  </si>
  <si>
    <t>SE-W</t>
  </si>
  <si>
    <t>Dalarna</t>
  </si>
  <si>
    <t>as:GENC:6:ed2:SE-W</t>
  </si>
  <si>
    <t>SE-X</t>
  </si>
  <si>
    <t>Gävleborg</t>
  </si>
  <si>
    <t>as:GENC:6:ed2:SE-X</t>
  </si>
  <si>
    <t>SE-I</t>
  </si>
  <si>
    <t>Gotland</t>
  </si>
  <si>
    <t>as:GENC:6:ed2:SE-I</t>
  </si>
  <si>
    <t>SE-N</t>
  </si>
  <si>
    <t>Halland</t>
  </si>
  <si>
    <t>as:GENC:6:ed2:SE-N</t>
  </si>
  <si>
    <t>SE-Z</t>
  </si>
  <si>
    <t>Jämtland</t>
  </si>
  <si>
    <t>as:GENC:6:ed2:SE-Z</t>
  </si>
  <si>
    <t>SE-F</t>
  </si>
  <si>
    <t>Jönköping</t>
  </si>
  <si>
    <t>as:GENC:6:ed2:SE-F</t>
  </si>
  <si>
    <t>SE-H</t>
  </si>
  <si>
    <t>Kalmar</t>
  </si>
  <si>
    <t>as:GENC:6:ed2:SE-H</t>
  </si>
  <si>
    <t>SE-G</t>
  </si>
  <si>
    <t>Kronoberg</t>
  </si>
  <si>
    <t>as:GENC:6:ed2:SE-G</t>
  </si>
  <si>
    <t>SE-BD</t>
  </si>
  <si>
    <t>Norrbotten</t>
  </si>
  <si>
    <t>as:GENC:6:ed2:SE-BD</t>
  </si>
  <si>
    <t>SE-T</t>
  </si>
  <si>
    <t>Örebro</t>
  </si>
  <si>
    <t>as:GENC:6:ed2:SE-T</t>
  </si>
  <si>
    <t>SE-E</t>
  </si>
  <si>
    <t>Östergötland</t>
  </si>
  <si>
    <t>as:GENC:6:ed2:SE-E</t>
  </si>
  <si>
    <t>SE-M</t>
  </si>
  <si>
    <t>Skåne</t>
  </si>
  <si>
    <t>as:GENC:6:ed2:SE-M</t>
  </si>
  <si>
    <t>SE-D</t>
  </si>
  <si>
    <t>Södermanland</t>
  </si>
  <si>
    <t>as:GENC:6:ed2:SE-D</t>
  </si>
  <si>
    <t>SE-AB</t>
  </si>
  <si>
    <t>Stockholm</t>
  </si>
  <si>
    <t>as:GENC:6:ed2:SE-AB</t>
  </si>
  <si>
    <t>SE-C</t>
  </si>
  <si>
    <t>Uppsala</t>
  </si>
  <si>
    <t>as:GENC:6:ed2:SE-C</t>
  </si>
  <si>
    <t>SE-S</t>
  </si>
  <si>
    <t>Värmland</t>
  </si>
  <si>
    <t>as:GENC:6:ed2:SE-S</t>
  </si>
  <si>
    <t>SE-AC</t>
  </si>
  <si>
    <t>Västerbotten</t>
  </si>
  <si>
    <t>as:GENC:6:ed2:SE-AC</t>
  </si>
  <si>
    <t>SE-Y</t>
  </si>
  <si>
    <t>Västernorrland</t>
  </si>
  <si>
    <t>as:GENC:6:ed2:SE-Y</t>
  </si>
  <si>
    <t>SE-U</t>
  </si>
  <si>
    <t>Västmanland</t>
  </si>
  <si>
    <t>as:GENC:6:ed2:SE-U</t>
  </si>
  <si>
    <t>SE-O</t>
  </si>
  <si>
    <t>Västra Götaland</t>
  </si>
  <si>
    <t>as:GENC:6:ed2:SE-O</t>
  </si>
  <si>
    <t>CH-AG</t>
  </si>
  <si>
    <t>Aargau</t>
  </si>
  <si>
    <t>as:GENC:6:ed2:CH-AG</t>
  </si>
  <si>
    <t>CH-AR</t>
  </si>
  <si>
    <t>Appenzell Ausserrhoden</t>
  </si>
  <si>
    <t>as:GENC:6:ed2:CH-AR</t>
  </si>
  <si>
    <t>CH-AI</t>
  </si>
  <si>
    <t>Appenzell Innerrhoden</t>
  </si>
  <si>
    <t>as:GENC:6:ed2:CH-AI</t>
  </si>
  <si>
    <t>CH-BL</t>
  </si>
  <si>
    <t>Basel-Landschaft</t>
  </si>
  <si>
    <t>as:GENC:6:ed2:CH-BL</t>
  </si>
  <si>
    <t>CH-BS</t>
  </si>
  <si>
    <t>Basel-Stadt</t>
  </si>
  <si>
    <t>as:GENC:6:ed2:CH-BS</t>
  </si>
  <si>
    <t>CH-BE</t>
  </si>
  <si>
    <t>Bern</t>
  </si>
  <si>
    <t>as:GENC:6:ed2:CH-BE</t>
  </si>
  <si>
    <t>CH-FR</t>
  </si>
  <si>
    <t>Fribourg</t>
  </si>
  <si>
    <t>as:GENC:6:ed2:CH-FR</t>
  </si>
  <si>
    <t>CH-GE</t>
  </si>
  <si>
    <t>Genève</t>
  </si>
  <si>
    <t>as:GENC:6:ed2:CH-GE</t>
  </si>
  <si>
    <t>CH-GL</t>
  </si>
  <si>
    <t>Glarus</t>
  </si>
  <si>
    <t>as:GENC:6:ed2:CH-GL</t>
  </si>
  <si>
    <t>CH-GR</t>
  </si>
  <si>
    <t>Graubünden</t>
  </si>
  <si>
    <t>as:GENC:6:ed2:CH-GR</t>
  </si>
  <si>
    <t>CH-JU</t>
  </si>
  <si>
    <t>as:GENC:6:ed2:CH-JU</t>
  </si>
  <si>
    <t>CH-LU</t>
  </si>
  <si>
    <t>Luzern</t>
  </si>
  <si>
    <t>as:GENC:6:ed2:CH-LU</t>
  </si>
  <si>
    <t>CH-NE</t>
  </si>
  <si>
    <t>Neuchâtel</t>
  </si>
  <si>
    <t>as:GENC:6:ed2:CH-NE</t>
  </si>
  <si>
    <t>CH-NW</t>
  </si>
  <si>
    <t>Nidwalden</t>
  </si>
  <si>
    <t>as:GENC:6:ed2:CH-NW</t>
  </si>
  <si>
    <t>CH-OW</t>
  </si>
  <si>
    <t>Obwalden</t>
  </si>
  <si>
    <t>as:GENC:6:ed2:CH-OW</t>
  </si>
  <si>
    <t>CH-SG</t>
  </si>
  <si>
    <t>Sankt Gallen</t>
  </si>
  <si>
    <t>as:GENC:6:ed2:CH-SG</t>
  </si>
  <si>
    <t>CH-SH</t>
  </si>
  <si>
    <t>Schaffhausen</t>
  </si>
  <si>
    <t>as:GENC:6:ed2:CH-SH</t>
  </si>
  <si>
    <t>CH-SZ</t>
  </si>
  <si>
    <t>Schwyz</t>
  </si>
  <si>
    <t>as:GENC:6:ed2:CH-SZ</t>
  </si>
  <si>
    <t>CH-SO</t>
  </si>
  <si>
    <t>Solothurn</t>
  </si>
  <si>
    <t>as:GENC:6:ed2:CH-SO</t>
  </si>
  <si>
    <t>CH-TG</t>
  </si>
  <si>
    <t>Thurgau</t>
  </si>
  <si>
    <t>as:GENC:6:ed2:CH-TG</t>
  </si>
  <si>
    <t>CH-TI</t>
  </si>
  <si>
    <t>Ticino</t>
  </si>
  <si>
    <t>as:GENC:6:ed2:CH-TI</t>
  </si>
  <si>
    <t>CH-UR</t>
  </si>
  <si>
    <t>Uri</t>
  </si>
  <si>
    <t>as:GENC:6:ed2:CH-UR</t>
  </si>
  <si>
    <t>CH-VS</t>
  </si>
  <si>
    <t>Valais</t>
  </si>
  <si>
    <t>as:GENC:6:ed2:CH-VS</t>
  </si>
  <si>
    <t>CH-VD</t>
  </si>
  <si>
    <t>Vaud</t>
  </si>
  <si>
    <t>as:GENC:6:ed2:CH-VD</t>
  </si>
  <si>
    <t>CH-ZG</t>
  </si>
  <si>
    <t>Zug</t>
  </si>
  <si>
    <t>as:GENC:6:ed2:CH-ZG</t>
  </si>
  <si>
    <t>CH-ZH</t>
  </si>
  <si>
    <t>Zürich</t>
  </si>
  <si>
    <t>as:GENC:6:ed2:CH-ZH</t>
  </si>
  <si>
    <t>SY-HA</t>
  </si>
  <si>
    <t>Al Ḩasakah</t>
  </si>
  <si>
    <t>as:ISO2:6:ed3:SY-HA</t>
  </si>
  <si>
    <t>SY-LA</t>
  </si>
  <si>
    <t>Al Lādhiqīyah</t>
  </si>
  <si>
    <t>as:ISO2:6:ed3:SY-LA</t>
  </si>
  <si>
    <t>SY-QU</t>
  </si>
  <si>
    <t>Al Qunayţirah</t>
  </si>
  <si>
    <t>as:ISO2:6:ed3:SY-QU</t>
  </si>
  <si>
    <t>SY-RA</t>
  </si>
  <si>
    <t>Ar Raqqah</t>
  </si>
  <si>
    <t>as:ISO2:6:ed3:SY-RA</t>
  </si>
  <si>
    <t>SY-SU</t>
  </si>
  <si>
    <t>As Suwaydā’</t>
  </si>
  <si>
    <t>as:ISO2:6:ed3:SY-SU</t>
  </si>
  <si>
    <t>SY-DR</t>
  </si>
  <si>
    <t>Dar‘ā</t>
  </si>
  <si>
    <t>as:ISO2:6:ed3:SY-DR</t>
  </si>
  <si>
    <t>SY-DY</t>
  </si>
  <si>
    <t>Dayr az Zawr</t>
  </si>
  <si>
    <t>as:ISO2:6:ed3:SY-DY</t>
  </si>
  <si>
    <t>SY-DI</t>
  </si>
  <si>
    <t>Dimashq</t>
  </si>
  <si>
    <t>as:ISO2:6:ed3:SY-DI</t>
  </si>
  <si>
    <t>SY-HL</t>
  </si>
  <si>
    <t>Ḩalab</t>
  </si>
  <si>
    <t>as:ISO2:6:ed3:SY-HL</t>
  </si>
  <si>
    <t>SY-HM</t>
  </si>
  <si>
    <t>Ḩamāh</t>
  </si>
  <si>
    <t>as:ISO2:6:ed3:SY-HM</t>
  </si>
  <si>
    <t>SY-HI</t>
  </si>
  <si>
    <t>Ḩimş</t>
  </si>
  <si>
    <t>as:ISO2:6:ed3:SY-HI</t>
  </si>
  <si>
    <t>SY-ID</t>
  </si>
  <si>
    <t>Idlib</t>
  </si>
  <si>
    <t>as:ISO2:6:ed3:SY-ID</t>
  </si>
  <si>
    <t>SY-RD</t>
  </si>
  <si>
    <t>Rīf Dimashq</t>
  </si>
  <si>
    <t>as:ISO2:6:ed3:SY-RD</t>
  </si>
  <si>
    <t>SY-TA</t>
  </si>
  <si>
    <t>Ţarţūs</t>
  </si>
  <si>
    <t>as:ISO2:6:ed3:SY-TA</t>
  </si>
  <si>
    <t>TW-CHA</t>
  </si>
  <si>
    <t>Changhua</t>
  </si>
  <si>
    <t>as:GENC:6:ed2:TW-CHA</t>
  </si>
  <si>
    <t>TW-CYQ</t>
  </si>
  <si>
    <t>Chiayi</t>
  </si>
  <si>
    <t>as:GENC:6:ed2:TW-CYQ</t>
  </si>
  <si>
    <t>TW-CYI</t>
  </si>
  <si>
    <t>as:GENC:6:ed2:TW-CYI</t>
  </si>
  <si>
    <t>TW-HSQ</t>
  </si>
  <si>
    <t>Hsinchu</t>
  </si>
  <si>
    <t>as:GENC:6:ed2:TW-HSQ</t>
  </si>
  <si>
    <t>TW-HSZ</t>
  </si>
  <si>
    <t>as:GENC:6:ed2:TW-HSZ</t>
  </si>
  <si>
    <t>TW-HUA</t>
  </si>
  <si>
    <t>Hualien</t>
  </si>
  <si>
    <t>as:GENC:6:ed2:TW-HUA</t>
  </si>
  <si>
    <t>TW-KHQ</t>
  </si>
  <si>
    <t>Kaohsiung</t>
  </si>
  <si>
    <t>as:GENC:6:ed2:TW-KHQ</t>
  </si>
  <si>
    <t>TW-KHH</t>
  </si>
  <si>
    <t>as:GENC:6:ed2:TW-KHH</t>
  </si>
  <si>
    <t>TW-KEE</t>
  </si>
  <si>
    <t>Keelung</t>
  </si>
  <si>
    <t>as:GENC:6:ed2:TW-KEE</t>
  </si>
  <si>
    <t>TW-KIN</t>
  </si>
  <si>
    <t>Kinmen</t>
  </si>
  <si>
    <t>as:GENC:6:ed2:TW-KIN</t>
  </si>
  <si>
    <t>TW-LIE</t>
  </si>
  <si>
    <t>Lienchiang</t>
  </si>
  <si>
    <t>as:GENC:6:ed2:TW-LIE</t>
  </si>
  <si>
    <t>TW-MIA</t>
  </si>
  <si>
    <t>Miaoli</t>
  </si>
  <si>
    <t>as:GENC:6:ed2:TW-MIA</t>
  </si>
  <si>
    <t>TW-NAN</t>
  </si>
  <si>
    <t>Nantou</t>
  </si>
  <si>
    <t>as:GENC:6:ed2:TW-NAN</t>
  </si>
  <si>
    <t>TW-TPQ</t>
  </si>
  <si>
    <t>New Taipei</t>
  </si>
  <si>
    <t>as:GENC:6:ed2:TW-TPQ</t>
  </si>
  <si>
    <t>TW-PEN</t>
  </si>
  <si>
    <t>Penghu</t>
  </si>
  <si>
    <t>as:GENC:6:ed2:TW-PEN</t>
  </si>
  <si>
    <t>TW-PIF</t>
  </si>
  <si>
    <t>Pingtung</t>
  </si>
  <si>
    <t>as:GENC:6:ed2:TW-PIF</t>
  </si>
  <si>
    <t>TW-TXQ</t>
  </si>
  <si>
    <t>Taichung</t>
  </si>
  <si>
    <t>as:GENC:6:ed2:TW-TXQ</t>
  </si>
  <si>
    <t>TW-TXG</t>
  </si>
  <si>
    <t>as:GENC:6:ed2:TW-TXG</t>
  </si>
  <si>
    <t>TW-TNQ</t>
  </si>
  <si>
    <t>Tainan</t>
  </si>
  <si>
    <t>as:GENC:6:ed2:TW-TNQ</t>
  </si>
  <si>
    <t>TW-TNN</t>
  </si>
  <si>
    <t>as:GENC:6:ed2:TW-TNN</t>
  </si>
  <si>
    <t>TW-TPE</t>
  </si>
  <si>
    <t>Taipei</t>
  </si>
  <si>
    <t>as:GENC:6:ed2:TW-TPE</t>
  </si>
  <si>
    <t>TW-TTT</t>
  </si>
  <si>
    <t>Taitung</t>
  </si>
  <si>
    <t>as:GENC:6:ed2:TW-TTT</t>
  </si>
  <si>
    <t>TW-TAO</t>
  </si>
  <si>
    <t>Taoyuan</t>
  </si>
  <si>
    <t>as:GENC:6:ed2:TW-TAO</t>
  </si>
  <si>
    <t>TW-ILA</t>
  </si>
  <si>
    <t>Yilan</t>
  </si>
  <si>
    <t>as:GENC:6:ed2:TW-ILA</t>
  </si>
  <si>
    <t>TW-YUN</t>
  </si>
  <si>
    <t>Yunlin</t>
  </si>
  <si>
    <t>as:GENC:6:ed2:TW-YUN</t>
  </si>
  <si>
    <t>TJ-DU</t>
  </si>
  <si>
    <t>Dushanbe</t>
  </si>
  <si>
    <t>capital region</t>
  </si>
  <si>
    <t>as:GENC:6:ed2:TJ-DU</t>
  </si>
  <si>
    <t>TJ-KT</t>
  </si>
  <si>
    <t>Khatlon</t>
  </si>
  <si>
    <t>as:ISO2:6:ed3:TJ-KT</t>
  </si>
  <si>
    <t>TJ-GB</t>
  </si>
  <si>
    <t>Kŭhistoni Badakhshon</t>
  </si>
  <si>
    <t>as:ISO2:6:ed3:TJ-GB</t>
  </si>
  <si>
    <t>TJ-NO</t>
  </si>
  <si>
    <t>Nohiyahoi Tobei Jumhurí</t>
  </si>
  <si>
    <t>area</t>
  </si>
  <si>
    <t>as:GENC:6:ed2:TJ-NO</t>
  </si>
  <si>
    <t>TJ-SU</t>
  </si>
  <si>
    <t>Sughd</t>
  </si>
  <si>
    <t>as:ISO2:6:ed3:TJ-SU</t>
  </si>
  <si>
    <t>TZ-01</t>
  </si>
  <si>
    <t>Arusha</t>
  </si>
  <si>
    <t>as:GENC:6:ed2:TZ-01</t>
  </si>
  <si>
    <t>TZ-19</t>
  </si>
  <si>
    <t>as:ISO2:6:ed3:TZ-19</t>
  </si>
  <si>
    <t>TZ-02</t>
  </si>
  <si>
    <t>Dar es Salaam</t>
  </si>
  <si>
    <t>as:GENC:6:ed2:TZ-02</t>
  </si>
  <si>
    <t>TZ-03</t>
  </si>
  <si>
    <t>Dodoma</t>
  </si>
  <si>
    <t>as:GENC:6:ed2:TZ-03</t>
  </si>
  <si>
    <t>TZ-27</t>
  </si>
  <si>
    <t>Geita</t>
  </si>
  <si>
    <t>as:GENC:6:ed2:TZ-27</t>
  </si>
  <si>
    <t>TZ-04</t>
  </si>
  <si>
    <t>Iringa</t>
  </si>
  <si>
    <t>as:GENC:6:ed2:TZ-04</t>
  </si>
  <si>
    <t>TZ-05</t>
  </si>
  <si>
    <t>Kagera</t>
  </si>
  <si>
    <t>as:GENC:6:ed2:TZ-05</t>
  </si>
  <si>
    <t>TZ-28</t>
  </si>
  <si>
    <t>Katavi</t>
  </si>
  <si>
    <t>as:GENC:6:ed2:TZ-28</t>
  </si>
  <si>
    <t>TZ-08</t>
  </si>
  <si>
    <t>Kigoma</t>
  </si>
  <si>
    <t>as:GENC:6:ed2:TZ-08</t>
  </si>
  <si>
    <t>TZ-09</t>
  </si>
  <si>
    <t>Kilimanjaro</t>
  </si>
  <si>
    <t>as:GENC:6:ed2:TZ-09</t>
  </si>
  <si>
    <t>TZ-12</t>
  </si>
  <si>
    <t>Lindi</t>
  </si>
  <si>
    <t>as:GENC:6:ed2:TZ-12</t>
  </si>
  <si>
    <t>TZ-26</t>
  </si>
  <si>
    <t>Manyara</t>
  </si>
  <si>
    <t>as:GENC:6:ed2:TZ-26</t>
  </si>
  <si>
    <t>TZ-13</t>
  </si>
  <si>
    <t>Mara</t>
  </si>
  <si>
    <t>as:GENC:6:ed2:TZ-13</t>
  </si>
  <si>
    <t>TZ-14</t>
  </si>
  <si>
    <t>Mbeya</t>
  </si>
  <si>
    <t>as:GENC:6:ed2:TZ-14</t>
  </si>
  <si>
    <t>TZ-16</t>
  </si>
  <si>
    <t>Morogoro</t>
  </si>
  <si>
    <t>as:GENC:6:ed2:TZ-16</t>
  </si>
  <si>
    <t>TZ-17</t>
  </si>
  <si>
    <t>Mtwara</t>
  </si>
  <si>
    <t>as:GENC:6:ed2:TZ-17</t>
  </si>
  <si>
    <t>TZ-18</t>
  </si>
  <si>
    <t>as:GENC:6:ed2:TZ-18</t>
  </si>
  <si>
    <t>TZ-29</t>
  </si>
  <si>
    <t>Njombe</t>
  </si>
  <si>
    <t>as:GENC:6:ed2:TZ-29</t>
  </si>
  <si>
    <t>TZ-06</t>
  </si>
  <si>
    <t>Pemba North</t>
  </si>
  <si>
    <t>as:ISO2:6:ed3:TZ-06</t>
  </si>
  <si>
    <t>TZ-10</t>
  </si>
  <si>
    <t>Pemba South</t>
  </si>
  <si>
    <t>as:ISO2:6:ed3:TZ-10</t>
  </si>
  <si>
    <t>TZ-20</t>
  </si>
  <si>
    <t>Rukwa</t>
  </si>
  <si>
    <t>as:GENC:6:ed2:TZ-20</t>
  </si>
  <si>
    <t>TZ-21</t>
  </si>
  <si>
    <t>Ruvuma</t>
  </si>
  <si>
    <t>as:GENC:6:ed2:TZ-21</t>
  </si>
  <si>
    <t>TZ-22</t>
  </si>
  <si>
    <t>Shinyanga</t>
  </si>
  <si>
    <t>as:GENC:6:ed2:TZ-22</t>
  </si>
  <si>
    <t>TZ-30</t>
  </si>
  <si>
    <t>Simiyu</t>
  </si>
  <si>
    <t>as:GENC:6:ed2:TZ-30</t>
  </si>
  <si>
    <t>TZ-23</t>
  </si>
  <si>
    <t>Singida</t>
  </si>
  <si>
    <t>as:GENC:6:ed2:TZ-23</t>
  </si>
  <si>
    <t>TZ-24</t>
  </si>
  <si>
    <t>Tabora</t>
  </si>
  <si>
    <t>as:GENC:6:ed2:TZ-24</t>
  </si>
  <si>
    <t>TZ-25</t>
  </si>
  <si>
    <t>Tanga</t>
  </si>
  <si>
    <t>as:GENC:6:ed2:TZ-25</t>
  </si>
  <si>
    <t>TZ-11</t>
  </si>
  <si>
    <t>Zanzibar Central/South</t>
  </si>
  <si>
    <t>as:GENC:6:ed2:TZ-11</t>
  </si>
  <si>
    <t>TZ-07</t>
  </si>
  <si>
    <t>Zanzibar North</t>
  </si>
  <si>
    <t>as:ISO2:6:ed3:TZ-07</t>
  </si>
  <si>
    <t>TZ-15</t>
  </si>
  <si>
    <t>Zanzibar Urban/West</t>
  </si>
  <si>
    <t>as:GENC:6:ed2:TZ-15</t>
  </si>
  <si>
    <t>TH-37</t>
  </si>
  <si>
    <t>Amnat Charoen</t>
  </si>
  <si>
    <t>as:ISO2:6:ed3:TH-37</t>
  </si>
  <si>
    <t>TH-15</t>
  </si>
  <si>
    <t>Ang Thong</t>
  </si>
  <si>
    <t>as:ISO2:6:ed3:TH-15</t>
  </si>
  <si>
    <t>TH-38</t>
  </si>
  <si>
    <t>Bueng Kan</t>
  </si>
  <si>
    <t>as:ISO2:6:ed3:TH-38</t>
  </si>
  <si>
    <t>TH-31</t>
  </si>
  <si>
    <t>Buriram</t>
  </si>
  <si>
    <t>as:GENC:6:ed2:TH-31</t>
  </si>
  <si>
    <t>TH-24</t>
  </si>
  <si>
    <t>Chachoengsao</t>
  </si>
  <si>
    <t>as:ISO2:6:ed3:TH-24</t>
  </si>
  <si>
    <t>TH-18</t>
  </si>
  <si>
    <t>Chai Nat</t>
  </si>
  <si>
    <t>as:ISO2:6:ed3:TH-18</t>
  </si>
  <si>
    <t>TH-36</t>
  </si>
  <si>
    <t>Chaiyaphum</t>
  </si>
  <si>
    <t>as:ISO2:6:ed3:TH-36</t>
  </si>
  <si>
    <t>TH-22</t>
  </si>
  <si>
    <t>Chanthaburi</t>
  </si>
  <si>
    <t>as:ISO2:6:ed3:TH-22</t>
  </si>
  <si>
    <t>TH-50</t>
  </si>
  <si>
    <t>Chiang Mai</t>
  </si>
  <si>
    <t>as:ISO2:6:ed3:TH-50</t>
  </si>
  <si>
    <t>TH-57</t>
  </si>
  <si>
    <t>Chiang Rai</t>
  </si>
  <si>
    <t>as:ISO2:6:ed3:TH-57</t>
  </si>
  <si>
    <t>TH-20</t>
  </si>
  <si>
    <t>Chon Buri</t>
  </si>
  <si>
    <t>as:ISO2:6:ed3:TH-20</t>
  </si>
  <si>
    <t>TH-86</t>
  </si>
  <si>
    <t>Chumphon</t>
  </si>
  <si>
    <t>as:ISO2:6:ed3:TH-86</t>
  </si>
  <si>
    <t>TH-46</t>
  </si>
  <si>
    <t>Kalasin</t>
  </si>
  <si>
    <t>as:ISO2:6:ed3:TH-46</t>
  </si>
  <si>
    <t>TH-62</t>
  </si>
  <si>
    <t>Kamphaeng Phet</t>
  </si>
  <si>
    <t>as:ISO2:6:ed3:TH-62</t>
  </si>
  <si>
    <t>TH-71</t>
  </si>
  <si>
    <t>Kanchanaburi</t>
  </si>
  <si>
    <t>as:ISO2:6:ed3:TH-71</t>
  </si>
  <si>
    <t>TH-40</t>
  </si>
  <si>
    <t>Khon Kaen</t>
  </si>
  <si>
    <t>as:ISO2:6:ed3:TH-40</t>
  </si>
  <si>
    <t>TH-81</t>
  </si>
  <si>
    <t>Krabi</t>
  </si>
  <si>
    <t>as:ISO2:6:ed3:TH-81</t>
  </si>
  <si>
    <t>TH-10</t>
  </si>
  <si>
    <t>Krung Thep</t>
  </si>
  <si>
    <t>as:GENC:6:ed2:TH-10</t>
  </si>
  <si>
    <t>TH-52</t>
  </si>
  <si>
    <t>Lampang</t>
  </si>
  <si>
    <t>as:ISO2:6:ed3:TH-52</t>
  </si>
  <si>
    <t>TH-51</t>
  </si>
  <si>
    <t>Lamphun</t>
  </si>
  <si>
    <t>as:ISO2:6:ed3:TH-51</t>
  </si>
  <si>
    <t>TH-42</t>
  </si>
  <si>
    <t>Loei</t>
  </si>
  <si>
    <t>as:ISO2:6:ed3:TH-42</t>
  </si>
  <si>
    <t>TH-16</t>
  </si>
  <si>
    <t>Lop Buri</t>
  </si>
  <si>
    <t>as:ISO2:6:ed3:TH-16</t>
  </si>
  <si>
    <t>TH-58</t>
  </si>
  <si>
    <t>Mae Hong Son</t>
  </si>
  <si>
    <t>as:ISO2:6:ed3:TH-58</t>
  </si>
  <si>
    <t>TH-44</t>
  </si>
  <si>
    <t>Maha Sarakham</t>
  </si>
  <si>
    <t>as:ISO2:6:ed3:TH-44</t>
  </si>
  <si>
    <t>TH-49</t>
  </si>
  <si>
    <t>Mukdahan</t>
  </si>
  <si>
    <t>as:ISO2:6:ed3:TH-49</t>
  </si>
  <si>
    <t>TH-26</t>
  </si>
  <si>
    <t>Nakhon Nayok</t>
  </si>
  <si>
    <t>as:ISO2:6:ed3:TH-26</t>
  </si>
  <si>
    <t>TH-73</t>
  </si>
  <si>
    <t>Nakhon Pathom</t>
  </si>
  <si>
    <t>as:ISO2:6:ed3:TH-73</t>
  </si>
  <si>
    <t>TH-48</t>
  </si>
  <si>
    <t>Nakhon Phanom</t>
  </si>
  <si>
    <t>as:ISO2:6:ed3:TH-48</t>
  </si>
  <si>
    <t>TH-30</t>
  </si>
  <si>
    <t>Nakhon Ratchasima</t>
  </si>
  <si>
    <t>as:ISO2:6:ed3:TH-30</t>
  </si>
  <si>
    <t>TH-60</t>
  </si>
  <si>
    <t>Nakhon Sawan</t>
  </si>
  <si>
    <t>as:ISO2:6:ed3:TH-60</t>
  </si>
  <si>
    <t>TH-80</t>
  </si>
  <si>
    <t>Nakhon Si Thammarat</t>
  </si>
  <si>
    <t>as:ISO2:6:ed3:TH-80</t>
  </si>
  <si>
    <t>TH-55</t>
  </si>
  <si>
    <t>Nan</t>
  </si>
  <si>
    <t>as:ISO2:6:ed3:TH-55</t>
  </si>
  <si>
    <t>TH-96</t>
  </si>
  <si>
    <t>Narathiwat</t>
  </si>
  <si>
    <t>as:ISO2:6:ed3:TH-96</t>
  </si>
  <si>
    <t>TH-39</t>
  </si>
  <si>
    <t>Nong Bua Lamphu</t>
  </si>
  <si>
    <t>as:GENC:6:ed2:TH-39</t>
  </si>
  <si>
    <t>TH-43</t>
  </si>
  <si>
    <t>Nong Khai</t>
  </si>
  <si>
    <t>as:ISO2:6:ed3:TH-43</t>
  </si>
  <si>
    <t>TH-12</t>
  </si>
  <si>
    <t>Nonthaburi</t>
  </si>
  <si>
    <t>as:ISO2:6:ed3:TH-12</t>
  </si>
  <si>
    <t>TH-13</t>
  </si>
  <si>
    <t>Pathum Thani</t>
  </si>
  <si>
    <t>as:ISO2:6:ed3:TH-13</t>
  </si>
  <si>
    <t>TH-94</t>
  </si>
  <si>
    <t>Pattani</t>
  </si>
  <si>
    <t>as:ISO2:6:ed3:TH-94</t>
  </si>
  <si>
    <t>TH-82</t>
  </si>
  <si>
    <t>Phangnga</t>
  </si>
  <si>
    <t>as:ISO2:6:ed3:TH-82</t>
  </si>
  <si>
    <t>TH-93</t>
  </si>
  <si>
    <t>Phatthalung</t>
  </si>
  <si>
    <t>as:ISO2:6:ed3:TH-93</t>
  </si>
  <si>
    <t>TH-S</t>
  </si>
  <si>
    <t>Phatthaya</t>
  </si>
  <si>
    <t>special administrative city</t>
  </si>
  <si>
    <t>as:GENC:6:ed2:TH-S</t>
  </si>
  <si>
    <t>TH-56</t>
  </si>
  <si>
    <t>Phayao</t>
  </si>
  <si>
    <t>as:ISO2:6:ed3:TH-56</t>
  </si>
  <si>
    <t>TH-67</t>
  </si>
  <si>
    <t>Phetchabun</t>
  </si>
  <si>
    <t>as:ISO2:6:ed3:TH-67</t>
  </si>
  <si>
    <t>TH-76</t>
  </si>
  <si>
    <t>Phetchaburi</t>
  </si>
  <si>
    <t>as:ISO2:6:ed3:TH-76</t>
  </si>
  <si>
    <t>TH-66</t>
  </si>
  <si>
    <t>Phichit</t>
  </si>
  <si>
    <t>as:ISO2:6:ed3:TH-66</t>
  </si>
  <si>
    <t>TH-65</t>
  </si>
  <si>
    <t>Phitsanulok</t>
  </si>
  <si>
    <t>as:ISO2:6:ed3:TH-65</t>
  </si>
  <si>
    <t>TH-54</t>
  </si>
  <si>
    <t>Phrae</t>
  </si>
  <si>
    <t>as:ISO2:6:ed3:TH-54</t>
  </si>
  <si>
    <t>TH-14</t>
  </si>
  <si>
    <t>Phra Nakhon Si Ayutthaya</t>
  </si>
  <si>
    <t>as:ISO2:6:ed3:TH-14</t>
  </si>
  <si>
    <t>TH-83</t>
  </si>
  <si>
    <t>Phuket</t>
  </si>
  <si>
    <t>as:ISO2:6:ed3:TH-83</t>
  </si>
  <si>
    <t>TH-25</t>
  </si>
  <si>
    <t>Prachin Buri</t>
  </si>
  <si>
    <t>as:ISO2:6:ed3:TH-25</t>
  </si>
  <si>
    <t>TH-77</t>
  </si>
  <si>
    <t>Prachuap Khiri Khan</t>
  </si>
  <si>
    <t>as:ISO2:6:ed3:TH-77</t>
  </si>
  <si>
    <t>TH-85</t>
  </si>
  <si>
    <t>Ranong</t>
  </si>
  <si>
    <t>as:ISO2:6:ed3:TH-85</t>
  </si>
  <si>
    <t>TH-70</t>
  </si>
  <si>
    <t>Ratchaburi</t>
  </si>
  <si>
    <t>as:ISO2:6:ed3:TH-70</t>
  </si>
  <si>
    <t>TH-21</t>
  </si>
  <si>
    <t>Rayong</t>
  </si>
  <si>
    <t>as:ISO2:6:ed3:TH-21</t>
  </si>
  <si>
    <t>TH-45</t>
  </si>
  <si>
    <t>Roi Et</t>
  </si>
  <si>
    <t>as:ISO2:6:ed3:TH-45</t>
  </si>
  <si>
    <t>TH-27</t>
  </si>
  <si>
    <t>Sa Kaeo</t>
  </si>
  <si>
    <t>as:ISO2:6:ed3:TH-27</t>
  </si>
  <si>
    <t>TH-47</t>
  </si>
  <si>
    <t>Sakon Nakhon</t>
  </si>
  <si>
    <t>as:ISO2:6:ed3:TH-47</t>
  </si>
  <si>
    <t>TH-11</t>
  </si>
  <si>
    <t>Samut Prakan</t>
  </si>
  <si>
    <t>as:ISO2:6:ed3:TH-11</t>
  </si>
  <si>
    <t>TH-74</t>
  </si>
  <si>
    <t>Samut Sakhon</t>
  </si>
  <si>
    <t>as:ISO2:6:ed3:TH-74</t>
  </si>
  <si>
    <t>TH-75</t>
  </si>
  <si>
    <t>Samut Songkhram</t>
  </si>
  <si>
    <t>as:ISO2:6:ed3:TH-75</t>
  </si>
  <si>
    <t>TH-19</t>
  </si>
  <si>
    <t>Sara Buri</t>
  </si>
  <si>
    <t>as:GENC:6:ed2:TH-19</t>
  </si>
  <si>
    <t>TH-91</t>
  </si>
  <si>
    <t>Satun</t>
  </si>
  <si>
    <t>as:ISO2:6:ed3:TH-91</t>
  </si>
  <si>
    <t>TH-17</t>
  </si>
  <si>
    <t>Sing Buri</t>
  </si>
  <si>
    <t>as:ISO2:6:ed3:TH-17</t>
  </si>
  <si>
    <t>TH-33</t>
  </si>
  <si>
    <t>Sisaket</t>
  </si>
  <si>
    <t>as:GENC:6:ed2:TH-33</t>
  </si>
  <si>
    <t>TH-90</t>
  </si>
  <si>
    <t>Songkhla</t>
  </si>
  <si>
    <t>as:ISO2:6:ed3:TH-90</t>
  </si>
  <si>
    <t>TH-64</t>
  </si>
  <si>
    <t>Sukhothai</t>
  </si>
  <si>
    <t>as:ISO2:6:ed3:TH-64</t>
  </si>
  <si>
    <t>TH-72</t>
  </si>
  <si>
    <t>Suphan Buri</t>
  </si>
  <si>
    <t>as:ISO2:6:ed3:TH-72</t>
  </si>
  <si>
    <t>TH-84</t>
  </si>
  <si>
    <t>Surat Thani</t>
  </si>
  <si>
    <t>as:ISO2:6:ed3:TH-84</t>
  </si>
  <si>
    <t>TH-32</t>
  </si>
  <si>
    <t>Surin</t>
  </si>
  <si>
    <t>as:ISO2:6:ed3:TH-32</t>
  </si>
  <si>
    <t>TH-63</t>
  </si>
  <si>
    <t>Tak</t>
  </si>
  <si>
    <t>as:ISO2:6:ed3:TH-63</t>
  </si>
  <si>
    <t>TH-92</t>
  </si>
  <si>
    <t>Trang</t>
  </si>
  <si>
    <t>as:ISO2:6:ed3:TH-92</t>
  </si>
  <si>
    <t>TH-23</t>
  </si>
  <si>
    <t>Trat</t>
  </si>
  <si>
    <t>as:ISO2:6:ed3:TH-23</t>
  </si>
  <si>
    <t>TH-34</t>
  </si>
  <si>
    <t>Ubon Ratchathani</t>
  </si>
  <si>
    <t>as:ISO2:6:ed3:TH-34</t>
  </si>
  <si>
    <t>TH-41</t>
  </si>
  <si>
    <t>Udon Thani</t>
  </si>
  <si>
    <t>as:ISO2:6:ed3:TH-41</t>
  </si>
  <si>
    <t>TH-61</t>
  </si>
  <si>
    <t>Uthai Thani</t>
  </si>
  <si>
    <t>as:ISO2:6:ed3:TH-61</t>
  </si>
  <si>
    <t>TH-53</t>
  </si>
  <si>
    <t>Uttaradit</t>
  </si>
  <si>
    <t>as:ISO2:6:ed3:TH-53</t>
  </si>
  <si>
    <t>TH-95</t>
  </si>
  <si>
    <t>Yala</t>
  </si>
  <si>
    <t>as:ISO2:6:ed3:TH-95</t>
  </si>
  <si>
    <t>TH-35</t>
  </si>
  <si>
    <t>Yasothon</t>
  </si>
  <si>
    <t>as:ISO2:6:ed3:TH-35</t>
  </si>
  <si>
    <t>TL-AL</t>
  </si>
  <si>
    <t>Aileu</t>
  </si>
  <si>
    <t>as:GENC:6:ed2:TL-AL</t>
  </si>
  <si>
    <t>TL-AN</t>
  </si>
  <si>
    <t>Ainaro</t>
  </si>
  <si>
    <t>as:GENC:6:ed2:TL-AN</t>
  </si>
  <si>
    <t>TL-BA</t>
  </si>
  <si>
    <t>Baucau</t>
  </si>
  <si>
    <t>as:GENC:6:ed2:TL-BA</t>
  </si>
  <si>
    <t>TL-BO</t>
  </si>
  <si>
    <t>Bobonaro</t>
  </si>
  <si>
    <t>as:GENC:6:ed2:TL-BO</t>
  </si>
  <si>
    <t>TL-CO</t>
  </si>
  <si>
    <t>Cova Lima</t>
  </si>
  <si>
    <t>as:GENC:6:ed2:TL-CO</t>
  </si>
  <si>
    <t>TL-DI</t>
  </si>
  <si>
    <t>Díli</t>
  </si>
  <si>
    <t>as:GENC:6:ed2:TL-DI</t>
  </si>
  <si>
    <t>TL-ER</t>
  </si>
  <si>
    <t>Ermera</t>
  </si>
  <si>
    <t>as:GENC:6:ed2:TL-ER</t>
  </si>
  <si>
    <t>TL-LA</t>
  </si>
  <si>
    <t>Lautém</t>
  </si>
  <si>
    <t>as:GENC:6:ed2:TL-LA</t>
  </si>
  <si>
    <t>TL-LI</t>
  </si>
  <si>
    <t>Liquiçá</t>
  </si>
  <si>
    <t>as:GENC:6:ed2:TL-LI</t>
  </si>
  <si>
    <t>TL-MT</t>
  </si>
  <si>
    <t>Manatuto</t>
  </si>
  <si>
    <t>as:GENC:6:ed2:TL-MT</t>
  </si>
  <si>
    <t>TL-MF</t>
  </si>
  <si>
    <t>Manufahi</t>
  </si>
  <si>
    <t>as:GENC:6:ed2:TL-MF</t>
  </si>
  <si>
    <t>TL-OE</t>
  </si>
  <si>
    <t>Oecussi-Ambeno</t>
  </si>
  <si>
    <t>as:GENC:6:ed2:TL-OE</t>
  </si>
  <si>
    <t>TL-VI</t>
  </si>
  <si>
    <t>Viqueque</t>
  </si>
  <si>
    <t>as:GENC:6:ed2:TL-VI</t>
  </si>
  <si>
    <t>TG-C</t>
  </si>
  <si>
    <t>Centrale</t>
  </si>
  <si>
    <t>as:GENC:6:ed2:TG-C</t>
  </si>
  <si>
    <t>TG-K</t>
  </si>
  <si>
    <t>Kara</t>
  </si>
  <si>
    <t>as:ISO2:6:ed3:TG-K</t>
  </si>
  <si>
    <t>TG-M</t>
  </si>
  <si>
    <t>Maritime</t>
  </si>
  <si>
    <t>as:GENC:6:ed2:TG-M</t>
  </si>
  <si>
    <t>TG-P</t>
  </si>
  <si>
    <t>as:ISO2:6:ed3:TG-P</t>
  </si>
  <si>
    <t>TG-S</t>
  </si>
  <si>
    <t>as:GENC:6:ed2:TG-S</t>
  </si>
  <si>
    <t>TO-01</t>
  </si>
  <si>
    <t>‘Eua</t>
  </si>
  <si>
    <t>as:GENC:6:ed2:TO-01</t>
  </si>
  <si>
    <t>TO-02</t>
  </si>
  <si>
    <t>Ha‘apai</t>
  </si>
  <si>
    <t>as:GENC:6:ed2:TO-02</t>
  </si>
  <si>
    <t>TO-03</t>
  </si>
  <si>
    <t>Ongo Niua</t>
  </si>
  <si>
    <t>as:GENC:6:ed2:TO-03</t>
  </si>
  <si>
    <t>TO-04</t>
  </si>
  <si>
    <t>Tongatapu</t>
  </si>
  <si>
    <t>as:GENC:6:ed2:TO-04</t>
  </si>
  <si>
    <t>TO-05</t>
  </si>
  <si>
    <t>Vava‘u</t>
  </si>
  <si>
    <t>as:GENC:6:ed2:TO-05</t>
  </si>
  <si>
    <t>TT-ARI</t>
  </si>
  <si>
    <t>Arima</t>
  </si>
  <si>
    <t>as:ISO2:6:ed3:TT-ARI</t>
  </si>
  <si>
    <t>TT-CHA</t>
  </si>
  <si>
    <t>Chaguanas</t>
  </si>
  <si>
    <t>as:ISO2:6:ed3:TT-CHA</t>
  </si>
  <si>
    <t>TT-CTT</t>
  </si>
  <si>
    <t>Couva/Tabaquite/Talparo</t>
  </si>
  <si>
    <t>as:GENC:6:ed2:TT-CTT</t>
  </si>
  <si>
    <t>TT-DMN</t>
  </si>
  <si>
    <t>Diego Martin</t>
  </si>
  <si>
    <t>as:ISO2:6:ed3:TT-DMN</t>
  </si>
  <si>
    <t>TT-ETO</t>
  </si>
  <si>
    <t>Eastern Tobago</t>
  </si>
  <si>
    <t>as:GENC:6:ed2:TT-ETO</t>
  </si>
  <si>
    <t>TT-RCM</t>
  </si>
  <si>
    <t>Mayaro/Rio Claro</t>
  </si>
  <si>
    <t>as:GENC:6:ed2:TT-RCM</t>
  </si>
  <si>
    <t>TT-PED</t>
  </si>
  <si>
    <t>Penal/Debe</t>
  </si>
  <si>
    <t>as:GENC:6:ed2:TT-PED</t>
  </si>
  <si>
    <t>TT-PTF</t>
  </si>
  <si>
    <t>Point Fortin</t>
  </si>
  <si>
    <t>as:ISO2:6:ed3:TT-PTF</t>
  </si>
  <si>
    <t>TT-POS</t>
  </si>
  <si>
    <t>Port of Spain</t>
  </si>
  <si>
    <t>as:ISO2:6:ed3:TT-POS</t>
  </si>
  <si>
    <t>TT-PRT</t>
  </si>
  <si>
    <t>Princes Town</t>
  </si>
  <si>
    <t>as:ISO2:6:ed3:TT-PRT</t>
  </si>
  <si>
    <t>TT-SFO</t>
  </si>
  <si>
    <t>San Fernando</t>
  </si>
  <si>
    <t>as:ISO2:6:ed3:TT-SFO</t>
  </si>
  <si>
    <t>TT-SGE</t>
  </si>
  <si>
    <t>Sangre Grande</t>
  </si>
  <si>
    <t>as:ISO2:6:ed3:TT-SGE</t>
  </si>
  <si>
    <t>TT-SJL</t>
  </si>
  <si>
    <t>San Juan/Laventille</t>
  </si>
  <si>
    <t>as:GENC:6:ed2:TT-SJL</t>
  </si>
  <si>
    <t>TT-SIP</t>
  </si>
  <si>
    <t>Siparia</t>
  </si>
  <si>
    <t>as:ISO2:6:ed3:TT-SIP</t>
  </si>
  <si>
    <t>TT-TOB</t>
  </si>
  <si>
    <t>Tobago</t>
  </si>
  <si>
    <t>ward</t>
  </si>
  <si>
    <t>as:GENC:6:ed2:TT-TOB</t>
  </si>
  <si>
    <t>TT-TUP</t>
  </si>
  <si>
    <t>Tunapuna/Piarco</t>
  </si>
  <si>
    <t>as:GENC:6:ed2:TT-TUP</t>
  </si>
  <si>
    <t>TT-WTO</t>
  </si>
  <si>
    <t>Western Tobago</t>
  </si>
  <si>
    <t>as:GENC:6:ed2:TT-WTO</t>
  </si>
  <si>
    <t>TN-31</t>
  </si>
  <si>
    <t>Béja</t>
  </si>
  <si>
    <t>as:GENC:6:ed2:TN-31</t>
  </si>
  <si>
    <t>TN-13</t>
  </si>
  <si>
    <t>Ben Arous</t>
  </si>
  <si>
    <t>as:GENC:6:ed2:TN-13</t>
  </si>
  <si>
    <t>TN-23</t>
  </si>
  <si>
    <t>Bizerte</t>
  </si>
  <si>
    <t>as:GENC:6:ed2:TN-23</t>
  </si>
  <si>
    <t>TN-81</t>
  </si>
  <si>
    <t>Gabès</t>
  </si>
  <si>
    <t>as:GENC:6:ed2:TN-81</t>
  </si>
  <si>
    <t>TN-71</t>
  </si>
  <si>
    <t>Gafsa</t>
  </si>
  <si>
    <t>as:GENC:6:ed2:TN-71</t>
  </si>
  <si>
    <t>TN-32</t>
  </si>
  <si>
    <t>Jendouba</t>
  </si>
  <si>
    <t>as:GENC:6:ed2:TN-32</t>
  </si>
  <si>
    <t>TN-41</t>
  </si>
  <si>
    <t>Kairouan</t>
  </si>
  <si>
    <t>as:GENC:6:ed2:TN-41</t>
  </si>
  <si>
    <t>TN-42</t>
  </si>
  <si>
    <t>Kasserine</t>
  </si>
  <si>
    <t>as:GENC:6:ed2:TN-42</t>
  </si>
  <si>
    <t>TN-73</t>
  </si>
  <si>
    <t>Kébili</t>
  </si>
  <si>
    <t>as:GENC:6:ed2:TN-73</t>
  </si>
  <si>
    <t>TN-33</t>
  </si>
  <si>
    <t>Kef</t>
  </si>
  <si>
    <t>as:GENC:6:ed2:TN-33</t>
  </si>
  <si>
    <t>TN-12</t>
  </si>
  <si>
    <t>L’Ariana</t>
  </si>
  <si>
    <t>as:GENC:6:ed2:TN-12</t>
  </si>
  <si>
    <t>TN-53</t>
  </si>
  <si>
    <t>Mahdia</t>
  </si>
  <si>
    <t>as:GENC:6:ed2:TN-53</t>
  </si>
  <si>
    <t>TN-14</t>
  </si>
  <si>
    <t>Manouba</t>
  </si>
  <si>
    <t>as:GENC:6:ed2:TN-14</t>
  </si>
  <si>
    <t>TN-82</t>
  </si>
  <si>
    <t>Médenine</t>
  </si>
  <si>
    <t>as:GENC:6:ed2:TN-82</t>
  </si>
  <si>
    <t>TN-52</t>
  </si>
  <si>
    <t>Monastir</t>
  </si>
  <si>
    <t>as:GENC:6:ed2:TN-52</t>
  </si>
  <si>
    <t>TN-21</t>
  </si>
  <si>
    <t>Nabeul</t>
  </si>
  <si>
    <t>as:GENC:6:ed2:TN-21</t>
  </si>
  <si>
    <t>TN-61</t>
  </si>
  <si>
    <t>Sfax</t>
  </si>
  <si>
    <t>as:GENC:6:ed2:TN-61</t>
  </si>
  <si>
    <t>TN-43</t>
  </si>
  <si>
    <t>Sidi Bouzid</t>
  </si>
  <si>
    <t>as:GENC:6:ed2:TN-43</t>
  </si>
  <si>
    <t>TN-34</t>
  </si>
  <si>
    <t>Siliana</t>
  </si>
  <si>
    <t>as:GENC:6:ed2:TN-34</t>
  </si>
  <si>
    <t>TN-51</t>
  </si>
  <si>
    <t>Sousse</t>
  </si>
  <si>
    <t>as:GENC:6:ed2:TN-51</t>
  </si>
  <si>
    <t>TN-83</t>
  </si>
  <si>
    <t>Tataouine</t>
  </si>
  <si>
    <t>as:GENC:6:ed2:TN-83</t>
  </si>
  <si>
    <t>TN-72</t>
  </si>
  <si>
    <t>Tozeur</t>
  </si>
  <si>
    <t>as:GENC:6:ed2:TN-72</t>
  </si>
  <si>
    <t>TN-11</t>
  </si>
  <si>
    <t>Tunis</t>
  </si>
  <si>
    <t>as:GENC:6:ed2:TN-11</t>
  </si>
  <si>
    <t>TN-22</t>
  </si>
  <si>
    <t>Zaghouan</t>
  </si>
  <si>
    <t>as:GENC:6:ed2:TN-22</t>
  </si>
  <si>
    <t>TR-01</t>
  </si>
  <si>
    <t>Adana</t>
  </si>
  <si>
    <t>as:ISO2:6:ed3:TR-01</t>
  </si>
  <si>
    <t>TR-02</t>
  </si>
  <si>
    <t>Adıyaman</t>
  </si>
  <si>
    <t>as:ISO2:6:ed3:TR-02</t>
  </si>
  <si>
    <t>TR-03</t>
  </si>
  <si>
    <t>Afyonkarahisar</t>
  </si>
  <si>
    <t>as:ISO2:6:ed3:TR-03</t>
  </si>
  <si>
    <t>TR-04</t>
  </si>
  <si>
    <t>Ağrı</t>
  </si>
  <si>
    <t>as:ISO2:6:ed3:TR-04</t>
  </si>
  <si>
    <t>TR-68</t>
  </si>
  <si>
    <t>Aksaray</t>
  </si>
  <si>
    <t>as:ISO2:6:ed3:TR-68</t>
  </si>
  <si>
    <t>TR-05</t>
  </si>
  <si>
    <t>Amasya</t>
  </si>
  <si>
    <t>as:ISO2:6:ed3:TR-05</t>
  </si>
  <si>
    <t>TR-06</t>
  </si>
  <si>
    <t>Ankara</t>
  </si>
  <si>
    <t>as:ISO2:6:ed3:TR-06</t>
  </si>
  <si>
    <t>TR-07</t>
  </si>
  <si>
    <t>Antalya</t>
  </si>
  <si>
    <t>as:ISO2:6:ed3:TR-07</t>
  </si>
  <si>
    <t>TR-75</t>
  </si>
  <si>
    <t>Ardahan</t>
  </si>
  <si>
    <t>as:ISO2:6:ed3:TR-75</t>
  </si>
  <si>
    <t>TR-08</t>
  </si>
  <si>
    <t>Artvin</t>
  </si>
  <si>
    <t>as:ISO2:6:ed3:TR-08</t>
  </si>
  <si>
    <t>TR-09</t>
  </si>
  <si>
    <t>Aydın</t>
  </si>
  <si>
    <t>as:ISO2:6:ed3:TR-09</t>
  </si>
  <si>
    <t>TR-10</t>
  </si>
  <si>
    <t>Balıkesir</t>
  </si>
  <si>
    <t>as:ISO2:6:ed3:TR-10</t>
  </si>
  <si>
    <t>TR-74</t>
  </si>
  <si>
    <t>Bartın</t>
  </si>
  <si>
    <t>as:ISO2:6:ed3:TR-74</t>
  </si>
  <si>
    <t>TR-72</t>
  </si>
  <si>
    <t>Batman</t>
  </si>
  <si>
    <t>as:ISO2:6:ed3:TR-72</t>
  </si>
  <si>
    <t>TR-69</t>
  </si>
  <si>
    <t>Bayburt</t>
  </si>
  <si>
    <t>as:ISO2:6:ed3:TR-69</t>
  </si>
  <si>
    <t>TR-11</t>
  </si>
  <si>
    <t>Bilecik</t>
  </si>
  <si>
    <t>as:ISO2:6:ed3:TR-11</t>
  </si>
  <si>
    <t>TR-12</t>
  </si>
  <si>
    <t>Bingöl</t>
  </si>
  <si>
    <t>as:ISO2:6:ed3:TR-12</t>
  </si>
  <si>
    <t>TR-13</t>
  </si>
  <si>
    <t>Bitlis</t>
  </si>
  <si>
    <t>as:ISO2:6:ed3:TR-13</t>
  </si>
  <si>
    <t>TR-14</t>
  </si>
  <si>
    <t>Bolu</t>
  </si>
  <si>
    <t>as:ISO2:6:ed3:TR-14</t>
  </si>
  <si>
    <t>TR-15</t>
  </si>
  <si>
    <t>Burdur</t>
  </si>
  <si>
    <t>as:ISO2:6:ed3:TR-15</t>
  </si>
  <si>
    <t>TR-16</t>
  </si>
  <si>
    <t>Bursa</t>
  </si>
  <si>
    <t>as:ISO2:6:ed3:TR-16</t>
  </si>
  <si>
    <t>TR-17</t>
  </si>
  <si>
    <t>Çanakkale</t>
  </si>
  <si>
    <t>as:ISO2:6:ed3:TR-17</t>
  </si>
  <si>
    <t>TR-18</t>
  </si>
  <si>
    <t>Çankırı</t>
  </si>
  <si>
    <t>as:ISO2:6:ed3:TR-18</t>
  </si>
  <si>
    <t>TR-19</t>
  </si>
  <si>
    <t>Çorum</t>
  </si>
  <si>
    <t>as:ISO2:6:ed3:TR-19</t>
  </si>
  <si>
    <t>TR-20</t>
  </si>
  <si>
    <t>Denizli</t>
  </si>
  <si>
    <t>as:ISO2:6:ed3:TR-20</t>
  </si>
  <si>
    <t>TR-21</t>
  </si>
  <si>
    <t>Diyarbakır</t>
  </si>
  <si>
    <t>as:ISO2:6:ed3:TR-21</t>
  </si>
  <si>
    <t>TR-81</t>
  </si>
  <si>
    <t>Düzce</t>
  </si>
  <si>
    <t>as:ISO2:6:ed3:TR-81</t>
  </si>
  <si>
    <t>TR-22</t>
  </si>
  <si>
    <t>Edirne</t>
  </si>
  <si>
    <t>as:ISO2:6:ed3:TR-22</t>
  </si>
  <si>
    <t>TR-23</t>
  </si>
  <si>
    <t>Elazığ</t>
  </si>
  <si>
    <t>as:ISO2:6:ed3:TR-23</t>
  </si>
  <si>
    <t>TR-24</t>
  </si>
  <si>
    <t>Erzincan</t>
  </si>
  <si>
    <t>as:ISO2:6:ed3:TR-24</t>
  </si>
  <si>
    <t>TR-25</t>
  </si>
  <si>
    <t>Erzurum</t>
  </si>
  <si>
    <t>as:ISO2:6:ed3:TR-25</t>
  </si>
  <si>
    <t>TR-26</t>
  </si>
  <si>
    <t>Eskişehir</t>
  </si>
  <si>
    <t>as:ISO2:6:ed3:TR-26</t>
  </si>
  <si>
    <t>TR-27</t>
  </si>
  <si>
    <t>Gaziantep</t>
  </si>
  <si>
    <t>as:ISO2:6:ed3:TR-27</t>
  </si>
  <si>
    <t>TR-28</t>
  </si>
  <si>
    <t>Giresun</t>
  </si>
  <si>
    <t>as:ISO2:6:ed3:TR-28</t>
  </si>
  <si>
    <t>TR-29</t>
  </si>
  <si>
    <t>Gümüşhane</t>
  </si>
  <si>
    <t>as:ISO2:6:ed3:TR-29</t>
  </si>
  <si>
    <t>TR-30</t>
  </si>
  <si>
    <t>Hakkâri</t>
  </si>
  <si>
    <t>as:ISO2:6:ed3:TR-30</t>
  </si>
  <si>
    <t>TR-31</t>
  </si>
  <si>
    <t>Hatay</t>
  </si>
  <si>
    <t>as:ISO2:6:ed3:TR-31</t>
  </si>
  <si>
    <t>TR-76</t>
  </si>
  <si>
    <t>Iğdır</t>
  </si>
  <si>
    <t>as:ISO2:6:ed3:TR-76</t>
  </si>
  <si>
    <t>TR-32</t>
  </si>
  <si>
    <t>Isparta</t>
  </si>
  <si>
    <t>as:ISO2:6:ed3:TR-32</t>
  </si>
  <si>
    <t>TR-34</t>
  </si>
  <si>
    <t>İstanbul</t>
  </si>
  <si>
    <t>as:ISO2:6:ed3:TR-34</t>
  </si>
  <si>
    <t>TR-35</t>
  </si>
  <si>
    <t>İzmir</t>
  </si>
  <si>
    <t>as:ISO2:6:ed3:TR-35</t>
  </si>
  <si>
    <t>TR-46</t>
  </si>
  <si>
    <t>Kahramanmaraş</t>
  </si>
  <si>
    <t>as:ISO2:6:ed3:TR-46</t>
  </si>
  <si>
    <t>TR-78</t>
  </si>
  <si>
    <t>Karabük</t>
  </si>
  <si>
    <t>as:ISO2:6:ed3:TR-78</t>
  </si>
  <si>
    <t>TR-70</t>
  </si>
  <si>
    <t>Karaman</t>
  </si>
  <si>
    <t>as:ISO2:6:ed3:TR-70</t>
  </si>
  <si>
    <t>TR-36</t>
  </si>
  <si>
    <t>Kars</t>
  </si>
  <si>
    <t>as:ISO2:6:ed3:TR-36</t>
  </si>
  <si>
    <t>TR-37</t>
  </si>
  <si>
    <t>Kastamonu</t>
  </si>
  <si>
    <t>as:ISO2:6:ed3:TR-37</t>
  </si>
  <si>
    <t>TR-38</t>
  </si>
  <si>
    <t>Kayseri</t>
  </si>
  <si>
    <t>as:ISO2:6:ed3:TR-38</t>
  </si>
  <si>
    <t>TR-79</t>
  </si>
  <si>
    <t>Kilis</t>
  </si>
  <si>
    <t>as:ISO2:6:ed3:TR-79</t>
  </si>
  <si>
    <t>TR-71</t>
  </si>
  <si>
    <t>Kırıkkale</t>
  </si>
  <si>
    <t>as:ISO2:6:ed3:TR-71</t>
  </si>
  <si>
    <t>TR-39</t>
  </si>
  <si>
    <t>Kırklareli</t>
  </si>
  <si>
    <t>as:ISO2:6:ed3:TR-39</t>
  </si>
  <si>
    <t>TR-40</t>
  </si>
  <si>
    <t>Kırşehir</t>
  </si>
  <si>
    <t>as:ISO2:6:ed3:TR-40</t>
  </si>
  <si>
    <t>TR-41</t>
  </si>
  <si>
    <t>Kocaeli</t>
  </si>
  <si>
    <t>as:ISO2:6:ed3:TR-41</t>
  </si>
  <si>
    <t>TR-42</t>
  </si>
  <si>
    <t>Konya</t>
  </si>
  <si>
    <t>as:ISO2:6:ed3:TR-42</t>
  </si>
  <si>
    <t>TR-43</t>
  </si>
  <si>
    <t>Kütahya</t>
  </si>
  <si>
    <t>as:ISO2:6:ed3:TR-43</t>
  </si>
  <si>
    <t>TR-44</t>
  </si>
  <si>
    <t>Malatya</t>
  </si>
  <si>
    <t>as:ISO2:6:ed3:TR-44</t>
  </si>
  <si>
    <t>TR-45</t>
  </si>
  <si>
    <t>Manisa</t>
  </si>
  <si>
    <t>as:ISO2:6:ed3:TR-45</t>
  </si>
  <si>
    <t>TR-47</t>
  </si>
  <si>
    <t>Mardin</t>
  </si>
  <si>
    <t>as:ISO2:6:ed3:TR-47</t>
  </si>
  <si>
    <t>TR-33</t>
  </si>
  <si>
    <t>Mersin</t>
  </si>
  <si>
    <t>as:ISO2:6:ed3:TR-33</t>
  </si>
  <si>
    <t>TR-48</t>
  </si>
  <si>
    <t>Muğla</t>
  </si>
  <si>
    <t>as:ISO2:6:ed3:TR-48</t>
  </si>
  <si>
    <t>TR-49</t>
  </si>
  <si>
    <t>Muş</t>
  </si>
  <si>
    <t>as:ISO2:6:ed3:TR-49</t>
  </si>
  <si>
    <t>TR-50</t>
  </si>
  <si>
    <t>Nevşehir</t>
  </si>
  <si>
    <t>as:ISO2:6:ed3:TR-50</t>
  </si>
  <si>
    <t>TR-51</t>
  </si>
  <si>
    <t>Niğde</t>
  </si>
  <si>
    <t>as:ISO2:6:ed3:TR-51</t>
  </si>
  <si>
    <t>TR-52</t>
  </si>
  <si>
    <t>Ordu</t>
  </si>
  <si>
    <t>as:ISO2:6:ed3:TR-52</t>
  </si>
  <si>
    <t>TR-80</t>
  </si>
  <si>
    <t>Osmaniye</t>
  </si>
  <si>
    <t>as:ISO2:6:ed3:TR-80</t>
  </si>
  <si>
    <t>TR-53</t>
  </si>
  <si>
    <t>Rize</t>
  </si>
  <si>
    <t>as:ISO2:6:ed3:TR-53</t>
  </si>
  <si>
    <t>TR-54</t>
  </si>
  <si>
    <t>Sakarya</t>
  </si>
  <si>
    <t>as:ISO2:6:ed3:TR-54</t>
  </si>
  <si>
    <t>TR-55</t>
  </si>
  <si>
    <t>Samsun</t>
  </si>
  <si>
    <t>as:ISO2:6:ed3:TR-55</t>
  </si>
  <si>
    <t>TR-63</t>
  </si>
  <si>
    <t>Şanlıurfa</t>
  </si>
  <si>
    <t>as:ISO2:6:ed3:TR-63</t>
  </si>
  <si>
    <t>TR-56</t>
  </si>
  <si>
    <t>Siirt</t>
  </si>
  <si>
    <t>as:ISO2:6:ed3:TR-56</t>
  </si>
  <si>
    <t>TR-57</t>
  </si>
  <si>
    <t>Sinop</t>
  </si>
  <si>
    <t>as:ISO2:6:ed3:TR-57</t>
  </si>
  <si>
    <t>TR-73</t>
  </si>
  <si>
    <t>Şırnak</t>
  </si>
  <si>
    <t>as:ISO2:6:ed3:TR-73</t>
  </si>
  <si>
    <t>TR-58</t>
  </si>
  <si>
    <t>Sivas</t>
  </si>
  <si>
    <t>as:ISO2:6:ed3:TR-58</t>
  </si>
  <si>
    <t>TR-59</t>
  </si>
  <si>
    <t>Tekirdağ</t>
  </si>
  <si>
    <t>as:ISO2:6:ed3:TR-59</t>
  </si>
  <si>
    <t>TR-60</t>
  </si>
  <si>
    <t>Tokat</t>
  </si>
  <si>
    <t>as:ISO2:6:ed3:TR-60</t>
  </si>
  <si>
    <t>TR-61</t>
  </si>
  <si>
    <t>Trabzon</t>
  </si>
  <si>
    <t>as:ISO2:6:ed3:TR-61</t>
  </si>
  <si>
    <t>TR-62</t>
  </si>
  <si>
    <t>Tunceli</t>
  </si>
  <si>
    <t>as:ISO2:6:ed3:TR-62</t>
  </si>
  <si>
    <t>TR-64</t>
  </si>
  <si>
    <t>Uşak</t>
  </si>
  <si>
    <t>as:ISO2:6:ed3:TR-64</t>
  </si>
  <si>
    <t>TR-65</t>
  </si>
  <si>
    <t>Van</t>
  </si>
  <si>
    <t>as:ISO2:6:ed3:TR-65</t>
  </si>
  <si>
    <t>TR-77</t>
  </si>
  <si>
    <t>Yalova</t>
  </si>
  <si>
    <t>as:ISO2:6:ed3:TR-77</t>
  </si>
  <si>
    <t>TR-66</t>
  </si>
  <si>
    <t>Yozgat</t>
  </si>
  <si>
    <t>as:ISO2:6:ed3:TR-66</t>
  </si>
  <si>
    <t>TR-67</t>
  </si>
  <si>
    <t>Zonguldak</t>
  </si>
  <si>
    <t>as:ISO2:6:ed3:TR-67</t>
  </si>
  <si>
    <t>TM-A</t>
  </si>
  <si>
    <t>Ahal</t>
  </si>
  <si>
    <t>as:GENC:6:ed2:TM-A</t>
  </si>
  <si>
    <t>TM-S</t>
  </si>
  <si>
    <t>Aşgabat</t>
  </si>
  <si>
    <t>as:ISO2:6:ed3:TM-S</t>
  </si>
  <si>
    <t>TM-B</t>
  </si>
  <si>
    <t>Balkan</t>
  </si>
  <si>
    <t>as:GENC:6:ed2:TM-B</t>
  </si>
  <si>
    <t>TM-D</t>
  </si>
  <si>
    <t>Daşoguz</t>
  </si>
  <si>
    <t>as:GENC:6:ed2:TM-D</t>
  </si>
  <si>
    <t>TM-L</t>
  </si>
  <si>
    <t>Lebap</t>
  </si>
  <si>
    <t>as:GENC:6:ed2:TM-L</t>
  </si>
  <si>
    <t>TM-M</t>
  </si>
  <si>
    <t>Mary</t>
  </si>
  <si>
    <t>as:GENC:6:ed2:TM-M</t>
  </si>
  <si>
    <t>TV-FUN</t>
  </si>
  <si>
    <t>Funafuti</t>
  </si>
  <si>
    <t>town council</t>
  </si>
  <si>
    <t>as:ISO2:6:ed3:TV-FUN</t>
  </si>
  <si>
    <t>TV-NMG</t>
  </si>
  <si>
    <t>Nanumaga</t>
  </si>
  <si>
    <t>island council</t>
  </si>
  <si>
    <t>as:GENC:6:ed2:TV-NMG</t>
  </si>
  <si>
    <t>TV-NMA</t>
  </si>
  <si>
    <t>Nanumea</t>
  </si>
  <si>
    <t>as:ISO2:6:ed3:TV-NMA</t>
  </si>
  <si>
    <t>TV-NIT</t>
  </si>
  <si>
    <t>Niutao</t>
  </si>
  <si>
    <t>as:ISO2:6:ed3:TV-NIT</t>
  </si>
  <si>
    <t>TV-NUI</t>
  </si>
  <si>
    <t>Nui</t>
  </si>
  <si>
    <t>as:ISO2:6:ed3:TV-NUI</t>
  </si>
  <si>
    <t>TV-NKF</t>
  </si>
  <si>
    <t>Nukufetau</t>
  </si>
  <si>
    <t>as:ISO2:6:ed3:TV-NKF</t>
  </si>
  <si>
    <t>TV-NKL</t>
  </si>
  <si>
    <t>Nukulaelae</t>
  </si>
  <si>
    <t>as:ISO2:6:ed3:TV-NKL</t>
  </si>
  <si>
    <t>TV-VAI</t>
  </si>
  <si>
    <t>Vaitupu</t>
  </si>
  <si>
    <t>as:ISO2:6:ed3:TV-VAI</t>
  </si>
  <si>
    <t>UG-317</t>
  </si>
  <si>
    <t>Abim</t>
  </si>
  <si>
    <t>as:ISO2:6:ed3:UG-317</t>
  </si>
  <si>
    <t>UG-301</t>
  </si>
  <si>
    <t>Adjumani</t>
  </si>
  <si>
    <t>as:ISO2:6:ed3:UG-301</t>
  </si>
  <si>
    <t>UG-322</t>
  </si>
  <si>
    <t>Agago</t>
  </si>
  <si>
    <t>as:GENC:6:ed2:UG-322</t>
  </si>
  <si>
    <t>UG-323</t>
  </si>
  <si>
    <t>Alebtong</t>
  </si>
  <si>
    <t>as:GENC:6:ed2:UG-323</t>
  </si>
  <si>
    <t>UG-314</t>
  </si>
  <si>
    <t>Amolatar</t>
  </si>
  <si>
    <t>as:ISO2:6:ed3:UG-314</t>
  </si>
  <si>
    <t>UG-324</t>
  </si>
  <si>
    <t>Amudat</t>
  </si>
  <si>
    <t>as:GENC:6:ed2:UG-324</t>
  </si>
  <si>
    <t>UG-216</t>
  </si>
  <si>
    <t>Amuria</t>
  </si>
  <si>
    <t>as:ISO2:6:ed3:UG-216</t>
  </si>
  <si>
    <t>UG-319</t>
  </si>
  <si>
    <t>Amuru</t>
  </si>
  <si>
    <t>as:ISO2:6:ed3:UG-319</t>
  </si>
  <si>
    <t>UG-302</t>
  </si>
  <si>
    <t>Apac</t>
  </si>
  <si>
    <t>as:ISO2:6:ed3:UG-302</t>
  </si>
  <si>
    <t>UG-303</t>
  </si>
  <si>
    <t>Arua</t>
  </si>
  <si>
    <t>as:ISO2:6:ed3:UG-303</t>
  </si>
  <si>
    <t>UG-217</t>
  </si>
  <si>
    <t>Budaka</t>
  </si>
  <si>
    <t>as:ISO2:6:ed3:UG-217</t>
  </si>
  <si>
    <t>UG-223</t>
  </si>
  <si>
    <t>Bududa</t>
  </si>
  <si>
    <t>as:ISO2:6:ed3:UG-223</t>
  </si>
  <si>
    <t>UG-201</t>
  </si>
  <si>
    <t>Bugiri</t>
  </si>
  <si>
    <t>as:ISO2:6:ed3:UG-201</t>
  </si>
  <si>
    <t>UG-326</t>
  </si>
  <si>
    <t>Buhweju</t>
  </si>
  <si>
    <t>as:GENC:6:ed2:UG-326</t>
  </si>
  <si>
    <t>UG-117</t>
  </si>
  <si>
    <t>Buikwe</t>
  </si>
  <si>
    <t>as:GENC:6:ed2:UG-117</t>
  </si>
  <si>
    <t>UG-224</t>
  </si>
  <si>
    <t>Bukedea</t>
  </si>
  <si>
    <t>as:ISO2:6:ed3:UG-224</t>
  </si>
  <si>
    <t>UG-118</t>
  </si>
  <si>
    <t>Bukomansimbi</t>
  </si>
  <si>
    <t>as:GENC:6:ed2:UG-118</t>
  </si>
  <si>
    <t>UG-218</t>
  </si>
  <si>
    <t>Bukwa</t>
  </si>
  <si>
    <t>as:ISO2:6:ed3:UG-218</t>
  </si>
  <si>
    <t>UG-225</t>
  </si>
  <si>
    <t>Bulambuli</t>
  </si>
  <si>
    <t>as:GENC:6:ed2:UG-225</t>
  </si>
  <si>
    <t>UG-419</t>
  </si>
  <si>
    <t>Buliisa</t>
  </si>
  <si>
    <t>as:ISO2:6:ed3:UG-419</t>
  </si>
  <si>
    <t>UG-401</t>
  </si>
  <si>
    <t>Bundibugyo</t>
  </si>
  <si>
    <t>as:ISO2:6:ed3:UG-401</t>
  </si>
  <si>
    <t>UG-402</t>
  </si>
  <si>
    <t>Bushenyi</t>
  </si>
  <si>
    <t>as:ISO2:6:ed3:UG-402</t>
  </si>
  <si>
    <t>UG-202</t>
  </si>
  <si>
    <t>as:ISO2:6:ed3:UG-202</t>
  </si>
  <si>
    <t>UG-219</t>
  </si>
  <si>
    <t>Butaleja</t>
  </si>
  <si>
    <t>as:ISO2:6:ed3:UG-219</t>
  </si>
  <si>
    <t>UG-119</t>
  </si>
  <si>
    <t>Butambala</t>
  </si>
  <si>
    <t>as:GENC:6:ed2:UG-119</t>
  </si>
  <si>
    <t>UG-120</t>
  </si>
  <si>
    <t>Buvuma</t>
  </si>
  <si>
    <t>as:GENC:6:ed2:UG-120</t>
  </si>
  <si>
    <t>UG-226</t>
  </si>
  <si>
    <t>Buyende</t>
  </si>
  <si>
    <t>as:GENC:6:ed2:UG-226</t>
  </si>
  <si>
    <t>UG-C</t>
  </si>
  <si>
    <t>as:ISO2:6:ed3:UG-C</t>
  </si>
  <si>
    <t>UG-318</t>
  </si>
  <si>
    <t>Dokolo</t>
  </si>
  <si>
    <t>as:ISO2:6:ed3:UG-318</t>
  </si>
  <si>
    <t>UG-E</t>
  </si>
  <si>
    <t>as:ISO2:6:ed3:UG-E</t>
  </si>
  <si>
    <t>UG-121</t>
  </si>
  <si>
    <t>Gomba</t>
  </si>
  <si>
    <t>as:GENC:6:ed2:UG-121</t>
  </si>
  <si>
    <t>UG-304</t>
  </si>
  <si>
    <t>Gulu</t>
  </si>
  <si>
    <t>as:ISO2:6:ed3:UG-304</t>
  </si>
  <si>
    <t>UG-403</t>
  </si>
  <si>
    <t>Hoima</t>
  </si>
  <si>
    <t>as:ISO2:6:ed3:UG-403</t>
  </si>
  <si>
    <t>UG-416</t>
  </si>
  <si>
    <t>Ibanda</t>
  </si>
  <si>
    <t>as:ISO2:6:ed3:UG-416</t>
  </si>
  <si>
    <t>UG-203</t>
  </si>
  <si>
    <t>Iganga</t>
  </si>
  <si>
    <t>as:ISO2:6:ed3:UG-203</t>
  </si>
  <si>
    <t>UG-417</t>
  </si>
  <si>
    <t>Isingiro</t>
  </si>
  <si>
    <t>as:ISO2:6:ed3:UG-417</t>
  </si>
  <si>
    <t>UG-204</t>
  </si>
  <si>
    <t>Jinja</t>
  </si>
  <si>
    <t>as:ISO2:6:ed3:UG-204</t>
  </si>
  <si>
    <t>UG-315</t>
  </si>
  <si>
    <t>Kaabong</t>
  </si>
  <si>
    <t>as:ISO2:6:ed3:UG-315</t>
  </si>
  <si>
    <t>UG-404</t>
  </si>
  <si>
    <t>Kabale</t>
  </si>
  <si>
    <t>as:ISO2:6:ed3:UG-404</t>
  </si>
  <si>
    <t>UG-405</t>
  </si>
  <si>
    <t>Kabarole</t>
  </si>
  <si>
    <t>as:ISO2:6:ed3:UG-405</t>
  </si>
  <si>
    <t>UG-213</t>
  </si>
  <si>
    <t>Kaberamaido</t>
  </si>
  <si>
    <t>as:ISO2:6:ed3:UG-213</t>
  </si>
  <si>
    <t>UG-101</t>
  </si>
  <si>
    <t>Kalangala</t>
  </si>
  <si>
    <t>as:ISO2:6:ed3:UG-101</t>
  </si>
  <si>
    <t>UG-220</t>
  </si>
  <si>
    <t>Kaliro</t>
  </si>
  <si>
    <t>as:ISO2:6:ed3:UG-220</t>
  </si>
  <si>
    <t>UG-122</t>
  </si>
  <si>
    <t>Kalungu</t>
  </si>
  <si>
    <t>as:GENC:6:ed2:UG-122</t>
  </si>
  <si>
    <t>UG-102</t>
  </si>
  <si>
    <t>Kampala</t>
  </si>
  <si>
    <t>as:ISO2:6:ed3:UG-102</t>
  </si>
  <si>
    <t>UG-205</t>
  </si>
  <si>
    <t>Kamuli</t>
  </si>
  <si>
    <t>as:ISO2:6:ed3:UG-205</t>
  </si>
  <si>
    <t>UG-413</t>
  </si>
  <si>
    <t>Kamwenge</t>
  </si>
  <si>
    <t>as:ISO2:6:ed3:UG-413</t>
  </si>
  <si>
    <t>UG-414</t>
  </si>
  <si>
    <t>Kanungu</t>
  </si>
  <si>
    <t>as:ISO2:6:ed3:UG-414</t>
  </si>
  <si>
    <t>UG-206</t>
  </si>
  <si>
    <t>Kapchorwa</t>
  </si>
  <si>
    <t>as:ISO2:6:ed3:UG-206</t>
  </si>
  <si>
    <t>UG-406</t>
  </si>
  <si>
    <t>Kasese</t>
  </si>
  <si>
    <t>as:ISO2:6:ed3:UG-406</t>
  </si>
  <si>
    <t>UG-207</t>
  </si>
  <si>
    <t>Katakwi</t>
  </si>
  <si>
    <t>as:ISO2:6:ed3:UG-207</t>
  </si>
  <si>
    <t>UG-112</t>
  </si>
  <si>
    <t>Kayunga</t>
  </si>
  <si>
    <t>as:ISO2:6:ed3:UG-112</t>
  </si>
  <si>
    <t>UG-407</t>
  </si>
  <si>
    <t>Kibaale</t>
  </si>
  <si>
    <t>as:ISO2:6:ed3:UG-407</t>
  </si>
  <si>
    <t>UG-103</t>
  </si>
  <si>
    <t>Kiboga</t>
  </si>
  <si>
    <t>as:ISO2:6:ed3:UG-103</t>
  </si>
  <si>
    <t>UG-227</t>
  </si>
  <si>
    <t>Kibuku</t>
  </si>
  <si>
    <t>as:GENC:6:ed2:UG-227</t>
  </si>
  <si>
    <t>UG-418</t>
  </si>
  <si>
    <t>Kiruhura</t>
  </si>
  <si>
    <t>as:ISO2:6:ed3:UG-418</t>
  </si>
  <si>
    <t>UG-420</t>
  </si>
  <si>
    <t>Kiryandongo</t>
  </si>
  <si>
    <t>as:GENC:6:ed2:UG-420</t>
  </si>
  <si>
    <t>UG-408</t>
  </si>
  <si>
    <t>Kisoro</t>
  </si>
  <si>
    <t>as:ISO2:6:ed3:UG-408</t>
  </si>
  <si>
    <t>UG-305</t>
  </si>
  <si>
    <t>Kitgum</t>
  </si>
  <si>
    <t>as:ISO2:6:ed3:UG-305</t>
  </si>
  <si>
    <t>UG-316</t>
  </si>
  <si>
    <t>Koboko</t>
  </si>
  <si>
    <t>as:ISO2:6:ed3:UG-316</t>
  </si>
  <si>
    <t>UG-325</t>
  </si>
  <si>
    <t>Kole</t>
  </si>
  <si>
    <t>as:GENC:6:ed2:UG-325</t>
  </si>
  <si>
    <t>UG-306</t>
  </si>
  <si>
    <t>Kotido</t>
  </si>
  <si>
    <t>as:ISO2:6:ed3:UG-306</t>
  </si>
  <si>
    <t>UG-208</t>
  </si>
  <si>
    <t>Kumi</t>
  </si>
  <si>
    <t>as:ISO2:6:ed3:UG-208</t>
  </si>
  <si>
    <t>UG-228</t>
  </si>
  <si>
    <t>Kween</t>
  </si>
  <si>
    <t>as:GENC:6:ed2:UG-228</t>
  </si>
  <si>
    <t>UG-123</t>
  </si>
  <si>
    <t>Kyankwanzi</t>
  </si>
  <si>
    <t>as:GENC:6:ed2:UG-123</t>
  </si>
  <si>
    <t>UG-421</t>
  </si>
  <si>
    <t>Kyegegwa</t>
  </si>
  <si>
    <t>as:GENC:6:ed2:UG-421</t>
  </si>
  <si>
    <t>UG-415</t>
  </si>
  <si>
    <t>Kyenjojo</t>
  </si>
  <si>
    <t>as:ISO2:6:ed3:UG-415</t>
  </si>
  <si>
    <t>UG-327</t>
  </si>
  <si>
    <t>Lamwo</t>
  </si>
  <si>
    <t>as:GENC:6:ed2:UG-327</t>
  </si>
  <si>
    <t>UG-307</t>
  </si>
  <si>
    <t>Lira</t>
  </si>
  <si>
    <t>as:ISO2:6:ed3:UG-307</t>
  </si>
  <si>
    <t>UG-229</t>
  </si>
  <si>
    <t>Luuka</t>
  </si>
  <si>
    <t>as:GENC:6:ed2:UG-229</t>
  </si>
  <si>
    <t>UG-104</t>
  </si>
  <si>
    <t>Luwero</t>
  </si>
  <si>
    <t>as:ISO2:6:ed3:UG-104</t>
  </si>
  <si>
    <t>UG-124</t>
  </si>
  <si>
    <t>Lwengo</t>
  </si>
  <si>
    <t>as:GENC:6:ed2:UG-124</t>
  </si>
  <si>
    <t>UG-116</t>
  </si>
  <si>
    <t>Lyantonde</t>
  </si>
  <si>
    <t>as:ISO2:6:ed3:UG-116</t>
  </si>
  <si>
    <t>UG-221</t>
  </si>
  <si>
    <t>Manafwa</t>
  </si>
  <si>
    <t>as:ISO2:6:ed3:UG-221</t>
  </si>
  <si>
    <t>UG-320</t>
  </si>
  <si>
    <t>Maracha</t>
  </si>
  <si>
    <t>as:ISO2:6:ed3:UG-320</t>
  </si>
  <si>
    <t>UG-105</t>
  </si>
  <si>
    <t>Masaka</t>
  </si>
  <si>
    <t>as:ISO2:6:ed3:UG-105</t>
  </si>
  <si>
    <t>UG-409</t>
  </si>
  <si>
    <t>Masindi</t>
  </si>
  <si>
    <t>as:ISO2:6:ed3:UG-409</t>
  </si>
  <si>
    <t>UG-214</t>
  </si>
  <si>
    <t>Mayuge</t>
  </si>
  <si>
    <t>as:ISO2:6:ed3:UG-214</t>
  </si>
  <si>
    <t>UG-209</t>
  </si>
  <si>
    <t>Mbale</t>
  </si>
  <si>
    <t>as:ISO2:6:ed3:UG-209</t>
  </si>
  <si>
    <t>UG-410</t>
  </si>
  <si>
    <t>Mbarara</t>
  </si>
  <si>
    <t>as:ISO2:6:ed3:UG-410</t>
  </si>
  <si>
    <t>UG-422</t>
  </si>
  <si>
    <t>Mitooma</t>
  </si>
  <si>
    <t>as:GENC:6:ed2:UG-422</t>
  </si>
  <si>
    <t>UG-114</t>
  </si>
  <si>
    <t>Mityana</t>
  </si>
  <si>
    <t>as:ISO2:6:ed3:UG-114</t>
  </si>
  <si>
    <t>UG-308</t>
  </si>
  <si>
    <t>Moroto</t>
  </si>
  <si>
    <t>as:ISO2:6:ed3:UG-308</t>
  </si>
  <si>
    <t>UG-309</t>
  </si>
  <si>
    <t>Moyo</t>
  </si>
  <si>
    <t>as:ISO2:6:ed3:UG-309</t>
  </si>
  <si>
    <t>UG-106</t>
  </si>
  <si>
    <t>Mpigi</t>
  </si>
  <si>
    <t>as:ISO2:6:ed3:UG-106</t>
  </si>
  <si>
    <t>UG-107</t>
  </si>
  <si>
    <t>Mubende</t>
  </si>
  <si>
    <t>as:ISO2:6:ed3:UG-107</t>
  </si>
  <si>
    <t>UG-108</t>
  </si>
  <si>
    <t>Mukono</t>
  </si>
  <si>
    <t>as:ISO2:6:ed3:UG-108</t>
  </si>
  <si>
    <t>UG-311</t>
  </si>
  <si>
    <t>Nakapiripirit</t>
  </si>
  <si>
    <t>as:ISO2:6:ed3:UG-311</t>
  </si>
  <si>
    <t>UG-115</t>
  </si>
  <si>
    <t>Nakaseke</t>
  </si>
  <si>
    <t>as:ISO2:6:ed3:UG-115</t>
  </si>
  <si>
    <t>UG-109</t>
  </si>
  <si>
    <t>Nakasongola</t>
  </si>
  <si>
    <t>as:ISO2:6:ed3:UG-109</t>
  </si>
  <si>
    <t>UG-230</t>
  </si>
  <si>
    <t>Namayingo</t>
  </si>
  <si>
    <t>as:GENC:6:ed2:UG-230</t>
  </si>
  <si>
    <t>UG-222</t>
  </si>
  <si>
    <t>Namutumba</t>
  </si>
  <si>
    <t>as:ISO2:6:ed3:UG-222</t>
  </si>
  <si>
    <t>UG-328</t>
  </si>
  <si>
    <t>Napak</t>
  </si>
  <si>
    <t>as:GENC:6:ed2:UG-328</t>
  </si>
  <si>
    <t>UG-310</t>
  </si>
  <si>
    <t>Nebbi</t>
  </si>
  <si>
    <t>as:ISO2:6:ed3:UG-310</t>
  </si>
  <si>
    <t>UG-231</t>
  </si>
  <si>
    <t>Ngora</t>
  </si>
  <si>
    <t>as:GENC:6:ed2:UG-231</t>
  </si>
  <si>
    <t>UG-N</t>
  </si>
  <si>
    <t>as:ISO2:6:ed3:UG-N</t>
  </si>
  <si>
    <t>UG-423</t>
  </si>
  <si>
    <t>Ntoroko</t>
  </si>
  <si>
    <t>as:GENC:6:ed2:UG-423</t>
  </si>
  <si>
    <t>UG-411</t>
  </si>
  <si>
    <t>Ntungamo</t>
  </si>
  <si>
    <t>as:ISO2:6:ed3:UG-411</t>
  </si>
  <si>
    <t>UG-329</t>
  </si>
  <si>
    <t>Nwoya</t>
  </si>
  <si>
    <t>as:GENC:6:ed2:UG-329</t>
  </si>
  <si>
    <t>UG-330</t>
  </si>
  <si>
    <t>Otuke</t>
  </si>
  <si>
    <t>as:GENC:6:ed2:UG-330</t>
  </si>
  <si>
    <t>UG-321</t>
  </si>
  <si>
    <t>Oyam</t>
  </si>
  <si>
    <t>as:ISO2:6:ed3:UG-321</t>
  </si>
  <si>
    <t>UG-312</t>
  </si>
  <si>
    <t>Pader</t>
  </si>
  <si>
    <t>as:ISO2:6:ed3:UG-312</t>
  </si>
  <si>
    <t>UG-210</t>
  </si>
  <si>
    <t>Pallisa</t>
  </si>
  <si>
    <t>as:ISO2:6:ed3:UG-210</t>
  </si>
  <si>
    <t>UG-110</t>
  </si>
  <si>
    <t>Rakai</t>
  </si>
  <si>
    <t>as:ISO2:6:ed3:UG-110</t>
  </si>
  <si>
    <t>UG-424</t>
  </si>
  <si>
    <t>Rubirizi</t>
  </si>
  <si>
    <t>as:GENC:6:ed2:UG-424</t>
  </si>
  <si>
    <t>UG-412</t>
  </si>
  <si>
    <t>Rukungiri</t>
  </si>
  <si>
    <t>as:ISO2:6:ed3:UG-412</t>
  </si>
  <si>
    <t>UG-111</t>
  </si>
  <si>
    <t>Sembabule</t>
  </si>
  <si>
    <t>as:ISO2:6:ed3:UG-111</t>
  </si>
  <si>
    <t>UG-232</t>
  </si>
  <si>
    <t>Serere</t>
  </si>
  <si>
    <t>as:GENC:6:ed2:UG-232</t>
  </si>
  <si>
    <t>UG-425</t>
  </si>
  <si>
    <t>Sheema</t>
  </si>
  <si>
    <t>as:GENC:6:ed2:UG-425</t>
  </si>
  <si>
    <t>UG-215</t>
  </si>
  <si>
    <t>Sironko</t>
  </si>
  <si>
    <t>as:ISO2:6:ed3:UG-215</t>
  </si>
  <si>
    <t>UG-211</t>
  </si>
  <si>
    <t>Soroti</t>
  </si>
  <si>
    <t>as:ISO2:6:ed3:UG-211</t>
  </si>
  <si>
    <t>UG-212</t>
  </si>
  <si>
    <t>Tororo</t>
  </si>
  <si>
    <t>as:ISO2:6:ed3:UG-212</t>
  </si>
  <si>
    <t>UG-113</t>
  </si>
  <si>
    <t>Wakiso</t>
  </si>
  <si>
    <t>as:ISO2:6:ed3:UG-113</t>
  </si>
  <si>
    <t>UG-W</t>
  </si>
  <si>
    <t>as:ISO2:6:ed3:UG-W</t>
  </si>
  <si>
    <t>UG-313</t>
  </si>
  <si>
    <t>Yumbe</t>
  </si>
  <si>
    <t>as:ISO2:6:ed3:UG-313</t>
  </si>
  <si>
    <t>UG-331</t>
  </si>
  <si>
    <t>Zombo</t>
  </si>
  <si>
    <t>as:GENC:6:ed2:UG-331</t>
  </si>
  <si>
    <t>UA-71</t>
  </si>
  <si>
    <t>Cherkas’ka Oblast’</t>
  </si>
  <si>
    <t>as:GENC:6:ed2:UA-71</t>
  </si>
  <si>
    <t>UA-74</t>
  </si>
  <si>
    <t>Chernihivs’ka Oblast’</t>
  </si>
  <si>
    <t>as:GENC:6:ed2:UA-74</t>
  </si>
  <si>
    <t>UA-77</t>
  </si>
  <si>
    <t>Chernivets’ka Oblast’</t>
  </si>
  <si>
    <t>as:GENC:6:ed2:UA-77</t>
  </si>
  <si>
    <t>UA-12</t>
  </si>
  <si>
    <t>Dnipropetrovs’ka Oblast’</t>
  </si>
  <si>
    <t>as:GENC:6:ed2:UA-12</t>
  </si>
  <si>
    <t>UA-14</t>
  </si>
  <si>
    <t>Donets’ka Oblast’</t>
  </si>
  <si>
    <t>as:GENC:6:ed2:UA-14</t>
  </si>
  <si>
    <t>UA-26</t>
  </si>
  <si>
    <t>Ivano-Frankivs’ka Oblast’</t>
  </si>
  <si>
    <t>as:GENC:6:ed2:UA-26</t>
  </si>
  <si>
    <t>UA-63</t>
  </si>
  <si>
    <t>Kharkivs’ka Oblast’</t>
  </si>
  <si>
    <t>as:GENC:6:ed2:UA-63</t>
  </si>
  <si>
    <t>UA-65</t>
  </si>
  <si>
    <t>Khersons’ka Oblast’</t>
  </si>
  <si>
    <t>as:GENC:6:ed2:UA-65</t>
  </si>
  <si>
    <t>UA-68</t>
  </si>
  <si>
    <t>Khmel’nyts’ka Oblast’</t>
  </si>
  <si>
    <t>as:GENC:6:ed2:UA-68</t>
  </si>
  <si>
    <t>UA-35</t>
  </si>
  <si>
    <t>Kirovohrads’ka Oblast’</t>
  </si>
  <si>
    <t>as:GENC:6:ed2:UA-35</t>
  </si>
  <si>
    <t>UA-43</t>
  </si>
  <si>
    <t>Krym, Avtonomna Respublika</t>
  </si>
  <si>
    <t>as:GENC:6:ed2:UA-43</t>
  </si>
  <si>
    <t>UA-30</t>
  </si>
  <si>
    <t>Kyyiv, Misto</t>
  </si>
  <si>
    <t>as:GENC:6:ed2:UA-30</t>
  </si>
  <si>
    <t>UA-32</t>
  </si>
  <si>
    <t>Kyyivs’ka Oblast’</t>
  </si>
  <si>
    <t>as:GENC:6:ed2:UA-32</t>
  </si>
  <si>
    <t>UA-09</t>
  </si>
  <si>
    <t>Luhans’ka Oblast’</t>
  </si>
  <si>
    <t>as:GENC:6:ed2:UA-09</t>
  </si>
  <si>
    <t>UA-46</t>
  </si>
  <si>
    <t>L’vivs’ka Oblast’</t>
  </si>
  <si>
    <t>as:GENC:6:ed2:UA-46</t>
  </si>
  <si>
    <t>UA-48</t>
  </si>
  <si>
    <t>Mykolayivs’ka Oblast’</t>
  </si>
  <si>
    <t>as:GENC:6:ed2:UA-48</t>
  </si>
  <si>
    <t>UA-51</t>
  </si>
  <si>
    <t>Odes’ka Oblast’</t>
  </si>
  <si>
    <t>as:GENC:6:ed2:UA-51</t>
  </si>
  <si>
    <t>UA-53</t>
  </si>
  <si>
    <t>Poltavs’ka Oblast’</t>
  </si>
  <si>
    <t>as:GENC:6:ed2:UA-53</t>
  </si>
  <si>
    <t>UA-56</t>
  </si>
  <si>
    <t>Rivnens’ka Oblast’</t>
  </si>
  <si>
    <t>as:GENC:6:ed2:UA-56</t>
  </si>
  <si>
    <t>UA-40</t>
  </si>
  <si>
    <t>Sevastopol’, Misto</t>
  </si>
  <si>
    <t>as:GENC:6:ed2:UA-40</t>
  </si>
  <si>
    <t>UA-59</t>
  </si>
  <si>
    <t>Sums’ka Oblast’</t>
  </si>
  <si>
    <t>as:GENC:6:ed2:UA-59</t>
  </si>
  <si>
    <t>UA-61</t>
  </si>
  <si>
    <t>Ternopil’s’ka Oblast’</t>
  </si>
  <si>
    <t>as:GENC:6:ed2:UA-61</t>
  </si>
  <si>
    <t>UA-05</t>
  </si>
  <si>
    <t>Vinnyts’ka Oblast’</t>
  </si>
  <si>
    <t>as:GENC:6:ed2:UA-05</t>
  </si>
  <si>
    <t>UA-07</t>
  </si>
  <si>
    <t>Volyns’ka Oblast’</t>
  </si>
  <si>
    <t>as:GENC:6:ed2:UA-07</t>
  </si>
  <si>
    <t>UA-21</t>
  </si>
  <si>
    <t>Zakarpats’ka Oblast’</t>
  </si>
  <si>
    <t>as:GENC:6:ed2:UA-21</t>
  </si>
  <si>
    <t>UA-23</t>
  </si>
  <si>
    <t>Zaporiz’ka Oblast’</t>
  </si>
  <si>
    <t>as:GENC:6:ed2:UA-23</t>
  </si>
  <si>
    <t>UA-18</t>
  </si>
  <si>
    <t>Zhytomyrs’ka Oblast’</t>
  </si>
  <si>
    <t>as:GENC:6:ed2:UA-18</t>
  </si>
  <si>
    <t>AE-AZ</t>
  </si>
  <si>
    <t>Abū Z̧aby</t>
  </si>
  <si>
    <t>emirate</t>
  </si>
  <si>
    <t>as:GENC:6:ed2:AE-AZ</t>
  </si>
  <si>
    <t>AE-AJ</t>
  </si>
  <si>
    <t>‘Ajmān</t>
  </si>
  <si>
    <t>as:GENC:6:ed2:AE-AJ</t>
  </si>
  <si>
    <t>AE-FU</t>
  </si>
  <si>
    <t>Al Fujayrah</t>
  </si>
  <si>
    <t>as:GENC:6:ed2:AE-FU</t>
  </si>
  <si>
    <t>AE-SH</t>
  </si>
  <si>
    <t>Ash Shāriqah</t>
  </si>
  <si>
    <t>as:GENC:6:ed2:AE-SH</t>
  </si>
  <si>
    <t>AE-DU</t>
  </si>
  <si>
    <t>Dubayy</t>
  </si>
  <si>
    <t>as:GENC:6:ed2:AE-DU</t>
  </si>
  <si>
    <t>AE-RK</t>
  </si>
  <si>
    <t>Ra’s al Khaymah</t>
  </si>
  <si>
    <t>as:GENC:6:ed2:AE-RK</t>
  </si>
  <si>
    <t>AE-UQ</t>
  </si>
  <si>
    <t>Umm al Qaywayn</t>
  </si>
  <si>
    <t>as:GENC:6:ed2:AE-UQ</t>
  </si>
  <si>
    <t>GB-ABE</t>
  </si>
  <si>
    <t>Aberdeen City</t>
  </si>
  <si>
    <t>council area</t>
  </si>
  <si>
    <t>as:ISO2:6:ed3:GB-ABE</t>
  </si>
  <si>
    <t>GB-ABD</t>
  </si>
  <si>
    <t>Aberdeenshire</t>
  </si>
  <si>
    <t>as:ISO2:6:ed3:GB-ABD</t>
  </si>
  <si>
    <t>GB-ANS</t>
  </si>
  <si>
    <t>Angus</t>
  </si>
  <si>
    <t>as:ISO2:6:ed3:GB-ANS</t>
  </si>
  <si>
    <t>GB-ANT</t>
  </si>
  <si>
    <t>Antrim</t>
  </si>
  <si>
    <t>as:GENC:6:ed2:GB-ANT</t>
  </si>
  <si>
    <t>GB-ARD</t>
  </si>
  <si>
    <t>Ards</t>
  </si>
  <si>
    <t>as:GENC:6:ed2:GB-ARD</t>
  </si>
  <si>
    <t>GB-AGB</t>
  </si>
  <si>
    <t>Argyll and Bute</t>
  </si>
  <si>
    <t>as:ISO2:6:ed3:GB-AGB</t>
  </si>
  <si>
    <t>GB-ARM</t>
  </si>
  <si>
    <t>Armagh</t>
  </si>
  <si>
    <t>as:GENC:6:ed2:GB-ARM</t>
  </si>
  <si>
    <t>GB-BLA</t>
  </si>
  <si>
    <t>Ballymena</t>
  </si>
  <si>
    <t>as:GENC:6:ed2:GB-BLA</t>
  </si>
  <si>
    <t>GB-BLY</t>
  </si>
  <si>
    <t>Ballymoney</t>
  </si>
  <si>
    <t>as:GENC:6:ed2:GB-BLY</t>
  </si>
  <si>
    <t>GB-BNB</t>
  </si>
  <si>
    <t>Banbridge</t>
  </si>
  <si>
    <t>as:GENC:6:ed2:GB-BNB</t>
  </si>
  <si>
    <t>GB-BDG</t>
  </si>
  <si>
    <t>Barking and Dagenham</t>
  </si>
  <si>
    <t>London borough</t>
  </si>
  <si>
    <t>as:ISO2:6:ed3:GB-BDG</t>
  </si>
  <si>
    <t>GB-BNE</t>
  </si>
  <si>
    <t>Barnet</t>
  </si>
  <si>
    <t>as:ISO2:6:ed3:GB-BNE</t>
  </si>
  <si>
    <t>GB-BNS</t>
  </si>
  <si>
    <t>Barnsley</t>
  </si>
  <si>
    <t>metropolitan district</t>
  </si>
  <si>
    <t>as:ISO2:6:ed3:GB-BNS</t>
  </si>
  <si>
    <t>GB-BAS</t>
  </si>
  <si>
    <t>Bath and North East Somerset</t>
  </si>
  <si>
    <t>unitary authority</t>
  </si>
  <si>
    <t>as:GENC:6:ed2:GB-BAS</t>
  </si>
  <si>
    <t>GB-BDF</t>
  </si>
  <si>
    <t>Bedford</t>
  </si>
  <si>
    <t>as:GENC:6:ed2:GB-BDF</t>
  </si>
  <si>
    <t>GB-BFS</t>
  </si>
  <si>
    <t>Belfast</t>
  </si>
  <si>
    <t>as:GENC:6:ed2:GB-BFS</t>
  </si>
  <si>
    <t>GB-BEX</t>
  </si>
  <si>
    <t>Bexley</t>
  </si>
  <si>
    <t>as:ISO2:6:ed3:GB-BEX</t>
  </si>
  <si>
    <t>GB-BIR</t>
  </si>
  <si>
    <t>Birmingham</t>
  </si>
  <si>
    <t>as:ISO2:6:ed3:GB-BIR</t>
  </si>
  <si>
    <t>GB-BBD</t>
  </si>
  <si>
    <t>Blackburn with Darwen</t>
  </si>
  <si>
    <t>as:GENC:6:ed2:GB-BBD</t>
  </si>
  <si>
    <t>GB-BPL</t>
  </si>
  <si>
    <t>Blackpool</t>
  </si>
  <si>
    <t>as:GENC:6:ed2:GB-BPL</t>
  </si>
  <si>
    <t>GB-BGW</t>
  </si>
  <si>
    <t>Blaenau Gwent</t>
  </si>
  <si>
    <t>as:GENC:6:ed2:GB-BGW</t>
  </si>
  <si>
    <t>GB-BOL</t>
  </si>
  <si>
    <t>Bolton</t>
  </si>
  <si>
    <t>as:ISO2:6:ed3:GB-BOL</t>
  </si>
  <si>
    <t>GB-BMH</t>
  </si>
  <si>
    <t>Bournemouth</t>
  </si>
  <si>
    <t>as:GENC:6:ed2:GB-BMH</t>
  </si>
  <si>
    <t>GB-BRC</t>
  </si>
  <si>
    <t>Bracknell Forest</t>
  </si>
  <si>
    <t>as:GENC:6:ed2:GB-BRC</t>
  </si>
  <si>
    <t>GB-BRD</t>
  </si>
  <si>
    <t>Bradford</t>
  </si>
  <si>
    <t>as:ISO2:6:ed3:GB-BRD</t>
  </si>
  <si>
    <t>GB-BEN</t>
  </si>
  <si>
    <t>Brent</t>
  </si>
  <si>
    <t>as:ISO2:6:ed3:GB-BEN</t>
  </si>
  <si>
    <t>GB-BGE</t>
  </si>
  <si>
    <t>Bridgend</t>
  </si>
  <si>
    <t>as:GENC:6:ed2:GB-BGE</t>
  </si>
  <si>
    <t>GB-BNH</t>
  </si>
  <si>
    <t>Brighton and Hove</t>
  </si>
  <si>
    <t>as:GENC:6:ed2:GB-BNH</t>
  </si>
  <si>
    <t>GB-BST</t>
  </si>
  <si>
    <t>Bristol, City of</t>
  </si>
  <si>
    <t>as:GENC:6:ed2:GB-BST</t>
  </si>
  <si>
    <t>GB-BRY</t>
  </si>
  <si>
    <t>Bromley</t>
  </si>
  <si>
    <t>as:ISO2:6:ed3:GB-BRY</t>
  </si>
  <si>
    <t>GB-BKM</t>
  </si>
  <si>
    <t>Buckinghamshire</t>
  </si>
  <si>
    <t>as:GENC:6:ed2:GB-BKM</t>
  </si>
  <si>
    <t>GB-BUR</t>
  </si>
  <si>
    <t>Bury</t>
  </si>
  <si>
    <t>as:ISO2:6:ed3:GB-BUR</t>
  </si>
  <si>
    <t>GB-CAY</t>
  </si>
  <si>
    <t>Caerphilly</t>
  </si>
  <si>
    <t>as:GENC:6:ed2:GB-CAY</t>
  </si>
  <si>
    <t>GB-CLD</t>
  </si>
  <si>
    <t>Calderdale</t>
  </si>
  <si>
    <t>as:ISO2:6:ed3:GB-CLD</t>
  </si>
  <si>
    <t>GB-CAM</t>
  </si>
  <si>
    <t>Cambridgeshire</t>
  </si>
  <si>
    <t>as:GENC:6:ed2:GB-CAM</t>
  </si>
  <si>
    <t>GB-CMD</t>
  </si>
  <si>
    <t>Camden</t>
  </si>
  <si>
    <t>as:ISO2:6:ed3:GB-CMD</t>
  </si>
  <si>
    <t>GB-CRF</t>
  </si>
  <si>
    <t>Cardiff</t>
  </si>
  <si>
    <t>as:GENC:6:ed2:GB-CRF</t>
  </si>
  <si>
    <t>GB-CMN</t>
  </si>
  <si>
    <t>Carmarthenshire</t>
  </si>
  <si>
    <t>as:GENC:6:ed2:GB-CMN</t>
  </si>
  <si>
    <t>GB-CKF</t>
  </si>
  <si>
    <t>Carrickfergus</t>
  </si>
  <si>
    <t>as:GENC:6:ed2:GB-CKF</t>
  </si>
  <si>
    <t>GB-CSR</t>
  </si>
  <si>
    <t>Castlereagh</t>
  </si>
  <si>
    <t>as:GENC:6:ed2:GB-CSR</t>
  </si>
  <si>
    <t>GB-CBF</t>
  </si>
  <si>
    <t>Central Bedfordshire</t>
  </si>
  <si>
    <t>as:GENC:6:ed2:GB-CBF</t>
  </si>
  <si>
    <t>GB-CGN</t>
  </si>
  <si>
    <t>Ceredigion</t>
  </si>
  <si>
    <t>as:GENC:6:ed2:GB-CGN</t>
  </si>
  <si>
    <t>GB-CHE</t>
  </si>
  <si>
    <t>Cheshire East</t>
  </si>
  <si>
    <t>as:GENC:6:ed2:GB-CHE</t>
  </si>
  <si>
    <t>GB-CHW</t>
  </si>
  <si>
    <t>Cheshire West and Chester</t>
  </si>
  <si>
    <t>as:GENC:6:ed2:GB-CHW</t>
  </si>
  <si>
    <t>GB-CLK</t>
  </si>
  <si>
    <t>Clackmannanshire</t>
  </si>
  <si>
    <t>as:ISO2:6:ed3:GB-CLK</t>
  </si>
  <si>
    <t>GB-CLR</t>
  </si>
  <si>
    <t>Coleraine</t>
  </si>
  <si>
    <t>as:GENC:6:ed2:GB-CLR</t>
  </si>
  <si>
    <t>GB-CWY</t>
  </si>
  <si>
    <t>Conwy</t>
  </si>
  <si>
    <t>as:GENC:6:ed2:GB-CWY</t>
  </si>
  <si>
    <t>GB-CKT</t>
  </si>
  <si>
    <t>Cookstown</t>
  </si>
  <si>
    <t>as:GENC:6:ed2:GB-CKT</t>
  </si>
  <si>
    <t>GB-CON</t>
  </si>
  <si>
    <t>Cornwall</t>
  </si>
  <si>
    <t>as:GENC:6:ed2:GB-CON</t>
  </si>
  <si>
    <t>GB-COV</t>
  </si>
  <si>
    <t>Coventry</t>
  </si>
  <si>
    <t>as:ISO2:6:ed3:GB-COV</t>
  </si>
  <si>
    <t>GB-CGV</t>
  </si>
  <si>
    <t>Craigavon</t>
  </si>
  <si>
    <t>as:GENC:6:ed2:GB-CGV</t>
  </si>
  <si>
    <t>GB-CRY</t>
  </si>
  <si>
    <t>Croydon</t>
  </si>
  <si>
    <t>as:ISO2:6:ed3:GB-CRY</t>
  </si>
  <si>
    <t>GB-CMA</t>
  </si>
  <si>
    <t>Cumbria</t>
  </si>
  <si>
    <t>as:GENC:6:ed2:GB-CMA</t>
  </si>
  <si>
    <t>GB-DAL</t>
  </si>
  <si>
    <t>Darlington</t>
  </si>
  <si>
    <t>as:GENC:6:ed2:GB-DAL</t>
  </si>
  <si>
    <t>GB-DEN</t>
  </si>
  <si>
    <t>Denbighshire</t>
  </si>
  <si>
    <t>as:GENC:6:ed2:GB-DEN</t>
  </si>
  <si>
    <t>GB-DER</t>
  </si>
  <si>
    <t>Derby</t>
  </si>
  <si>
    <t>as:GENC:6:ed2:GB-DER</t>
  </si>
  <si>
    <t>GB-DBY</t>
  </si>
  <si>
    <t>Derbyshire</t>
  </si>
  <si>
    <t>as:GENC:6:ed2:GB-DBY</t>
  </si>
  <si>
    <t>GB-DRY</t>
  </si>
  <si>
    <t>Derry</t>
  </si>
  <si>
    <t>as:GENC:6:ed2:GB-DRY</t>
  </si>
  <si>
    <t>GB-DEV</t>
  </si>
  <si>
    <t>Devon</t>
  </si>
  <si>
    <t>as:GENC:6:ed2:GB-DEV</t>
  </si>
  <si>
    <t>GB-DNC</t>
  </si>
  <si>
    <t>Doncaster</t>
  </si>
  <si>
    <t>as:ISO2:6:ed3:GB-DNC</t>
  </si>
  <si>
    <t>GB-DOR</t>
  </si>
  <si>
    <t>Dorset</t>
  </si>
  <si>
    <t>as:GENC:6:ed2:GB-DOR</t>
  </si>
  <si>
    <t>GB-DOW</t>
  </si>
  <si>
    <t>Down</t>
  </si>
  <si>
    <t>as:GENC:6:ed2:GB-DOW</t>
  </si>
  <si>
    <t>GB-DUD</t>
  </si>
  <si>
    <t>Dudley</t>
  </si>
  <si>
    <t>as:ISO2:6:ed3:GB-DUD</t>
  </si>
  <si>
    <t>GB-DGY</t>
  </si>
  <si>
    <t>Dumfries and Galloway</t>
  </si>
  <si>
    <t>as:ISO2:6:ed3:GB-DGY</t>
  </si>
  <si>
    <t>GB-DND</t>
  </si>
  <si>
    <t>Dundee City</t>
  </si>
  <si>
    <t>as:ISO2:6:ed3:GB-DND</t>
  </si>
  <si>
    <t>GB-DGN</t>
  </si>
  <si>
    <t>Dungannon and South Tyrone</t>
  </si>
  <si>
    <t>as:GENC:6:ed2:GB-DGN</t>
  </si>
  <si>
    <t>GB-DUR</t>
  </si>
  <si>
    <t>Durham</t>
  </si>
  <si>
    <t>as:GENC:6:ed2:GB-DUR</t>
  </si>
  <si>
    <t>GB-EAL</t>
  </si>
  <si>
    <t>Ealing</t>
  </si>
  <si>
    <t>as:ISO2:6:ed3:GB-EAL</t>
  </si>
  <si>
    <t>GB-EAY</t>
  </si>
  <si>
    <t>East Ayrshire</t>
  </si>
  <si>
    <t>as:ISO2:6:ed3:GB-EAY</t>
  </si>
  <si>
    <t>GB-EDU</t>
  </si>
  <si>
    <t>East Dunbartonshire</t>
  </si>
  <si>
    <t>as:ISO2:6:ed3:GB-EDU</t>
  </si>
  <si>
    <t>GB-ELN</t>
  </si>
  <si>
    <t>East Lothian</t>
  </si>
  <si>
    <t>as:ISO2:6:ed3:GB-ELN</t>
  </si>
  <si>
    <t>GB-ERW</t>
  </si>
  <si>
    <t>East Renfrewshire</t>
  </si>
  <si>
    <t>as:ISO2:6:ed3:GB-ERW</t>
  </si>
  <si>
    <t>GB-ERY</t>
  </si>
  <si>
    <t>East Riding of Yorkshire</t>
  </si>
  <si>
    <t>as:GENC:6:ed2:GB-ERY</t>
  </si>
  <si>
    <t>GB-ESX</t>
  </si>
  <si>
    <t>East Sussex</t>
  </si>
  <si>
    <t>as:GENC:6:ed2:GB-ESX</t>
  </si>
  <si>
    <t>GB-EDH</t>
  </si>
  <si>
    <t>Edinburgh, City of</t>
  </si>
  <si>
    <t>as:ISO2:6:ed3:GB-EDH</t>
  </si>
  <si>
    <t>GB-ELS</t>
  </si>
  <si>
    <t>Eilean Siar</t>
  </si>
  <si>
    <t>as:ISO2:6:ed3:GB-ELS</t>
  </si>
  <si>
    <t>GB-ENF</t>
  </si>
  <si>
    <t>Enfield</t>
  </si>
  <si>
    <t>as:ISO2:6:ed3:GB-ENF</t>
  </si>
  <si>
    <t>GB-ENG</t>
  </si>
  <si>
    <t>England</t>
  </si>
  <si>
    <t>as:ISO2:6:ed3:GB-ENG</t>
  </si>
  <si>
    <t>GB-ESS</t>
  </si>
  <si>
    <t>Essex</t>
  </si>
  <si>
    <t>as:GENC:6:ed2:GB-ESS</t>
  </si>
  <si>
    <t>GB-FAL</t>
  </si>
  <si>
    <t>Falkirk</t>
  </si>
  <si>
    <t>as:ISO2:6:ed3:GB-FAL</t>
  </si>
  <si>
    <t>GB-FER</t>
  </si>
  <si>
    <t>Fermanagh</t>
  </si>
  <si>
    <t>as:GENC:6:ed2:GB-FER</t>
  </si>
  <si>
    <t>GB-FIF</t>
  </si>
  <si>
    <t>Fife</t>
  </si>
  <si>
    <t>as:ISO2:6:ed3:GB-FIF</t>
  </si>
  <si>
    <t>GB-FLN</t>
  </si>
  <si>
    <t>Flintshire</t>
  </si>
  <si>
    <t>as:GENC:6:ed2:GB-FLN</t>
  </si>
  <si>
    <t>GB-GAT</t>
  </si>
  <si>
    <t>Gateshead</t>
  </si>
  <si>
    <t>as:ISO2:6:ed3:GB-GAT</t>
  </si>
  <si>
    <t>GB-GLG</t>
  </si>
  <si>
    <t>Glasgow City</t>
  </si>
  <si>
    <t>as:ISO2:6:ed3:GB-GLG</t>
  </si>
  <si>
    <t>GB-GLS</t>
  </si>
  <si>
    <t>Gloucestershire</t>
  </si>
  <si>
    <t>as:GENC:6:ed2:GB-GLS</t>
  </si>
  <si>
    <t>GB-GRE</t>
  </si>
  <si>
    <t>Greenwich</t>
  </si>
  <si>
    <t>as:ISO2:6:ed3:GB-GRE</t>
  </si>
  <si>
    <t>GB-GWN</t>
  </si>
  <si>
    <t>Gwynedd</t>
  </si>
  <si>
    <t>as:GENC:6:ed2:GB-GWN</t>
  </si>
  <si>
    <t>GB-HCK</t>
  </si>
  <si>
    <t>Hackney</t>
  </si>
  <si>
    <t>as:ISO2:6:ed3:GB-HCK</t>
  </si>
  <si>
    <t>GB-HAL</t>
  </si>
  <si>
    <t>Halton</t>
  </si>
  <si>
    <t>as:GENC:6:ed2:GB-HAL</t>
  </si>
  <si>
    <t>GB-HMF</t>
  </si>
  <si>
    <t>Hammersmith and Fulham</t>
  </si>
  <si>
    <t>as:ISO2:6:ed3:GB-HMF</t>
  </si>
  <si>
    <t>GB-HAM</t>
  </si>
  <si>
    <t>Hampshire</t>
  </si>
  <si>
    <t>as:GENC:6:ed2:GB-HAM</t>
  </si>
  <si>
    <t>GB-HRY</t>
  </si>
  <si>
    <t>Haringey</t>
  </si>
  <si>
    <t>as:ISO2:6:ed3:GB-HRY</t>
  </si>
  <si>
    <t>GB-HRW</t>
  </si>
  <si>
    <t>Harrow</t>
  </si>
  <si>
    <t>as:ISO2:6:ed3:GB-HRW</t>
  </si>
  <si>
    <t>GB-HPL</t>
  </si>
  <si>
    <t>Hartlepool</t>
  </si>
  <si>
    <t>as:GENC:6:ed2:GB-HPL</t>
  </si>
  <si>
    <t>GB-HAV</t>
  </si>
  <si>
    <t>Havering</t>
  </si>
  <si>
    <t>as:ISO2:6:ed3:GB-HAV</t>
  </si>
  <si>
    <t>GB-HEF</t>
  </si>
  <si>
    <t>Herefordshire</t>
  </si>
  <si>
    <t>as:GENC:6:ed2:GB-HEF</t>
  </si>
  <si>
    <t>GB-HRT</t>
  </si>
  <si>
    <t>Hertfordshire</t>
  </si>
  <si>
    <t>as:GENC:6:ed2:GB-HRT</t>
  </si>
  <si>
    <t>GB-HLD</t>
  </si>
  <si>
    <t>Highland</t>
  </si>
  <si>
    <t>as:ISO2:6:ed3:GB-HLD</t>
  </si>
  <si>
    <t>GB-HIL</t>
  </si>
  <si>
    <t>Hillingdon</t>
  </si>
  <si>
    <t>as:ISO2:6:ed3:GB-HIL</t>
  </si>
  <si>
    <t>GB-HNS</t>
  </si>
  <si>
    <t>Hounslow</t>
  </si>
  <si>
    <t>as:ISO2:6:ed3:GB-HNS</t>
  </si>
  <si>
    <t>GB-IVC</t>
  </si>
  <si>
    <t>Inverclyde</t>
  </si>
  <si>
    <t>as:ISO2:6:ed3:GB-IVC</t>
  </si>
  <si>
    <t>GB-AGY</t>
  </si>
  <si>
    <t>Isle of Anglesey</t>
  </si>
  <si>
    <t>as:GENC:6:ed2:GB-AGY</t>
  </si>
  <si>
    <t>GB-IOW</t>
  </si>
  <si>
    <t>Isle of Wight</t>
  </si>
  <si>
    <t>as:GENC:6:ed2:GB-IOW</t>
  </si>
  <si>
    <t>GB-IOS</t>
  </si>
  <si>
    <t>Isles of Scilly</t>
  </si>
  <si>
    <t>as:GENC:6:ed2:GB-IOS</t>
  </si>
  <si>
    <t>GB-ISL</t>
  </si>
  <si>
    <t>Islington</t>
  </si>
  <si>
    <t>as:ISO2:6:ed3:GB-ISL</t>
  </si>
  <si>
    <t>GB-KEC</t>
  </si>
  <si>
    <t>Kensington and Chelsea</t>
  </si>
  <si>
    <t>as:ISO2:6:ed3:GB-KEC</t>
  </si>
  <si>
    <t>GB-KEN</t>
  </si>
  <si>
    <t>Kent</t>
  </si>
  <si>
    <t>as:GENC:6:ed2:GB-KEN</t>
  </si>
  <si>
    <t>GB-KHL</t>
  </si>
  <si>
    <t>Kingston upon Hull, City of</t>
  </si>
  <si>
    <t>as:GENC:6:ed2:GB-KHL</t>
  </si>
  <si>
    <t>GB-KTT</t>
  </si>
  <si>
    <t>Kingston upon Thames</t>
  </si>
  <si>
    <t>as:ISO2:6:ed3:GB-KTT</t>
  </si>
  <si>
    <t>GB-KIR</t>
  </si>
  <si>
    <t>Kirklees</t>
  </si>
  <si>
    <t>as:ISO2:6:ed3:GB-KIR</t>
  </si>
  <si>
    <t>GB-KWL</t>
  </si>
  <si>
    <t>Knowsley</t>
  </si>
  <si>
    <t>as:ISO2:6:ed3:GB-KWL</t>
  </si>
  <si>
    <t>GB-LBH</t>
  </si>
  <si>
    <t>Lambeth</t>
  </si>
  <si>
    <t>as:ISO2:6:ed3:GB-LBH</t>
  </si>
  <si>
    <t>GB-LAN</t>
  </si>
  <si>
    <t>Lancashire</t>
  </si>
  <si>
    <t>as:GENC:6:ed2:GB-LAN</t>
  </si>
  <si>
    <t>GB-LRN</t>
  </si>
  <si>
    <t>Larne</t>
  </si>
  <si>
    <t>as:GENC:6:ed2:GB-LRN</t>
  </si>
  <si>
    <t>GB-LDS</t>
  </si>
  <si>
    <t>Leeds</t>
  </si>
  <si>
    <t>as:ISO2:6:ed3:GB-LDS</t>
  </si>
  <si>
    <t>GB-LCE</t>
  </si>
  <si>
    <t>Leicester</t>
  </si>
  <si>
    <t>as:GENC:6:ed2:GB-LCE</t>
  </si>
  <si>
    <t>GB-LEC</t>
  </si>
  <si>
    <t>Leicestershire</t>
  </si>
  <si>
    <t>as:GENC:6:ed2:GB-LEC</t>
  </si>
  <si>
    <t>GB-LEW</t>
  </si>
  <si>
    <t>Lewisham</t>
  </si>
  <si>
    <t>as:ISO2:6:ed3:GB-LEW</t>
  </si>
  <si>
    <t>GB-LMV</t>
  </si>
  <si>
    <t>Limavady</t>
  </si>
  <si>
    <t>as:GENC:6:ed2:GB-LMV</t>
  </si>
  <si>
    <t>GB-LIN</t>
  </si>
  <si>
    <t>Lincolnshire</t>
  </si>
  <si>
    <t>as:GENC:6:ed2:GB-LIN</t>
  </si>
  <si>
    <t>GB-LSB</t>
  </si>
  <si>
    <t>Lisburn</t>
  </si>
  <si>
    <t>as:GENC:6:ed2:GB-LSB</t>
  </si>
  <si>
    <t>GB-LIV</t>
  </si>
  <si>
    <t>Liverpool</t>
  </si>
  <si>
    <t>as:ISO2:6:ed3:GB-LIV</t>
  </si>
  <si>
    <t>GB-LND</t>
  </si>
  <si>
    <t>London, City of</t>
  </si>
  <si>
    <t>city corporation</t>
  </si>
  <si>
    <t>as:ISO2:6:ed3:GB-LND</t>
  </si>
  <si>
    <t>GB-LUT</t>
  </si>
  <si>
    <t>Luton</t>
  </si>
  <si>
    <t>as:GENC:6:ed2:GB-LUT</t>
  </si>
  <si>
    <t>GB-MFT</t>
  </si>
  <si>
    <t>Magherafelt</t>
  </si>
  <si>
    <t>as:GENC:6:ed2:GB-MFT</t>
  </si>
  <si>
    <t>GB-MAN</t>
  </si>
  <si>
    <t>as:ISO2:6:ed3:GB-MAN</t>
  </si>
  <si>
    <t>GB-MDW</t>
  </si>
  <si>
    <t>Medway</t>
  </si>
  <si>
    <t>as:GENC:6:ed2:GB-MDW</t>
  </si>
  <si>
    <t>GB-MTY</t>
  </si>
  <si>
    <t>Merthyr Tydfil</t>
  </si>
  <si>
    <t>as:GENC:6:ed2:GB-MTY</t>
  </si>
  <si>
    <t>GB-MRT</t>
  </si>
  <si>
    <t>Merton</t>
  </si>
  <si>
    <t>as:ISO2:6:ed3:GB-MRT</t>
  </si>
  <si>
    <t>GB-MDB</t>
  </si>
  <si>
    <t>Middlesbrough</t>
  </si>
  <si>
    <t>as:GENC:6:ed2:GB-MDB</t>
  </si>
  <si>
    <t>GB-MLN</t>
  </si>
  <si>
    <t>Midlothian</t>
  </si>
  <si>
    <t>as:ISO2:6:ed3:GB-MLN</t>
  </si>
  <si>
    <t>GB-MIK</t>
  </si>
  <si>
    <t>Milton Keynes</t>
  </si>
  <si>
    <t>as:GENC:6:ed2:GB-MIK</t>
  </si>
  <si>
    <t>GB-MON</t>
  </si>
  <si>
    <t>Monmouthshire</t>
  </si>
  <si>
    <t>as:GENC:6:ed2:GB-MON</t>
  </si>
  <si>
    <t>GB-MRY</t>
  </si>
  <si>
    <t>Moray</t>
  </si>
  <si>
    <t>as:ISO2:6:ed3:GB-MRY</t>
  </si>
  <si>
    <t>GB-MYL</t>
  </si>
  <si>
    <t>Moyle</t>
  </si>
  <si>
    <t>as:GENC:6:ed2:GB-MYL</t>
  </si>
  <si>
    <t>GB-NTL</t>
  </si>
  <si>
    <t>Neath Port Talbot</t>
  </si>
  <si>
    <t>as:GENC:6:ed2:GB-NTL</t>
  </si>
  <si>
    <t>GB-NET</t>
  </si>
  <si>
    <t>Newcastle upon Tyne</t>
  </si>
  <si>
    <t>as:ISO2:6:ed3:GB-NET</t>
  </si>
  <si>
    <t>GB-NWM</t>
  </si>
  <si>
    <t>Newham</t>
  </si>
  <si>
    <t>as:ISO2:6:ed3:GB-NWM</t>
  </si>
  <si>
    <t>GB-NWP</t>
  </si>
  <si>
    <t>Newport</t>
  </si>
  <si>
    <t>as:GENC:6:ed2:GB-NWP</t>
  </si>
  <si>
    <t>GB-NYM</t>
  </si>
  <si>
    <t>Newry and Mourne</t>
  </si>
  <si>
    <t>as:GENC:6:ed2:GB-NYM</t>
  </si>
  <si>
    <t>GB-NTA</t>
  </si>
  <si>
    <t>Newtownabbey</t>
  </si>
  <si>
    <t>as:GENC:6:ed2:GB-NTA</t>
  </si>
  <si>
    <t>GB-NFK</t>
  </si>
  <si>
    <t>Norfolk</t>
  </si>
  <si>
    <t>as:GENC:6:ed2:GB-NFK</t>
  </si>
  <si>
    <t>GB-NTH</t>
  </si>
  <si>
    <t>Northamptonshire</t>
  </si>
  <si>
    <t>as:GENC:6:ed2:GB-NTH</t>
  </si>
  <si>
    <t>GB-NAY</t>
  </si>
  <si>
    <t>North Ayrshire</t>
  </si>
  <si>
    <t>as:ISO2:6:ed3:GB-NAY</t>
  </si>
  <si>
    <t>GB-NDN</t>
  </si>
  <si>
    <t>North Down</t>
  </si>
  <si>
    <t>as:GENC:6:ed2:GB-NDN</t>
  </si>
  <si>
    <t>GB-NEL</t>
  </si>
  <si>
    <t>North East Lincolnshire</t>
  </si>
  <si>
    <t>as:GENC:6:ed2:GB-NEL</t>
  </si>
  <si>
    <t>GB-NIR</t>
  </si>
  <si>
    <t>Northern Ireland</t>
  </si>
  <si>
    <t>as:ISO2:6:ed3:GB-NIR</t>
  </si>
  <si>
    <t>GB-NLK</t>
  </si>
  <si>
    <t>North Lanarkshire</t>
  </si>
  <si>
    <t>as:ISO2:6:ed3:GB-NLK</t>
  </si>
  <si>
    <t>GB-NLN</t>
  </si>
  <si>
    <t>North Lincolnshire</t>
  </si>
  <si>
    <t>as:GENC:6:ed2:GB-NLN</t>
  </si>
  <si>
    <t>GB-NSM</t>
  </si>
  <si>
    <t>North Somerset</t>
  </si>
  <si>
    <t>as:GENC:6:ed2:GB-NSM</t>
  </si>
  <si>
    <t>GB-NTY</t>
  </si>
  <si>
    <t>North Tyneside</t>
  </si>
  <si>
    <t>as:ISO2:6:ed3:GB-NTY</t>
  </si>
  <si>
    <t>GB-NBL</t>
  </si>
  <si>
    <t>Northumberland</t>
  </si>
  <si>
    <t>as:GENC:6:ed2:GB-NBL</t>
  </si>
  <si>
    <t>GB-NYK</t>
  </si>
  <si>
    <t>North Yorkshire</t>
  </si>
  <si>
    <t>as:GENC:6:ed2:GB-NYK</t>
  </si>
  <si>
    <t>GB-NGM</t>
  </si>
  <si>
    <t>Nottingham</t>
  </si>
  <si>
    <t>as:GENC:6:ed2:GB-NGM</t>
  </si>
  <si>
    <t>GB-NTT</t>
  </si>
  <si>
    <t>Nottinghamshire</t>
  </si>
  <si>
    <t>as:GENC:6:ed2:GB-NTT</t>
  </si>
  <si>
    <t>GB-OLD</t>
  </si>
  <si>
    <t>Oldham</t>
  </si>
  <si>
    <t>as:ISO2:6:ed3:GB-OLD</t>
  </si>
  <si>
    <t>GB-OMH</t>
  </si>
  <si>
    <t>Omagh</t>
  </si>
  <si>
    <t>as:GENC:6:ed2:GB-OMH</t>
  </si>
  <si>
    <t>GB-ORK</t>
  </si>
  <si>
    <t>Orkney Islands</t>
  </si>
  <si>
    <t>as:ISO2:6:ed3:GB-ORK</t>
  </si>
  <si>
    <t>GB-OXF</t>
  </si>
  <si>
    <t>Oxfordshire</t>
  </si>
  <si>
    <t>as:GENC:6:ed2:GB-OXF</t>
  </si>
  <si>
    <t>GB-PEM</t>
  </si>
  <si>
    <t>Pembrokeshire</t>
  </si>
  <si>
    <t>as:GENC:6:ed2:GB-PEM</t>
  </si>
  <si>
    <t>GB-PKN</t>
  </si>
  <si>
    <t>Perth and Kinross</t>
  </si>
  <si>
    <t>as:ISO2:6:ed3:GB-PKN</t>
  </si>
  <si>
    <t>GB-PTE</t>
  </si>
  <si>
    <t>Peterborough</t>
  </si>
  <si>
    <t>as:GENC:6:ed2:GB-PTE</t>
  </si>
  <si>
    <t>GB-PLY</t>
  </si>
  <si>
    <t>Plymouth</t>
  </si>
  <si>
    <t>as:GENC:6:ed2:GB-PLY</t>
  </si>
  <si>
    <t>GB-POL</t>
  </si>
  <si>
    <t>Poole</t>
  </si>
  <si>
    <t>as:GENC:6:ed2:GB-POL</t>
  </si>
  <si>
    <t>GB-POR</t>
  </si>
  <si>
    <t>Portsmouth</t>
  </si>
  <si>
    <t>as:GENC:6:ed2:GB-POR</t>
  </si>
  <si>
    <t>GB-POW</t>
  </si>
  <si>
    <t>Powys</t>
  </si>
  <si>
    <t>as:GENC:6:ed2:GB-POW</t>
  </si>
  <si>
    <t>GB-RDG</t>
  </si>
  <si>
    <t>Reading</t>
  </si>
  <si>
    <t>as:GENC:6:ed2:GB-RDG</t>
  </si>
  <si>
    <t>GB-RDB</t>
  </si>
  <si>
    <t>Redbridge</t>
  </si>
  <si>
    <t>as:ISO2:6:ed3:GB-RDB</t>
  </si>
  <si>
    <t>GB-RCC</t>
  </si>
  <si>
    <t>Redcar and Cleveland</t>
  </si>
  <si>
    <t>as:GENC:6:ed2:GB-RCC</t>
  </si>
  <si>
    <t>GB-RFW</t>
  </si>
  <si>
    <t>Renfrewshire</t>
  </si>
  <si>
    <t>as:ISO2:6:ed3:GB-RFW</t>
  </si>
  <si>
    <t>GB-RCT</t>
  </si>
  <si>
    <t>Rhondda Cynon Taff</t>
  </si>
  <si>
    <t>as:GENC:6:ed2:GB-RCT</t>
  </si>
  <si>
    <t>GB-RIC</t>
  </si>
  <si>
    <t>Richmond upon Thames</t>
  </si>
  <si>
    <t>as:ISO2:6:ed3:GB-RIC</t>
  </si>
  <si>
    <t>GB-RCH</t>
  </si>
  <si>
    <t>Rochdale</t>
  </si>
  <si>
    <t>as:ISO2:6:ed3:GB-RCH</t>
  </si>
  <si>
    <t>GB-ROT</t>
  </si>
  <si>
    <t>Rotherham</t>
  </si>
  <si>
    <t>as:ISO2:6:ed3:GB-ROT</t>
  </si>
  <si>
    <t>GB-RUT</t>
  </si>
  <si>
    <t>Rutland</t>
  </si>
  <si>
    <t>as:GENC:6:ed2:GB-RUT</t>
  </si>
  <si>
    <t>GB-SLF</t>
  </si>
  <si>
    <t>Salford</t>
  </si>
  <si>
    <t>as:ISO2:6:ed3:GB-SLF</t>
  </si>
  <si>
    <t>GB-SAW</t>
  </si>
  <si>
    <t>Sandwell</t>
  </si>
  <si>
    <t>as:ISO2:6:ed3:GB-SAW</t>
  </si>
  <si>
    <t>GB-SCT</t>
  </si>
  <si>
    <t>Scotland</t>
  </si>
  <si>
    <t>as:ISO2:6:ed3:GB-SCT</t>
  </si>
  <si>
    <t>GB-SCB</t>
  </si>
  <si>
    <t>Scottish Borders, The</t>
  </si>
  <si>
    <t>as:ISO2:6:ed3:GB-SCB</t>
  </si>
  <si>
    <t>GB-SFT</t>
  </si>
  <si>
    <t>Sefton</t>
  </si>
  <si>
    <t>as:ISO2:6:ed3:GB-SFT</t>
  </si>
  <si>
    <t>GB-SHF</t>
  </si>
  <si>
    <t>Sheffield</t>
  </si>
  <si>
    <t>as:ISO2:6:ed3:GB-SHF</t>
  </si>
  <si>
    <t>GB-ZET</t>
  </si>
  <si>
    <t>Shetland Islands</t>
  </si>
  <si>
    <t>as:ISO2:6:ed3:GB-ZET</t>
  </si>
  <si>
    <t>GB-SHR</t>
  </si>
  <si>
    <t>Shropshire</t>
  </si>
  <si>
    <t>as:GENC:6:ed2:GB-SHR</t>
  </si>
  <si>
    <t>GB-SLG</t>
  </si>
  <si>
    <t>Slough</t>
  </si>
  <si>
    <t>as:GENC:6:ed2:GB-SLG</t>
  </si>
  <si>
    <t>GB-SOL</t>
  </si>
  <si>
    <t>Solihull</t>
  </si>
  <si>
    <t>as:ISO2:6:ed3:GB-SOL</t>
  </si>
  <si>
    <t>GB-SOM</t>
  </si>
  <si>
    <t>Somerset</t>
  </si>
  <si>
    <t>as:GENC:6:ed2:GB-SOM</t>
  </si>
  <si>
    <t>GB-STH</t>
  </si>
  <si>
    <t>as:GENC:6:ed2:GB-STH</t>
  </si>
  <si>
    <t>GB-SAY</t>
  </si>
  <si>
    <t>South Ayrshire</t>
  </si>
  <si>
    <t>as:ISO2:6:ed3:GB-SAY</t>
  </si>
  <si>
    <t>GB-SOS</t>
  </si>
  <si>
    <t>Southend-on-Sea</t>
  </si>
  <si>
    <t>as:GENC:6:ed2:GB-SOS</t>
  </si>
  <si>
    <t>GB-SGC</t>
  </si>
  <si>
    <t>South Gloucestershire</t>
  </si>
  <si>
    <t>as:GENC:6:ed2:GB-SGC</t>
  </si>
  <si>
    <t>GB-SLK</t>
  </si>
  <si>
    <t>South Lanarkshire</t>
  </si>
  <si>
    <t>as:ISO2:6:ed3:GB-SLK</t>
  </si>
  <si>
    <t>GB-STY</t>
  </si>
  <si>
    <t>South Tyneside</t>
  </si>
  <si>
    <t>as:ISO2:6:ed3:GB-STY</t>
  </si>
  <si>
    <t>GB-SWK</t>
  </si>
  <si>
    <t>Southwark</t>
  </si>
  <si>
    <t>as:ISO2:6:ed3:GB-SWK</t>
  </si>
  <si>
    <t>GB-STS</t>
  </si>
  <si>
    <t>Staffordshire</t>
  </si>
  <si>
    <t>as:GENC:6:ed2:GB-STS</t>
  </si>
  <si>
    <t>GB-SHN</t>
  </si>
  <si>
    <t>St. Helens</t>
  </si>
  <si>
    <t>as:ISO2:6:ed3:GB-SHN</t>
  </si>
  <si>
    <t>GB-STG</t>
  </si>
  <si>
    <t>Stirling</t>
  </si>
  <si>
    <t>as:ISO2:6:ed3:GB-STG</t>
  </si>
  <si>
    <t>GB-SKP</t>
  </si>
  <si>
    <t>Stockport</t>
  </si>
  <si>
    <t>as:ISO2:6:ed3:GB-SKP</t>
  </si>
  <si>
    <t>GB-STT</t>
  </si>
  <si>
    <t>Stockton-on-Tees</t>
  </si>
  <si>
    <t>as:GENC:6:ed2:GB-STT</t>
  </si>
  <si>
    <t>GB-STE</t>
  </si>
  <si>
    <t>Stoke-on-Trent</t>
  </si>
  <si>
    <t>as:GENC:6:ed2:GB-STE</t>
  </si>
  <si>
    <t>GB-STB</t>
  </si>
  <si>
    <t>Strabane</t>
  </si>
  <si>
    <t>as:GENC:6:ed2:GB-STB</t>
  </si>
  <si>
    <t>GB-SFK</t>
  </si>
  <si>
    <t>Suffolk</t>
  </si>
  <si>
    <t>as:GENC:6:ed2:GB-SFK</t>
  </si>
  <si>
    <t>GB-SND</t>
  </si>
  <si>
    <t>Sunderland</t>
  </si>
  <si>
    <t>as:ISO2:6:ed3:GB-SND</t>
  </si>
  <si>
    <t>GB-SRY</t>
  </si>
  <si>
    <t>Surrey</t>
  </si>
  <si>
    <t>as:GENC:6:ed2:GB-SRY</t>
  </si>
  <si>
    <t>GB-STN</t>
  </si>
  <si>
    <t>Sutton</t>
  </si>
  <si>
    <t>as:ISO2:6:ed3:GB-STN</t>
  </si>
  <si>
    <t>GB-SWA</t>
  </si>
  <si>
    <t>Swansea</t>
  </si>
  <si>
    <t>as:GENC:6:ed2:GB-SWA</t>
  </si>
  <si>
    <t>GB-SWD</t>
  </si>
  <si>
    <t>Swindon</t>
  </si>
  <si>
    <t>as:GENC:6:ed2:GB-SWD</t>
  </si>
  <si>
    <t>GB-TAM</t>
  </si>
  <si>
    <t>Tameside</t>
  </si>
  <si>
    <t>as:ISO2:6:ed3:GB-TAM</t>
  </si>
  <si>
    <t>GB-TFW</t>
  </si>
  <si>
    <t>Telford and Wrekin</t>
  </si>
  <si>
    <t>as:GENC:6:ed2:GB-TFW</t>
  </si>
  <si>
    <t>GB-THR</t>
  </si>
  <si>
    <t>Thurrock</t>
  </si>
  <si>
    <t>as:GENC:6:ed2:GB-THR</t>
  </si>
  <si>
    <t>GB-TOB</t>
  </si>
  <si>
    <t>Torbay</t>
  </si>
  <si>
    <t>as:GENC:6:ed2:GB-TOB</t>
  </si>
  <si>
    <t>GB-TOF</t>
  </si>
  <si>
    <t>Torfaen</t>
  </si>
  <si>
    <t>as:GENC:6:ed2:GB-TOF</t>
  </si>
  <si>
    <t>GB-TWH</t>
  </si>
  <si>
    <t>Tower Hamlets</t>
  </si>
  <si>
    <t>as:ISO2:6:ed3:GB-TWH</t>
  </si>
  <si>
    <t>GB-TRF</t>
  </si>
  <si>
    <t>Trafford</t>
  </si>
  <si>
    <t>as:ISO2:6:ed3:GB-TRF</t>
  </si>
  <si>
    <t>GB-VGL</t>
  </si>
  <si>
    <t>Vale of Glamorgan, The</t>
  </si>
  <si>
    <t>as:GENC:6:ed2:GB-VGL</t>
  </si>
  <si>
    <t>GB-WKF</t>
  </si>
  <si>
    <t>Wakefield</t>
  </si>
  <si>
    <t>as:ISO2:6:ed3:GB-WKF</t>
  </si>
  <si>
    <t>GB-WLS</t>
  </si>
  <si>
    <t>Wales</t>
  </si>
  <si>
    <t>as:GENC:6:ed2:GB-WLS</t>
  </si>
  <si>
    <t>GB-WLL</t>
  </si>
  <si>
    <t>Walsall</t>
  </si>
  <si>
    <t>as:ISO2:6:ed3:GB-WLL</t>
  </si>
  <si>
    <t>GB-WFT</t>
  </si>
  <si>
    <t>Waltham Forest</t>
  </si>
  <si>
    <t>as:ISO2:6:ed3:GB-WFT</t>
  </si>
  <si>
    <t>GB-WND</t>
  </si>
  <si>
    <t>Wandsworth</t>
  </si>
  <si>
    <t>as:ISO2:6:ed3:GB-WND</t>
  </si>
  <si>
    <t>GB-WRT</t>
  </si>
  <si>
    <t>Warrington</t>
  </si>
  <si>
    <t>as:GENC:6:ed2:GB-WRT</t>
  </si>
  <si>
    <t>GB-WAR</t>
  </si>
  <si>
    <t>Warwickshire</t>
  </si>
  <si>
    <t>two-tier county</t>
  </si>
  <si>
    <t>as:GENC:6:ed2:GB-WAR</t>
  </si>
  <si>
    <t>GB-WBK</t>
  </si>
  <si>
    <t>West Berkshire</t>
  </si>
  <si>
    <t>as:GENC:6:ed2:GB-WBK</t>
  </si>
  <si>
    <t>GB-WDU</t>
  </si>
  <si>
    <t>West Dunbartonshire</t>
  </si>
  <si>
    <t>as:ISO2:6:ed3:GB-WDU</t>
  </si>
  <si>
    <t>GB-WLN</t>
  </si>
  <si>
    <t>West Lothian</t>
  </si>
  <si>
    <t>as:ISO2:6:ed3:GB-WLN</t>
  </si>
  <si>
    <t>GB-WSM</t>
  </si>
  <si>
    <t>Westminster</t>
  </si>
  <si>
    <t>as:ISO2:6:ed3:GB-WSM</t>
  </si>
  <si>
    <t>GB-WSX</t>
  </si>
  <si>
    <t>West Sussex</t>
  </si>
  <si>
    <t>as:GENC:6:ed2:GB-WSX</t>
  </si>
  <si>
    <t>GB-WGN</t>
  </si>
  <si>
    <t>Wigan</t>
  </si>
  <si>
    <t>as:ISO2:6:ed3:GB-WGN</t>
  </si>
  <si>
    <t>GB-WIL</t>
  </si>
  <si>
    <t>Wiltshire</t>
  </si>
  <si>
    <t>as:GENC:6:ed2:GB-WIL</t>
  </si>
  <si>
    <t>GB-WNM</t>
  </si>
  <si>
    <t>Windsor and Maidenhead</t>
  </si>
  <si>
    <t>as:GENC:6:ed2:GB-WNM</t>
  </si>
  <si>
    <t>GB-WRL</t>
  </si>
  <si>
    <t>Wirral</t>
  </si>
  <si>
    <t>as:ISO2:6:ed3:GB-WRL</t>
  </si>
  <si>
    <t>GB-WOK</t>
  </si>
  <si>
    <t>Wokingham</t>
  </si>
  <si>
    <t>as:GENC:6:ed2:GB-WOK</t>
  </si>
  <si>
    <t>GB-WLV</t>
  </si>
  <si>
    <t>Wolverhampton</t>
  </si>
  <si>
    <t>as:ISO2:6:ed3:GB-WLV</t>
  </si>
  <si>
    <t>GB-WOR</t>
  </si>
  <si>
    <t>Worcestershire</t>
  </si>
  <si>
    <t>as:GENC:6:ed2:GB-WOR</t>
  </si>
  <si>
    <t>GB-WRX</t>
  </si>
  <si>
    <t>Wrexham</t>
  </si>
  <si>
    <t>as:GENC:6:ed2:GB-WRX</t>
  </si>
  <si>
    <t>GB-YOR</t>
  </si>
  <si>
    <t>York</t>
  </si>
  <si>
    <t>as:GENC:6:ed2:GB-YOR</t>
  </si>
  <si>
    <t>US-AL</t>
  </si>
  <si>
    <t>Alabama</t>
  </si>
  <si>
    <t>as:ISO2:6:ed3:US-AL</t>
  </si>
  <si>
    <t>US-AK</t>
  </si>
  <si>
    <t>Alaska</t>
  </si>
  <si>
    <t>as:ISO2:6:ed3:US-AK</t>
  </si>
  <si>
    <t>US-AS</t>
  </si>
  <si>
    <t>outlying area</t>
  </si>
  <si>
    <t>as:GENC:6:ed2:US-AS</t>
  </si>
  <si>
    <t>US-AZ</t>
  </si>
  <si>
    <t>Arizona</t>
  </si>
  <si>
    <t>as:ISO2:6:ed3:US-AZ</t>
  </si>
  <si>
    <t>US-AR</t>
  </si>
  <si>
    <t>Arkansas</t>
  </si>
  <si>
    <t>as:ISO2:6:ed3:US-AR</t>
  </si>
  <si>
    <t>US-CA</t>
  </si>
  <si>
    <t>California</t>
  </si>
  <si>
    <t>as:ISO2:6:ed3:US-CA</t>
  </si>
  <si>
    <t>US-CO</t>
  </si>
  <si>
    <t>Colorado</t>
  </si>
  <si>
    <t>as:ISO2:6:ed3:US-CO</t>
  </si>
  <si>
    <t>US-CT</t>
  </si>
  <si>
    <t>Connecticut</t>
  </si>
  <si>
    <t>as:ISO2:6:ed3:US-CT</t>
  </si>
  <si>
    <t>US-DE</t>
  </si>
  <si>
    <t>Delaware</t>
  </si>
  <si>
    <t>as:ISO2:6:ed3:US-DE</t>
  </si>
  <si>
    <t>US-DC</t>
  </si>
  <si>
    <t>District of Columbia</t>
  </si>
  <si>
    <t>as:ISO2:6:ed3:US-DC</t>
  </si>
  <si>
    <t>US-FL</t>
  </si>
  <si>
    <t>Florida</t>
  </si>
  <si>
    <t>as:ISO2:6:ed3:US-FL</t>
  </si>
  <si>
    <t>US-GA</t>
  </si>
  <si>
    <t>as:ISO2:6:ed3:US-GA</t>
  </si>
  <si>
    <t>US-GU</t>
  </si>
  <si>
    <t>as:GENC:6:ed2:US-GU</t>
  </si>
  <si>
    <t>US-HI</t>
  </si>
  <si>
    <t>Hawaii</t>
  </si>
  <si>
    <t>as:ISO2:6:ed3:US-HI</t>
  </si>
  <si>
    <t>US-ID</t>
  </si>
  <si>
    <t>Idaho</t>
  </si>
  <si>
    <t>as:ISO2:6:ed3:US-ID</t>
  </si>
  <si>
    <t>US-IL</t>
  </si>
  <si>
    <t>Illinois</t>
  </si>
  <si>
    <t>as:ISO2:6:ed3:US-IL</t>
  </si>
  <si>
    <t>US-IN</t>
  </si>
  <si>
    <t>Indiana</t>
  </si>
  <si>
    <t>as:ISO2:6:ed3:US-IN</t>
  </si>
  <si>
    <t>US-IA</t>
  </si>
  <si>
    <t>Iowa</t>
  </si>
  <si>
    <t>as:ISO2:6:ed3:US-IA</t>
  </si>
  <si>
    <t>US-KS</t>
  </si>
  <si>
    <t>Kansas</t>
  </si>
  <si>
    <t>as:ISO2:6:ed3:US-KS</t>
  </si>
  <si>
    <t>US-KY</t>
  </si>
  <si>
    <t>Kentucky</t>
  </si>
  <si>
    <t>as:ISO2:6:ed3:US-KY</t>
  </si>
  <si>
    <t>US-LA</t>
  </si>
  <si>
    <t>Louisiana</t>
  </si>
  <si>
    <t>as:ISO2:6:ed3:US-LA</t>
  </si>
  <si>
    <t>US-ME</t>
  </si>
  <si>
    <t>Maine</t>
  </si>
  <si>
    <t>as:ISO2:6:ed3:US-ME</t>
  </si>
  <si>
    <t>US-MD</t>
  </si>
  <si>
    <t>as:ISO2:6:ed3:US-MD</t>
  </si>
  <si>
    <t>US-MA</t>
  </si>
  <si>
    <t>Massachusetts</t>
  </si>
  <si>
    <t>as:ISO2:6:ed3:US-MA</t>
  </si>
  <si>
    <t>US-MI</t>
  </si>
  <si>
    <t>Michigan</t>
  </si>
  <si>
    <t>as:ISO2:6:ed3:US-MI</t>
  </si>
  <si>
    <t>US-MN</t>
  </si>
  <si>
    <t>Minnesota</t>
  </si>
  <si>
    <t>as:ISO2:6:ed3:US-MN</t>
  </si>
  <si>
    <t>US-MS</t>
  </si>
  <si>
    <t>Mississippi</t>
  </si>
  <si>
    <t>as:ISO2:6:ed3:US-MS</t>
  </si>
  <si>
    <t>US-MO</t>
  </si>
  <si>
    <t>Missouri</t>
  </si>
  <si>
    <t>as:ISO2:6:ed3:US-MO</t>
  </si>
  <si>
    <t>US-MT</t>
  </si>
  <si>
    <t>as:ISO2:6:ed3:US-MT</t>
  </si>
  <si>
    <t>US-NE</t>
  </si>
  <si>
    <t>Nebraska</t>
  </si>
  <si>
    <t>as:ISO2:6:ed3:US-NE</t>
  </si>
  <si>
    <t>US-NV</t>
  </si>
  <si>
    <t>Nevada</t>
  </si>
  <si>
    <t>as:ISO2:6:ed3:US-NV</t>
  </si>
  <si>
    <t>US-NH</t>
  </si>
  <si>
    <t>New Hampshire</t>
  </si>
  <si>
    <t>as:ISO2:6:ed3:US-NH</t>
  </si>
  <si>
    <t>US-NJ</t>
  </si>
  <si>
    <t>New Jersey</t>
  </si>
  <si>
    <t>as:ISO2:6:ed3:US-NJ</t>
  </si>
  <si>
    <t>US-NM</t>
  </si>
  <si>
    <t>New Mexico</t>
  </si>
  <si>
    <t>as:ISO2:6:ed3:US-NM</t>
  </si>
  <si>
    <t>US-NY</t>
  </si>
  <si>
    <t>New York</t>
  </si>
  <si>
    <t>as:ISO2:6:ed3:US-NY</t>
  </si>
  <si>
    <t>US-NC</t>
  </si>
  <si>
    <t>North Carolina</t>
  </si>
  <si>
    <t>as:ISO2:6:ed3:US-NC</t>
  </si>
  <si>
    <t>US-ND</t>
  </si>
  <si>
    <t>North Dakota</t>
  </si>
  <si>
    <t>as:ISO2:6:ed3:US-ND</t>
  </si>
  <si>
    <t>US-MP</t>
  </si>
  <si>
    <t>as:GENC:6:ed2:US-MP</t>
  </si>
  <si>
    <t>US-OH</t>
  </si>
  <si>
    <t>Ohio</t>
  </si>
  <si>
    <t>as:ISO2:6:ed3:US-OH</t>
  </si>
  <si>
    <t>US-OK</t>
  </si>
  <si>
    <t>Oklahoma</t>
  </si>
  <si>
    <t>as:ISO2:6:ed3:US-OK</t>
  </si>
  <si>
    <t>US-OR</t>
  </si>
  <si>
    <t>Oregon</t>
  </si>
  <si>
    <t>as:ISO2:6:ed3:US-OR</t>
  </si>
  <si>
    <t>US-PA</t>
  </si>
  <si>
    <t>Pennsylvania</t>
  </si>
  <si>
    <t>as:ISO2:6:ed3:US-PA</t>
  </si>
  <si>
    <t>US-PR</t>
  </si>
  <si>
    <t>as:GENC:6:ed2:US-PR</t>
  </si>
  <si>
    <t>US-RI</t>
  </si>
  <si>
    <t>Rhode Island</t>
  </si>
  <si>
    <t>as:ISO2:6:ed3:US-RI</t>
  </si>
  <si>
    <t>US-SC</t>
  </si>
  <si>
    <t>South Carolina</t>
  </si>
  <si>
    <t>as:ISO2:6:ed3:US-SC</t>
  </si>
  <si>
    <t>US-SD</t>
  </si>
  <si>
    <t>South Dakota</t>
  </si>
  <si>
    <t>as:ISO2:6:ed3:US-SD</t>
  </si>
  <si>
    <t>US-TN</t>
  </si>
  <si>
    <t>Tennessee</t>
  </si>
  <si>
    <t>as:ISO2:6:ed3:US-TN</t>
  </si>
  <si>
    <t>US-TX</t>
  </si>
  <si>
    <t>Texas</t>
  </si>
  <si>
    <t>as:ISO2:6:ed3:US-TX</t>
  </si>
  <si>
    <t>US-UM</t>
  </si>
  <si>
    <t>United States Minor Outlying Islands</t>
  </si>
  <si>
    <t>as:GENC:6:ed2:US-UM</t>
  </si>
  <si>
    <t>US-UT</t>
  </si>
  <si>
    <t>Utah</t>
  </si>
  <si>
    <t>as:ISO2:6:ed3:US-UT</t>
  </si>
  <si>
    <t>US-VT</t>
  </si>
  <si>
    <t>Vermont</t>
  </si>
  <si>
    <t>as:ISO2:6:ed3:US-VT</t>
  </si>
  <si>
    <t>US-VA</t>
  </si>
  <si>
    <t>Virginia</t>
  </si>
  <si>
    <t>as:ISO2:6:ed3:US-VA</t>
  </si>
  <si>
    <t>US-VI</t>
  </si>
  <si>
    <t>as:GENC:6:ed2:US-VI</t>
  </si>
  <si>
    <t>US-WA</t>
  </si>
  <si>
    <t>Washington</t>
  </si>
  <si>
    <t>as:ISO2:6:ed3:US-WA</t>
  </si>
  <si>
    <t>US-WV</t>
  </si>
  <si>
    <t>West Virginia</t>
  </si>
  <si>
    <t>as:ISO2:6:ed3:US-WV</t>
  </si>
  <si>
    <t>US-WI</t>
  </si>
  <si>
    <t>Wisconsin</t>
  </si>
  <si>
    <t>as:ISO2:6:ed3:US-WI</t>
  </si>
  <si>
    <t>US-WY</t>
  </si>
  <si>
    <t>Wyoming</t>
  </si>
  <si>
    <t>as:ISO2:6:ed3:US-WY</t>
  </si>
  <si>
    <t>UY-AR</t>
  </si>
  <si>
    <t>Artigas</t>
  </si>
  <si>
    <t>as:ISO2:6:ed3:UY-AR</t>
  </si>
  <si>
    <t>UY-CA</t>
  </si>
  <si>
    <t>Canelones</t>
  </si>
  <si>
    <t>as:ISO2:6:ed3:UY-CA</t>
  </si>
  <si>
    <t>UY-CL</t>
  </si>
  <si>
    <t>Cerro Largo</t>
  </si>
  <si>
    <t>as:ISO2:6:ed3:UY-CL</t>
  </si>
  <si>
    <t>UY-CO</t>
  </si>
  <si>
    <t>Colonia</t>
  </si>
  <si>
    <t>as:ISO2:6:ed3:UY-CO</t>
  </si>
  <si>
    <t>UY-DU</t>
  </si>
  <si>
    <t>Durazno</t>
  </si>
  <si>
    <t>as:ISO2:6:ed3:UY-DU</t>
  </si>
  <si>
    <t>UY-FS</t>
  </si>
  <si>
    <t>Flores</t>
  </si>
  <si>
    <t>as:ISO2:6:ed3:UY-FS</t>
  </si>
  <si>
    <t>UY-FD</t>
  </si>
  <si>
    <t>as:ISO2:6:ed3:UY-FD</t>
  </si>
  <si>
    <t>UY-LA</t>
  </si>
  <si>
    <t>Lavalleja</t>
  </si>
  <si>
    <t>as:ISO2:6:ed3:UY-LA</t>
  </si>
  <si>
    <t>UY-MA</t>
  </si>
  <si>
    <t>Maldonado</t>
  </si>
  <si>
    <t>as:ISO2:6:ed3:UY-MA</t>
  </si>
  <si>
    <t>UY-MO</t>
  </si>
  <si>
    <t>Montevideo</t>
  </si>
  <si>
    <t>as:ISO2:6:ed3:UY-MO</t>
  </si>
  <si>
    <t>UY-PA</t>
  </si>
  <si>
    <t>Paysandú</t>
  </si>
  <si>
    <t>as:ISO2:6:ed3:UY-PA</t>
  </si>
  <si>
    <t>UY-RN</t>
  </si>
  <si>
    <t>as:ISO2:6:ed3:UY-RN</t>
  </si>
  <si>
    <t>UY-RV</t>
  </si>
  <si>
    <t>Rivera</t>
  </si>
  <si>
    <t>as:ISO2:6:ed3:UY-RV</t>
  </si>
  <si>
    <t>UY-RO</t>
  </si>
  <si>
    <t>Rocha</t>
  </si>
  <si>
    <t>as:ISO2:6:ed3:UY-RO</t>
  </si>
  <si>
    <t>UY-SA</t>
  </si>
  <si>
    <t>Salto</t>
  </si>
  <si>
    <t>as:ISO2:6:ed3:UY-SA</t>
  </si>
  <si>
    <t>UY-SJ</t>
  </si>
  <si>
    <t>as:ISO2:6:ed3:UY-SJ</t>
  </si>
  <si>
    <t>UY-SO</t>
  </si>
  <si>
    <t>Soriano</t>
  </si>
  <si>
    <t>as:ISO2:6:ed3:UY-SO</t>
  </si>
  <si>
    <t>UY-TA</t>
  </si>
  <si>
    <t>Tacuarembó</t>
  </si>
  <si>
    <t>as:ISO2:6:ed3:UY-TA</t>
  </si>
  <si>
    <t>UY-TT</t>
  </si>
  <si>
    <t>Treinta y Tres</t>
  </si>
  <si>
    <t>as:ISO2:6:ed3:UY-TT</t>
  </si>
  <si>
    <t>UZ-AN</t>
  </si>
  <si>
    <t>Andijon</t>
  </si>
  <si>
    <t>as:ISO2:6:ed3:UZ-AN</t>
  </si>
  <si>
    <t>UZ-BU</t>
  </si>
  <si>
    <t>Buxoro</t>
  </si>
  <si>
    <t>as:ISO2:6:ed3:UZ-BU</t>
  </si>
  <si>
    <t>UZ-FA</t>
  </si>
  <si>
    <t>Farg‘ona</t>
  </si>
  <si>
    <t>as:ISO2:6:ed3:UZ-FA</t>
  </si>
  <si>
    <t>UZ-JI</t>
  </si>
  <si>
    <t>Jizzax</t>
  </si>
  <si>
    <t>as:ISO2:6:ed3:UZ-JI</t>
  </si>
  <si>
    <t>UZ-NG</t>
  </si>
  <si>
    <t>Namangan</t>
  </si>
  <si>
    <t>as:ISO2:6:ed3:UZ-NG</t>
  </si>
  <si>
    <t>UZ-NW</t>
  </si>
  <si>
    <t>Navoiy</t>
  </si>
  <si>
    <t>as:ISO2:6:ed3:UZ-NW</t>
  </si>
  <si>
    <t>UZ-QA</t>
  </si>
  <si>
    <t>Qashqadaryo</t>
  </si>
  <si>
    <t>as:ISO2:6:ed3:UZ-QA</t>
  </si>
  <si>
    <t>UZ-QR</t>
  </si>
  <si>
    <t>Qoraqalpog‘iston</t>
  </si>
  <si>
    <t>as:GENC:6:ed2:UZ-QR</t>
  </si>
  <si>
    <t>UZ-SA</t>
  </si>
  <si>
    <t>Samarqand</t>
  </si>
  <si>
    <t>as:ISO2:6:ed3:UZ-SA</t>
  </si>
  <si>
    <t>UZ-SI</t>
  </si>
  <si>
    <t>Sirdaryo</t>
  </si>
  <si>
    <t>as:ISO2:6:ed3:UZ-SI</t>
  </si>
  <si>
    <t>UZ-SU</t>
  </si>
  <si>
    <t>Surxondaryo</t>
  </si>
  <si>
    <t>as:ISO2:6:ed3:UZ-SU</t>
  </si>
  <si>
    <t>UZ-TK</t>
  </si>
  <si>
    <t>Toshkent</t>
  </si>
  <si>
    <t>as:ISO2:6:ed3:UZ-TK</t>
  </si>
  <si>
    <t>UZ-TO</t>
  </si>
  <si>
    <t>as:ISO2:6:ed3:UZ-TO</t>
  </si>
  <si>
    <t>UZ-XO</t>
  </si>
  <si>
    <t>Xorazm</t>
  </si>
  <si>
    <t>as:ISO2:6:ed3:UZ-XO</t>
  </si>
  <si>
    <t>VU-MAP</t>
  </si>
  <si>
    <t>Malampa</t>
  </si>
  <si>
    <t>as:GENC:6:ed2:VU-MAP</t>
  </si>
  <si>
    <t>VU-PAM</t>
  </si>
  <si>
    <t>Penama</t>
  </si>
  <si>
    <t>as:GENC:6:ed2:VU-PAM</t>
  </si>
  <si>
    <t>VU-SAM</t>
  </si>
  <si>
    <t>Sanma</t>
  </si>
  <si>
    <t>as:GENC:6:ed2:VU-SAM</t>
  </si>
  <si>
    <t>VU-SEE</t>
  </si>
  <si>
    <t>Shefa</t>
  </si>
  <si>
    <t>as:GENC:6:ed2:VU-SEE</t>
  </si>
  <si>
    <t>VU-TAE</t>
  </si>
  <si>
    <t>Tafea</t>
  </si>
  <si>
    <t>as:GENC:6:ed2:VU-TAE</t>
  </si>
  <si>
    <t>VU-TOB</t>
  </si>
  <si>
    <t>Torba</t>
  </si>
  <si>
    <t>as:GENC:6:ed2:VU-TOB</t>
  </si>
  <si>
    <t>VE-Z</t>
  </si>
  <si>
    <t>as:ISO2:6:ed3:VE-Z</t>
  </si>
  <si>
    <t>VE-B</t>
  </si>
  <si>
    <t>Anzoátegui</t>
  </si>
  <si>
    <t>as:ISO2:6:ed3:VE-B</t>
  </si>
  <si>
    <t>VE-C</t>
  </si>
  <si>
    <t>Apure</t>
  </si>
  <si>
    <t>as:ISO2:6:ed3:VE-C</t>
  </si>
  <si>
    <t>VE-D</t>
  </si>
  <si>
    <t>Aragua</t>
  </si>
  <si>
    <t>as:ISO2:6:ed3:VE-D</t>
  </si>
  <si>
    <t>VE-E</t>
  </si>
  <si>
    <t>Barinas</t>
  </si>
  <si>
    <t>as:ISO2:6:ed3:VE-E</t>
  </si>
  <si>
    <t>VE-F</t>
  </si>
  <si>
    <t>as:ISO2:6:ed3:VE-F</t>
  </si>
  <si>
    <t>VE-G</t>
  </si>
  <si>
    <t>Carabobo</t>
  </si>
  <si>
    <t>as:ISO2:6:ed3:VE-G</t>
  </si>
  <si>
    <t>VE-H</t>
  </si>
  <si>
    <t>Cojedes</t>
  </si>
  <si>
    <t>as:ISO2:6:ed3:VE-H</t>
  </si>
  <si>
    <t>VE-Y</t>
  </si>
  <si>
    <t>Delta Amacuro</t>
  </si>
  <si>
    <t>as:ISO2:6:ed3:VE-Y</t>
  </si>
  <si>
    <t>VE-W</t>
  </si>
  <si>
    <t>Dependencias Federales</t>
  </si>
  <si>
    <t>federal dependency</t>
  </si>
  <si>
    <t>as:GENC:6:ed2:VE-W</t>
  </si>
  <si>
    <t>VE-A</t>
  </si>
  <si>
    <t>Distrito Capital</t>
  </si>
  <si>
    <t>as:GENC:6:ed2:VE-A</t>
  </si>
  <si>
    <t>VE-I</t>
  </si>
  <si>
    <t>Falcón</t>
  </si>
  <si>
    <t>as:ISO2:6:ed3:VE-I</t>
  </si>
  <si>
    <t>VE-J</t>
  </si>
  <si>
    <t>Guárico</t>
  </si>
  <si>
    <t>as:ISO2:6:ed3:VE-J</t>
  </si>
  <si>
    <t>VE-K</t>
  </si>
  <si>
    <t>Lara</t>
  </si>
  <si>
    <t>as:ISO2:6:ed3:VE-K</t>
  </si>
  <si>
    <t>VE-L</t>
  </si>
  <si>
    <t>Mérida</t>
  </si>
  <si>
    <t>as:ISO2:6:ed3:VE-L</t>
  </si>
  <si>
    <t>VE-M</t>
  </si>
  <si>
    <t>Miranda</t>
  </si>
  <si>
    <t>as:ISO2:6:ed3:VE-M</t>
  </si>
  <si>
    <t>VE-N</t>
  </si>
  <si>
    <t>Monagas</t>
  </si>
  <si>
    <t>as:ISO2:6:ed3:VE-N</t>
  </si>
  <si>
    <t>VE-O</t>
  </si>
  <si>
    <t>Nueva Esparta</t>
  </si>
  <si>
    <t>as:ISO2:6:ed3:VE-O</t>
  </si>
  <si>
    <t>VE-P</t>
  </si>
  <si>
    <t>Portuguesa</t>
  </si>
  <si>
    <t>as:ISO2:6:ed3:VE-P</t>
  </si>
  <si>
    <t>VE-R</t>
  </si>
  <si>
    <t>as:ISO2:6:ed3:VE-R</t>
  </si>
  <si>
    <t>VE-S</t>
  </si>
  <si>
    <t>Táchira</t>
  </si>
  <si>
    <t>as:ISO2:6:ed3:VE-S</t>
  </si>
  <si>
    <t>VE-T</t>
  </si>
  <si>
    <t>Trujillo</t>
  </si>
  <si>
    <t>as:ISO2:6:ed3:VE-T</t>
  </si>
  <si>
    <t>VE-X</t>
  </si>
  <si>
    <t>Vargas</t>
  </si>
  <si>
    <t>as:ISO2:6:ed3:VE-X</t>
  </si>
  <si>
    <t>VE-U</t>
  </si>
  <si>
    <t>Yaracuy</t>
  </si>
  <si>
    <t>as:ISO2:6:ed3:VE-U</t>
  </si>
  <si>
    <t>VE-V</t>
  </si>
  <si>
    <t>Zulia</t>
  </si>
  <si>
    <t>as:ISO2:6:ed3:VE-V</t>
  </si>
  <si>
    <t>VN-44</t>
  </si>
  <si>
    <t>An Giang</t>
  </si>
  <si>
    <t>as:GENC:6:ed2:VN-44</t>
  </si>
  <si>
    <t>VN-54</t>
  </si>
  <si>
    <t>Bắc Giang</t>
  </si>
  <si>
    <t>as:GENC:6:ed2:VN-54</t>
  </si>
  <si>
    <t>VN-53</t>
  </si>
  <si>
    <t>Bắc Kạn</t>
  </si>
  <si>
    <t>as:GENC:6:ed2:VN-53</t>
  </si>
  <si>
    <t>VN-55</t>
  </si>
  <si>
    <t>Bạc Liêu</t>
  </si>
  <si>
    <t>as:GENC:6:ed2:VN-55</t>
  </si>
  <si>
    <t>VN-56</t>
  </si>
  <si>
    <t>Bắc Ninh</t>
  </si>
  <si>
    <t>as:GENC:6:ed2:VN-56</t>
  </si>
  <si>
    <t>VN-43</t>
  </si>
  <si>
    <t>Bà Rịa-Vũng Tàu</t>
  </si>
  <si>
    <t>as:GENC:6:ed2:VN-43</t>
  </si>
  <si>
    <t>VN-50</t>
  </si>
  <si>
    <t>Bến Tre</t>
  </si>
  <si>
    <t>as:GENC:6:ed2:VN-50</t>
  </si>
  <si>
    <t>VN-31</t>
  </si>
  <si>
    <t>Bình Ðịnh</t>
  </si>
  <si>
    <t>as:GENC:6:ed2:VN-31</t>
  </si>
  <si>
    <t>VN-57</t>
  </si>
  <si>
    <t>Bình Dương</t>
  </si>
  <si>
    <t>as:GENC:6:ed2:VN-57</t>
  </si>
  <si>
    <t>VN-58</t>
  </si>
  <si>
    <t>Bình Phước</t>
  </si>
  <si>
    <t>as:GENC:6:ed2:VN-58</t>
  </si>
  <si>
    <t>VN-40</t>
  </si>
  <si>
    <t>Bình Thuận</t>
  </si>
  <si>
    <t>as:GENC:6:ed2:VN-40</t>
  </si>
  <si>
    <t>VN-59</t>
  </si>
  <si>
    <t>Cà Mau</t>
  </si>
  <si>
    <t>as:GENC:6:ed2:VN-59</t>
  </si>
  <si>
    <t>VN-CT</t>
  </si>
  <si>
    <t>Cần Thơ</t>
  </si>
  <si>
    <t>as:GENC:6:ed2:VN-CT</t>
  </si>
  <si>
    <t>VN-04</t>
  </si>
  <si>
    <t>Cao Bằng</t>
  </si>
  <si>
    <t>as:GENC:6:ed2:VN-04</t>
  </si>
  <si>
    <t>VN-33</t>
  </si>
  <si>
    <t>Đắk Lắk</t>
  </si>
  <si>
    <t>as:GENC:6:ed2:VN-33</t>
  </si>
  <si>
    <t>VN-72</t>
  </si>
  <si>
    <t>Ðắk Nông</t>
  </si>
  <si>
    <t>as:GENC:6:ed2:VN-72</t>
  </si>
  <si>
    <t>VN-DN</t>
  </si>
  <si>
    <t>Ðà Nẵng</t>
  </si>
  <si>
    <t>as:GENC:6:ed2:VN-DN</t>
  </si>
  <si>
    <t>VN-71</t>
  </si>
  <si>
    <t>Ðiện Biên</t>
  </si>
  <si>
    <t>as:GENC:6:ed2:VN-71</t>
  </si>
  <si>
    <t>VN-39</t>
  </si>
  <si>
    <t>Ðồng Nai</t>
  </si>
  <si>
    <t>as:GENC:6:ed2:VN-39</t>
  </si>
  <si>
    <t>VN-45</t>
  </si>
  <si>
    <t>Ðồng Tháp</t>
  </si>
  <si>
    <t>as:GENC:6:ed2:VN-45</t>
  </si>
  <si>
    <t>VN-30</t>
  </si>
  <si>
    <t>Gia Lai</t>
  </si>
  <si>
    <t>as:GENC:6:ed2:VN-30</t>
  </si>
  <si>
    <t>VN-03</t>
  </si>
  <si>
    <t>Hà Giang</t>
  </si>
  <si>
    <t>as:GENC:6:ed2:VN-03</t>
  </si>
  <si>
    <t>VN-61</t>
  </si>
  <si>
    <t>Hải Dương</t>
  </si>
  <si>
    <t>as:GENC:6:ed2:VN-61</t>
  </si>
  <si>
    <t>VN-HP</t>
  </si>
  <si>
    <t>Hải Phòng</t>
  </si>
  <si>
    <t>as:GENC:6:ed2:VN-HP</t>
  </si>
  <si>
    <t>VN-63</t>
  </si>
  <si>
    <t>Hà Nam</t>
  </si>
  <si>
    <t>as:GENC:6:ed2:VN-63</t>
  </si>
  <si>
    <t>VN-HN</t>
  </si>
  <si>
    <t>Hà Nội</t>
  </si>
  <si>
    <t>as:GENC:6:ed2:VN-HN</t>
  </si>
  <si>
    <t>VN-15</t>
  </si>
  <si>
    <t>Ha Tay</t>
  </si>
  <si>
    <t>as:GENC:6:ed2:VN-15</t>
  </si>
  <si>
    <t>VN-23</t>
  </si>
  <si>
    <t>Hà Tĩnh</t>
  </si>
  <si>
    <t>as:GENC:6:ed2:VN-23</t>
  </si>
  <si>
    <t>VN-73</t>
  </si>
  <si>
    <t>Hậu Giang</t>
  </si>
  <si>
    <t>as:GENC:6:ed2:VN-73</t>
  </si>
  <si>
    <t>VN-14</t>
  </si>
  <si>
    <t>Hòa Bình</t>
  </si>
  <si>
    <t>as:GENC:6:ed2:VN-14</t>
  </si>
  <si>
    <t>VN-SG</t>
  </si>
  <si>
    <t>Hồ Chí Minh</t>
  </si>
  <si>
    <t>as:GENC:6:ed2:VN-SG</t>
  </si>
  <si>
    <t>VN-66</t>
  </si>
  <si>
    <t>Hưng Yên</t>
  </si>
  <si>
    <t>as:GENC:6:ed2:VN-66</t>
  </si>
  <si>
    <t>VN-34</t>
  </si>
  <si>
    <t>Khánh Hòa</t>
  </si>
  <si>
    <t>as:GENC:6:ed2:VN-34</t>
  </si>
  <si>
    <t>VN-47</t>
  </si>
  <si>
    <t>Kiến Giang</t>
  </si>
  <si>
    <t>as:GENC:6:ed2:VN-47</t>
  </si>
  <si>
    <t>VN-28</t>
  </si>
  <si>
    <t>Kon Tum</t>
  </si>
  <si>
    <t>as:GENC:6:ed2:VN-28</t>
  </si>
  <si>
    <t>VN-01</t>
  </si>
  <si>
    <t>Lai Châu</t>
  </si>
  <si>
    <t>as:GENC:6:ed2:VN-01</t>
  </si>
  <si>
    <t>VN-35</t>
  </si>
  <si>
    <t>Lâm Ðồng</t>
  </si>
  <si>
    <t>as:GENC:6:ed2:VN-35</t>
  </si>
  <si>
    <t>VN-09</t>
  </si>
  <si>
    <t>Lạng Sơn</t>
  </si>
  <si>
    <t>as:GENC:6:ed2:VN-09</t>
  </si>
  <si>
    <t>VN-02</t>
  </si>
  <si>
    <t>Lào Cai</t>
  </si>
  <si>
    <t>as:GENC:6:ed2:VN-02</t>
  </si>
  <si>
    <t>VN-41</t>
  </si>
  <si>
    <t>Long An</t>
  </si>
  <si>
    <t>as:GENC:6:ed2:VN-41</t>
  </si>
  <si>
    <t>VN-67</t>
  </si>
  <si>
    <t>Nam Ðịnh</t>
  </si>
  <si>
    <t>as:GENC:6:ed2:VN-67</t>
  </si>
  <si>
    <t>VN-22</t>
  </si>
  <si>
    <t>Nghệ An</t>
  </si>
  <si>
    <t>as:GENC:6:ed2:VN-22</t>
  </si>
  <si>
    <t>VN-18</t>
  </si>
  <si>
    <t>Ninh Bình</t>
  </si>
  <si>
    <t>as:GENC:6:ed2:VN-18</t>
  </si>
  <si>
    <t>VN-36</t>
  </si>
  <si>
    <t>Ninh Thuận</t>
  </si>
  <si>
    <t>as:GENC:6:ed2:VN-36</t>
  </si>
  <si>
    <t>VN-68</t>
  </si>
  <si>
    <t>Phú Thọ</t>
  </si>
  <si>
    <t>as:GENC:6:ed2:VN-68</t>
  </si>
  <si>
    <t>VN-32</t>
  </si>
  <si>
    <t>Phú Yên</t>
  </si>
  <si>
    <t>as:GENC:6:ed2:VN-32</t>
  </si>
  <si>
    <t>VN-24</t>
  </si>
  <si>
    <t>Quảng Bình</t>
  </si>
  <si>
    <t>as:GENC:6:ed2:VN-24</t>
  </si>
  <si>
    <t>VN-27</t>
  </si>
  <si>
    <t>Quảng Nam</t>
  </si>
  <si>
    <t>as:GENC:6:ed2:VN-27</t>
  </si>
  <si>
    <t>VN-29</t>
  </si>
  <si>
    <t>Quảng Ngãi</t>
  </si>
  <si>
    <t>as:GENC:6:ed2:VN-29</t>
  </si>
  <si>
    <t>VN-13</t>
  </si>
  <si>
    <t>Quảng Ninh</t>
  </si>
  <si>
    <t>as:GENC:6:ed2:VN-13</t>
  </si>
  <si>
    <t>VN-25</t>
  </si>
  <si>
    <t>Quảng Trị</t>
  </si>
  <si>
    <t>as:GENC:6:ed2:VN-25</t>
  </si>
  <si>
    <t>VN-52</t>
  </si>
  <si>
    <t>Sóc Trăng</t>
  </si>
  <si>
    <t>as:GENC:6:ed2:VN-52</t>
  </si>
  <si>
    <t>VN-05</t>
  </si>
  <si>
    <t>Sơn La</t>
  </si>
  <si>
    <t>as:GENC:6:ed2:VN-05</t>
  </si>
  <si>
    <t>VN-37</t>
  </si>
  <si>
    <t>Tây Ninh</t>
  </si>
  <si>
    <t>as:GENC:6:ed2:VN-37</t>
  </si>
  <si>
    <t>VN-20</t>
  </si>
  <si>
    <t>Thái Bình</t>
  </si>
  <si>
    <t>as:GENC:6:ed2:VN-20</t>
  </si>
  <si>
    <t>VN-69</t>
  </si>
  <si>
    <t>Thái Nguyên</t>
  </si>
  <si>
    <t>as:GENC:6:ed2:VN-69</t>
  </si>
  <si>
    <t>VN-21</t>
  </si>
  <si>
    <t>Thanh Hóa</t>
  </si>
  <si>
    <t>as:GENC:6:ed2:VN-21</t>
  </si>
  <si>
    <t>VN-26</t>
  </si>
  <si>
    <t>Thừa Thiên-Huế</t>
  </si>
  <si>
    <t>as:GENC:6:ed2:VN-26</t>
  </si>
  <si>
    <t>VN-46</t>
  </si>
  <si>
    <t>Tiền Giang</t>
  </si>
  <si>
    <t>as:GENC:6:ed2:VN-46</t>
  </si>
  <si>
    <t>VN-51</t>
  </si>
  <si>
    <t>Trà Vinh</t>
  </si>
  <si>
    <t>as:GENC:6:ed2:VN-51</t>
  </si>
  <si>
    <t>VN-07</t>
  </si>
  <si>
    <t>Tuyên Quang</t>
  </si>
  <si>
    <t>as:GENC:6:ed2:VN-07</t>
  </si>
  <si>
    <t>VN-49</t>
  </si>
  <si>
    <t>Vĩnh Long</t>
  </si>
  <si>
    <t>as:GENC:6:ed2:VN-49</t>
  </si>
  <si>
    <t>VN-70</t>
  </si>
  <si>
    <t>Vĩnh Phúc</t>
  </si>
  <si>
    <t>as:GENC:6:ed2:VN-70</t>
  </si>
  <si>
    <t>VN-06</t>
  </si>
  <si>
    <t>Yên Bái</t>
  </si>
  <si>
    <t>as:GENC:6:ed2:VN-06</t>
  </si>
  <si>
    <t>YE-AB</t>
  </si>
  <si>
    <t>Abyan</t>
  </si>
  <si>
    <t>as:GENC:6:ed2:YE-AB</t>
  </si>
  <si>
    <t>YE-AD</t>
  </si>
  <si>
    <t>‘Adan</t>
  </si>
  <si>
    <t>as:GENC:6:ed2:YE-AD</t>
  </si>
  <si>
    <t>YE-DA</t>
  </si>
  <si>
    <t>Aḑ Ḑāli‘</t>
  </si>
  <si>
    <t>as:GENC:6:ed2:YE-DA</t>
  </si>
  <si>
    <t>YE-BA</t>
  </si>
  <si>
    <t>Al Bayḑā’</t>
  </si>
  <si>
    <t>as:ISO2:6:ed3:YE-BA</t>
  </si>
  <si>
    <t>YE-HU</t>
  </si>
  <si>
    <t>Al Ḩudaydah</t>
  </si>
  <si>
    <t>as:ISO2:6:ed3:YE-HU</t>
  </si>
  <si>
    <t>YE-JA</t>
  </si>
  <si>
    <t>as:ISO2:6:ed3:YE-JA</t>
  </si>
  <si>
    <t>YE-MR</t>
  </si>
  <si>
    <t>Al Mahrah</t>
  </si>
  <si>
    <t>as:ISO2:6:ed3:YE-MR</t>
  </si>
  <si>
    <t>YE-MW</t>
  </si>
  <si>
    <t>Al Maḩwīt</t>
  </si>
  <si>
    <t>as:ISO2:6:ed3:YE-MW</t>
  </si>
  <si>
    <t>YE-SA</t>
  </si>
  <si>
    <t>Amānat al ‘Āşimah</t>
  </si>
  <si>
    <t>as:GENC:6:ed2:YE-SA</t>
  </si>
  <si>
    <t>YE-AM</t>
  </si>
  <si>
    <t>‘Amrān</t>
  </si>
  <si>
    <t>as:GENC:6:ed2:YE-AM</t>
  </si>
  <si>
    <t>YE-DH</t>
  </si>
  <si>
    <t>Dhamār</t>
  </si>
  <si>
    <t>as:ISO2:6:ed3:YE-DH</t>
  </si>
  <si>
    <t>YE-HD</t>
  </si>
  <si>
    <t>Ḩaḑramawt</t>
  </si>
  <si>
    <t>as:ISO2:6:ed3:YE-HD</t>
  </si>
  <si>
    <t>YE-HJ</t>
  </si>
  <si>
    <t>Ḩajjah</t>
  </si>
  <si>
    <t>as:ISO2:6:ed3:YE-HJ</t>
  </si>
  <si>
    <t>YE-IB</t>
  </si>
  <si>
    <t>Ibb</t>
  </si>
  <si>
    <t>as:ISO2:6:ed3:YE-IB</t>
  </si>
  <si>
    <t>YE-LA</t>
  </si>
  <si>
    <t>Laḩij</t>
  </si>
  <si>
    <t>as:ISO2:6:ed3:YE-LA</t>
  </si>
  <si>
    <t>YE-MA</t>
  </si>
  <si>
    <t>Ma’rib</t>
  </si>
  <si>
    <t>as:ISO2:6:ed3:YE-MA</t>
  </si>
  <si>
    <t>YE-RA</t>
  </si>
  <si>
    <t>Raymah</t>
  </si>
  <si>
    <t>as:ISO2:6:ed3:YE-RA</t>
  </si>
  <si>
    <t>YE-SD</t>
  </si>
  <si>
    <t>Şa‘dah</t>
  </si>
  <si>
    <t>as:GENC:6:ed2:YE-SD</t>
  </si>
  <si>
    <t>YE-SN</t>
  </si>
  <si>
    <t>Şan‘ā’</t>
  </si>
  <si>
    <t>as:GENC:6:ed2:YE-SN</t>
  </si>
  <si>
    <t>YE-SH</t>
  </si>
  <si>
    <t>Shabwah</t>
  </si>
  <si>
    <t>as:ISO2:6:ed3:YE-SH</t>
  </si>
  <si>
    <t>YE-TA</t>
  </si>
  <si>
    <t>Ta‘izz</t>
  </si>
  <si>
    <t>as:GENC:6:ed2:YE-TA</t>
  </si>
  <si>
    <t>ZM-02</t>
  </si>
  <si>
    <t>as:ISO2:6:ed3:ZM-02</t>
  </si>
  <si>
    <t>ZM-08</t>
  </si>
  <si>
    <t>Copperbelt</t>
  </si>
  <si>
    <t>as:ISO2:6:ed3:ZM-08</t>
  </si>
  <si>
    <t>ZM-03</t>
  </si>
  <si>
    <t>as:ISO2:6:ed3:ZM-03</t>
  </si>
  <si>
    <t>ZM-04</t>
  </si>
  <si>
    <t>Luapula</t>
  </si>
  <si>
    <t>as:ISO2:6:ed3:ZM-04</t>
  </si>
  <si>
    <t>ZM-09</t>
  </si>
  <si>
    <t>Lusaka</t>
  </si>
  <si>
    <t>as:ISO2:6:ed3:ZM-09</t>
  </si>
  <si>
    <t>ZM-10</t>
  </si>
  <si>
    <t>Muchinga</t>
  </si>
  <si>
    <t>as:GENC:6:ed2:ZM-10</t>
  </si>
  <si>
    <t>ZM-05</t>
  </si>
  <si>
    <t>as:ISO2:6:ed3:ZM-05</t>
  </si>
  <si>
    <t>ZM-06</t>
  </si>
  <si>
    <t>North-Western</t>
  </si>
  <si>
    <t>as:ISO2:6:ed3:ZM-06</t>
  </si>
  <si>
    <t>ZM-07</t>
  </si>
  <si>
    <t>as:ISO2:6:ed3:ZM-07</t>
  </si>
  <si>
    <t>ZM-01</t>
  </si>
  <si>
    <t>as:ISO2:6:ed3:ZM-01</t>
  </si>
  <si>
    <t>ZW-BU</t>
  </si>
  <si>
    <t>Bulawayo</t>
  </si>
  <si>
    <t>as:ISO2:6:ed3:ZW-BU</t>
  </si>
  <si>
    <t>ZW-HA</t>
  </si>
  <si>
    <t>Harare</t>
  </si>
  <si>
    <t>as:ISO2:6:ed3:ZW-HA</t>
  </si>
  <si>
    <t>ZW-MA</t>
  </si>
  <si>
    <t>Manicaland</t>
  </si>
  <si>
    <t>as:ISO2:6:ed3:ZW-MA</t>
  </si>
  <si>
    <t>ZW-MC</t>
  </si>
  <si>
    <t>Mashonaland Central</t>
  </si>
  <si>
    <t>as:ISO2:6:ed3:ZW-MC</t>
  </si>
  <si>
    <t>ZW-ME</t>
  </si>
  <si>
    <t>Mashonaland East</t>
  </si>
  <si>
    <t>as:ISO2:6:ed3:ZW-ME</t>
  </si>
  <si>
    <t>ZW-MW</t>
  </si>
  <si>
    <t>Mashonaland West</t>
  </si>
  <si>
    <t>as:ISO2:6:ed3:ZW-MW</t>
  </si>
  <si>
    <t>ZW-MV</t>
  </si>
  <si>
    <t>Masvingo</t>
  </si>
  <si>
    <t>as:ISO2:6:ed3:ZW-MV</t>
  </si>
  <si>
    <t>ZW-MN</t>
  </si>
  <si>
    <t>Matabeleland North</t>
  </si>
  <si>
    <t>as:ISO2:6:ed3:ZW-MN</t>
  </si>
  <si>
    <t>ZW-MS</t>
  </si>
  <si>
    <t>Matabeleland South</t>
  </si>
  <si>
    <t>as:ISO2:6:ed3:ZW-MS</t>
  </si>
  <si>
    <t>ZW-MI</t>
  </si>
  <si>
    <t>Midlands</t>
  </si>
  <si>
    <t>as:ISO2:6:ed3:ZW-MI</t>
  </si>
  <si>
    <t>[workbook prepared 1 April 2014, 11:23 AM]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</si>
</sst>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41" x14ac:knownFonts="1">
    <font>
      <sz val="8"/>
      <color theme="1"/>
      <name val="Arial"/>
      <family val="2"/>
    </font>
    <font>
      <sz val="8"/>
      <color theme="1"/>
      <name val="Arial"/>
      <family val="2"/>
    </font>
    <font>
      <b/>
      <i/>
      <sz val="10"/>
      <color theme="5" tint="-0.499984740745262"/>
      <name val="Arial"/>
      <family val="2"/>
    </font>
    <font>
      <sz val="10"/>
      <name val="MS Sans Serif"/>
      <family val="2"/>
    </font>
    <font>
      <sz val="10"/>
      <name val="Arial"/>
      <family val="2"/>
    </font>
    <font>
      <b/>
      <sz val="18"/>
      <color indexed="10"/>
      <name val="Arial"/>
      <family val="2"/>
    </font>
    <font>
      <sz val="10"/>
      <color indexed="10"/>
      <name val="Arial"/>
      <family val="2"/>
    </font>
    <font>
      <b/>
      <sz val="14"/>
      <color indexed="10"/>
      <name val="Arial"/>
      <family val="2"/>
    </font>
    <font>
      <b/>
      <sz val="10"/>
      <name val="Arial"/>
      <family val="2"/>
    </font>
    <font>
      <b/>
      <sz val="12"/>
      <color indexed="12"/>
      <name val="Arial"/>
      <family val="2"/>
    </font>
    <font>
      <b/>
      <sz val="10"/>
      <color indexed="12"/>
      <name val="Arial"/>
      <family val="2"/>
    </font>
    <font>
      <i/>
      <sz val="10"/>
      <name val="Arial"/>
      <family val="2"/>
    </font>
    <font>
      <b/>
      <sz val="14"/>
      <color indexed="20"/>
      <name val="Arial"/>
      <family val="2"/>
    </font>
    <font>
      <sz val="10"/>
      <color indexed="20"/>
      <name val="MS Sans Serif"/>
      <family val="2"/>
    </font>
    <font>
      <b/>
      <u/>
      <sz val="8"/>
      <color indexed="18"/>
      <name val="Arial"/>
      <family val="2"/>
    </font>
    <font>
      <b/>
      <u/>
      <sz val="10.5"/>
      <color rgb="FF002060"/>
      <name val="Arial"/>
      <family val="2"/>
    </font>
    <font>
      <u/>
      <sz val="10"/>
      <color theme="10"/>
      <name val="Arial"/>
      <family val="2"/>
    </font>
    <font>
      <b/>
      <u/>
      <sz val="10.5"/>
      <color indexed="18"/>
      <name val="Arial"/>
      <family val="2"/>
    </font>
    <font>
      <b/>
      <u/>
      <sz val="8"/>
      <color rgb="FF002060"/>
      <name val="Arial"/>
      <family val="2"/>
    </font>
    <font>
      <u/>
      <sz val="8"/>
      <color theme="10"/>
      <name val="Arial"/>
      <family val="2"/>
    </font>
    <font>
      <sz val="11"/>
      <color theme="1"/>
      <name val="Calibri"/>
      <family val="2"/>
      <scheme val="minor"/>
    </font>
    <font>
      <u/>
      <sz val="10"/>
      <color indexed="12"/>
      <name val="Arial"/>
      <family val="2"/>
    </font>
    <font>
      <sz val="10"/>
      <color theme="1"/>
      <name val="Arial"/>
      <family val="2"/>
    </font>
    <font>
      <b/>
      <u/>
      <sz val="10"/>
      <color indexed="12"/>
      <name val="Arial"/>
      <family val="2"/>
    </font>
    <font>
      <b/>
      <sz val="10"/>
      <color theme="5" tint="-0.499984740745262"/>
      <name val="Arial"/>
      <family val="2"/>
    </font>
    <font>
      <b/>
      <sz val="10"/>
      <color rgb="FFC00000"/>
      <name val="Arial"/>
      <family val="2"/>
    </font>
    <font>
      <b/>
      <sz val="10"/>
      <color rgb="FF002060"/>
      <name val="Arial"/>
      <family val="2"/>
    </font>
    <font>
      <sz val="10"/>
      <color rgb="FF002060"/>
      <name val="Arial"/>
      <family val="2"/>
    </font>
    <font>
      <b/>
      <sz val="10"/>
      <color rgb="FF0000CC"/>
      <name val="Arial"/>
      <family val="2"/>
    </font>
    <font>
      <i/>
      <sz val="10"/>
      <color rgb="FF0000CC"/>
      <name val="Arial"/>
      <family val="2"/>
    </font>
    <font>
      <b/>
      <sz val="16"/>
      <color rgb="FF002060"/>
      <name val="Arial"/>
      <family val="2"/>
    </font>
    <font>
      <b/>
      <i/>
      <sz val="10"/>
      <color indexed="23"/>
      <name val="Arial"/>
      <family val="2"/>
    </font>
    <font>
      <sz val="10"/>
      <color indexed="12"/>
      <name val="Arial"/>
      <family val="2"/>
    </font>
    <font>
      <u/>
      <sz val="10"/>
      <color rgb="FF0000CC"/>
      <name val="Arial"/>
      <family val="2"/>
    </font>
    <font>
      <sz val="10"/>
      <color rgb="FF7030A0"/>
      <name val="Arial"/>
      <family val="2"/>
    </font>
    <font>
      <b/>
      <sz val="10"/>
      <color theme="1"/>
      <name val="Arial"/>
      <family val="2"/>
    </font>
    <font>
      <b/>
      <sz val="10"/>
      <color rgb="FF0070C0"/>
      <name val="Arial"/>
      <family val="2"/>
    </font>
    <font>
      <sz val="10"/>
      <color theme="0" tint="-0.34998626667073579"/>
      <name val="Arial"/>
      <family val="2"/>
    </font>
    <font>
      <i/>
      <sz val="10"/>
      <color rgb="FF828282"/>
      <name val="Arial"/>
      <family val="2"/>
    </font>
    <font>
      <sz val="10"/>
      <color rgb="FF6E32A0"/>
      <name val="Arial"/>
      <family val="2"/>
    </font>
    <font>
      <sz val="10"/>
      <color rgb="FFDCDCDC"/>
      <name val="Arial"/>
      <family val="2"/>
    </font>
  </fonts>
  <fills count="9">
    <fill>
      <patternFill patternType="none"/>
    </fill>
    <fill>
      <patternFill patternType="gray125"/>
    </fill>
    <fill>
      <patternFill patternType="solid">
        <fgColor theme="5" tint="0.7999816888943144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indexed="43"/>
        <bgColor indexed="64"/>
      </patternFill>
    </fill>
    <fill>
      <patternFill patternType="solid">
        <fgColor indexed="42"/>
        <bgColor indexed="64"/>
      </patternFill>
    </fill>
    <fill>
      <patternFill patternType="solid">
        <fgColor rgb="FFE6DCE6"/>
        <bgColor indexed="64"/>
      </patternFill>
    </fill>
    <fill>
      <patternFill patternType="solid">
        <fgColor rgb="FFDCDCDC"/>
        <bgColor indexed="64"/>
      </patternFill>
    </fill>
  </fills>
  <borders count="52">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s>
  <cellStyleXfs count="4218">
    <xf numFmtId="0" fontId="0" fillId="0" borderId="0"/>
    <xf numFmtId="0" fontId="3" fillId="0" borderId="0"/>
    <xf numFmtId="0" fontId="4" fillId="0" borderId="0"/>
    <xf numFmtId="0" fontId="14"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5"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9" fillId="0" borderId="0" applyNumberFormat="0" applyFill="0" applyBorder="0" applyAlignment="0" applyProtection="0"/>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alignment vertical="top"/>
    </xf>
    <xf numFmtId="0" fontId="21" fillId="0" borderId="0" applyNumberFormat="0" applyFill="0" applyBorder="0" applyAlignment="0" applyProtection="0"/>
    <xf numFmtId="0" fontId="4" fillId="0" borderId="0">
      <alignment vertical="top"/>
    </xf>
    <xf numFmtId="0" fontId="4" fillId="0" borderId="0"/>
    <xf numFmtId="0" fontId="22" fillId="0" borderId="0"/>
  </cellStyleXfs>
  <cellXfs count="167">
    <xf numFmtId="0" fontId="0" fillId="0" borderId="0" xfId="0"/>
    <xf numFmtId="0" fontId="4" fillId="0" borderId="0" xfId="1" applyFont="1" applyAlignment="1">
      <alignment vertical="top" wrapText="1"/>
    </xf>
    <xf numFmtId="0" fontId="4" fillId="0" borderId="0" xfId="1" applyFont="1" applyAlignment="1">
      <alignment vertical="top" wrapText="1"/>
    </xf>
    <xf numFmtId="0" fontId="9" fillId="5" borderId="8" xfId="1" applyFont="1" applyFill="1" applyBorder="1" applyAlignment="1">
      <alignment vertical="top" wrapText="1"/>
    </xf>
    <xf numFmtId="0" fontId="9" fillId="5" borderId="7" xfId="1" applyFont="1" applyFill="1" applyBorder="1" applyAlignment="1">
      <alignment vertical="top" wrapText="1"/>
    </xf>
    <xf numFmtId="0" fontId="4" fillId="0" borderId="4" xfId="1" applyFont="1" applyBorder="1" applyAlignment="1">
      <alignment vertical="top" wrapText="1"/>
    </xf>
    <xf numFmtId="0" fontId="23" fillId="0" borderId="9" xfId="4214" applyFont="1" applyBorder="1" applyAlignment="1">
      <alignment horizontal="left" vertical="top" wrapText="1"/>
    </xf>
    <xf numFmtId="0" fontId="4" fillId="0" borderId="0" xfId="1" applyFont="1" applyAlignment="1">
      <alignment vertical="top" wrapText="1"/>
    </xf>
    <xf numFmtId="0" fontId="4" fillId="0" borderId="0" xfId="1" applyFont="1" applyAlignment="1">
      <alignment vertical="top" wrapText="1"/>
    </xf>
    <xf numFmtId="0" fontId="26" fillId="3" borderId="0" xfId="0" applyFont="1" applyFill="1" applyBorder="1" applyAlignment="1">
      <alignment horizontal="left" vertical="top"/>
    </xf>
    <xf numFmtId="0" fontId="26" fillId="4" borderId="10" xfId="0" applyFont="1" applyFill="1" applyBorder="1" applyAlignment="1">
      <alignment horizontal="left" vertical="top"/>
    </xf>
    <xf numFmtId="0" fontId="26" fillId="3" borderId="11" xfId="0" applyFont="1" applyFill="1" applyBorder="1" applyAlignment="1">
      <alignment horizontal="left" vertical="top" wrapText="1"/>
    </xf>
    <xf numFmtId="0" fontId="26" fillId="3" borderId="4" xfId="0" applyFont="1" applyFill="1" applyBorder="1" applyAlignment="1">
      <alignment horizontal="left" vertical="top" wrapText="1"/>
    </xf>
    <xf numFmtId="164" fontId="26" fillId="3" borderId="4" xfId="0" applyNumberFormat="1" applyFont="1" applyFill="1" applyBorder="1" applyAlignment="1">
      <alignment horizontal="left" vertical="top" wrapText="1"/>
    </xf>
    <xf numFmtId="0" fontId="26" fillId="3" borderId="12" xfId="0" applyFont="1" applyFill="1" applyBorder="1" applyAlignment="1">
      <alignment horizontal="left" vertical="top" wrapText="1"/>
    </xf>
    <xf numFmtId="0" fontId="26" fillId="3" borderId="13" xfId="0" applyFont="1" applyFill="1" applyBorder="1" applyAlignment="1">
      <alignment horizontal="left" vertical="top" wrapText="1"/>
    </xf>
    <xf numFmtId="0" fontId="28" fillId="4" borderId="11" xfId="0" applyFont="1" applyFill="1" applyBorder="1" applyAlignment="1">
      <alignment horizontal="left" vertical="top" wrapText="1"/>
    </xf>
    <xf numFmtId="0" fontId="28" fillId="4" borderId="14" xfId="0" applyFont="1" applyFill="1" applyBorder="1" applyAlignment="1">
      <alignment horizontal="left" vertical="top" wrapText="1"/>
    </xf>
    <xf numFmtId="0" fontId="26" fillId="4" borderId="17" xfId="0" applyFont="1" applyFill="1" applyBorder="1" applyAlignment="1">
      <alignment horizontal="left" vertical="top"/>
    </xf>
    <xf numFmtId="0" fontId="6" fillId="5" borderId="3" xfId="1" applyFont="1" applyFill="1" applyBorder="1" applyAlignment="1">
      <alignment horizontal="right" vertical="top" wrapText="1"/>
    </xf>
    <xf numFmtId="0" fontId="8" fillId="0" borderId="0" xfId="1" applyFont="1" applyBorder="1" applyAlignment="1">
      <alignment vertical="top" wrapText="1"/>
    </xf>
    <xf numFmtId="0" fontId="8" fillId="0" borderId="0" xfId="4213" applyFont="1" applyBorder="1" applyAlignment="1">
      <alignment vertical="top" wrapText="1"/>
    </xf>
    <xf numFmtId="0" fontId="4" fillId="0" borderId="3" xfId="1" applyFont="1" applyBorder="1" applyAlignment="1">
      <alignment vertical="top" wrapText="1"/>
    </xf>
    <xf numFmtId="0" fontId="25" fillId="2" borderId="0" xfId="4213" applyFont="1" applyFill="1" applyBorder="1" applyAlignment="1">
      <alignment vertical="top" wrapText="1"/>
    </xf>
    <xf numFmtId="0" fontId="9" fillId="5" borderId="15" xfId="1" applyFont="1" applyFill="1" applyBorder="1" applyAlignment="1">
      <alignment vertical="top" wrapText="1"/>
    </xf>
    <xf numFmtId="0" fontId="22" fillId="0" borderId="0" xfId="0" applyFont="1" applyBorder="1" applyAlignment="1">
      <alignment vertical="top"/>
    </xf>
    <xf numFmtId="0" fontId="24" fillId="0" borderId="0" xfId="1" applyFont="1" applyBorder="1" applyAlignment="1">
      <alignment vertical="top" wrapText="1"/>
    </xf>
    <xf numFmtId="0" fontId="4" fillId="0" borderId="3" xfId="1" applyFont="1" applyFill="1" applyBorder="1" applyAlignment="1">
      <alignment vertical="top" wrapText="1"/>
    </xf>
    <xf numFmtId="0" fontId="7" fillId="0" borderId="11" xfId="1" applyFont="1" applyBorder="1" applyAlignment="1">
      <alignment horizontal="center" vertical="top" textRotation="90" wrapText="1"/>
    </xf>
    <xf numFmtId="0" fontId="22" fillId="0" borderId="0" xfId="0" applyFont="1" applyAlignment="1">
      <alignment horizontal="left" vertical="top"/>
    </xf>
    <xf numFmtId="164" fontId="22" fillId="0" borderId="0" xfId="0" applyNumberFormat="1" applyFont="1" applyAlignment="1">
      <alignment horizontal="left" vertical="top"/>
    </xf>
    <xf numFmtId="0" fontId="22" fillId="0" borderId="0" xfId="0" applyFont="1" applyBorder="1" applyAlignment="1">
      <alignment horizontal="left" vertical="top"/>
    </xf>
    <xf numFmtId="0" fontId="26" fillId="3" borderId="1" xfId="0" applyFont="1" applyFill="1" applyBorder="1" applyAlignment="1">
      <alignment horizontal="left" vertical="top"/>
    </xf>
    <xf numFmtId="0" fontId="35" fillId="0" borderId="0" xfId="0" applyFont="1" applyAlignment="1">
      <alignment horizontal="left" vertical="top" wrapText="1"/>
    </xf>
    <xf numFmtId="0" fontId="22" fillId="0" borderId="0" xfId="0" applyFont="1"/>
    <xf numFmtId="0" fontId="26" fillId="4" borderId="17" xfId="0" applyFont="1" applyFill="1" applyBorder="1" applyAlignment="1">
      <alignment horizontal="right" vertical="top"/>
    </xf>
    <xf numFmtId="0" fontId="26" fillId="4" borderId="10" xfId="0" applyFont="1" applyFill="1" applyBorder="1" applyAlignment="1">
      <alignment horizontal="right" vertical="top"/>
    </xf>
    <xf numFmtId="0" fontId="28" fillId="3" borderId="4" xfId="0" applyFont="1" applyFill="1" applyBorder="1" applyAlignment="1">
      <alignment horizontal="left" vertical="top" wrapText="1"/>
    </xf>
    <xf numFmtId="0" fontId="28" fillId="3" borderId="4" xfId="0" applyFont="1" applyFill="1" applyBorder="1" applyAlignment="1">
      <alignment horizontal="center" vertical="top" wrapText="1"/>
    </xf>
    <xf numFmtId="0" fontId="4" fillId="0" borderId="0" xfId="1" applyFont="1" applyBorder="1" applyAlignment="1">
      <alignment vertical="top" wrapText="1"/>
    </xf>
    <xf numFmtId="0" fontId="4" fillId="0" borderId="3" xfId="1" applyFont="1" applyBorder="1" applyAlignment="1">
      <alignment vertical="top" wrapText="1"/>
    </xf>
    <xf numFmtId="0" fontId="22" fillId="0" borderId="0" xfId="0" applyFont="1" applyBorder="1" applyAlignment="1">
      <alignment vertical="top" wrapText="1"/>
    </xf>
    <xf numFmtId="0" fontId="2" fillId="0" borderId="4" xfId="1" applyFont="1" applyBorder="1" applyAlignment="1">
      <alignment vertical="top" wrapText="1"/>
    </xf>
    <xf numFmtId="0" fontId="4" fillId="0" borderId="14" xfId="1" applyFont="1" applyFill="1" applyBorder="1" applyAlignment="1">
      <alignment vertical="top" wrapText="1"/>
    </xf>
    <xf numFmtId="0" fontId="10" fillId="6" borderId="21" xfId="1" applyFont="1" applyFill="1" applyBorder="1" applyAlignment="1">
      <alignment vertical="center" wrapText="1"/>
    </xf>
    <xf numFmtId="0" fontId="2" fillId="0" borderId="5" xfId="1" applyFont="1" applyBorder="1" applyAlignment="1">
      <alignment vertical="top" wrapText="1"/>
    </xf>
    <xf numFmtId="0" fontId="4" fillId="0" borderId="5" xfId="1" applyFont="1" applyBorder="1" applyAlignment="1">
      <alignment vertical="top" wrapText="1"/>
    </xf>
    <xf numFmtId="0" fontId="10" fillId="6" borderId="22" xfId="1" applyFont="1" applyFill="1" applyBorder="1" applyAlignment="1">
      <alignment vertical="center" wrapText="1"/>
    </xf>
    <xf numFmtId="0" fontId="10" fillId="6" borderId="23" xfId="1" applyFont="1" applyFill="1" applyBorder="1" applyAlignment="1">
      <alignment vertical="center" wrapText="1"/>
    </xf>
    <xf numFmtId="0" fontId="4" fillId="0" borderId="6" xfId="1" applyFont="1" applyFill="1" applyBorder="1" applyAlignment="1">
      <alignment vertical="top" wrapText="1"/>
    </xf>
    <xf numFmtId="0" fontId="10" fillId="6" borderId="26" xfId="1" applyFont="1" applyFill="1" applyBorder="1" applyAlignment="1">
      <alignment vertical="center" wrapText="1"/>
    </xf>
    <xf numFmtId="0" fontId="22" fillId="0" borderId="28" xfId="0" applyFont="1" applyBorder="1" applyAlignment="1">
      <alignment horizontal="left" vertical="top"/>
    </xf>
    <xf numFmtId="0" fontId="22" fillId="0" borderId="29" xfId="0" applyFont="1" applyBorder="1" applyAlignment="1">
      <alignment horizontal="left" vertical="top"/>
    </xf>
    <xf numFmtId="164" fontId="22" fillId="0" borderId="30" xfId="0" applyNumberFormat="1" applyFont="1" applyBorder="1" applyAlignment="1">
      <alignment horizontal="left" vertical="top"/>
    </xf>
    <xf numFmtId="0" fontId="22" fillId="0" borderId="10" xfId="0" applyFont="1" applyBorder="1" applyAlignment="1">
      <alignment horizontal="left" vertical="top"/>
    </xf>
    <xf numFmtId="164" fontId="38" fillId="0" borderId="20" xfId="0" applyNumberFormat="1" applyFont="1" applyBorder="1" applyAlignment="1">
      <alignment horizontal="left" vertical="top"/>
    </xf>
    <xf numFmtId="164" fontId="22" fillId="0" borderId="20" xfId="0" applyNumberFormat="1" applyFont="1" applyBorder="1" applyAlignment="1">
      <alignment horizontal="left" vertical="top"/>
    </xf>
    <xf numFmtId="0" fontId="22" fillId="0" borderId="31" xfId="0" applyFont="1" applyBorder="1" applyAlignment="1">
      <alignment horizontal="left" vertical="top"/>
    </xf>
    <xf numFmtId="0" fontId="22" fillId="0" borderId="5" xfId="0" applyFont="1" applyBorder="1" applyAlignment="1">
      <alignment horizontal="left" vertical="top"/>
    </xf>
    <xf numFmtId="164" fontId="22" fillId="0" borderId="32" xfId="0" applyNumberFormat="1" applyFont="1" applyBorder="1" applyAlignment="1">
      <alignment horizontal="left" vertical="top"/>
    </xf>
    <xf numFmtId="0" fontId="22" fillId="0" borderId="30" xfId="0" applyFont="1" applyBorder="1" applyAlignment="1">
      <alignment horizontal="left" vertical="top"/>
    </xf>
    <xf numFmtId="0" fontId="22" fillId="0" borderId="20" xfId="0" applyFont="1" applyBorder="1" applyAlignment="1">
      <alignment horizontal="left" vertical="top"/>
    </xf>
    <xf numFmtId="0" fontId="22" fillId="0" borderId="32" xfId="0" applyFont="1" applyBorder="1" applyAlignment="1">
      <alignment horizontal="left" vertical="top"/>
    </xf>
    <xf numFmtId="0" fontId="21" fillId="0" borderId="30" xfId="4214" applyBorder="1" applyAlignment="1">
      <alignment horizontal="left" vertical="top"/>
    </xf>
    <xf numFmtId="0" fontId="21" fillId="0" borderId="20" xfId="4214" applyBorder="1" applyAlignment="1">
      <alignment horizontal="left" vertical="top"/>
    </xf>
    <xf numFmtId="0" fontId="22" fillId="0" borderId="35" xfId="0" applyFont="1" applyBorder="1" applyAlignment="1">
      <alignment horizontal="left" vertical="top"/>
    </xf>
    <xf numFmtId="0" fontId="21" fillId="0" borderId="32" xfId="4214" applyBorder="1" applyAlignment="1">
      <alignment horizontal="left" vertical="top"/>
    </xf>
    <xf numFmtId="164" fontId="38" fillId="0" borderId="32" xfId="0" applyNumberFormat="1" applyFont="1" applyBorder="1" applyAlignment="1">
      <alignment horizontal="left" vertical="top"/>
    </xf>
    <xf numFmtId="0" fontId="38" fillId="0" borderId="29" xfId="0" applyFont="1" applyBorder="1" applyAlignment="1">
      <alignment horizontal="left" vertical="top"/>
    </xf>
    <xf numFmtId="164" fontId="38" fillId="0" borderId="30" xfId="0" applyNumberFormat="1" applyFont="1" applyBorder="1" applyAlignment="1">
      <alignment horizontal="left" vertical="top"/>
    </xf>
    <xf numFmtId="0" fontId="38" fillId="0" borderId="0" xfId="0" applyFont="1" applyBorder="1" applyAlignment="1">
      <alignment horizontal="left" vertical="top"/>
    </xf>
    <xf numFmtId="0" fontId="38" fillId="0" borderId="5" xfId="0" applyFont="1" applyBorder="1" applyAlignment="1">
      <alignment horizontal="left" vertical="top"/>
    </xf>
    <xf numFmtId="0" fontId="22" fillId="0" borderId="16" xfId="0" applyFont="1" applyBorder="1" applyAlignment="1">
      <alignment horizontal="left" vertical="top"/>
    </xf>
    <xf numFmtId="0" fontId="22" fillId="0" borderId="1" xfId="0" applyFont="1" applyBorder="1" applyAlignment="1">
      <alignment horizontal="left" vertical="top"/>
    </xf>
    <xf numFmtId="164" fontId="22" fillId="0" borderId="19" xfId="0" applyNumberFormat="1" applyFont="1" applyBorder="1" applyAlignment="1">
      <alignment horizontal="left" vertical="top"/>
    </xf>
    <xf numFmtId="0" fontId="22" fillId="0" borderId="17" xfId="0" applyFont="1" applyBorder="1" applyAlignment="1">
      <alignment horizontal="left" vertical="top"/>
    </xf>
    <xf numFmtId="0" fontId="22" fillId="0" borderId="2" xfId="0" applyFont="1" applyBorder="1" applyAlignment="1">
      <alignment horizontal="left" vertical="top"/>
    </xf>
    <xf numFmtId="0" fontId="22" fillId="0" borderId="24" xfId="0" applyFont="1" applyBorder="1" applyAlignment="1">
      <alignment horizontal="left" vertical="top"/>
    </xf>
    <xf numFmtId="0" fontId="22" fillId="0" borderId="25" xfId="0" applyFont="1" applyBorder="1" applyAlignment="1">
      <alignment horizontal="left" vertical="top"/>
    </xf>
    <xf numFmtId="0" fontId="22" fillId="0" borderId="37" xfId="0" applyFont="1" applyBorder="1" applyAlignment="1">
      <alignment horizontal="left" vertical="top"/>
    </xf>
    <xf numFmtId="0" fontId="22" fillId="0" borderId="7" xfId="0" applyFont="1" applyBorder="1" applyAlignment="1">
      <alignment horizontal="left" vertical="top"/>
    </xf>
    <xf numFmtId="164" fontId="22" fillId="0" borderId="38" xfId="0" applyNumberFormat="1" applyFont="1" applyBorder="1" applyAlignment="1">
      <alignment horizontal="left" vertical="top"/>
    </xf>
    <xf numFmtId="0" fontId="22" fillId="0" borderId="8" xfId="0" applyFont="1" applyBorder="1" applyAlignment="1">
      <alignment horizontal="left" vertical="top"/>
    </xf>
    <xf numFmtId="0" fontId="22" fillId="0" borderId="40" xfId="0" applyFont="1" applyBorder="1" applyAlignment="1">
      <alignment horizontal="left" vertical="top"/>
    </xf>
    <xf numFmtId="0" fontId="21" fillId="0" borderId="19" xfId="4214" applyBorder="1" applyAlignment="1">
      <alignment horizontal="left" vertical="top"/>
    </xf>
    <xf numFmtId="0" fontId="21" fillId="0" borderId="18" xfId="4214" applyBorder="1" applyAlignment="1">
      <alignment horizontal="left" vertical="top"/>
    </xf>
    <xf numFmtId="0" fontId="22" fillId="0" borderId="41" xfId="0" applyFont="1" applyBorder="1" applyAlignment="1">
      <alignment horizontal="left" vertical="top"/>
    </xf>
    <xf numFmtId="0" fontId="21" fillId="0" borderId="3" xfId="4214" applyBorder="1" applyAlignment="1">
      <alignment horizontal="left" vertical="top"/>
    </xf>
    <xf numFmtId="0" fontId="22" fillId="0" borderId="42" xfId="0" applyFont="1" applyBorder="1" applyAlignment="1">
      <alignment horizontal="left" vertical="top"/>
    </xf>
    <xf numFmtId="0" fontId="21" fillId="0" borderId="6" xfId="4214" applyBorder="1" applyAlignment="1">
      <alignment horizontal="left" vertical="top"/>
    </xf>
    <xf numFmtId="0" fontId="22" fillId="0" borderId="43" xfId="0" applyFont="1" applyBorder="1" applyAlignment="1">
      <alignment horizontal="left" vertical="top"/>
    </xf>
    <xf numFmtId="0" fontId="21" fillId="0" borderId="44" xfId="4214" applyBorder="1" applyAlignment="1">
      <alignment horizontal="left" vertical="top"/>
    </xf>
    <xf numFmtId="0" fontId="39" fillId="7" borderId="41" xfId="0" applyFont="1" applyFill="1" applyBorder="1" applyAlignment="1">
      <alignment horizontal="left" vertical="top"/>
    </xf>
    <xf numFmtId="0" fontId="39" fillId="7" borderId="43" xfId="0" applyFont="1" applyFill="1" applyBorder="1" applyAlignment="1">
      <alignment horizontal="left" vertical="top"/>
    </xf>
    <xf numFmtId="0" fontId="39" fillId="7" borderId="42" xfId="0" applyFont="1" applyFill="1" applyBorder="1" applyAlignment="1">
      <alignment horizontal="left" vertical="top"/>
    </xf>
    <xf numFmtId="0" fontId="22" fillId="0" borderId="45" xfId="0" applyFont="1" applyBorder="1" applyAlignment="1">
      <alignment horizontal="left" vertical="top"/>
    </xf>
    <xf numFmtId="0" fontId="21" fillId="0" borderId="38" xfId="4214" applyBorder="1" applyAlignment="1">
      <alignment horizontal="left" vertical="top"/>
    </xf>
    <xf numFmtId="0" fontId="21" fillId="0" borderId="15" xfId="4214" applyBorder="1" applyAlignment="1">
      <alignment horizontal="left" vertical="top"/>
    </xf>
    <xf numFmtId="0" fontId="40" fillId="0" borderId="0" xfId="0" applyFont="1" applyBorder="1" applyAlignment="1">
      <alignment horizontal="left" vertical="top"/>
    </xf>
    <xf numFmtId="0" fontId="40" fillId="0" borderId="20" xfId="0" applyFont="1" applyBorder="1" applyAlignment="1">
      <alignment horizontal="left" vertical="top"/>
    </xf>
    <xf numFmtId="0" fontId="40" fillId="0" borderId="5" xfId="0" applyFont="1" applyBorder="1" applyAlignment="1">
      <alignment horizontal="left" vertical="top"/>
    </xf>
    <xf numFmtId="0" fontId="40" fillId="0" borderId="32" xfId="0" applyFont="1" applyBorder="1" applyAlignment="1">
      <alignment horizontal="left" vertical="top"/>
    </xf>
    <xf numFmtId="0" fontId="40" fillId="0" borderId="29" xfId="0" applyFont="1" applyBorder="1" applyAlignment="1">
      <alignment horizontal="left" vertical="top"/>
    </xf>
    <xf numFmtId="0" fontId="40" fillId="0" borderId="30" xfId="0" applyFont="1" applyBorder="1" applyAlignment="1">
      <alignment horizontal="left" vertical="top"/>
    </xf>
    <xf numFmtId="0" fontId="22" fillId="0" borderId="19" xfId="0" applyFont="1" applyBorder="1" applyAlignment="1">
      <alignment horizontal="left" vertical="top"/>
    </xf>
    <xf numFmtId="0" fontId="39" fillId="7" borderId="18" xfId="0" applyFont="1" applyFill="1" applyBorder="1" applyAlignment="1">
      <alignment horizontal="left" vertical="top"/>
    </xf>
    <xf numFmtId="0" fontId="39" fillId="7" borderId="3" xfId="0" applyFont="1" applyFill="1" applyBorder="1" applyAlignment="1">
      <alignment horizontal="left" vertical="top"/>
    </xf>
    <xf numFmtId="0" fontId="22" fillId="0" borderId="3" xfId="0" applyFont="1" applyBorder="1" applyAlignment="1">
      <alignment horizontal="left" vertical="top"/>
    </xf>
    <xf numFmtId="0" fontId="39" fillId="7" borderId="6" xfId="0" applyFont="1" applyFill="1" applyBorder="1" applyAlignment="1">
      <alignment horizontal="left" vertical="top"/>
    </xf>
    <xf numFmtId="0" fontId="39" fillId="7" borderId="44" xfId="0" applyFont="1" applyFill="1" applyBorder="1" applyAlignment="1">
      <alignment horizontal="left" vertical="top"/>
    </xf>
    <xf numFmtId="0" fontId="22" fillId="0" borderId="44" xfId="0" applyFont="1" applyBorder="1" applyAlignment="1">
      <alignment horizontal="left" vertical="top"/>
    </xf>
    <xf numFmtId="0" fontId="22" fillId="0" borderId="6" xfId="0" applyFont="1" applyBorder="1" applyAlignment="1">
      <alignment horizontal="left" vertical="top"/>
    </xf>
    <xf numFmtId="0" fontId="22" fillId="0" borderId="4" xfId="0" applyFont="1" applyBorder="1" applyAlignment="1">
      <alignment horizontal="left" vertical="top"/>
    </xf>
    <xf numFmtId="0" fontId="22" fillId="0" borderId="46" xfId="0" applyFont="1" applyBorder="1" applyAlignment="1">
      <alignment horizontal="left" vertical="top"/>
    </xf>
    <xf numFmtId="0" fontId="39" fillId="7" borderId="14" xfId="0" applyFont="1" applyFill="1" applyBorder="1" applyAlignment="1">
      <alignment horizontal="left" vertical="top"/>
    </xf>
    <xf numFmtId="0" fontId="21" fillId="0" borderId="47" xfId="4214" applyBorder="1" applyAlignment="1">
      <alignment horizontal="left" vertical="top"/>
    </xf>
    <xf numFmtId="0" fontId="21" fillId="0" borderId="48" xfId="4214" applyBorder="1" applyAlignment="1">
      <alignment horizontal="left" vertical="top"/>
    </xf>
    <xf numFmtId="0" fontId="21" fillId="0" borderId="49" xfId="4214" applyBorder="1" applyAlignment="1">
      <alignment horizontal="left" vertical="top"/>
    </xf>
    <xf numFmtId="0" fontId="21" fillId="0" borderId="50" xfId="4214" applyBorder="1" applyAlignment="1">
      <alignment horizontal="left" vertical="top"/>
    </xf>
    <xf numFmtId="0" fontId="21" fillId="0" borderId="51" xfId="4214" applyBorder="1" applyAlignment="1">
      <alignment horizontal="left" vertical="top"/>
    </xf>
    <xf numFmtId="0" fontId="21" fillId="0" borderId="14" xfId="4214" applyBorder="1" applyAlignment="1">
      <alignment horizontal="left" vertical="top"/>
    </xf>
    <xf numFmtId="0" fontId="21" fillId="0" borderId="36" xfId="4214" applyBorder="1" applyAlignment="1">
      <alignment horizontal="left" vertical="top"/>
    </xf>
    <xf numFmtId="0" fontId="22" fillId="8" borderId="34" xfId="0" applyFont="1" applyFill="1" applyBorder="1" applyAlignment="1">
      <alignment horizontal="left" vertical="top"/>
    </xf>
    <xf numFmtId="0" fontId="21" fillId="0" borderId="34" xfId="4214" applyBorder="1" applyAlignment="1">
      <alignment horizontal="left" vertical="top"/>
    </xf>
    <xf numFmtId="0" fontId="22" fillId="8" borderId="35" xfId="0" applyFont="1" applyFill="1" applyBorder="1" applyAlignment="1">
      <alignment horizontal="left" vertical="top"/>
    </xf>
    <xf numFmtId="0" fontId="21" fillId="0" borderId="33" xfId="4214" applyBorder="1" applyAlignment="1">
      <alignment horizontal="left" vertical="top"/>
    </xf>
    <xf numFmtId="0" fontId="21" fillId="0" borderId="35" xfId="4214" applyBorder="1" applyAlignment="1">
      <alignment horizontal="left" vertical="top"/>
    </xf>
    <xf numFmtId="0" fontId="22" fillId="8" borderId="33" xfId="0" applyFont="1" applyFill="1" applyBorder="1" applyAlignment="1">
      <alignment horizontal="left" vertical="top"/>
    </xf>
    <xf numFmtId="0" fontId="21" fillId="0" borderId="39" xfId="4214" applyBorder="1" applyAlignment="1">
      <alignment horizontal="left" vertical="top"/>
    </xf>
    <xf numFmtId="0" fontId="12" fillId="0" borderId="25" xfId="1" applyFont="1" applyFill="1" applyBorder="1" applyAlignment="1">
      <alignment horizontal="center" vertical="center" textRotation="90" wrapText="1"/>
    </xf>
    <xf numFmtId="0" fontId="12" fillId="0" borderId="2" xfId="1" applyFont="1" applyFill="1" applyBorder="1" applyAlignment="1">
      <alignment horizontal="center" vertical="center" textRotation="90" wrapText="1"/>
    </xf>
    <xf numFmtId="0" fontId="13" fillId="0" borderId="2" xfId="1" applyFont="1" applyBorder="1" applyAlignment="1">
      <alignment horizontal="center" vertical="center" textRotation="90" wrapText="1"/>
    </xf>
    <xf numFmtId="0" fontId="13" fillId="0" borderId="11" xfId="1" applyFont="1" applyBorder="1" applyAlignment="1">
      <alignment horizontal="center" vertical="center" textRotation="90" wrapText="1"/>
    </xf>
    <xf numFmtId="0" fontId="4" fillId="0" borderId="27" xfId="1" applyFont="1" applyBorder="1" applyAlignment="1">
      <alignment horizontal="left" vertical="top" wrapText="1"/>
    </xf>
    <xf numFmtId="0" fontId="4" fillId="0" borderId="21" xfId="1" applyFont="1" applyBorder="1" applyAlignment="1">
      <alignment horizontal="left" vertical="top" wrapText="1"/>
    </xf>
    <xf numFmtId="0" fontId="4" fillId="0" borderId="26" xfId="1" applyFont="1" applyBorder="1" applyAlignment="1">
      <alignment horizontal="left" vertical="top" wrapText="1"/>
    </xf>
    <xf numFmtId="0" fontId="4" fillId="0" borderId="0" xfId="4214" applyFont="1" applyBorder="1" applyAlignment="1">
      <alignment horizontal="left" vertical="top" wrapText="1"/>
    </xf>
    <xf numFmtId="0" fontId="4" fillId="0" borderId="3" xfId="4214" applyFont="1" applyBorder="1" applyAlignment="1">
      <alignment horizontal="left" vertical="top" wrapText="1"/>
    </xf>
    <xf numFmtId="0" fontId="12" fillId="0" borderId="16" xfId="1" applyFont="1" applyFill="1" applyBorder="1" applyAlignment="1">
      <alignment horizontal="center" vertical="center" textRotation="90" wrapText="1"/>
    </xf>
    <xf numFmtId="0" fontId="13" fillId="0" borderId="24" xfId="1" applyFont="1" applyBorder="1" applyAlignment="1">
      <alignment horizontal="center" vertical="center" textRotation="90" wrapText="1"/>
    </xf>
    <xf numFmtId="0" fontId="4" fillId="0" borderId="16" xfId="1" applyFont="1" applyBorder="1" applyAlignment="1">
      <alignment vertical="top" wrapText="1"/>
    </xf>
    <xf numFmtId="0" fontId="4" fillId="0" borderId="1" xfId="1" applyFont="1" applyBorder="1" applyAlignment="1">
      <alignment vertical="top" wrapText="1"/>
    </xf>
    <xf numFmtId="0" fontId="4" fillId="0" borderId="18" xfId="1" applyFont="1" applyBorder="1" applyAlignment="1">
      <alignment vertical="top" wrapText="1"/>
    </xf>
    <xf numFmtId="0" fontId="5" fillId="5" borderId="2" xfId="1" applyFont="1" applyFill="1" applyBorder="1" applyAlignment="1">
      <alignment vertical="top" wrapText="1"/>
    </xf>
    <xf numFmtId="0" fontId="5" fillId="5" borderId="0" xfId="1" applyFont="1" applyFill="1" applyBorder="1" applyAlignment="1">
      <alignment vertical="top" wrapText="1"/>
    </xf>
    <xf numFmtId="0" fontId="7" fillId="0" borderId="2" xfId="1" applyFont="1" applyBorder="1" applyAlignment="1">
      <alignment horizontal="center" vertical="center" textRotation="90" wrapText="1"/>
    </xf>
    <xf numFmtId="0" fontId="4" fillId="0" borderId="0" xfId="1" applyFont="1" applyBorder="1" applyAlignment="1">
      <alignment vertical="top" wrapText="1"/>
    </xf>
    <xf numFmtId="0" fontId="4" fillId="0" borderId="3" xfId="1" applyFont="1" applyBorder="1" applyAlignment="1">
      <alignment vertical="top" wrapText="1"/>
    </xf>
    <xf numFmtId="0" fontId="4" fillId="0" borderId="0" xfId="0" applyFont="1" applyFill="1" applyBorder="1" applyAlignment="1">
      <alignment horizontal="left" vertical="top"/>
    </xf>
    <xf numFmtId="0" fontId="4" fillId="0" borderId="3" xfId="0" applyFont="1" applyFill="1" applyBorder="1" applyAlignment="1">
      <alignment horizontal="left" vertical="top"/>
    </xf>
    <xf numFmtId="0" fontId="30" fillId="3" borderId="16" xfId="0" applyFont="1" applyFill="1" applyBorder="1" applyAlignment="1">
      <alignment horizontal="left" vertical="center" indent="2"/>
    </xf>
    <xf numFmtId="0" fontId="30" fillId="3" borderId="1" xfId="0" applyFont="1" applyFill="1" applyBorder="1" applyAlignment="1">
      <alignment horizontal="left" vertical="center" indent="2"/>
    </xf>
    <xf numFmtId="0" fontId="30" fillId="3" borderId="2" xfId="0" applyFont="1" applyFill="1" applyBorder="1" applyAlignment="1">
      <alignment horizontal="left" vertical="center" indent="2"/>
    </xf>
    <xf numFmtId="0" fontId="30" fillId="3" borderId="0" xfId="0" applyFont="1" applyFill="1" applyBorder="1" applyAlignment="1">
      <alignment horizontal="left" vertical="center" indent="2"/>
    </xf>
    <xf numFmtId="0" fontId="4" fillId="0" borderId="1" xfId="0" applyFont="1" applyFill="1" applyBorder="1" applyAlignment="1">
      <alignment horizontal="left" vertical="top"/>
    </xf>
    <xf numFmtId="0" fontId="4" fillId="0" borderId="18" xfId="0" applyFont="1" applyFill="1" applyBorder="1" applyAlignment="1">
      <alignment horizontal="left" vertical="top"/>
    </xf>
    <xf numFmtId="0" fontId="21" fillId="0" borderId="25" xfId="4214" applyBorder="1" applyAlignment="1">
      <alignment horizontal="left" vertical="top"/>
    </xf>
    <xf numFmtId="0" fontId="22" fillId="0" borderId="2" xfId="0" applyFont="1" applyBorder="1" applyAlignment="1">
      <alignment horizontal="left" vertical="top"/>
    </xf>
    <xf numFmtId="0" fontId="22" fillId="0" borderId="24" xfId="0" applyFont="1" applyBorder="1" applyAlignment="1">
      <alignment horizontal="left" vertical="top"/>
    </xf>
    <xf numFmtId="0" fontId="22" fillId="0" borderId="11" xfId="0" applyFont="1" applyBorder="1" applyAlignment="1">
      <alignment horizontal="left" vertical="top"/>
    </xf>
    <xf numFmtId="0" fontId="30" fillId="3" borderId="16" xfId="0" applyFont="1" applyFill="1" applyBorder="1" applyAlignment="1">
      <alignment horizontal="left" vertical="center"/>
    </xf>
    <xf numFmtId="0" fontId="30" fillId="3" borderId="1" xfId="0" applyFont="1" applyFill="1" applyBorder="1" applyAlignment="1">
      <alignment horizontal="left" vertical="center"/>
    </xf>
    <xf numFmtId="0" fontId="30" fillId="3" borderId="19" xfId="0" applyFont="1" applyFill="1" applyBorder="1" applyAlignment="1">
      <alignment horizontal="left" vertical="center"/>
    </xf>
    <xf numFmtId="0" fontId="30" fillId="3" borderId="2" xfId="0" applyFont="1" applyFill="1" applyBorder="1" applyAlignment="1">
      <alignment horizontal="left" vertical="center"/>
    </xf>
    <xf numFmtId="0" fontId="30" fillId="3" borderId="0" xfId="0" applyFont="1" applyFill="1" applyBorder="1" applyAlignment="1">
      <alignment horizontal="left" vertical="center"/>
    </xf>
    <xf numFmtId="0" fontId="30" fillId="3" borderId="20" xfId="0" applyFont="1" applyFill="1" applyBorder="1" applyAlignment="1">
      <alignment horizontal="left" vertical="center"/>
    </xf>
    <xf numFmtId="0" fontId="21" fillId="0" borderId="16" xfId="4214" applyBorder="1" applyAlignment="1">
      <alignment horizontal="left" vertical="top"/>
    </xf>
  </cellXfs>
  <cellStyles count="4218">
    <cellStyle name="Followed Hyperlink 2" xfId="3"/>
    <cellStyle name="Followed Hyperlink 3" xfId="4"/>
    <cellStyle name="Hyperlink" xfId="4214" builtinId="8"/>
    <cellStyle name="Hyperlink 10 10" xfId="5"/>
    <cellStyle name="Hyperlink 10 11" xfId="6"/>
    <cellStyle name="Hyperlink 10 12" xfId="7"/>
    <cellStyle name="Hyperlink 10 13" xfId="8"/>
    <cellStyle name="Hyperlink 10 14" xfId="9"/>
    <cellStyle name="Hyperlink 10 2" xfId="10"/>
    <cellStyle name="Hyperlink 10 3" xfId="11"/>
    <cellStyle name="Hyperlink 10 4" xfId="12"/>
    <cellStyle name="Hyperlink 10 5" xfId="13"/>
    <cellStyle name="Hyperlink 10 6" xfId="14"/>
    <cellStyle name="Hyperlink 10 7" xfId="15"/>
    <cellStyle name="Hyperlink 10 8" xfId="16"/>
    <cellStyle name="Hyperlink 10 9" xfId="17"/>
    <cellStyle name="Hyperlink 11 10" xfId="18"/>
    <cellStyle name="Hyperlink 11 11" xfId="19"/>
    <cellStyle name="Hyperlink 11 12" xfId="20"/>
    <cellStyle name="Hyperlink 11 13" xfId="21"/>
    <cellStyle name="Hyperlink 11 14" xfId="22"/>
    <cellStyle name="Hyperlink 11 2" xfId="23"/>
    <cellStyle name="Hyperlink 11 3" xfId="24"/>
    <cellStyle name="Hyperlink 11 4" xfId="25"/>
    <cellStyle name="Hyperlink 11 5" xfId="26"/>
    <cellStyle name="Hyperlink 11 6" xfId="27"/>
    <cellStyle name="Hyperlink 11 7" xfId="28"/>
    <cellStyle name="Hyperlink 11 8" xfId="29"/>
    <cellStyle name="Hyperlink 11 9" xfId="30"/>
    <cellStyle name="Hyperlink 12 10" xfId="31"/>
    <cellStyle name="Hyperlink 12 11" xfId="32"/>
    <cellStyle name="Hyperlink 12 12" xfId="33"/>
    <cellStyle name="Hyperlink 12 13" xfId="34"/>
    <cellStyle name="Hyperlink 12 14" xfId="35"/>
    <cellStyle name="Hyperlink 12 2" xfId="36"/>
    <cellStyle name="Hyperlink 12 3" xfId="37"/>
    <cellStyle name="Hyperlink 12 4" xfId="38"/>
    <cellStyle name="Hyperlink 12 5" xfId="39"/>
    <cellStyle name="Hyperlink 12 6" xfId="40"/>
    <cellStyle name="Hyperlink 12 7" xfId="41"/>
    <cellStyle name="Hyperlink 12 8" xfId="42"/>
    <cellStyle name="Hyperlink 12 9" xfId="43"/>
    <cellStyle name="Hyperlink 13 10" xfId="44"/>
    <cellStyle name="Hyperlink 13 11" xfId="45"/>
    <cellStyle name="Hyperlink 13 12" xfId="46"/>
    <cellStyle name="Hyperlink 13 13" xfId="47"/>
    <cellStyle name="Hyperlink 13 14" xfId="48"/>
    <cellStyle name="Hyperlink 13 2" xfId="49"/>
    <cellStyle name="Hyperlink 13 3" xfId="50"/>
    <cellStyle name="Hyperlink 13 4" xfId="51"/>
    <cellStyle name="Hyperlink 13 5" xfId="52"/>
    <cellStyle name="Hyperlink 13 6" xfId="53"/>
    <cellStyle name="Hyperlink 13 7" xfId="54"/>
    <cellStyle name="Hyperlink 13 8" xfId="55"/>
    <cellStyle name="Hyperlink 13 9" xfId="56"/>
    <cellStyle name="Hyperlink 14 10" xfId="57"/>
    <cellStyle name="Hyperlink 14 11" xfId="58"/>
    <cellStyle name="Hyperlink 14 12" xfId="59"/>
    <cellStyle name="Hyperlink 14 13" xfId="60"/>
    <cellStyle name="Hyperlink 14 14" xfId="61"/>
    <cellStyle name="Hyperlink 14 2" xfId="62"/>
    <cellStyle name="Hyperlink 14 3" xfId="63"/>
    <cellStyle name="Hyperlink 14 4" xfId="64"/>
    <cellStyle name="Hyperlink 14 5" xfId="65"/>
    <cellStyle name="Hyperlink 14 6" xfId="66"/>
    <cellStyle name="Hyperlink 14 7" xfId="67"/>
    <cellStyle name="Hyperlink 14 8" xfId="68"/>
    <cellStyle name="Hyperlink 14 9" xfId="69"/>
    <cellStyle name="Hyperlink 15 10" xfId="70"/>
    <cellStyle name="Hyperlink 15 11" xfId="71"/>
    <cellStyle name="Hyperlink 15 12" xfId="72"/>
    <cellStyle name="Hyperlink 15 13" xfId="73"/>
    <cellStyle name="Hyperlink 15 14" xfId="74"/>
    <cellStyle name="Hyperlink 15 2" xfId="75"/>
    <cellStyle name="Hyperlink 15 3" xfId="76"/>
    <cellStyle name="Hyperlink 15 4" xfId="77"/>
    <cellStyle name="Hyperlink 15 5" xfId="78"/>
    <cellStyle name="Hyperlink 15 6" xfId="79"/>
    <cellStyle name="Hyperlink 15 7" xfId="80"/>
    <cellStyle name="Hyperlink 15 8" xfId="81"/>
    <cellStyle name="Hyperlink 15 9" xfId="82"/>
    <cellStyle name="Hyperlink 16 10" xfId="83"/>
    <cellStyle name="Hyperlink 16 11" xfId="84"/>
    <cellStyle name="Hyperlink 16 12" xfId="85"/>
    <cellStyle name="Hyperlink 16 13" xfId="86"/>
    <cellStyle name="Hyperlink 16 14" xfId="87"/>
    <cellStyle name="Hyperlink 16 2" xfId="88"/>
    <cellStyle name="Hyperlink 16 3" xfId="89"/>
    <cellStyle name="Hyperlink 16 4" xfId="90"/>
    <cellStyle name="Hyperlink 16 5" xfId="91"/>
    <cellStyle name="Hyperlink 16 6" xfId="92"/>
    <cellStyle name="Hyperlink 16 7" xfId="93"/>
    <cellStyle name="Hyperlink 16 8" xfId="94"/>
    <cellStyle name="Hyperlink 16 9" xfId="95"/>
    <cellStyle name="Hyperlink 17 10" xfId="96"/>
    <cellStyle name="Hyperlink 17 11" xfId="97"/>
    <cellStyle name="Hyperlink 17 12" xfId="98"/>
    <cellStyle name="Hyperlink 17 13" xfId="99"/>
    <cellStyle name="Hyperlink 17 14" xfId="100"/>
    <cellStyle name="Hyperlink 17 2" xfId="101"/>
    <cellStyle name="Hyperlink 17 3" xfId="102"/>
    <cellStyle name="Hyperlink 17 4" xfId="103"/>
    <cellStyle name="Hyperlink 17 5" xfId="104"/>
    <cellStyle name="Hyperlink 17 6" xfId="105"/>
    <cellStyle name="Hyperlink 17 7" xfId="106"/>
    <cellStyle name="Hyperlink 17 8" xfId="107"/>
    <cellStyle name="Hyperlink 17 9" xfId="108"/>
    <cellStyle name="Hyperlink 18 10" xfId="109"/>
    <cellStyle name="Hyperlink 18 11" xfId="110"/>
    <cellStyle name="Hyperlink 18 12" xfId="111"/>
    <cellStyle name="Hyperlink 18 13" xfId="112"/>
    <cellStyle name="Hyperlink 18 14" xfId="113"/>
    <cellStyle name="Hyperlink 18 2" xfId="114"/>
    <cellStyle name="Hyperlink 18 3" xfId="115"/>
    <cellStyle name="Hyperlink 18 4" xfId="116"/>
    <cellStyle name="Hyperlink 18 5" xfId="117"/>
    <cellStyle name="Hyperlink 18 6" xfId="118"/>
    <cellStyle name="Hyperlink 18 7" xfId="119"/>
    <cellStyle name="Hyperlink 18 8" xfId="120"/>
    <cellStyle name="Hyperlink 18 9" xfId="121"/>
    <cellStyle name="Hyperlink 19 10" xfId="122"/>
    <cellStyle name="Hyperlink 19 11" xfId="123"/>
    <cellStyle name="Hyperlink 19 12" xfId="124"/>
    <cellStyle name="Hyperlink 19 13" xfId="125"/>
    <cellStyle name="Hyperlink 19 14" xfId="126"/>
    <cellStyle name="Hyperlink 19 2" xfId="127"/>
    <cellStyle name="Hyperlink 19 3" xfId="128"/>
    <cellStyle name="Hyperlink 19 4" xfId="129"/>
    <cellStyle name="Hyperlink 19 5" xfId="130"/>
    <cellStyle name="Hyperlink 19 6" xfId="131"/>
    <cellStyle name="Hyperlink 19 7" xfId="132"/>
    <cellStyle name="Hyperlink 19 8" xfId="133"/>
    <cellStyle name="Hyperlink 19 9" xfId="134"/>
    <cellStyle name="Hyperlink 2" xfId="135"/>
    <cellStyle name="Hyperlink 2 10" xfId="136"/>
    <cellStyle name="Hyperlink 2 11" xfId="137"/>
    <cellStyle name="Hyperlink 2 12" xfId="138"/>
    <cellStyle name="Hyperlink 2 13" xfId="139"/>
    <cellStyle name="Hyperlink 2 14" xfId="140"/>
    <cellStyle name="Hyperlink 2 14 2" xfId="141"/>
    <cellStyle name="Hyperlink 2 14 3" xfId="142"/>
    <cellStyle name="Hyperlink 2 14 4" xfId="143"/>
    <cellStyle name="Hyperlink 2 14 5" xfId="144"/>
    <cellStyle name="Hyperlink 2 14 6" xfId="145"/>
    <cellStyle name="Hyperlink 2 14 7" xfId="146"/>
    <cellStyle name="Hyperlink 2 14 8" xfId="147"/>
    <cellStyle name="Hyperlink 2 15" xfId="148"/>
    <cellStyle name="Hyperlink 2 16" xfId="149"/>
    <cellStyle name="Hyperlink 2 17" xfId="150"/>
    <cellStyle name="Hyperlink 2 18" xfId="151"/>
    <cellStyle name="Hyperlink 2 19" xfId="152"/>
    <cellStyle name="Hyperlink 2 2" xfId="153"/>
    <cellStyle name="Hyperlink 2 20" xfId="154"/>
    <cellStyle name="Hyperlink 2 21" xfId="155"/>
    <cellStyle name="Hyperlink 2 22" xfId="156"/>
    <cellStyle name="Hyperlink 2 3" xfId="157"/>
    <cellStyle name="Hyperlink 2 4" xfId="158"/>
    <cellStyle name="Hyperlink 2 5" xfId="159"/>
    <cellStyle name="Hyperlink 2 6" xfId="160"/>
    <cellStyle name="Hyperlink 2 7" xfId="161"/>
    <cellStyle name="Hyperlink 2 8" xfId="162"/>
    <cellStyle name="Hyperlink 2 9" xfId="163"/>
    <cellStyle name="Hyperlink 20 10" xfId="164"/>
    <cellStyle name="Hyperlink 20 11" xfId="165"/>
    <cellStyle name="Hyperlink 20 12" xfId="166"/>
    <cellStyle name="Hyperlink 20 13" xfId="167"/>
    <cellStyle name="Hyperlink 20 14" xfId="168"/>
    <cellStyle name="Hyperlink 20 2" xfId="169"/>
    <cellStyle name="Hyperlink 20 3" xfId="170"/>
    <cellStyle name="Hyperlink 20 4" xfId="171"/>
    <cellStyle name="Hyperlink 20 5" xfId="172"/>
    <cellStyle name="Hyperlink 20 6" xfId="173"/>
    <cellStyle name="Hyperlink 20 7" xfId="174"/>
    <cellStyle name="Hyperlink 20 8" xfId="175"/>
    <cellStyle name="Hyperlink 20 9" xfId="176"/>
    <cellStyle name="Hyperlink 21 10" xfId="177"/>
    <cellStyle name="Hyperlink 21 11" xfId="178"/>
    <cellStyle name="Hyperlink 21 12" xfId="179"/>
    <cellStyle name="Hyperlink 21 13" xfId="180"/>
    <cellStyle name="Hyperlink 21 14" xfId="181"/>
    <cellStyle name="Hyperlink 21 2" xfId="182"/>
    <cellStyle name="Hyperlink 21 3" xfId="183"/>
    <cellStyle name="Hyperlink 21 4" xfId="184"/>
    <cellStyle name="Hyperlink 21 5" xfId="185"/>
    <cellStyle name="Hyperlink 21 6" xfId="186"/>
    <cellStyle name="Hyperlink 21 7" xfId="187"/>
    <cellStyle name="Hyperlink 21 8" xfId="188"/>
    <cellStyle name="Hyperlink 21 9" xfId="189"/>
    <cellStyle name="Hyperlink 22 10" xfId="190"/>
    <cellStyle name="Hyperlink 22 11" xfId="191"/>
    <cellStyle name="Hyperlink 22 12" xfId="192"/>
    <cellStyle name="Hyperlink 22 13" xfId="193"/>
    <cellStyle name="Hyperlink 22 14" xfId="194"/>
    <cellStyle name="Hyperlink 22 2" xfId="195"/>
    <cellStyle name="Hyperlink 22 3" xfId="196"/>
    <cellStyle name="Hyperlink 22 4" xfId="197"/>
    <cellStyle name="Hyperlink 22 5" xfId="198"/>
    <cellStyle name="Hyperlink 22 6" xfId="199"/>
    <cellStyle name="Hyperlink 22 7" xfId="200"/>
    <cellStyle name="Hyperlink 22 8" xfId="201"/>
    <cellStyle name="Hyperlink 22 9" xfId="202"/>
    <cellStyle name="Hyperlink 23 10" xfId="203"/>
    <cellStyle name="Hyperlink 23 11" xfId="204"/>
    <cellStyle name="Hyperlink 23 12" xfId="205"/>
    <cellStyle name="Hyperlink 23 13" xfId="206"/>
    <cellStyle name="Hyperlink 23 14" xfId="207"/>
    <cellStyle name="Hyperlink 23 2" xfId="208"/>
    <cellStyle name="Hyperlink 23 3" xfId="209"/>
    <cellStyle name="Hyperlink 23 4" xfId="210"/>
    <cellStyle name="Hyperlink 23 5" xfId="211"/>
    <cellStyle name="Hyperlink 23 6" xfId="212"/>
    <cellStyle name="Hyperlink 23 7" xfId="213"/>
    <cellStyle name="Hyperlink 23 8" xfId="214"/>
    <cellStyle name="Hyperlink 23 9" xfId="215"/>
    <cellStyle name="Hyperlink 24 10" xfId="216"/>
    <cellStyle name="Hyperlink 24 11" xfId="217"/>
    <cellStyle name="Hyperlink 24 12" xfId="218"/>
    <cellStyle name="Hyperlink 24 13" xfId="219"/>
    <cellStyle name="Hyperlink 24 14" xfId="220"/>
    <cellStyle name="Hyperlink 24 2" xfId="221"/>
    <cellStyle name="Hyperlink 24 3" xfId="222"/>
    <cellStyle name="Hyperlink 24 4" xfId="223"/>
    <cellStyle name="Hyperlink 24 5" xfId="224"/>
    <cellStyle name="Hyperlink 24 6" xfId="225"/>
    <cellStyle name="Hyperlink 24 7" xfId="226"/>
    <cellStyle name="Hyperlink 24 8" xfId="227"/>
    <cellStyle name="Hyperlink 24 9" xfId="228"/>
    <cellStyle name="Hyperlink 3" xfId="229"/>
    <cellStyle name="Hyperlink 3 10" xfId="230"/>
    <cellStyle name="Hyperlink 3 11" xfId="231"/>
    <cellStyle name="Hyperlink 3 12" xfId="232"/>
    <cellStyle name="Hyperlink 3 13" xfId="233"/>
    <cellStyle name="Hyperlink 3 14" xfId="234"/>
    <cellStyle name="Hyperlink 3 2" xfId="235"/>
    <cellStyle name="Hyperlink 3 3" xfId="236"/>
    <cellStyle name="Hyperlink 3 4" xfId="237"/>
    <cellStyle name="Hyperlink 3 5" xfId="238"/>
    <cellStyle name="Hyperlink 3 6" xfId="239"/>
    <cellStyle name="Hyperlink 3 7" xfId="240"/>
    <cellStyle name="Hyperlink 3 8" xfId="241"/>
    <cellStyle name="Hyperlink 3 9" xfId="242"/>
    <cellStyle name="Hyperlink 32" xfId="243"/>
    <cellStyle name="Hyperlink 33" xfId="244"/>
    <cellStyle name="Hyperlink 4" xfId="245"/>
    <cellStyle name="Hyperlink 4 10" xfId="246"/>
    <cellStyle name="Hyperlink 4 11" xfId="247"/>
    <cellStyle name="Hyperlink 4 12" xfId="248"/>
    <cellStyle name="Hyperlink 4 13" xfId="249"/>
    <cellStyle name="Hyperlink 4 14" xfId="250"/>
    <cellStyle name="Hyperlink 4 2" xfId="251"/>
    <cellStyle name="Hyperlink 4 3" xfId="252"/>
    <cellStyle name="Hyperlink 4 4" xfId="253"/>
    <cellStyle name="Hyperlink 4 5" xfId="254"/>
    <cellStyle name="Hyperlink 4 6" xfId="255"/>
    <cellStyle name="Hyperlink 4 7" xfId="256"/>
    <cellStyle name="Hyperlink 4 8" xfId="257"/>
    <cellStyle name="Hyperlink 4 9" xfId="258"/>
    <cellStyle name="Hyperlink 5" xfId="259"/>
    <cellStyle name="Hyperlink 5 10" xfId="260"/>
    <cellStyle name="Hyperlink 5 11" xfId="261"/>
    <cellStyle name="Hyperlink 5 12" xfId="262"/>
    <cellStyle name="Hyperlink 5 13" xfId="263"/>
    <cellStyle name="Hyperlink 5 14" xfId="264"/>
    <cellStyle name="Hyperlink 5 2" xfId="265"/>
    <cellStyle name="Hyperlink 5 3" xfId="266"/>
    <cellStyle name="Hyperlink 5 4" xfId="267"/>
    <cellStyle name="Hyperlink 5 5" xfId="268"/>
    <cellStyle name="Hyperlink 5 6" xfId="269"/>
    <cellStyle name="Hyperlink 5 7" xfId="270"/>
    <cellStyle name="Hyperlink 5 8" xfId="271"/>
    <cellStyle name="Hyperlink 5 9" xfId="272"/>
    <cellStyle name="Hyperlink 6" xfId="273"/>
    <cellStyle name="Hyperlink 6 10" xfId="274"/>
    <cellStyle name="Hyperlink 6 11" xfId="275"/>
    <cellStyle name="Hyperlink 6 12" xfId="276"/>
    <cellStyle name="Hyperlink 6 13" xfId="277"/>
    <cellStyle name="Hyperlink 6 14" xfId="278"/>
    <cellStyle name="Hyperlink 6 2" xfId="279"/>
    <cellStyle name="Hyperlink 6 3" xfId="280"/>
    <cellStyle name="Hyperlink 6 4" xfId="281"/>
    <cellStyle name="Hyperlink 6 5" xfId="282"/>
    <cellStyle name="Hyperlink 6 6" xfId="283"/>
    <cellStyle name="Hyperlink 6 7" xfId="284"/>
    <cellStyle name="Hyperlink 6 8" xfId="285"/>
    <cellStyle name="Hyperlink 6 9" xfId="286"/>
    <cellStyle name="Hyperlink 7" xfId="287"/>
    <cellStyle name="Hyperlink 7 10" xfId="288"/>
    <cellStyle name="Hyperlink 7 11" xfId="289"/>
    <cellStyle name="Hyperlink 7 12" xfId="290"/>
    <cellStyle name="Hyperlink 7 13" xfId="291"/>
    <cellStyle name="Hyperlink 7 14" xfId="292"/>
    <cellStyle name="Hyperlink 7 15" xfId="293"/>
    <cellStyle name="Hyperlink 7 15 2" xfId="294"/>
    <cellStyle name="Hyperlink 7 2" xfId="295"/>
    <cellStyle name="Hyperlink 7 3" xfId="296"/>
    <cellStyle name="Hyperlink 7 4" xfId="297"/>
    <cellStyle name="Hyperlink 7 5" xfId="298"/>
    <cellStyle name="Hyperlink 7 6" xfId="299"/>
    <cellStyle name="Hyperlink 7 7" xfId="300"/>
    <cellStyle name="Hyperlink 7 8" xfId="301"/>
    <cellStyle name="Hyperlink 7 9" xfId="302"/>
    <cellStyle name="Hyperlink 8 10" xfId="303"/>
    <cellStyle name="Hyperlink 8 11" xfId="304"/>
    <cellStyle name="Hyperlink 8 12" xfId="305"/>
    <cellStyle name="Hyperlink 8 13" xfId="306"/>
    <cellStyle name="Hyperlink 8 14" xfId="307"/>
    <cellStyle name="Hyperlink 8 2" xfId="308"/>
    <cellStyle name="Hyperlink 8 3" xfId="309"/>
    <cellStyle name="Hyperlink 8 4" xfId="310"/>
    <cellStyle name="Hyperlink 8 5" xfId="311"/>
    <cellStyle name="Hyperlink 8 6" xfId="312"/>
    <cellStyle name="Hyperlink 8 7" xfId="313"/>
    <cellStyle name="Hyperlink 8 8" xfId="314"/>
    <cellStyle name="Hyperlink 8 9" xfId="315"/>
    <cellStyle name="Hyperlink 9 10" xfId="316"/>
    <cellStyle name="Hyperlink 9 11" xfId="317"/>
    <cellStyle name="Hyperlink 9 12" xfId="318"/>
    <cellStyle name="Hyperlink 9 13" xfId="319"/>
    <cellStyle name="Hyperlink 9 14" xfId="320"/>
    <cellStyle name="Hyperlink 9 2" xfId="321"/>
    <cellStyle name="Hyperlink 9 3" xfId="322"/>
    <cellStyle name="Hyperlink 9 4" xfId="323"/>
    <cellStyle name="Hyperlink 9 5" xfId="324"/>
    <cellStyle name="Hyperlink 9 6" xfId="325"/>
    <cellStyle name="Hyperlink 9 7" xfId="326"/>
    <cellStyle name="Hyperlink 9 8" xfId="327"/>
    <cellStyle name="Hyperlink 9 9" xfId="328"/>
    <cellStyle name="Normal" xfId="0" builtinId="0"/>
    <cellStyle name="Normal 10" xfId="329"/>
    <cellStyle name="Normal 10 10" xfId="330"/>
    <cellStyle name="Normal 10 11" xfId="331"/>
    <cellStyle name="Normal 10 12" xfId="332"/>
    <cellStyle name="Normal 10 13" xfId="333"/>
    <cellStyle name="Normal 10 14" xfId="334"/>
    <cellStyle name="Normal 10 15" xfId="335"/>
    <cellStyle name="Normal 10 16" xfId="336"/>
    <cellStyle name="Normal 10 17" xfId="337"/>
    <cellStyle name="Normal 10 2" xfId="338"/>
    <cellStyle name="Normal 10 3" xfId="339"/>
    <cellStyle name="Normal 10 4" xfId="340"/>
    <cellStyle name="Normal 10 5" xfId="341"/>
    <cellStyle name="Normal 10 6" xfId="342"/>
    <cellStyle name="Normal 10 7" xfId="343"/>
    <cellStyle name="Normal 10 8" xfId="344"/>
    <cellStyle name="Normal 10 9" xfId="345"/>
    <cellStyle name="Normal 11" xfId="346"/>
    <cellStyle name="Normal 11 10" xfId="347"/>
    <cellStyle name="Normal 11 11" xfId="348"/>
    <cellStyle name="Normal 11 12" xfId="349"/>
    <cellStyle name="Normal 11 13" xfId="350"/>
    <cellStyle name="Normal 11 14" xfId="351"/>
    <cellStyle name="Normal 11 15" xfId="352"/>
    <cellStyle name="Normal 11 16" xfId="353"/>
    <cellStyle name="Normal 11 17" xfId="354"/>
    <cellStyle name="Normal 11 2" xfId="355"/>
    <cellStyle name="Normal 11 3" xfId="356"/>
    <cellStyle name="Normal 11 4" xfId="357"/>
    <cellStyle name="Normal 11 5" xfId="358"/>
    <cellStyle name="Normal 11 6" xfId="359"/>
    <cellStyle name="Normal 11 7" xfId="360"/>
    <cellStyle name="Normal 11 8" xfId="361"/>
    <cellStyle name="Normal 11 9" xfId="362"/>
    <cellStyle name="Normal 12" xfId="363"/>
    <cellStyle name="Normal 12 10" xfId="364"/>
    <cellStyle name="Normal 12 11" xfId="365"/>
    <cellStyle name="Normal 12 12" xfId="366"/>
    <cellStyle name="Normal 12 13" xfId="367"/>
    <cellStyle name="Normal 12 14" xfId="368"/>
    <cellStyle name="Normal 12 15" xfId="369"/>
    <cellStyle name="Normal 12 16" xfId="370"/>
    <cellStyle name="Normal 12 17" xfId="371"/>
    <cellStyle name="Normal 12 2" xfId="372"/>
    <cellStyle name="Normal 12 3" xfId="373"/>
    <cellStyle name="Normal 12 4" xfId="374"/>
    <cellStyle name="Normal 12 5" xfId="375"/>
    <cellStyle name="Normal 12 6" xfId="376"/>
    <cellStyle name="Normal 12 7" xfId="377"/>
    <cellStyle name="Normal 12 8" xfId="378"/>
    <cellStyle name="Normal 12 9" xfId="379"/>
    <cellStyle name="Normal 13" xfId="380"/>
    <cellStyle name="Normal 13 10" xfId="381"/>
    <cellStyle name="Normal 13 11" xfId="382"/>
    <cellStyle name="Normal 13 12" xfId="383"/>
    <cellStyle name="Normal 13 13" xfId="384"/>
    <cellStyle name="Normal 13 14" xfId="385"/>
    <cellStyle name="Normal 13 15" xfId="386"/>
    <cellStyle name="Normal 13 16" xfId="387"/>
    <cellStyle name="Normal 13 17" xfId="388"/>
    <cellStyle name="Normal 13 2" xfId="389"/>
    <cellStyle name="Normal 13 3" xfId="390"/>
    <cellStyle name="Normal 13 4" xfId="391"/>
    <cellStyle name="Normal 13 5" xfId="392"/>
    <cellStyle name="Normal 13 6" xfId="393"/>
    <cellStyle name="Normal 13 7" xfId="394"/>
    <cellStyle name="Normal 13 8" xfId="395"/>
    <cellStyle name="Normal 13 9" xfId="396"/>
    <cellStyle name="Normal 14" xfId="397"/>
    <cellStyle name="Normal 14 10" xfId="398"/>
    <cellStyle name="Normal 14 11" xfId="399"/>
    <cellStyle name="Normal 14 12" xfId="400"/>
    <cellStyle name="Normal 14 13" xfId="401"/>
    <cellStyle name="Normal 14 14" xfId="402"/>
    <cellStyle name="Normal 14 15" xfId="403"/>
    <cellStyle name="Normal 14 16" xfId="404"/>
    <cellStyle name="Normal 14 17" xfId="405"/>
    <cellStyle name="Normal 14 2" xfId="406"/>
    <cellStyle name="Normal 14 3" xfId="407"/>
    <cellStyle name="Normal 14 4" xfId="408"/>
    <cellStyle name="Normal 14 5" xfId="409"/>
    <cellStyle name="Normal 14 6" xfId="410"/>
    <cellStyle name="Normal 14 7" xfId="411"/>
    <cellStyle name="Normal 14 8" xfId="412"/>
    <cellStyle name="Normal 14 9" xfId="413"/>
    <cellStyle name="Normal 15" xfId="414"/>
    <cellStyle name="Normal 15 10" xfId="415"/>
    <cellStyle name="Normal 15 11" xfId="416"/>
    <cellStyle name="Normal 15 12" xfId="417"/>
    <cellStyle name="Normal 15 13" xfId="418"/>
    <cellStyle name="Normal 15 14" xfId="419"/>
    <cellStyle name="Normal 15 15" xfId="420"/>
    <cellStyle name="Normal 15 16" xfId="421"/>
    <cellStyle name="Normal 15 17" xfId="422"/>
    <cellStyle name="Normal 15 2" xfId="423"/>
    <cellStyle name="Normal 15 3" xfId="424"/>
    <cellStyle name="Normal 15 4" xfId="425"/>
    <cellStyle name="Normal 15 5" xfId="426"/>
    <cellStyle name="Normal 15 6" xfId="427"/>
    <cellStyle name="Normal 15 7" xfId="428"/>
    <cellStyle name="Normal 15 8" xfId="429"/>
    <cellStyle name="Normal 15 9" xfId="430"/>
    <cellStyle name="Normal 16" xfId="431"/>
    <cellStyle name="Normal 16 10" xfId="432"/>
    <cellStyle name="Normal 16 11" xfId="433"/>
    <cellStyle name="Normal 16 12" xfId="434"/>
    <cellStyle name="Normal 16 13" xfId="435"/>
    <cellStyle name="Normal 16 14" xfId="436"/>
    <cellStyle name="Normal 16 15" xfId="437"/>
    <cellStyle name="Normal 16 16" xfId="438"/>
    <cellStyle name="Normal 16 17" xfId="439"/>
    <cellStyle name="Normal 16 2" xfId="440"/>
    <cellStyle name="Normal 16 3" xfId="441"/>
    <cellStyle name="Normal 16 4" xfId="442"/>
    <cellStyle name="Normal 16 5" xfId="443"/>
    <cellStyle name="Normal 16 6" xfId="444"/>
    <cellStyle name="Normal 16 7" xfId="445"/>
    <cellStyle name="Normal 16 8" xfId="446"/>
    <cellStyle name="Normal 16 9" xfId="447"/>
    <cellStyle name="Normal 17" xfId="448"/>
    <cellStyle name="Normal 17 10" xfId="449"/>
    <cellStyle name="Normal 17 11" xfId="450"/>
    <cellStyle name="Normal 17 12" xfId="451"/>
    <cellStyle name="Normal 17 13" xfId="452"/>
    <cellStyle name="Normal 17 14" xfId="453"/>
    <cellStyle name="Normal 17 15" xfId="454"/>
    <cellStyle name="Normal 17 16" xfId="455"/>
    <cellStyle name="Normal 17 17" xfId="456"/>
    <cellStyle name="Normal 17 2" xfId="457"/>
    <cellStyle name="Normal 17 3" xfId="458"/>
    <cellStyle name="Normal 17 4" xfId="459"/>
    <cellStyle name="Normal 17 5" xfId="460"/>
    <cellStyle name="Normal 17 6" xfId="461"/>
    <cellStyle name="Normal 17 7" xfId="462"/>
    <cellStyle name="Normal 17 8" xfId="463"/>
    <cellStyle name="Normal 17 9" xfId="464"/>
    <cellStyle name="Normal 18" xfId="465"/>
    <cellStyle name="Normal 18 10" xfId="466"/>
    <cellStyle name="Normal 18 11" xfId="467"/>
    <cellStyle name="Normal 18 12" xfId="468"/>
    <cellStyle name="Normal 18 13" xfId="469"/>
    <cellStyle name="Normal 18 14" xfId="470"/>
    <cellStyle name="Normal 18 15" xfId="471"/>
    <cellStyle name="Normal 18 16" xfId="472"/>
    <cellStyle name="Normal 18 17" xfId="473"/>
    <cellStyle name="Normal 18 2" xfId="474"/>
    <cellStyle name="Normal 18 3" xfId="475"/>
    <cellStyle name="Normal 18 4" xfId="476"/>
    <cellStyle name="Normal 18 5" xfId="477"/>
    <cellStyle name="Normal 18 6" xfId="478"/>
    <cellStyle name="Normal 18 7" xfId="479"/>
    <cellStyle name="Normal 18 8" xfId="480"/>
    <cellStyle name="Normal 18 9" xfId="481"/>
    <cellStyle name="Normal 19" xfId="482"/>
    <cellStyle name="Normal 19 10" xfId="483"/>
    <cellStyle name="Normal 19 11" xfId="484"/>
    <cellStyle name="Normal 19 12" xfId="485"/>
    <cellStyle name="Normal 19 13" xfId="486"/>
    <cellStyle name="Normal 19 14" xfId="487"/>
    <cellStyle name="Normal 19 15" xfId="488"/>
    <cellStyle name="Normal 19 16" xfId="489"/>
    <cellStyle name="Normal 19 17" xfId="490"/>
    <cellStyle name="Normal 19 2" xfId="491"/>
    <cellStyle name="Normal 19 3" xfId="492"/>
    <cellStyle name="Normal 19 4" xfId="493"/>
    <cellStyle name="Normal 19 5" xfId="494"/>
    <cellStyle name="Normal 19 6" xfId="495"/>
    <cellStyle name="Normal 19 7" xfId="496"/>
    <cellStyle name="Normal 19 8" xfId="497"/>
    <cellStyle name="Normal 19 9" xfId="498"/>
    <cellStyle name="Normal 2" xfId="2"/>
    <cellStyle name="Normal 2 10" xfId="499"/>
    <cellStyle name="Normal 2 11" xfId="500"/>
    <cellStyle name="Normal 2 12" xfId="501"/>
    <cellStyle name="Normal 2 13" xfId="502"/>
    <cellStyle name="Normal 2 14" xfId="503"/>
    <cellStyle name="Normal 2 15" xfId="504"/>
    <cellStyle name="Normal 2 16" xfId="505"/>
    <cellStyle name="Normal 2 17" xfId="506"/>
    <cellStyle name="Normal 2 18" xfId="507"/>
    <cellStyle name="Normal 2 18 10" xfId="508"/>
    <cellStyle name="Normal 2 18 10 2" xfId="509"/>
    <cellStyle name="Normal 2 18 10 2 2" xfId="510"/>
    <cellStyle name="Normal 2 18 10 2 2 2" xfId="511"/>
    <cellStyle name="Normal 2 18 10 2 2 2 2" xfId="512"/>
    <cellStyle name="Normal 2 18 10 2 2 2 3" xfId="513"/>
    <cellStyle name="Normal 2 18 10 2 2 3" xfId="514"/>
    <cellStyle name="Normal 2 18 10 2 2 4" xfId="515"/>
    <cellStyle name="Normal 2 18 10 2 3" xfId="516"/>
    <cellStyle name="Normal 2 18 10 2 3 2" xfId="517"/>
    <cellStyle name="Normal 2 18 10 2 3 2 2" xfId="518"/>
    <cellStyle name="Normal 2 18 10 2 3 2 3" xfId="519"/>
    <cellStyle name="Normal 2 18 10 2 3 3" xfId="520"/>
    <cellStyle name="Normal 2 18 10 2 3 4" xfId="521"/>
    <cellStyle name="Normal 2 18 10 2 4" xfId="522"/>
    <cellStyle name="Normal 2 18 10 2 4 2" xfId="523"/>
    <cellStyle name="Normal 2 18 10 2 4 3" xfId="524"/>
    <cellStyle name="Normal 2 18 10 2 5" xfId="525"/>
    <cellStyle name="Normal 2 18 10 2 6" xfId="526"/>
    <cellStyle name="Normal 2 18 10 3" xfId="527"/>
    <cellStyle name="Normal 2 18 10 3 2" xfId="528"/>
    <cellStyle name="Normal 2 18 10 3 2 2" xfId="529"/>
    <cellStyle name="Normal 2 18 10 3 2 2 2" xfId="530"/>
    <cellStyle name="Normal 2 18 10 3 2 2 3" xfId="531"/>
    <cellStyle name="Normal 2 18 10 3 2 3" xfId="532"/>
    <cellStyle name="Normal 2 18 10 3 2 4" xfId="533"/>
    <cellStyle name="Normal 2 18 10 3 3" xfId="534"/>
    <cellStyle name="Normal 2 18 10 3 3 2" xfId="535"/>
    <cellStyle name="Normal 2 18 10 3 3 2 2" xfId="536"/>
    <cellStyle name="Normal 2 18 10 3 3 2 3" xfId="537"/>
    <cellStyle name="Normal 2 18 10 3 3 3" xfId="538"/>
    <cellStyle name="Normal 2 18 10 3 3 4" xfId="539"/>
    <cellStyle name="Normal 2 18 10 3 4" xfId="540"/>
    <cellStyle name="Normal 2 18 10 3 4 2" xfId="541"/>
    <cellStyle name="Normal 2 18 10 3 4 3" xfId="542"/>
    <cellStyle name="Normal 2 18 10 3 5" xfId="543"/>
    <cellStyle name="Normal 2 18 10 3 6" xfId="544"/>
    <cellStyle name="Normal 2 18 10 4" xfId="545"/>
    <cellStyle name="Normal 2 18 10 4 2" xfId="546"/>
    <cellStyle name="Normal 2 18 10 4 2 2" xfId="547"/>
    <cellStyle name="Normal 2 18 10 4 2 3" xfId="548"/>
    <cellStyle name="Normal 2 18 10 4 3" xfId="549"/>
    <cellStyle name="Normal 2 18 10 4 4" xfId="550"/>
    <cellStyle name="Normal 2 18 10 5" xfId="551"/>
    <cellStyle name="Normal 2 18 10 5 2" xfId="552"/>
    <cellStyle name="Normal 2 18 10 5 2 2" xfId="553"/>
    <cellStyle name="Normal 2 18 10 5 2 3" xfId="554"/>
    <cellStyle name="Normal 2 18 10 5 3" xfId="555"/>
    <cellStyle name="Normal 2 18 10 5 4" xfId="556"/>
    <cellStyle name="Normal 2 18 10 6" xfId="557"/>
    <cellStyle name="Normal 2 18 10 6 2" xfId="558"/>
    <cellStyle name="Normal 2 18 10 6 3" xfId="559"/>
    <cellStyle name="Normal 2 18 10 7" xfId="560"/>
    <cellStyle name="Normal 2 18 10 8" xfId="561"/>
    <cellStyle name="Normal 2 18 11" xfId="562"/>
    <cellStyle name="Normal 2 18 11 2" xfId="563"/>
    <cellStyle name="Normal 2 18 11 2 2" xfId="564"/>
    <cellStyle name="Normal 2 18 11 2 2 2" xfId="565"/>
    <cellStyle name="Normal 2 18 11 2 2 2 2" xfId="566"/>
    <cellStyle name="Normal 2 18 11 2 2 2 3" xfId="567"/>
    <cellStyle name="Normal 2 18 11 2 2 3" xfId="568"/>
    <cellStyle name="Normal 2 18 11 2 2 4" xfId="569"/>
    <cellStyle name="Normal 2 18 11 2 3" xfId="570"/>
    <cellStyle name="Normal 2 18 11 2 3 2" xfId="571"/>
    <cellStyle name="Normal 2 18 11 2 3 2 2" xfId="572"/>
    <cellStyle name="Normal 2 18 11 2 3 2 3" xfId="573"/>
    <cellStyle name="Normal 2 18 11 2 3 3" xfId="574"/>
    <cellStyle name="Normal 2 18 11 2 3 4" xfId="575"/>
    <cellStyle name="Normal 2 18 11 2 4" xfId="576"/>
    <cellStyle name="Normal 2 18 11 2 4 2" xfId="577"/>
    <cellStyle name="Normal 2 18 11 2 4 3" xfId="578"/>
    <cellStyle name="Normal 2 18 11 2 5" xfId="579"/>
    <cellStyle name="Normal 2 18 11 2 6" xfId="580"/>
    <cellStyle name="Normal 2 18 11 3" xfId="581"/>
    <cellStyle name="Normal 2 18 11 3 2" xfId="582"/>
    <cellStyle name="Normal 2 18 11 3 2 2" xfId="583"/>
    <cellStyle name="Normal 2 18 11 3 2 2 2" xfId="584"/>
    <cellStyle name="Normal 2 18 11 3 2 2 3" xfId="585"/>
    <cellStyle name="Normal 2 18 11 3 2 3" xfId="586"/>
    <cellStyle name="Normal 2 18 11 3 2 4" xfId="587"/>
    <cellStyle name="Normal 2 18 11 3 3" xfId="588"/>
    <cellStyle name="Normal 2 18 11 3 3 2" xfId="589"/>
    <cellStyle name="Normal 2 18 11 3 3 2 2" xfId="590"/>
    <cellStyle name="Normal 2 18 11 3 3 2 3" xfId="591"/>
    <cellStyle name="Normal 2 18 11 3 3 3" xfId="592"/>
    <cellStyle name="Normal 2 18 11 3 3 4" xfId="593"/>
    <cellStyle name="Normal 2 18 11 3 4" xfId="594"/>
    <cellStyle name="Normal 2 18 11 3 4 2" xfId="595"/>
    <cellStyle name="Normal 2 18 11 3 4 3" xfId="596"/>
    <cellStyle name="Normal 2 18 11 3 5" xfId="597"/>
    <cellStyle name="Normal 2 18 11 3 6" xfId="598"/>
    <cellStyle name="Normal 2 18 11 4" xfId="599"/>
    <cellStyle name="Normal 2 18 11 4 2" xfId="600"/>
    <cellStyle name="Normal 2 18 11 4 2 2" xfId="601"/>
    <cellStyle name="Normal 2 18 11 4 2 3" xfId="602"/>
    <cellStyle name="Normal 2 18 11 4 3" xfId="603"/>
    <cellStyle name="Normal 2 18 11 4 4" xfId="604"/>
    <cellStyle name="Normal 2 18 11 5" xfId="605"/>
    <cellStyle name="Normal 2 18 11 5 2" xfId="606"/>
    <cellStyle name="Normal 2 18 11 5 2 2" xfId="607"/>
    <cellStyle name="Normal 2 18 11 5 2 3" xfId="608"/>
    <cellStyle name="Normal 2 18 11 5 3" xfId="609"/>
    <cellStyle name="Normal 2 18 11 5 4" xfId="610"/>
    <cellStyle name="Normal 2 18 11 6" xfId="611"/>
    <cellStyle name="Normal 2 18 11 6 2" xfId="612"/>
    <cellStyle name="Normal 2 18 11 6 3" xfId="613"/>
    <cellStyle name="Normal 2 18 11 7" xfId="614"/>
    <cellStyle name="Normal 2 18 11 8" xfId="615"/>
    <cellStyle name="Normal 2 18 12" xfId="616"/>
    <cellStyle name="Normal 2 18 12 2" xfId="617"/>
    <cellStyle name="Normal 2 18 12 2 2" xfId="618"/>
    <cellStyle name="Normal 2 18 12 2 2 2" xfId="619"/>
    <cellStyle name="Normal 2 18 12 2 2 2 2" xfId="620"/>
    <cellStyle name="Normal 2 18 12 2 2 2 3" xfId="621"/>
    <cellStyle name="Normal 2 18 12 2 2 3" xfId="622"/>
    <cellStyle name="Normal 2 18 12 2 2 4" xfId="623"/>
    <cellStyle name="Normal 2 18 12 2 3" xfId="624"/>
    <cellStyle name="Normal 2 18 12 2 3 2" xfId="625"/>
    <cellStyle name="Normal 2 18 12 2 3 2 2" xfId="626"/>
    <cellStyle name="Normal 2 18 12 2 3 2 3" xfId="627"/>
    <cellStyle name="Normal 2 18 12 2 3 3" xfId="628"/>
    <cellStyle name="Normal 2 18 12 2 3 4" xfId="629"/>
    <cellStyle name="Normal 2 18 12 2 4" xfId="630"/>
    <cellStyle name="Normal 2 18 12 2 4 2" xfId="631"/>
    <cellStyle name="Normal 2 18 12 2 4 3" xfId="632"/>
    <cellStyle name="Normal 2 18 12 2 5" xfId="633"/>
    <cellStyle name="Normal 2 18 12 2 6" xfId="634"/>
    <cellStyle name="Normal 2 18 12 3" xfId="635"/>
    <cellStyle name="Normal 2 18 12 3 2" xfId="636"/>
    <cellStyle name="Normal 2 18 12 3 2 2" xfId="637"/>
    <cellStyle name="Normal 2 18 12 3 2 2 2" xfId="638"/>
    <cellStyle name="Normal 2 18 12 3 2 2 3" xfId="639"/>
    <cellStyle name="Normal 2 18 12 3 2 3" xfId="640"/>
    <cellStyle name="Normal 2 18 12 3 2 4" xfId="641"/>
    <cellStyle name="Normal 2 18 12 3 3" xfId="642"/>
    <cellStyle name="Normal 2 18 12 3 3 2" xfId="643"/>
    <cellStyle name="Normal 2 18 12 3 3 2 2" xfId="644"/>
    <cellStyle name="Normal 2 18 12 3 3 2 3" xfId="645"/>
    <cellStyle name="Normal 2 18 12 3 3 3" xfId="646"/>
    <cellStyle name="Normal 2 18 12 3 3 4" xfId="647"/>
    <cellStyle name="Normal 2 18 12 3 4" xfId="648"/>
    <cellStyle name="Normal 2 18 12 3 4 2" xfId="649"/>
    <cellStyle name="Normal 2 18 12 3 4 3" xfId="650"/>
    <cellStyle name="Normal 2 18 12 3 5" xfId="651"/>
    <cellStyle name="Normal 2 18 12 3 6" xfId="652"/>
    <cellStyle name="Normal 2 18 12 4" xfId="653"/>
    <cellStyle name="Normal 2 18 12 4 2" xfId="654"/>
    <cellStyle name="Normal 2 18 12 4 2 2" xfId="655"/>
    <cellStyle name="Normal 2 18 12 4 2 3" xfId="656"/>
    <cellStyle name="Normal 2 18 12 4 3" xfId="657"/>
    <cellStyle name="Normal 2 18 12 4 4" xfId="658"/>
    <cellStyle name="Normal 2 18 12 5" xfId="659"/>
    <cellStyle name="Normal 2 18 12 5 2" xfId="660"/>
    <cellStyle name="Normal 2 18 12 5 2 2" xfId="661"/>
    <cellStyle name="Normal 2 18 12 5 2 3" xfId="662"/>
    <cellStyle name="Normal 2 18 12 5 3" xfId="663"/>
    <cellStyle name="Normal 2 18 12 5 4" xfId="664"/>
    <cellStyle name="Normal 2 18 12 6" xfId="665"/>
    <cellStyle name="Normal 2 18 12 6 2" xfId="666"/>
    <cellStyle name="Normal 2 18 12 6 3" xfId="667"/>
    <cellStyle name="Normal 2 18 12 7" xfId="668"/>
    <cellStyle name="Normal 2 18 12 8" xfId="669"/>
    <cellStyle name="Normal 2 18 13" xfId="670"/>
    <cellStyle name="Normal 2 18 13 2" xfId="671"/>
    <cellStyle name="Normal 2 18 13 2 2" xfId="672"/>
    <cellStyle name="Normal 2 18 13 2 2 2" xfId="673"/>
    <cellStyle name="Normal 2 18 13 2 2 2 2" xfId="674"/>
    <cellStyle name="Normal 2 18 13 2 2 2 3" xfId="675"/>
    <cellStyle name="Normal 2 18 13 2 2 3" xfId="676"/>
    <cellStyle name="Normal 2 18 13 2 2 4" xfId="677"/>
    <cellStyle name="Normal 2 18 13 2 3" xfId="678"/>
    <cellStyle name="Normal 2 18 13 2 3 2" xfId="679"/>
    <cellStyle name="Normal 2 18 13 2 3 2 2" xfId="680"/>
    <cellStyle name="Normal 2 18 13 2 3 2 3" xfId="681"/>
    <cellStyle name="Normal 2 18 13 2 3 3" xfId="682"/>
    <cellStyle name="Normal 2 18 13 2 3 4" xfId="683"/>
    <cellStyle name="Normal 2 18 13 2 4" xfId="684"/>
    <cellStyle name="Normal 2 18 13 2 4 2" xfId="685"/>
    <cellStyle name="Normal 2 18 13 2 4 3" xfId="686"/>
    <cellStyle name="Normal 2 18 13 2 5" xfId="687"/>
    <cellStyle name="Normal 2 18 13 2 6" xfId="688"/>
    <cellStyle name="Normal 2 18 13 3" xfId="689"/>
    <cellStyle name="Normal 2 18 13 3 2" xfId="690"/>
    <cellStyle name="Normal 2 18 13 3 2 2" xfId="691"/>
    <cellStyle name="Normal 2 18 13 3 2 2 2" xfId="692"/>
    <cellStyle name="Normal 2 18 13 3 2 2 3" xfId="693"/>
    <cellStyle name="Normal 2 18 13 3 2 3" xfId="694"/>
    <cellStyle name="Normal 2 18 13 3 2 4" xfId="695"/>
    <cellStyle name="Normal 2 18 13 3 3" xfId="696"/>
    <cellStyle name="Normal 2 18 13 3 3 2" xfId="697"/>
    <cellStyle name="Normal 2 18 13 3 3 2 2" xfId="698"/>
    <cellStyle name="Normal 2 18 13 3 3 2 3" xfId="699"/>
    <cellStyle name="Normal 2 18 13 3 3 3" xfId="700"/>
    <cellStyle name="Normal 2 18 13 3 3 4" xfId="701"/>
    <cellStyle name="Normal 2 18 13 3 4" xfId="702"/>
    <cellStyle name="Normal 2 18 13 3 4 2" xfId="703"/>
    <cellStyle name="Normal 2 18 13 3 4 3" xfId="704"/>
    <cellStyle name="Normal 2 18 13 3 5" xfId="705"/>
    <cellStyle name="Normal 2 18 13 3 6" xfId="706"/>
    <cellStyle name="Normal 2 18 13 4" xfId="707"/>
    <cellStyle name="Normal 2 18 13 4 2" xfId="708"/>
    <cellStyle name="Normal 2 18 13 4 2 2" xfId="709"/>
    <cellStyle name="Normal 2 18 13 4 2 3" xfId="710"/>
    <cellStyle name="Normal 2 18 13 4 3" xfId="711"/>
    <cellStyle name="Normal 2 18 13 4 4" xfId="712"/>
    <cellStyle name="Normal 2 18 13 5" xfId="713"/>
    <cellStyle name="Normal 2 18 13 5 2" xfId="714"/>
    <cellStyle name="Normal 2 18 13 5 2 2" xfId="715"/>
    <cellStyle name="Normal 2 18 13 5 2 3" xfId="716"/>
    <cellStyle name="Normal 2 18 13 5 3" xfId="717"/>
    <cellStyle name="Normal 2 18 13 5 4" xfId="718"/>
    <cellStyle name="Normal 2 18 13 6" xfId="719"/>
    <cellStyle name="Normal 2 18 13 6 2" xfId="720"/>
    <cellStyle name="Normal 2 18 13 6 3" xfId="721"/>
    <cellStyle name="Normal 2 18 13 7" xfId="722"/>
    <cellStyle name="Normal 2 18 13 8" xfId="723"/>
    <cellStyle name="Normal 2 18 14" xfId="724"/>
    <cellStyle name="Normal 2 18 14 2" xfId="725"/>
    <cellStyle name="Normal 2 18 14 2 2" xfId="726"/>
    <cellStyle name="Normal 2 18 14 2 2 2" xfId="727"/>
    <cellStyle name="Normal 2 18 14 2 2 2 2" xfId="728"/>
    <cellStyle name="Normal 2 18 14 2 2 2 3" xfId="729"/>
    <cellStyle name="Normal 2 18 14 2 2 3" xfId="730"/>
    <cellStyle name="Normal 2 18 14 2 2 4" xfId="731"/>
    <cellStyle name="Normal 2 18 14 2 3" xfId="732"/>
    <cellStyle name="Normal 2 18 14 2 3 2" xfId="733"/>
    <cellStyle name="Normal 2 18 14 2 3 2 2" xfId="734"/>
    <cellStyle name="Normal 2 18 14 2 3 2 3" xfId="735"/>
    <cellStyle name="Normal 2 18 14 2 3 3" xfId="736"/>
    <cellStyle name="Normal 2 18 14 2 3 4" xfId="737"/>
    <cellStyle name="Normal 2 18 14 2 4" xfId="738"/>
    <cellStyle name="Normal 2 18 14 2 4 2" xfId="739"/>
    <cellStyle name="Normal 2 18 14 2 4 3" xfId="740"/>
    <cellStyle name="Normal 2 18 14 2 5" xfId="741"/>
    <cellStyle name="Normal 2 18 14 2 6" xfId="742"/>
    <cellStyle name="Normal 2 18 14 3" xfId="743"/>
    <cellStyle name="Normal 2 18 14 3 2" xfId="744"/>
    <cellStyle name="Normal 2 18 14 3 2 2" xfId="745"/>
    <cellStyle name="Normal 2 18 14 3 2 2 2" xfId="746"/>
    <cellStyle name="Normal 2 18 14 3 2 2 3" xfId="747"/>
    <cellStyle name="Normal 2 18 14 3 2 3" xfId="748"/>
    <cellStyle name="Normal 2 18 14 3 2 4" xfId="749"/>
    <cellStyle name="Normal 2 18 14 3 3" xfId="750"/>
    <cellStyle name="Normal 2 18 14 3 3 2" xfId="751"/>
    <cellStyle name="Normal 2 18 14 3 3 2 2" xfId="752"/>
    <cellStyle name="Normal 2 18 14 3 3 2 3" xfId="753"/>
    <cellStyle name="Normal 2 18 14 3 3 3" xfId="754"/>
    <cellStyle name="Normal 2 18 14 3 3 4" xfId="755"/>
    <cellStyle name="Normal 2 18 14 3 4" xfId="756"/>
    <cellStyle name="Normal 2 18 14 3 4 2" xfId="757"/>
    <cellStyle name="Normal 2 18 14 3 4 3" xfId="758"/>
    <cellStyle name="Normal 2 18 14 3 5" xfId="759"/>
    <cellStyle name="Normal 2 18 14 3 6" xfId="760"/>
    <cellStyle name="Normal 2 18 14 4" xfId="761"/>
    <cellStyle name="Normal 2 18 14 4 2" xfId="762"/>
    <cellStyle name="Normal 2 18 14 4 2 2" xfId="763"/>
    <cellStyle name="Normal 2 18 14 4 2 3" xfId="764"/>
    <cellStyle name="Normal 2 18 14 4 3" xfId="765"/>
    <cellStyle name="Normal 2 18 14 4 4" xfId="766"/>
    <cellStyle name="Normal 2 18 14 5" xfId="767"/>
    <cellStyle name="Normal 2 18 14 5 2" xfId="768"/>
    <cellStyle name="Normal 2 18 14 5 2 2" xfId="769"/>
    <cellStyle name="Normal 2 18 14 5 2 3" xfId="770"/>
    <cellStyle name="Normal 2 18 14 5 3" xfId="771"/>
    <cellStyle name="Normal 2 18 14 5 4" xfId="772"/>
    <cellStyle name="Normal 2 18 14 6" xfId="773"/>
    <cellStyle name="Normal 2 18 14 6 2" xfId="774"/>
    <cellStyle name="Normal 2 18 14 6 3" xfId="775"/>
    <cellStyle name="Normal 2 18 14 7" xfId="776"/>
    <cellStyle name="Normal 2 18 14 8" xfId="777"/>
    <cellStyle name="Normal 2 18 15" xfId="778"/>
    <cellStyle name="Normal 2 18 15 2" xfId="779"/>
    <cellStyle name="Normal 2 18 15 2 2" xfId="780"/>
    <cellStyle name="Normal 2 18 15 2 2 2" xfId="781"/>
    <cellStyle name="Normal 2 18 15 2 2 2 2" xfId="782"/>
    <cellStyle name="Normal 2 18 15 2 2 2 3" xfId="783"/>
    <cellStyle name="Normal 2 18 15 2 2 3" xfId="784"/>
    <cellStyle name="Normal 2 18 15 2 2 4" xfId="785"/>
    <cellStyle name="Normal 2 18 15 2 3" xfId="786"/>
    <cellStyle name="Normal 2 18 15 2 3 2" xfId="787"/>
    <cellStyle name="Normal 2 18 15 2 3 2 2" xfId="788"/>
    <cellStyle name="Normal 2 18 15 2 3 2 3" xfId="789"/>
    <cellStyle name="Normal 2 18 15 2 3 3" xfId="790"/>
    <cellStyle name="Normal 2 18 15 2 3 4" xfId="791"/>
    <cellStyle name="Normal 2 18 15 2 4" xfId="792"/>
    <cellStyle name="Normal 2 18 15 2 4 2" xfId="793"/>
    <cellStyle name="Normal 2 18 15 2 4 3" xfId="794"/>
    <cellStyle name="Normal 2 18 15 2 5" xfId="795"/>
    <cellStyle name="Normal 2 18 15 2 6" xfId="796"/>
    <cellStyle name="Normal 2 18 15 3" xfId="797"/>
    <cellStyle name="Normal 2 18 15 3 2" xfId="798"/>
    <cellStyle name="Normal 2 18 15 3 2 2" xfId="799"/>
    <cellStyle name="Normal 2 18 15 3 2 2 2" xfId="800"/>
    <cellStyle name="Normal 2 18 15 3 2 2 3" xfId="801"/>
    <cellStyle name="Normal 2 18 15 3 2 3" xfId="802"/>
    <cellStyle name="Normal 2 18 15 3 2 4" xfId="803"/>
    <cellStyle name="Normal 2 18 15 3 3" xfId="804"/>
    <cellStyle name="Normal 2 18 15 3 3 2" xfId="805"/>
    <cellStyle name="Normal 2 18 15 3 3 2 2" xfId="806"/>
    <cellStyle name="Normal 2 18 15 3 3 2 3" xfId="807"/>
    <cellStyle name="Normal 2 18 15 3 3 3" xfId="808"/>
    <cellStyle name="Normal 2 18 15 3 3 4" xfId="809"/>
    <cellStyle name="Normal 2 18 15 3 4" xfId="810"/>
    <cellStyle name="Normal 2 18 15 3 4 2" xfId="811"/>
    <cellStyle name="Normal 2 18 15 3 4 3" xfId="812"/>
    <cellStyle name="Normal 2 18 15 3 5" xfId="813"/>
    <cellStyle name="Normal 2 18 15 3 6" xfId="814"/>
    <cellStyle name="Normal 2 18 15 4" xfId="815"/>
    <cellStyle name="Normal 2 18 15 4 2" xfId="816"/>
    <cellStyle name="Normal 2 18 15 4 2 2" xfId="817"/>
    <cellStyle name="Normal 2 18 15 4 2 3" xfId="818"/>
    <cellStyle name="Normal 2 18 15 4 3" xfId="819"/>
    <cellStyle name="Normal 2 18 15 4 4" xfId="820"/>
    <cellStyle name="Normal 2 18 15 5" xfId="821"/>
    <cellStyle name="Normal 2 18 15 5 2" xfId="822"/>
    <cellStyle name="Normal 2 18 15 5 2 2" xfId="823"/>
    <cellStyle name="Normal 2 18 15 5 2 3" xfId="824"/>
    <cellStyle name="Normal 2 18 15 5 3" xfId="825"/>
    <cellStyle name="Normal 2 18 15 5 4" xfId="826"/>
    <cellStyle name="Normal 2 18 15 6" xfId="827"/>
    <cellStyle name="Normal 2 18 15 6 2" xfId="828"/>
    <cellStyle name="Normal 2 18 15 6 3" xfId="829"/>
    <cellStyle name="Normal 2 18 15 7" xfId="830"/>
    <cellStyle name="Normal 2 18 15 8" xfId="831"/>
    <cellStyle name="Normal 2 18 16" xfId="832"/>
    <cellStyle name="Normal 2 18 16 2" xfId="833"/>
    <cellStyle name="Normal 2 18 16 2 2" xfId="834"/>
    <cellStyle name="Normal 2 18 16 2 2 2" xfId="835"/>
    <cellStyle name="Normal 2 18 16 2 2 3" xfId="836"/>
    <cellStyle name="Normal 2 18 16 2 3" xfId="837"/>
    <cellStyle name="Normal 2 18 16 2 4" xfId="838"/>
    <cellStyle name="Normal 2 18 16 3" xfId="839"/>
    <cellStyle name="Normal 2 18 16 3 2" xfId="840"/>
    <cellStyle name="Normal 2 18 16 3 2 2" xfId="841"/>
    <cellStyle name="Normal 2 18 16 3 2 3" xfId="842"/>
    <cellStyle name="Normal 2 18 16 3 3" xfId="843"/>
    <cellStyle name="Normal 2 18 16 3 4" xfId="844"/>
    <cellStyle name="Normal 2 18 16 4" xfId="845"/>
    <cellStyle name="Normal 2 18 16 4 2" xfId="846"/>
    <cellStyle name="Normal 2 18 16 4 3" xfId="847"/>
    <cellStyle name="Normal 2 18 16 5" xfId="848"/>
    <cellStyle name="Normal 2 18 16 6" xfId="849"/>
    <cellStyle name="Normal 2 18 17" xfId="850"/>
    <cellStyle name="Normal 2 18 17 2" xfId="851"/>
    <cellStyle name="Normal 2 18 17 2 2" xfId="852"/>
    <cellStyle name="Normal 2 18 17 2 2 2" xfId="853"/>
    <cellStyle name="Normal 2 18 17 2 2 3" xfId="854"/>
    <cellStyle name="Normal 2 18 17 2 3" xfId="855"/>
    <cellStyle name="Normal 2 18 17 2 4" xfId="856"/>
    <cellStyle name="Normal 2 18 17 3" xfId="857"/>
    <cellStyle name="Normal 2 18 17 3 2" xfId="858"/>
    <cellStyle name="Normal 2 18 17 3 2 2" xfId="859"/>
    <cellStyle name="Normal 2 18 17 3 2 3" xfId="860"/>
    <cellStyle name="Normal 2 18 17 3 3" xfId="861"/>
    <cellStyle name="Normal 2 18 17 3 4" xfId="862"/>
    <cellStyle name="Normal 2 18 17 4" xfId="863"/>
    <cellStyle name="Normal 2 18 17 4 2" xfId="864"/>
    <cellStyle name="Normal 2 18 17 4 3" xfId="865"/>
    <cellStyle name="Normal 2 18 17 5" xfId="866"/>
    <cellStyle name="Normal 2 18 17 6" xfId="867"/>
    <cellStyle name="Normal 2 18 18" xfId="868"/>
    <cellStyle name="Normal 2 18 18 2" xfId="869"/>
    <cellStyle name="Normal 2 18 18 2 2" xfId="870"/>
    <cellStyle name="Normal 2 18 18 2 2 2" xfId="871"/>
    <cellStyle name="Normal 2 18 18 2 2 3" xfId="872"/>
    <cellStyle name="Normal 2 18 18 2 3" xfId="873"/>
    <cellStyle name="Normal 2 18 18 2 4" xfId="874"/>
    <cellStyle name="Normal 2 18 18 3" xfId="875"/>
    <cellStyle name="Normal 2 18 18 3 2" xfId="876"/>
    <cellStyle name="Normal 2 18 18 3 2 2" xfId="877"/>
    <cellStyle name="Normal 2 18 18 3 2 3" xfId="878"/>
    <cellStyle name="Normal 2 18 18 3 3" xfId="879"/>
    <cellStyle name="Normal 2 18 18 3 4" xfId="880"/>
    <cellStyle name="Normal 2 18 18 4" xfId="881"/>
    <cellStyle name="Normal 2 18 18 4 2" xfId="882"/>
    <cellStyle name="Normal 2 18 18 4 3" xfId="883"/>
    <cellStyle name="Normal 2 18 18 5" xfId="884"/>
    <cellStyle name="Normal 2 18 18 6" xfId="885"/>
    <cellStyle name="Normal 2 18 19" xfId="886"/>
    <cellStyle name="Normal 2 18 19 2" xfId="887"/>
    <cellStyle name="Normal 2 18 19 2 2" xfId="888"/>
    <cellStyle name="Normal 2 18 19 2 2 2" xfId="889"/>
    <cellStyle name="Normal 2 18 19 2 2 3" xfId="890"/>
    <cellStyle name="Normal 2 18 19 2 3" xfId="891"/>
    <cellStyle name="Normal 2 18 19 2 4" xfId="892"/>
    <cellStyle name="Normal 2 18 19 3" xfId="893"/>
    <cellStyle name="Normal 2 18 19 3 2" xfId="894"/>
    <cellStyle name="Normal 2 18 19 3 2 2" xfId="895"/>
    <cellStyle name="Normal 2 18 19 3 2 3" xfId="896"/>
    <cellStyle name="Normal 2 18 19 3 3" xfId="897"/>
    <cellStyle name="Normal 2 18 19 3 4" xfId="898"/>
    <cellStyle name="Normal 2 18 19 4" xfId="899"/>
    <cellStyle name="Normal 2 18 19 4 2" xfId="900"/>
    <cellStyle name="Normal 2 18 19 4 3" xfId="901"/>
    <cellStyle name="Normal 2 18 19 5" xfId="902"/>
    <cellStyle name="Normal 2 18 19 6" xfId="903"/>
    <cellStyle name="Normal 2 18 2" xfId="904"/>
    <cellStyle name="Normal 2 18 2 10" xfId="905"/>
    <cellStyle name="Normal 2 18 2 10 2" xfId="906"/>
    <cellStyle name="Normal 2 18 2 10 2 2" xfId="907"/>
    <cellStyle name="Normal 2 18 2 10 2 3" xfId="908"/>
    <cellStyle name="Normal 2 18 2 10 3" xfId="909"/>
    <cellStyle name="Normal 2 18 2 10 4" xfId="910"/>
    <cellStyle name="Normal 2 18 2 11" xfId="911"/>
    <cellStyle name="Normal 2 18 2 11 2" xfId="912"/>
    <cellStyle name="Normal 2 18 2 11 2 2" xfId="913"/>
    <cellStyle name="Normal 2 18 2 11 2 3" xfId="914"/>
    <cellStyle name="Normal 2 18 2 11 3" xfId="915"/>
    <cellStyle name="Normal 2 18 2 11 4" xfId="916"/>
    <cellStyle name="Normal 2 18 2 12" xfId="917"/>
    <cellStyle name="Normal 2 18 2 12 2" xfId="918"/>
    <cellStyle name="Normal 2 18 2 12 3" xfId="919"/>
    <cellStyle name="Normal 2 18 2 13" xfId="920"/>
    <cellStyle name="Normal 2 18 2 14" xfId="921"/>
    <cellStyle name="Normal 2 18 2 2" xfId="922"/>
    <cellStyle name="Normal 2 18 2 2 2" xfId="923"/>
    <cellStyle name="Normal 2 18 2 2 2 2" xfId="924"/>
    <cellStyle name="Normal 2 18 2 2 2 2 2" xfId="925"/>
    <cellStyle name="Normal 2 18 2 2 2 2 3" xfId="926"/>
    <cellStyle name="Normal 2 18 2 2 2 3" xfId="927"/>
    <cellStyle name="Normal 2 18 2 2 2 4" xfId="928"/>
    <cellStyle name="Normal 2 18 2 2 3" xfId="929"/>
    <cellStyle name="Normal 2 18 2 2 3 2" xfId="930"/>
    <cellStyle name="Normal 2 18 2 2 3 2 2" xfId="931"/>
    <cellStyle name="Normal 2 18 2 2 3 2 3" xfId="932"/>
    <cellStyle name="Normal 2 18 2 2 3 3" xfId="933"/>
    <cellStyle name="Normal 2 18 2 2 3 4" xfId="934"/>
    <cellStyle name="Normal 2 18 2 2 4" xfId="935"/>
    <cellStyle name="Normal 2 18 2 2 4 2" xfId="936"/>
    <cellStyle name="Normal 2 18 2 2 4 3" xfId="937"/>
    <cellStyle name="Normal 2 18 2 2 5" xfId="938"/>
    <cellStyle name="Normal 2 18 2 2 6" xfId="939"/>
    <cellStyle name="Normal 2 18 2 3" xfId="940"/>
    <cellStyle name="Normal 2 18 2 3 2" xfId="941"/>
    <cellStyle name="Normal 2 18 2 3 2 2" xfId="942"/>
    <cellStyle name="Normal 2 18 2 3 2 2 2" xfId="943"/>
    <cellStyle name="Normal 2 18 2 3 2 2 3" xfId="944"/>
    <cellStyle name="Normal 2 18 2 3 2 3" xfId="945"/>
    <cellStyle name="Normal 2 18 2 3 2 4" xfId="946"/>
    <cellStyle name="Normal 2 18 2 3 3" xfId="947"/>
    <cellStyle name="Normal 2 18 2 3 3 2" xfId="948"/>
    <cellStyle name="Normal 2 18 2 3 3 2 2" xfId="949"/>
    <cellStyle name="Normal 2 18 2 3 3 2 3" xfId="950"/>
    <cellStyle name="Normal 2 18 2 3 3 3" xfId="951"/>
    <cellStyle name="Normal 2 18 2 3 3 4" xfId="952"/>
    <cellStyle name="Normal 2 18 2 3 4" xfId="953"/>
    <cellStyle name="Normal 2 18 2 3 4 2" xfId="954"/>
    <cellStyle name="Normal 2 18 2 3 4 3" xfId="955"/>
    <cellStyle name="Normal 2 18 2 3 5" xfId="956"/>
    <cellStyle name="Normal 2 18 2 3 6" xfId="957"/>
    <cellStyle name="Normal 2 18 2 4" xfId="958"/>
    <cellStyle name="Normal 2 18 2 4 2" xfId="959"/>
    <cellStyle name="Normal 2 18 2 4 2 2" xfId="960"/>
    <cellStyle name="Normal 2 18 2 4 2 2 2" xfId="961"/>
    <cellStyle name="Normal 2 18 2 4 2 2 3" xfId="962"/>
    <cellStyle name="Normal 2 18 2 4 2 3" xfId="963"/>
    <cellStyle name="Normal 2 18 2 4 2 4" xfId="964"/>
    <cellStyle name="Normal 2 18 2 4 3" xfId="965"/>
    <cellStyle name="Normal 2 18 2 4 3 2" xfId="966"/>
    <cellStyle name="Normal 2 18 2 4 3 2 2" xfId="967"/>
    <cellStyle name="Normal 2 18 2 4 3 2 3" xfId="968"/>
    <cellStyle name="Normal 2 18 2 4 3 3" xfId="969"/>
    <cellStyle name="Normal 2 18 2 4 3 4" xfId="970"/>
    <cellStyle name="Normal 2 18 2 4 4" xfId="971"/>
    <cellStyle name="Normal 2 18 2 4 4 2" xfId="972"/>
    <cellStyle name="Normal 2 18 2 4 4 3" xfId="973"/>
    <cellStyle name="Normal 2 18 2 4 5" xfId="974"/>
    <cellStyle name="Normal 2 18 2 4 6" xfId="975"/>
    <cellStyle name="Normal 2 18 2 5" xfId="976"/>
    <cellStyle name="Normal 2 18 2 5 2" xfId="977"/>
    <cellStyle name="Normal 2 18 2 5 2 2" xfId="978"/>
    <cellStyle name="Normal 2 18 2 5 2 2 2" xfId="979"/>
    <cellStyle name="Normal 2 18 2 5 2 2 3" xfId="980"/>
    <cellStyle name="Normal 2 18 2 5 2 3" xfId="981"/>
    <cellStyle name="Normal 2 18 2 5 2 4" xfId="982"/>
    <cellStyle name="Normal 2 18 2 5 3" xfId="983"/>
    <cellStyle name="Normal 2 18 2 5 3 2" xfId="984"/>
    <cellStyle name="Normal 2 18 2 5 3 2 2" xfId="985"/>
    <cellStyle name="Normal 2 18 2 5 3 2 3" xfId="986"/>
    <cellStyle name="Normal 2 18 2 5 3 3" xfId="987"/>
    <cellStyle name="Normal 2 18 2 5 3 4" xfId="988"/>
    <cellStyle name="Normal 2 18 2 5 4" xfId="989"/>
    <cellStyle name="Normal 2 18 2 5 4 2" xfId="990"/>
    <cellStyle name="Normal 2 18 2 5 4 3" xfId="991"/>
    <cellStyle name="Normal 2 18 2 5 5" xfId="992"/>
    <cellStyle name="Normal 2 18 2 5 6" xfId="993"/>
    <cellStyle name="Normal 2 18 2 6" xfId="994"/>
    <cellStyle name="Normal 2 18 2 6 2" xfId="995"/>
    <cellStyle name="Normal 2 18 2 6 2 2" xfId="996"/>
    <cellStyle name="Normal 2 18 2 6 2 2 2" xfId="997"/>
    <cellStyle name="Normal 2 18 2 6 2 2 3" xfId="998"/>
    <cellStyle name="Normal 2 18 2 6 2 3" xfId="999"/>
    <cellStyle name="Normal 2 18 2 6 2 4" xfId="1000"/>
    <cellStyle name="Normal 2 18 2 6 3" xfId="1001"/>
    <cellStyle name="Normal 2 18 2 6 3 2" xfId="1002"/>
    <cellStyle name="Normal 2 18 2 6 3 2 2" xfId="1003"/>
    <cellStyle name="Normal 2 18 2 6 3 2 3" xfId="1004"/>
    <cellStyle name="Normal 2 18 2 6 3 3" xfId="1005"/>
    <cellStyle name="Normal 2 18 2 6 3 4" xfId="1006"/>
    <cellStyle name="Normal 2 18 2 6 4" xfId="1007"/>
    <cellStyle name="Normal 2 18 2 6 4 2" xfId="1008"/>
    <cellStyle name="Normal 2 18 2 6 4 3" xfId="1009"/>
    <cellStyle name="Normal 2 18 2 6 5" xfId="1010"/>
    <cellStyle name="Normal 2 18 2 6 6" xfId="1011"/>
    <cellStyle name="Normal 2 18 2 7" xfId="1012"/>
    <cellStyle name="Normal 2 18 2 7 2" xfId="1013"/>
    <cellStyle name="Normal 2 18 2 7 2 2" xfId="1014"/>
    <cellStyle name="Normal 2 18 2 7 2 2 2" xfId="1015"/>
    <cellStyle name="Normal 2 18 2 7 2 2 3" xfId="1016"/>
    <cellStyle name="Normal 2 18 2 7 2 3" xfId="1017"/>
    <cellStyle name="Normal 2 18 2 7 2 4" xfId="1018"/>
    <cellStyle name="Normal 2 18 2 7 3" xfId="1019"/>
    <cellStyle name="Normal 2 18 2 7 3 2" xfId="1020"/>
    <cellStyle name="Normal 2 18 2 7 3 2 2" xfId="1021"/>
    <cellStyle name="Normal 2 18 2 7 3 2 3" xfId="1022"/>
    <cellStyle name="Normal 2 18 2 7 3 3" xfId="1023"/>
    <cellStyle name="Normal 2 18 2 7 3 4" xfId="1024"/>
    <cellStyle name="Normal 2 18 2 7 4" xfId="1025"/>
    <cellStyle name="Normal 2 18 2 7 4 2" xfId="1026"/>
    <cellStyle name="Normal 2 18 2 7 4 3" xfId="1027"/>
    <cellStyle name="Normal 2 18 2 7 5" xfId="1028"/>
    <cellStyle name="Normal 2 18 2 7 6" xfId="1029"/>
    <cellStyle name="Normal 2 18 2 8" xfId="1030"/>
    <cellStyle name="Normal 2 18 2 8 2" xfId="1031"/>
    <cellStyle name="Normal 2 18 2 8 2 2" xfId="1032"/>
    <cellStyle name="Normal 2 18 2 8 2 2 2" xfId="1033"/>
    <cellStyle name="Normal 2 18 2 8 2 2 3" xfId="1034"/>
    <cellStyle name="Normal 2 18 2 8 2 3" xfId="1035"/>
    <cellStyle name="Normal 2 18 2 8 2 4" xfId="1036"/>
    <cellStyle name="Normal 2 18 2 8 3" xfId="1037"/>
    <cellStyle name="Normal 2 18 2 8 3 2" xfId="1038"/>
    <cellStyle name="Normal 2 18 2 8 3 2 2" xfId="1039"/>
    <cellStyle name="Normal 2 18 2 8 3 2 3" xfId="1040"/>
    <cellStyle name="Normal 2 18 2 8 3 3" xfId="1041"/>
    <cellStyle name="Normal 2 18 2 8 3 4" xfId="1042"/>
    <cellStyle name="Normal 2 18 2 8 4" xfId="1043"/>
    <cellStyle name="Normal 2 18 2 8 4 2" xfId="1044"/>
    <cellStyle name="Normal 2 18 2 8 4 3" xfId="1045"/>
    <cellStyle name="Normal 2 18 2 8 5" xfId="1046"/>
    <cellStyle name="Normal 2 18 2 8 6" xfId="1047"/>
    <cellStyle name="Normal 2 18 2 9" xfId="1048"/>
    <cellStyle name="Normal 2 18 2 9 2" xfId="1049"/>
    <cellStyle name="Normal 2 18 2 9 2 2" xfId="1050"/>
    <cellStyle name="Normal 2 18 2 9 2 2 2" xfId="1051"/>
    <cellStyle name="Normal 2 18 2 9 2 2 3" xfId="1052"/>
    <cellStyle name="Normal 2 18 2 9 2 3" xfId="1053"/>
    <cellStyle name="Normal 2 18 2 9 2 4" xfId="1054"/>
    <cellStyle name="Normal 2 18 2 9 3" xfId="1055"/>
    <cellStyle name="Normal 2 18 2 9 3 2" xfId="1056"/>
    <cellStyle name="Normal 2 18 2 9 3 2 2" xfId="1057"/>
    <cellStyle name="Normal 2 18 2 9 3 2 3" xfId="1058"/>
    <cellStyle name="Normal 2 18 2 9 3 3" xfId="1059"/>
    <cellStyle name="Normal 2 18 2 9 3 4" xfId="1060"/>
    <cellStyle name="Normal 2 18 2 9 4" xfId="1061"/>
    <cellStyle name="Normal 2 18 2 9 4 2" xfId="1062"/>
    <cellStyle name="Normal 2 18 2 9 4 3" xfId="1063"/>
    <cellStyle name="Normal 2 18 2 9 5" xfId="1064"/>
    <cellStyle name="Normal 2 18 2 9 6" xfId="1065"/>
    <cellStyle name="Normal 2 18 20" xfId="1066"/>
    <cellStyle name="Normal 2 18 20 2" xfId="1067"/>
    <cellStyle name="Normal 2 18 20 2 2" xfId="1068"/>
    <cellStyle name="Normal 2 18 20 2 2 2" xfId="1069"/>
    <cellStyle name="Normal 2 18 20 2 2 3" xfId="1070"/>
    <cellStyle name="Normal 2 18 20 2 3" xfId="1071"/>
    <cellStyle name="Normal 2 18 20 2 4" xfId="1072"/>
    <cellStyle name="Normal 2 18 20 3" xfId="1073"/>
    <cellStyle name="Normal 2 18 20 3 2" xfId="1074"/>
    <cellStyle name="Normal 2 18 20 3 2 2" xfId="1075"/>
    <cellStyle name="Normal 2 18 20 3 2 3" xfId="1076"/>
    <cellStyle name="Normal 2 18 20 3 3" xfId="1077"/>
    <cellStyle name="Normal 2 18 20 3 4" xfId="1078"/>
    <cellStyle name="Normal 2 18 20 4" xfId="1079"/>
    <cellStyle name="Normal 2 18 20 4 2" xfId="1080"/>
    <cellStyle name="Normal 2 18 20 4 3" xfId="1081"/>
    <cellStyle name="Normal 2 18 20 5" xfId="1082"/>
    <cellStyle name="Normal 2 18 20 6" xfId="1083"/>
    <cellStyle name="Normal 2 18 21" xfId="1084"/>
    <cellStyle name="Normal 2 18 21 2" xfId="1085"/>
    <cellStyle name="Normal 2 18 21 2 2" xfId="1086"/>
    <cellStyle name="Normal 2 18 21 2 2 2" xfId="1087"/>
    <cellStyle name="Normal 2 18 21 2 2 3" xfId="1088"/>
    <cellStyle name="Normal 2 18 21 2 3" xfId="1089"/>
    <cellStyle name="Normal 2 18 21 2 4" xfId="1090"/>
    <cellStyle name="Normal 2 18 21 3" xfId="1091"/>
    <cellStyle name="Normal 2 18 21 3 2" xfId="1092"/>
    <cellStyle name="Normal 2 18 21 3 2 2" xfId="1093"/>
    <cellStyle name="Normal 2 18 21 3 2 3" xfId="1094"/>
    <cellStyle name="Normal 2 18 21 3 3" xfId="1095"/>
    <cellStyle name="Normal 2 18 21 3 4" xfId="1096"/>
    <cellStyle name="Normal 2 18 21 4" xfId="1097"/>
    <cellStyle name="Normal 2 18 21 4 2" xfId="1098"/>
    <cellStyle name="Normal 2 18 21 4 3" xfId="1099"/>
    <cellStyle name="Normal 2 18 21 5" xfId="1100"/>
    <cellStyle name="Normal 2 18 21 6" xfId="1101"/>
    <cellStyle name="Normal 2 18 22" xfId="1102"/>
    <cellStyle name="Normal 2 18 22 2" xfId="1103"/>
    <cellStyle name="Normal 2 18 22 2 2" xfId="1104"/>
    <cellStyle name="Normal 2 18 22 2 3" xfId="1105"/>
    <cellStyle name="Normal 2 18 22 3" xfId="1106"/>
    <cellStyle name="Normal 2 18 22 4" xfId="1107"/>
    <cellStyle name="Normal 2 18 23" xfId="1108"/>
    <cellStyle name="Normal 2 18 23 2" xfId="1109"/>
    <cellStyle name="Normal 2 18 23 2 2" xfId="1110"/>
    <cellStyle name="Normal 2 18 23 2 3" xfId="1111"/>
    <cellStyle name="Normal 2 18 23 3" xfId="1112"/>
    <cellStyle name="Normal 2 18 23 4" xfId="1113"/>
    <cellStyle name="Normal 2 18 24" xfId="1114"/>
    <cellStyle name="Normal 2 18 24 2" xfId="1115"/>
    <cellStyle name="Normal 2 18 24 3" xfId="1116"/>
    <cellStyle name="Normal 2 18 25" xfId="1117"/>
    <cellStyle name="Normal 2 18 26" xfId="1118"/>
    <cellStyle name="Normal 2 18 3" xfId="1119"/>
    <cellStyle name="Normal 2 18 3 10" xfId="1120"/>
    <cellStyle name="Normal 2 18 3 10 2" xfId="1121"/>
    <cellStyle name="Normal 2 18 3 10 2 2" xfId="1122"/>
    <cellStyle name="Normal 2 18 3 10 2 3" xfId="1123"/>
    <cellStyle name="Normal 2 18 3 10 3" xfId="1124"/>
    <cellStyle name="Normal 2 18 3 10 4" xfId="1125"/>
    <cellStyle name="Normal 2 18 3 11" xfId="1126"/>
    <cellStyle name="Normal 2 18 3 11 2" xfId="1127"/>
    <cellStyle name="Normal 2 18 3 11 3" xfId="1128"/>
    <cellStyle name="Normal 2 18 3 12" xfId="1129"/>
    <cellStyle name="Normal 2 18 3 13" xfId="1130"/>
    <cellStyle name="Normal 2 18 3 2" xfId="1131"/>
    <cellStyle name="Normal 2 18 3 2 2" xfId="1132"/>
    <cellStyle name="Normal 2 18 3 2 2 2" xfId="1133"/>
    <cellStyle name="Normal 2 18 3 2 2 2 2" xfId="1134"/>
    <cellStyle name="Normal 2 18 3 2 2 2 3" xfId="1135"/>
    <cellStyle name="Normal 2 18 3 2 2 3" xfId="1136"/>
    <cellStyle name="Normal 2 18 3 2 2 4" xfId="1137"/>
    <cellStyle name="Normal 2 18 3 2 3" xfId="1138"/>
    <cellStyle name="Normal 2 18 3 2 3 2" xfId="1139"/>
    <cellStyle name="Normal 2 18 3 2 3 2 2" xfId="1140"/>
    <cellStyle name="Normal 2 18 3 2 3 2 3" xfId="1141"/>
    <cellStyle name="Normal 2 18 3 2 3 3" xfId="1142"/>
    <cellStyle name="Normal 2 18 3 2 3 4" xfId="1143"/>
    <cellStyle name="Normal 2 18 3 2 4" xfId="1144"/>
    <cellStyle name="Normal 2 18 3 2 4 2" xfId="1145"/>
    <cellStyle name="Normal 2 18 3 2 4 3" xfId="1146"/>
    <cellStyle name="Normal 2 18 3 2 5" xfId="1147"/>
    <cellStyle name="Normal 2 18 3 2 6" xfId="1148"/>
    <cellStyle name="Normal 2 18 3 3" xfId="1149"/>
    <cellStyle name="Normal 2 18 3 3 2" xfId="1150"/>
    <cellStyle name="Normal 2 18 3 3 2 2" xfId="1151"/>
    <cellStyle name="Normal 2 18 3 3 2 2 2" xfId="1152"/>
    <cellStyle name="Normal 2 18 3 3 2 2 3" xfId="1153"/>
    <cellStyle name="Normal 2 18 3 3 2 3" xfId="1154"/>
    <cellStyle name="Normal 2 18 3 3 2 4" xfId="1155"/>
    <cellStyle name="Normal 2 18 3 3 3" xfId="1156"/>
    <cellStyle name="Normal 2 18 3 3 3 2" xfId="1157"/>
    <cellStyle name="Normal 2 18 3 3 3 2 2" xfId="1158"/>
    <cellStyle name="Normal 2 18 3 3 3 2 3" xfId="1159"/>
    <cellStyle name="Normal 2 18 3 3 3 3" xfId="1160"/>
    <cellStyle name="Normal 2 18 3 3 3 4" xfId="1161"/>
    <cellStyle name="Normal 2 18 3 3 4" xfId="1162"/>
    <cellStyle name="Normal 2 18 3 3 4 2" xfId="1163"/>
    <cellStyle name="Normal 2 18 3 3 4 3" xfId="1164"/>
    <cellStyle name="Normal 2 18 3 3 5" xfId="1165"/>
    <cellStyle name="Normal 2 18 3 3 6" xfId="1166"/>
    <cellStyle name="Normal 2 18 3 4" xfId="1167"/>
    <cellStyle name="Normal 2 18 3 4 2" xfId="1168"/>
    <cellStyle name="Normal 2 18 3 4 2 2" xfId="1169"/>
    <cellStyle name="Normal 2 18 3 4 2 2 2" xfId="1170"/>
    <cellStyle name="Normal 2 18 3 4 2 2 3" xfId="1171"/>
    <cellStyle name="Normal 2 18 3 4 2 3" xfId="1172"/>
    <cellStyle name="Normal 2 18 3 4 2 4" xfId="1173"/>
    <cellStyle name="Normal 2 18 3 4 3" xfId="1174"/>
    <cellStyle name="Normal 2 18 3 4 3 2" xfId="1175"/>
    <cellStyle name="Normal 2 18 3 4 3 2 2" xfId="1176"/>
    <cellStyle name="Normal 2 18 3 4 3 2 3" xfId="1177"/>
    <cellStyle name="Normal 2 18 3 4 3 3" xfId="1178"/>
    <cellStyle name="Normal 2 18 3 4 3 4" xfId="1179"/>
    <cellStyle name="Normal 2 18 3 4 4" xfId="1180"/>
    <cellStyle name="Normal 2 18 3 4 4 2" xfId="1181"/>
    <cellStyle name="Normal 2 18 3 4 4 3" xfId="1182"/>
    <cellStyle name="Normal 2 18 3 4 5" xfId="1183"/>
    <cellStyle name="Normal 2 18 3 4 6" xfId="1184"/>
    <cellStyle name="Normal 2 18 3 5" xfId="1185"/>
    <cellStyle name="Normal 2 18 3 5 2" xfId="1186"/>
    <cellStyle name="Normal 2 18 3 5 2 2" xfId="1187"/>
    <cellStyle name="Normal 2 18 3 5 2 2 2" xfId="1188"/>
    <cellStyle name="Normal 2 18 3 5 2 2 3" xfId="1189"/>
    <cellStyle name="Normal 2 18 3 5 2 3" xfId="1190"/>
    <cellStyle name="Normal 2 18 3 5 2 4" xfId="1191"/>
    <cellStyle name="Normal 2 18 3 5 3" xfId="1192"/>
    <cellStyle name="Normal 2 18 3 5 3 2" xfId="1193"/>
    <cellStyle name="Normal 2 18 3 5 3 2 2" xfId="1194"/>
    <cellStyle name="Normal 2 18 3 5 3 2 3" xfId="1195"/>
    <cellStyle name="Normal 2 18 3 5 3 3" xfId="1196"/>
    <cellStyle name="Normal 2 18 3 5 3 4" xfId="1197"/>
    <cellStyle name="Normal 2 18 3 5 4" xfId="1198"/>
    <cellStyle name="Normal 2 18 3 5 4 2" xfId="1199"/>
    <cellStyle name="Normal 2 18 3 5 4 3" xfId="1200"/>
    <cellStyle name="Normal 2 18 3 5 5" xfId="1201"/>
    <cellStyle name="Normal 2 18 3 5 6" xfId="1202"/>
    <cellStyle name="Normal 2 18 3 6" xfId="1203"/>
    <cellStyle name="Normal 2 18 3 6 2" xfId="1204"/>
    <cellStyle name="Normal 2 18 3 6 2 2" xfId="1205"/>
    <cellStyle name="Normal 2 18 3 6 2 2 2" xfId="1206"/>
    <cellStyle name="Normal 2 18 3 6 2 2 3" xfId="1207"/>
    <cellStyle name="Normal 2 18 3 6 2 3" xfId="1208"/>
    <cellStyle name="Normal 2 18 3 6 2 4" xfId="1209"/>
    <cellStyle name="Normal 2 18 3 6 3" xfId="1210"/>
    <cellStyle name="Normal 2 18 3 6 3 2" xfId="1211"/>
    <cellStyle name="Normal 2 18 3 6 3 2 2" xfId="1212"/>
    <cellStyle name="Normal 2 18 3 6 3 2 3" xfId="1213"/>
    <cellStyle name="Normal 2 18 3 6 3 3" xfId="1214"/>
    <cellStyle name="Normal 2 18 3 6 3 4" xfId="1215"/>
    <cellStyle name="Normal 2 18 3 6 4" xfId="1216"/>
    <cellStyle name="Normal 2 18 3 6 4 2" xfId="1217"/>
    <cellStyle name="Normal 2 18 3 6 4 3" xfId="1218"/>
    <cellStyle name="Normal 2 18 3 6 5" xfId="1219"/>
    <cellStyle name="Normal 2 18 3 6 6" xfId="1220"/>
    <cellStyle name="Normal 2 18 3 7" xfId="1221"/>
    <cellStyle name="Normal 2 18 3 7 2" xfId="1222"/>
    <cellStyle name="Normal 2 18 3 7 2 2" xfId="1223"/>
    <cellStyle name="Normal 2 18 3 7 2 2 2" xfId="1224"/>
    <cellStyle name="Normal 2 18 3 7 2 2 3" xfId="1225"/>
    <cellStyle name="Normal 2 18 3 7 2 3" xfId="1226"/>
    <cellStyle name="Normal 2 18 3 7 2 4" xfId="1227"/>
    <cellStyle name="Normal 2 18 3 7 3" xfId="1228"/>
    <cellStyle name="Normal 2 18 3 7 3 2" xfId="1229"/>
    <cellStyle name="Normal 2 18 3 7 3 2 2" xfId="1230"/>
    <cellStyle name="Normal 2 18 3 7 3 2 3" xfId="1231"/>
    <cellStyle name="Normal 2 18 3 7 3 3" xfId="1232"/>
    <cellStyle name="Normal 2 18 3 7 3 4" xfId="1233"/>
    <cellStyle name="Normal 2 18 3 7 4" xfId="1234"/>
    <cellStyle name="Normal 2 18 3 7 4 2" xfId="1235"/>
    <cellStyle name="Normal 2 18 3 7 4 3" xfId="1236"/>
    <cellStyle name="Normal 2 18 3 7 5" xfId="1237"/>
    <cellStyle name="Normal 2 18 3 7 6" xfId="1238"/>
    <cellStyle name="Normal 2 18 3 8" xfId="1239"/>
    <cellStyle name="Normal 2 18 3 8 2" xfId="1240"/>
    <cellStyle name="Normal 2 18 3 8 2 2" xfId="1241"/>
    <cellStyle name="Normal 2 18 3 8 2 2 2" xfId="1242"/>
    <cellStyle name="Normal 2 18 3 8 2 2 3" xfId="1243"/>
    <cellStyle name="Normal 2 18 3 8 2 3" xfId="1244"/>
    <cellStyle name="Normal 2 18 3 8 2 4" xfId="1245"/>
    <cellStyle name="Normal 2 18 3 8 3" xfId="1246"/>
    <cellStyle name="Normal 2 18 3 8 3 2" xfId="1247"/>
    <cellStyle name="Normal 2 18 3 8 3 2 2" xfId="1248"/>
    <cellStyle name="Normal 2 18 3 8 3 2 3" xfId="1249"/>
    <cellStyle name="Normal 2 18 3 8 3 3" xfId="1250"/>
    <cellStyle name="Normal 2 18 3 8 3 4" xfId="1251"/>
    <cellStyle name="Normal 2 18 3 8 4" xfId="1252"/>
    <cellStyle name="Normal 2 18 3 8 4 2" xfId="1253"/>
    <cellStyle name="Normal 2 18 3 8 4 3" xfId="1254"/>
    <cellStyle name="Normal 2 18 3 8 5" xfId="1255"/>
    <cellStyle name="Normal 2 18 3 8 6" xfId="1256"/>
    <cellStyle name="Normal 2 18 3 9" xfId="1257"/>
    <cellStyle name="Normal 2 18 3 9 2" xfId="1258"/>
    <cellStyle name="Normal 2 18 3 9 2 2" xfId="1259"/>
    <cellStyle name="Normal 2 18 3 9 2 3" xfId="1260"/>
    <cellStyle name="Normal 2 18 3 9 3" xfId="1261"/>
    <cellStyle name="Normal 2 18 3 9 4" xfId="1262"/>
    <cellStyle name="Normal 2 18 4" xfId="1263"/>
    <cellStyle name="Normal 2 18 4 10" xfId="1264"/>
    <cellStyle name="Normal 2 18 4 10 2" xfId="1265"/>
    <cellStyle name="Normal 2 18 4 10 2 2" xfId="1266"/>
    <cellStyle name="Normal 2 18 4 10 2 3" xfId="1267"/>
    <cellStyle name="Normal 2 18 4 10 3" xfId="1268"/>
    <cellStyle name="Normal 2 18 4 10 4" xfId="1269"/>
    <cellStyle name="Normal 2 18 4 11" xfId="1270"/>
    <cellStyle name="Normal 2 18 4 11 2" xfId="1271"/>
    <cellStyle name="Normal 2 18 4 11 3" xfId="1272"/>
    <cellStyle name="Normal 2 18 4 12" xfId="1273"/>
    <cellStyle name="Normal 2 18 4 13" xfId="1274"/>
    <cellStyle name="Normal 2 18 4 2" xfId="1275"/>
    <cellStyle name="Normal 2 18 4 2 2" xfId="1276"/>
    <cellStyle name="Normal 2 18 4 2 2 2" xfId="1277"/>
    <cellStyle name="Normal 2 18 4 2 2 2 2" xfId="1278"/>
    <cellStyle name="Normal 2 18 4 2 2 2 3" xfId="1279"/>
    <cellStyle name="Normal 2 18 4 2 2 3" xfId="1280"/>
    <cellStyle name="Normal 2 18 4 2 2 4" xfId="1281"/>
    <cellStyle name="Normal 2 18 4 2 3" xfId="1282"/>
    <cellStyle name="Normal 2 18 4 2 3 2" xfId="1283"/>
    <cellStyle name="Normal 2 18 4 2 3 2 2" xfId="1284"/>
    <cellStyle name="Normal 2 18 4 2 3 2 3" xfId="1285"/>
    <cellStyle name="Normal 2 18 4 2 3 3" xfId="1286"/>
    <cellStyle name="Normal 2 18 4 2 3 4" xfId="1287"/>
    <cellStyle name="Normal 2 18 4 2 4" xfId="1288"/>
    <cellStyle name="Normal 2 18 4 2 4 2" xfId="1289"/>
    <cellStyle name="Normal 2 18 4 2 4 3" xfId="1290"/>
    <cellStyle name="Normal 2 18 4 2 5" xfId="1291"/>
    <cellStyle name="Normal 2 18 4 2 6" xfId="1292"/>
    <cellStyle name="Normal 2 18 4 3" xfId="1293"/>
    <cellStyle name="Normal 2 18 4 3 2" xfId="1294"/>
    <cellStyle name="Normal 2 18 4 3 2 2" xfId="1295"/>
    <cellStyle name="Normal 2 18 4 3 2 2 2" xfId="1296"/>
    <cellStyle name="Normal 2 18 4 3 2 2 3" xfId="1297"/>
    <cellStyle name="Normal 2 18 4 3 2 3" xfId="1298"/>
    <cellStyle name="Normal 2 18 4 3 2 4" xfId="1299"/>
    <cellStyle name="Normal 2 18 4 3 3" xfId="1300"/>
    <cellStyle name="Normal 2 18 4 3 3 2" xfId="1301"/>
    <cellStyle name="Normal 2 18 4 3 3 2 2" xfId="1302"/>
    <cellStyle name="Normal 2 18 4 3 3 2 3" xfId="1303"/>
    <cellStyle name="Normal 2 18 4 3 3 3" xfId="1304"/>
    <cellStyle name="Normal 2 18 4 3 3 4" xfId="1305"/>
    <cellStyle name="Normal 2 18 4 3 4" xfId="1306"/>
    <cellStyle name="Normal 2 18 4 3 4 2" xfId="1307"/>
    <cellStyle name="Normal 2 18 4 3 4 3" xfId="1308"/>
    <cellStyle name="Normal 2 18 4 3 5" xfId="1309"/>
    <cellStyle name="Normal 2 18 4 3 6" xfId="1310"/>
    <cellStyle name="Normal 2 18 4 4" xfId="1311"/>
    <cellStyle name="Normal 2 18 4 4 2" xfId="1312"/>
    <cellStyle name="Normal 2 18 4 4 2 2" xfId="1313"/>
    <cellStyle name="Normal 2 18 4 4 2 2 2" xfId="1314"/>
    <cellStyle name="Normal 2 18 4 4 2 2 3" xfId="1315"/>
    <cellStyle name="Normal 2 18 4 4 2 3" xfId="1316"/>
    <cellStyle name="Normal 2 18 4 4 2 4" xfId="1317"/>
    <cellStyle name="Normal 2 18 4 4 3" xfId="1318"/>
    <cellStyle name="Normal 2 18 4 4 3 2" xfId="1319"/>
    <cellStyle name="Normal 2 18 4 4 3 2 2" xfId="1320"/>
    <cellStyle name="Normal 2 18 4 4 3 2 3" xfId="1321"/>
    <cellStyle name="Normal 2 18 4 4 3 3" xfId="1322"/>
    <cellStyle name="Normal 2 18 4 4 3 4" xfId="1323"/>
    <cellStyle name="Normal 2 18 4 4 4" xfId="1324"/>
    <cellStyle name="Normal 2 18 4 4 4 2" xfId="1325"/>
    <cellStyle name="Normal 2 18 4 4 4 3" xfId="1326"/>
    <cellStyle name="Normal 2 18 4 4 5" xfId="1327"/>
    <cellStyle name="Normal 2 18 4 4 6" xfId="1328"/>
    <cellStyle name="Normal 2 18 4 5" xfId="1329"/>
    <cellStyle name="Normal 2 18 4 5 2" xfId="1330"/>
    <cellStyle name="Normal 2 18 4 5 2 2" xfId="1331"/>
    <cellStyle name="Normal 2 18 4 5 2 2 2" xfId="1332"/>
    <cellStyle name="Normal 2 18 4 5 2 2 3" xfId="1333"/>
    <cellStyle name="Normal 2 18 4 5 2 3" xfId="1334"/>
    <cellStyle name="Normal 2 18 4 5 2 4" xfId="1335"/>
    <cellStyle name="Normal 2 18 4 5 3" xfId="1336"/>
    <cellStyle name="Normal 2 18 4 5 3 2" xfId="1337"/>
    <cellStyle name="Normal 2 18 4 5 3 2 2" xfId="1338"/>
    <cellStyle name="Normal 2 18 4 5 3 2 3" xfId="1339"/>
    <cellStyle name="Normal 2 18 4 5 3 3" xfId="1340"/>
    <cellStyle name="Normal 2 18 4 5 3 4" xfId="1341"/>
    <cellStyle name="Normal 2 18 4 5 4" xfId="1342"/>
    <cellStyle name="Normal 2 18 4 5 4 2" xfId="1343"/>
    <cellStyle name="Normal 2 18 4 5 4 3" xfId="1344"/>
    <cellStyle name="Normal 2 18 4 5 5" xfId="1345"/>
    <cellStyle name="Normal 2 18 4 5 6" xfId="1346"/>
    <cellStyle name="Normal 2 18 4 6" xfId="1347"/>
    <cellStyle name="Normal 2 18 4 6 2" xfId="1348"/>
    <cellStyle name="Normal 2 18 4 6 2 2" xfId="1349"/>
    <cellStyle name="Normal 2 18 4 6 2 2 2" xfId="1350"/>
    <cellStyle name="Normal 2 18 4 6 2 2 3" xfId="1351"/>
    <cellStyle name="Normal 2 18 4 6 2 3" xfId="1352"/>
    <cellStyle name="Normal 2 18 4 6 2 4" xfId="1353"/>
    <cellStyle name="Normal 2 18 4 6 3" xfId="1354"/>
    <cellStyle name="Normal 2 18 4 6 3 2" xfId="1355"/>
    <cellStyle name="Normal 2 18 4 6 3 2 2" xfId="1356"/>
    <cellStyle name="Normal 2 18 4 6 3 2 3" xfId="1357"/>
    <cellStyle name="Normal 2 18 4 6 3 3" xfId="1358"/>
    <cellStyle name="Normal 2 18 4 6 3 4" xfId="1359"/>
    <cellStyle name="Normal 2 18 4 6 4" xfId="1360"/>
    <cellStyle name="Normal 2 18 4 6 4 2" xfId="1361"/>
    <cellStyle name="Normal 2 18 4 6 4 3" xfId="1362"/>
    <cellStyle name="Normal 2 18 4 6 5" xfId="1363"/>
    <cellStyle name="Normal 2 18 4 6 6" xfId="1364"/>
    <cellStyle name="Normal 2 18 4 7" xfId="1365"/>
    <cellStyle name="Normal 2 18 4 7 2" xfId="1366"/>
    <cellStyle name="Normal 2 18 4 7 2 2" xfId="1367"/>
    <cellStyle name="Normal 2 18 4 7 2 2 2" xfId="1368"/>
    <cellStyle name="Normal 2 18 4 7 2 2 3" xfId="1369"/>
    <cellStyle name="Normal 2 18 4 7 2 3" xfId="1370"/>
    <cellStyle name="Normal 2 18 4 7 2 4" xfId="1371"/>
    <cellStyle name="Normal 2 18 4 7 3" xfId="1372"/>
    <cellStyle name="Normal 2 18 4 7 3 2" xfId="1373"/>
    <cellStyle name="Normal 2 18 4 7 3 2 2" xfId="1374"/>
    <cellStyle name="Normal 2 18 4 7 3 2 3" xfId="1375"/>
    <cellStyle name="Normal 2 18 4 7 3 3" xfId="1376"/>
    <cellStyle name="Normal 2 18 4 7 3 4" xfId="1377"/>
    <cellStyle name="Normal 2 18 4 7 4" xfId="1378"/>
    <cellStyle name="Normal 2 18 4 7 4 2" xfId="1379"/>
    <cellStyle name="Normal 2 18 4 7 4 3" xfId="1380"/>
    <cellStyle name="Normal 2 18 4 7 5" xfId="1381"/>
    <cellStyle name="Normal 2 18 4 7 6" xfId="1382"/>
    <cellStyle name="Normal 2 18 4 8" xfId="1383"/>
    <cellStyle name="Normal 2 18 4 8 2" xfId="1384"/>
    <cellStyle name="Normal 2 18 4 8 2 2" xfId="1385"/>
    <cellStyle name="Normal 2 18 4 8 2 2 2" xfId="1386"/>
    <cellStyle name="Normal 2 18 4 8 2 2 3" xfId="1387"/>
    <cellStyle name="Normal 2 18 4 8 2 3" xfId="1388"/>
    <cellStyle name="Normal 2 18 4 8 2 4" xfId="1389"/>
    <cellStyle name="Normal 2 18 4 8 3" xfId="1390"/>
    <cellStyle name="Normal 2 18 4 8 3 2" xfId="1391"/>
    <cellStyle name="Normal 2 18 4 8 3 2 2" xfId="1392"/>
    <cellStyle name="Normal 2 18 4 8 3 2 3" xfId="1393"/>
    <cellStyle name="Normal 2 18 4 8 3 3" xfId="1394"/>
    <cellStyle name="Normal 2 18 4 8 3 4" xfId="1395"/>
    <cellStyle name="Normal 2 18 4 8 4" xfId="1396"/>
    <cellStyle name="Normal 2 18 4 8 4 2" xfId="1397"/>
    <cellStyle name="Normal 2 18 4 8 4 3" xfId="1398"/>
    <cellStyle name="Normal 2 18 4 8 5" xfId="1399"/>
    <cellStyle name="Normal 2 18 4 8 6" xfId="1400"/>
    <cellStyle name="Normal 2 18 4 9" xfId="1401"/>
    <cellStyle name="Normal 2 18 4 9 2" xfId="1402"/>
    <cellStyle name="Normal 2 18 4 9 2 2" xfId="1403"/>
    <cellStyle name="Normal 2 18 4 9 2 3" xfId="1404"/>
    <cellStyle name="Normal 2 18 4 9 3" xfId="1405"/>
    <cellStyle name="Normal 2 18 4 9 4" xfId="1406"/>
    <cellStyle name="Normal 2 18 5" xfId="1407"/>
    <cellStyle name="Normal 2 18 5 2" xfId="1408"/>
    <cellStyle name="Normal 2 18 5 2 2" xfId="1409"/>
    <cellStyle name="Normal 2 18 5 2 2 2" xfId="1410"/>
    <cellStyle name="Normal 2 18 5 2 2 2 2" xfId="1411"/>
    <cellStyle name="Normal 2 18 5 2 2 2 3" xfId="1412"/>
    <cellStyle name="Normal 2 18 5 2 2 3" xfId="1413"/>
    <cellStyle name="Normal 2 18 5 2 2 4" xfId="1414"/>
    <cellStyle name="Normal 2 18 5 2 3" xfId="1415"/>
    <cellStyle name="Normal 2 18 5 2 3 2" xfId="1416"/>
    <cellStyle name="Normal 2 18 5 2 3 2 2" xfId="1417"/>
    <cellStyle name="Normal 2 18 5 2 3 2 3" xfId="1418"/>
    <cellStyle name="Normal 2 18 5 2 3 3" xfId="1419"/>
    <cellStyle name="Normal 2 18 5 2 3 4" xfId="1420"/>
    <cellStyle name="Normal 2 18 5 2 4" xfId="1421"/>
    <cellStyle name="Normal 2 18 5 2 4 2" xfId="1422"/>
    <cellStyle name="Normal 2 18 5 2 4 3" xfId="1423"/>
    <cellStyle name="Normal 2 18 5 2 5" xfId="1424"/>
    <cellStyle name="Normal 2 18 5 2 6" xfId="1425"/>
    <cellStyle name="Normal 2 18 5 3" xfId="1426"/>
    <cellStyle name="Normal 2 18 5 3 2" xfId="1427"/>
    <cellStyle name="Normal 2 18 5 3 2 2" xfId="1428"/>
    <cellStyle name="Normal 2 18 5 3 2 2 2" xfId="1429"/>
    <cellStyle name="Normal 2 18 5 3 2 2 3" xfId="1430"/>
    <cellStyle name="Normal 2 18 5 3 2 3" xfId="1431"/>
    <cellStyle name="Normal 2 18 5 3 2 4" xfId="1432"/>
    <cellStyle name="Normal 2 18 5 3 3" xfId="1433"/>
    <cellStyle name="Normal 2 18 5 3 3 2" xfId="1434"/>
    <cellStyle name="Normal 2 18 5 3 3 2 2" xfId="1435"/>
    <cellStyle name="Normal 2 18 5 3 3 2 3" xfId="1436"/>
    <cellStyle name="Normal 2 18 5 3 3 3" xfId="1437"/>
    <cellStyle name="Normal 2 18 5 3 3 4" xfId="1438"/>
    <cellStyle name="Normal 2 18 5 3 4" xfId="1439"/>
    <cellStyle name="Normal 2 18 5 3 4 2" xfId="1440"/>
    <cellStyle name="Normal 2 18 5 3 4 3" xfId="1441"/>
    <cellStyle name="Normal 2 18 5 3 5" xfId="1442"/>
    <cellStyle name="Normal 2 18 5 3 6" xfId="1443"/>
    <cellStyle name="Normal 2 18 5 4" xfId="1444"/>
    <cellStyle name="Normal 2 18 5 4 2" xfId="1445"/>
    <cellStyle name="Normal 2 18 5 4 2 2" xfId="1446"/>
    <cellStyle name="Normal 2 18 5 4 2 3" xfId="1447"/>
    <cellStyle name="Normal 2 18 5 4 3" xfId="1448"/>
    <cellStyle name="Normal 2 18 5 4 4" xfId="1449"/>
    <cellStyle name="Normal 2 18 5 5" xfId="1450"/>
    <cellStyle name="Normal 2 18 5 5 2" xfId="1451"/>
    <cellStyle name="Normal 2 18 5 5 2 2" xfId="1452"/>
    <cellStyle name="Normal 2 18 5 5 2 3" xfId="1453"/>
    <cellStyle name="Normal 2 18 5 5 3" xfId="1454"/>
    <cellStyle name="Normal 2 18 5 5 4" xfId="1455"/>
    <cellStyle name="Normal 2 18 5 6" xfId="1456"/>
    <cellStyle name="Normal 2 18 5 6 2" xfId="1457"/>
    <cellStyle name="Normal 2 18 5 6 3" xfId="1458"/>
    <cellStyle name="Normal 2 18 5 7" xfId="1459"/>
    <cellStyle name="Normal 2 18 5 8" xfId="1460"/>
    <cellStyle name="Normal 2 18 6" xfId="1461"/>
    <cellStyle name="Normal 2 18 6 2" xfId="1462"/>
    <cellStyle name="Normal 2 18 6 2 2" xfId="1463"/>
    <cellStyle name="Normal 2 18 6 2 2 2" xfId="1464"/>
    <cellStyle name="Normal 2 18 6 2 2 2 2" xfId="1465"/>
    <cellStyle name="Normal 2 18 6 2 2 2 3" xfId="1466"/>
    <cellStyle name="Normal 2 18 6 2 2 3" xfId="1467"/>
    <cellStyle name="Normal 2 18 6 2 2 4" xfId="1468"/>
    <cellStyle name="Normal 2 18 6 2 3" xfId="1469"/>
    <cellStyle name="Normal 2 18 6 2 3 2" xfId="1470"/>
    <cellStyle name="Normal 2 18 6 2 3 2 2" xfId="1471"/>
    <cellStyle name="Normal 2 18 6 2 3 2 3" xfId="1472"/>
    <cellStyle name="Normal 2 18 6 2 3 3" xfId="1473"/>
    <cellStyle name="Normal 2 18 6 2 3 4" xfId="1474"/>
    <cellStyle name="Normal 2 18 6 2 4" xfId="1475"/>
    <cellStyle name="Normal 2 18 6 2 4 2" xfId="1476"/>
    <cellStyle name="Normal 2 18 6 2 4 3" xfId="1477"/>
    <cellStyle name="Normal 2 18 6 2 5" xfId="1478"/>
    <cellStyle name="Normal 2 18 6 2 6" xfId="1479"/>
    <cellStyle name="Normal 2 18 6 3" xfId="1480"/>
    <cellStyle name="Normal 2 18 6 3 2" xfId="1481"/>
    <cellStyle name="Normal 2 18 6 3 2 2" xfId="1482"/>
    <cellStyle name="Normal 2 18 6 3 2 2 2" xfId="1483"/>
    <cellStyle name="Normal 2 18 6 3 2 2 3" xfId="1484"/>
    <cellStyle name="Normal 2 18 6 3 2 3" xfId="1485"/>
    <cellStyle name="Normal 2 18 6 3 2 4" xfId="1486"/>
    <cellStyle name="Normal 2 18 6 3 3" xfId="1487"/>
    <cellStyle name="Normal 2 18 6 3 3 2" xfId="1488"/>
    <cellStyle name="Normal 2 18 6 3 3 2 2" xfId="1489"/>
    <cellStyle name="Normal 2 18 6 3 3 2 3" xfId="1490"/>
    <cellStyle name="Normal 2 18 6 3 3 3" xfId="1491"/>
    <cellStyle name="Normal 2 18 6 3 3 4" xfId="1492"/>
    <cellStyle name="Normal 2 18 6 3 4" xfId="1493"/>
    <cellStyle name="Normal 2 18 6 3 4 2" xfId="1494"/>
    <cellStyle name="Normal 2 18 6 3 4 3" xfId="1495"/>
    <cellStyle name="Normal 2 18 6 3 5" xfId="1496"/>
    <cellStyle name="Normal 2 18 6 3 6" xfId="1497"/>
    <cellStyle name="Normal 2 18 6 4" xfId="1498"/>
    <cellStyle name="Normal 2 18 6 4 2" xfId="1499"/>
    <cellStyle name="Normal 2 18 6 4 2 2" xfId="1500"/>
    <cellStyle name="Normal 2 18 6 4 2 3" xfId="1501"/>
    <cellStyle name="Normal 2 18 6 4 3" xfId="1502"/>
    <cellStyle name="Normal 2 18 6 4 4" xfId="1503"/>
    <cellStyle name="Normal 2 18 6 5" xfId="1504"/>
    <cellStyle name="Normal 2 18 6 5 2" xfId="1505"/>
    <cellStyle name="Normal 2 18 6 5 2 2" xfId="1506"/>
    <cellStyle name="Normal 2 18 6 5 2 3" xfId="1507"/>
    <cellStyle name="Normal 2 18 6 5 3" xfId="1508"/>
    <cellStyle name="Normal 2 18 6 5 4" xfId="1509"/>
    <cellStyle name="Normal 2 18 6 6" xfId="1510"/>
    <cellStyle name="Normal 2 18 6 6 2" xfId="1511"/>
    <cellStyle name="Normal 2 18 6 6 3" xfId="1512"/>
    <cellStyle name="Normal 2 18 6 7" xfId="1513"/>
    <cellStyle name="Normal 2 18 6 8" xfId="1514"/>
    <cellStyle name="Normal 2 18 7" xfId="1515"/>
    <cellStyle name="Normal 2 18 7 2" xfId="1516"/>
    <cellStyle name="Normal 2 18 7 2 2" xfId="1517"/>
    <cellStyle name="Normal 2 18 7 2 2 2" xfId="1518"/>
    <cellStyle name="Normal 2 18 7 2 2 2 2" xfId="1519"/>
    <cellStyle name="Normal 2 18 7 2 2 2 3" xfId="1520"/>
    <cellStyle name="Normal 2 18 7 2 2 3" xfId="1521"/>
    <cellStyle name="Normal 2 18 7 2 2 4" xfId="1522"/>
    <cellStyle name="Normal 2 18 7 2 3" xfId="1523"/>
    <cellStyle name="Normal 2 18 7 2 3 2" xfId="1524"/>
    <cellStyle name="Normal 2 18 7 2 3 2 2" xfId="1525"/>
    <cellStyle name="Normal 2 18 7 2 3 2 3" xfId="1526"/>
    <cellStyle name="Normal 2 18 7 2 3 3" xfId="1527"/>
    <cellStyle name="Normal 2 18 7 2 3 4" xfId="1528"/>
    <cellStyle name="Normal 2 18 7 2 4" xfId="1529"/>
    <cellStyle name="Normal 2 18 7 2 4 2" xfId="1530"/>
    <cellStyle name="Normal 2 18 7 2 4 3" xfId="1531"/>
    <cellStyle name="Normal 2 18 7 2 5" xfId="1532"/>
    <cellStyle name="Normal 2 18 7 2 6" xfId="1533"/>
    <cellStyle name="Normal 2 18 7 3" xfId="1534"/>
    <cellStyle name="Normal 2 18 7 3 2" xfId="1535"/>
    <cellStyle name="Normal 2 18 7 3 2 2" xfId="1536"/>
    <cellStyle name="Normal 2 18 7 3 2 2 2" xfId="1537"/>
    <cellStyle name="Normal 2 18 7 3 2 2 3" xfId="1538"/>
    <cellStyle name="Normal 2 18 7 3 2 3" xfId="1539"/>
    <cellStyle name="Normal 2 18 7 3 2 4" xfId="1540"/>
    <cellStyle name="Normal 2 18 7 3 3" xfId="1541"/>
    <cellStyle name="Normal 2 18 7 3 3 2" xfId="1542"/>
    <cellStyle name="Normal 2 18 7 3 3 2 2" xfId="1543"/>
    <cellStyle name="Normal 2 18 7 3 3 2 3" xfId="1544"/>
    <cellStyle name="Normal 2 18 7 3 3 3" xfId="1545"/>
    <cellStyle name="Normal 2 18 7 3 3 4" xfId="1546"/>
    <cellStyle name="Normal 2 18 7 3 4" xfId="1547"/>
    <cellStyle name="Normal 2 18 7 3 4 2" xfId="1548"/>
    <cellStyle name="Normal 2 18 7 3 4 3" xfId="1549"/>
    <cellStyle name="Normal 2 18 7 3 5" xfId="1550"/>
    <cellStyle name="Normal 2 18 7 3 6" xfId="1551"/>
    <cellStyle name="Normal 2 18 7 4" xfId="1552"/>
    <cellStyle name="Normal 2 18 7 4 2" xfId="1553"/>
    <cellStyle name="Normal 2 18 7 4 2 2" xfId="1554"/>
    <cellStyle name="Normal 2 18 7 4 2 3" xfId="1555"/>
    <cellStyle name="Normal 2 18 7 4 3" xfId="1556"/>
    <cellStyle name="Normal 2 18 7 4 4" xfId="1557"/>
    <cellStyle name="Normal 2 18 7 5" xfId="1558"/>
    <cellStyle name="Normal 2 18 7 5 2" xfId="1559"/>
    <cellStyle name="Normal 2 18 7 5 2 2" xfId="1560"/>
    <cellStyle name="Normal 2 18 7 5 2 3" xfId="1561"/>
    <cellStyle name="Normal 2 18 7 5 3" xfId="1562"/>
    <cellStyle name="Normal 2 18 7 5 4" xfId="1563"/>
    <cellStyle name="Normal 2 18 7 6" xfId="1564"/>
    <cellStyle name="Normal 2 18 7 6 2" xfId="1565"/>
    <cellStyle name="Normal 2 18 7 6 3" xfId="1566"/>
    <cellStyle name="Normal 2 18 7 7" xfId="1567"/>
    <cellStyle name="Normal 2 18 7 8" xfId="1568"/>
    <cellStyle name="Normal 2 18 8" xfId="1569"/>
    <cellStyle name="Normal 2 18 8 2" xfId="1570"/>
    <cellStyle name="Normal 2 18 8 2 2" xfId="1571"/>
    <cellStyle name="Normal 2 18 8 2 2 2" xfId="1572"/>
    <cellStyle name="Normal 2 18 8 2 2 2 2" xfId="1573"/>
    <cellStyle name="Normal 2 18 8 2 2 2 3" xfId="1574"/>
    <cellStyle name="Normal 2 18 8 2 2 3" xfId="1575"/>
    <cellStyle name="Normal 2 18 8 2 2 4" xfId="1576"/>
    <cellStyle name="Normal 2 18 8 2 3" xfId="1577"/>
    <cellStyle name="Normal 2 18 8 2 3 2" xfId="1578"/>
    <cellStyle name="Normal 2 18 8 2 3 2 2" xfId="1579"/>
    <cellStyle name="Normal 2 18 8 2 3 2 3" xfId="1580"/>
    <cellStyle name="Normal 2 18 8 2 3 3" xfId="1581"/>
    <cellStyle name="Normal 2 18 8 2 3 4" xfId="1582"/>
    <cellStyle name="Normal 2 18 8 2 4" xfId="1583"/>
    <cellStyle name="Normal 2 18 8 2 4 2" xfId="1584"/>
    <cellStyle name="Normal 2 18 8 2 4 3" xfId="1585"/>
    <cellStyle name="Normal 2 18 8 2 5" xfId="1586"/>
    <cellStyle name="Normal 2 18 8 2 6" xfId="1587"/>
    <cellStyle name="Normal 2 18 8 3" xfId="1588"/>
    <cellStyle name="Normal 2 18 8 3 2" xfId="1589"/>
    <cellStyle name="Normal 2 18 8 3 2 2" xfId="1590"/>
    <cellStyle name="Normal 2 18 8 3 2 2 2" xfId="1591"/>
    <cellStyle name="Normal 2 18 8 3 2 2 3" xfId="1592"/>
    <cellStyle name="Normal 2 18 8 3 2 3" xfId="1593"/>
    <cellStyle name="Normal 2 18 8 3 2 4" xfId="1594"/>
    <cellStyle name="Normal 2 18 8 3 3" xfId="1595"/>
    <cellStyle name="Normal 2 18 8 3 3 2" xfId="1596"/>
    <cellStyle name="Normal 2 18 8 3 3 2 2" xfId="1597"/>
    <cellStyle name="Normal 2 18 8 3 3 2 3" xfId="1598"/>
    <cellStyle name="Normal 2 18 8 3 3 3" xfId="1599"/>
    <cellStyle name="Normal 2 18 8 3 3 4" xfId="1600"/>
    <cellStyle name="Normal 2 18 8 3 4" xfId="1601"/>
    <cellStyle name="Normal 2 18 8 3 4 2" xfId="1602"/>
    <cellStyle name="Normal 2 18 8 3 4 3" xfId="1603"/>
    <cellStyle name="Normal 2 18 8 3 5" xfId="1604"/>
    <cellStyle name="Normal 2 18 8 3 6" xfId="1605"/>
    <cellStyle name="Normal 2 18 8 4" xfId="1606"/>
    <cellStyle name="Normal 2 18 8 4 2" xfId="1607"/>
    <cellStyle name="Normal 2 18 8 4 2 2" xfId="1608"/>
    <cellStyle name="Normal 2 18 8 4 2 3" xfId="1609"/>
    <cellStyle name="Normal 2 18 8 4 3" xfId="1610"/>
    <cellStyle name="Normal 2 18 8 4 4" xfId="1611"/>
    <cellStyle name="Normal 2 18 8 5" xfId="1612"/>
    <cellStyle name="Normal 2 18 8 5 2" xfId="1613"/>
    <cellStyle name="Normal 2 18 8 5 2 2" xfId="1614"/>
    <cellStyle name="Normal 2 18 8 5 2 3" xfId="1615"/>
    <cellStyle name="Normal 2 18 8 5 3" xfId="1616"/>
    <cellStyle name="Normal 2 18 8 5 4" xfId="1617"/>
    <cellStyle name="Normal 2 18 8 6" xfId="1618"/>
    <cellStyle name="Normal 2 18 8 6 2" xfId="1619"/>
    <cellStyle name="Normal 2 18 8 6 3" xfId="1620"/>
    <cellStyle name="Normal 2 18 8 7" xfId="1621"/>
    <cellStyle name="Normal 2 18 8 8" xfId="1622"/>
    <cellStyle name="Normal 2 18 9" xfId="1623"/>
    <cellStyle name="Normal 2 18 9 2" xfId="1624"/>
    <cellStyle name="Normal 2 18 9 2 2" xfId="1625"/>
    <cellStyle name="Normal 2 18 9 2 2 2" xfId="1626"/>
    <cellStyle name="Normal 2 18 9 2 2 2 2" xfId="1627"/>
    <cellStyle name="Normal 2 18 9 2 2 2 3" xfId="1628"/>
    <cellStyle name="Normal 2 18 9 2 2 3" xfId="1629"/>
    <cellStyle name="Normal 2 18 9 2 2 4" xfId="1630"/>
    <cellStyle name="Normal 2 18 9 2 3" xfId="1631"/>
    <cellStyle name="Normal 2 18 9 2 3 2" xfId="1632"/>
    <cellStyle name="Normal 2 18 9 2 3 2 2" xfId="1633"/>
    <cellStyle name="Normal 2 18 9 2 3 2 3" xfId="1634"/>
    <cellStyle name="Normal 2 18 9 2 3 3" xfId="1635"/>
    <cellStyle name="Normal 2 18 9 2 3 4" xfId="1636"/>
    <cellStyle name="Normal 2 18 9 2 4" xfId="1637"/>
    <cellStyle name="Normal 2 18 9 2 4 2" xfId="1638"/>
    <cellStyle name="Normal 2 18 9 2 4 3" xfId="1639"/>
    <cellStyle name="Normal 2 18 9 2 5" xfId="1640"/>
    <cellStyle name="Normal 2 18 9 2 6" xfId="1641"/>
    <cellStyle name="Normal 2 18 9 3" xfId="1642"/>
    <cellStyle name="Normal 2 18 9 3 2" xfId="1643"/>
    <cellStyle name="Normal 2 18 9 3 2 2" xfId="1644"/>
    <cellStyle name="Normal 2 18 9 3 2 2 2" xfId="1645"/>
    <cellStyle name="Normal 2 18 9 3 2 2 3" xfId="1646"/>
    <cellStyle name="Normal 2 18 9 3 2 3" xfId="1647"/>
    <cellStyle name="Normal 2 18 9 3 2 4" xfId="1648"/>
    <cellStyle name="Normal 2 18 9 3 3" xfId="1649"/>
    <cellStyle name="Normal 2 18 9 3 3 2" xfId="1650"/>
    <cellStyle name="Normal 2 18 9 3 3 2 2" xfId="1651"/>
    <cellStyle name="Normal 2 18 9 3 3 2 3" xfId="1652"/>
    <cellStyle name="Normal 2 18 9 3 3 3" xfId="1653"/>
    <cellStyle name="Normal 2 18 9 3 3 4" xfId="1654"/>
    <cellStyle name="Normal 2 18 9 3 4" xfId="1655"/>
    <cellStyle name="Normal 2 18 9 3 4 2" xfId="1656"/>
    <cellStyle name="Normal 2 18 9 3 4 3" xfId="1657"/>
    <cellStyle name="Normal 2 18 9 3 5" xfId="1658"/>
    <cellStyle name="Normal 2 18 9 3 6" xfId="1659"/>
    <cellStyle name="Normal 2 18 9 4" xfId="1660"/>
    <cellStyle name="Normal 2 18 9 4 2" xfId="1661"/>
    <cellStyle name="Normal 2 18 9 4 2 2" xfId="1662"/>
    <cellStyle name="Normal 2 18 9 4 2 3" xfId="1663"/>
    <cellStyle name="Normal 2 18 9 4 3" xfId="1664"/>
    <cellStyle name="Normal 2 18 9 4 4" xfId="1665"/>
    <cellStyle name="Normal 2 18 9 5" xfId="1666"/>
    <cellStyle name="Normal 2 18 9 5 2" xfId="1667"/>
    <cellStyle name="Normal 2 18 9 5 2 2" xfId="1668"/>
    <cellStyle name="Normal 2 18 9 5 2 3" xfId="1669"/>
    <cellStyle name="Normal 2 18 9 5 3" xfId="1670"/>
    <cellStyle name="Normal 2 18 9 5 4" xfId="1671"/>
    <cellStyle name="Normal 2 18 9 6" xfId="1672"/>
    <cellStyle name="Normal 2 18 9 6 2" xfId="1673"/>
    <cellStyle name="Normal 2 18 9 6 3" xfId="1674"/>
    <cellStyle name="Normal 2 18 9 7" xfId="1675"/>
    <cellStyle name="Normal 2 18 9 8" xfId="1676"/>
    <cellStyle name="Normal 2 19" xfId="1677"/>
    <cellStyle name="Normal 2 19 10" xfId="1678"/>
    <cellStyle name="Normal 2 19 10 2" xfId="1679"/>
    <cellStyle name="Normal 2 19 10 2 2" xfId="1680"/>
    <cellStyle name="Normal 2 19 10 2 2 2" xfId="1681"/>
    <cellStyle name="Normal 2 19 10 2 2 2 2" xfId="1682"/>
    <cellStyle name="Normal 2 19 10 2 2 2 3" xfId="1683"/>
    <cellStyle name="Normal 2 19 10 2 2 3" xfId="1684"/>
    <cellStyle name="Normal 2 19 10 2 2 4" xfId="1685"/>
    <cellStyle name="Normal 2 19 10 2 3" xfId="1686"/>
    <cellStyle name="Normal 2 19 10 2 3 2" xfId="1687"/>
    <cellStyle name="Normal 2 19 10 2 3 2 2" xfId="1688"/>
    <cellStyle name="Normal 2 19 10 2 3 2 3" xfId="1689"/>
    <cellStyle name="Normal 2 19 10 2 3 3" xfId="1690"/>
    <cellStyle name="Normal 2 19 10 2 3 4" xfId="1691"/>
    <cellStyle name="Normal 2 19 10 2 4" xfId="1692"/>
    <cellStyle name="Normal 2 19 10 2 4 2" xfId="1693"/>
    <cellStyle name="Normal 2 19 10 2 4 3" xfId="1694"/>
    <cellStyle name="Normal 2 19 10 2 5" xfId="1695"/>
    <cellStyle name="Normal 2 19 10 2 6" xfId="1696"/>
    <cellStyle name="Normal 2 19 10 3" xfId="1697"/>
    <cellStyle name="Normal 2 19 10 3 2" xfId="1698"/>
    <cellStyle name="Normal 2 19 10 3 2 2" xfId="1699"/>
    <cellStyle name="Normal 2 19 10 3 2 2 2" xfId="1700"/>
    <cellStyle name="Normal 2 19 10 3 2 2 3" xfId="1701"/>
    <cellStyle name="Normal 2 19 10 3 2 3" xfId="1702"/>
    <cellStyle name="Normal 2 19 10 3 2 4" xfId="1703"/>
    <cellStyle name="Normal 2 19 10 3 3" xfId="1704"/>
    <cellStyle name="Normal 2 19 10 3 3 2" xfId="1705"/>
    <cellStyle name="Normal 2 19 10 3 3 2 2" xfId="1706"/>
    <cellStyle name="Normal 2 19 10 3 3 2 3" xfId="1707"/>
    <cellStyle name="Normal 2 19 10 3 3 3" xfId="1708"/>
    <cellStyle name="Normal 2 19 10 3 3 4" xfId="1709"/>
    <cellStyle name="Normal 2 19 10 3 4" xfId="1710"/>
    <cellStyle name="Normal 2 19 10 3 4 2" xfId="1711"/>
    <cellStyle name="Normal 2 19 10 3 4 3" xfId="1712"/>
    <cellStyle name="Normal 2 19 10 3 5" xfId="1713"/>
    <cellStyle name="Normal 2 19 10 3 6" xfId="1714"/>
    <cellStyle name="Normal 2 19 10 4" xfId="1715"/>
    <cellStyle name="Normal 2 19 10 4 2" xfId="1716"/>
    <cellStyle name="Normal 2 19 10 4 2 2" xfId="1717"/>
    <cellStyle name="Normal 2 19 10 4 2 3" xfId="1718"/>
    <cellStyle name="Normal 2 19 10 4 3" xfId="1719"/>
    <cellStyle name="Normal 2 19 10 4 4" xfId="1720"/>
    <cellStyle name="Normal 2 19 10 5" xfId="1721"/>
    <cellStyle name="Normal 2 19 10 5 2" xfId="1722"/>
    <cellStyle name="Normal 2 19 10 5 2 2" xfId="1723"/>
    <cellStyle name="Normal 2 19 10 5 2 3" xfId="1724"/>
    <cellStyle name="Normal 2 19 10 5 3" xfId="1725"/>
    <cellStyle name="Normal 2 19 10 5 4" xfId="1726"/>
    <cellStyle name="Normal 2 19 10 6" xfId="1727"/>
    <cellStyle name="Normal 2 19 10 6 2" xfId="1728"/>
    <cellStyle name="Normal 2 19 10 6 3" xfId="1729"/>
    <cellStyle name="Normal 2 19 10 7" xfId="1730"/>
    <cellStyle name="Normal 2 19 10 8" xfId="1731"/>
    <cellStyle name="Normal 2 19 11" xfId="1732"/>
    <cellStyle name="Normal 2 19 11 2" xfId="1733"/>
    <cellStyle name="Normal 2 19 11 2 2" xfId="1734"/>
    <cellStyle name="Normal 2 19 11 2 2 2" xfId="1735"/>
    <cellStyle name="Normal 2 19 11 2 2 2 2" xfId="1736"/>
    <cellStyle name="Normal 2 19 11 2 2 2 3" xfId="1737"/>
    <cellStyle name="Normal 2 19 11 2 2 3" xfId="1738"/>
    <cellStyle name="Normal 2 19 11 2 2 4" xfId="1739"/>
    <cellStyle name="Normal 2 19 11 2 3" xfId="1740"/>
    <cellStyle name="Normal 2 19 11 2 3 2" xfId="1741"/>
    <cellStyle name="Normal 2 19 11 2 3 2 2" xfId="1742"/>
    <cellStyle name="Normal 2 19 11 2 3 2 3" xfId="1743"/>
    <cellStyle name="Normal 2 19 11 2 3 3" xfId="1744"/>
    <cellStyle name="Normal 2 19 11 2 3 4" xfId="1745"/>
    <cellStyle name="Normal 2 19 11 2 4" xfId="1746"/>
    <cellStyle name="Normal 2 19 11 2 4 2" xfId="1747"/>
    <cellStyle name="Normal 2 19 11 2 4 3" xfId="1748"/>
    <cellStyle name="Normal 2 19 11 2 5" xfId="1749"/>
    <cellStyle name="Normal 2 19 11 2 6" xfId="1750"/>
    <cellStyle name="Normal 2 19 11 3" xfId="1751"/>
    <cellStyle name="Normal 2 19 11 3 2" xfId="1752"/>
    <cellStyle name="Normal 2 19 11 3 2 2" xfId="1753"/>
    <cellStyle name="Normal 2 19 11 3 2 2 2" xfId="1754"/>
    <cellStyle name="Normal 2 19 11 3 2 2 3" xfId="1755"/>
    <cellStyle name="Normal 2 19 11 3 2 3" xfId="1756"/>
    <cellStyle name="Normal 2 19 11 3 2 4" xfId="1757"/>
    <cellStyle name="Normal 2 19 11 3 3" xfId="1758"/>
    <cellStyle name="Normal 2 19 11 3 3 2" xfId="1759"/>
    <cellStyle name="Normal 2 19 11 3 3 2 2" xfId="1760"/>
    <cellStyle name="Normal 2 19 11 3 3 2 3" xfId="1761"/>
    <cellStyle name="Normal 2 19 11 3 3 3" xfId="1762"/>
    <cellStyle name="Normal 2 19 11 3 3 4" xfId="1763"/>
    <cellStyle name="Normal 2 19 11 3 4" xfId="1764"/>
    <cellStyle name="Normal 2 19 11 3 4 2" xfId="1765"/>
    <cellStyle name="Normal 2 19 11 3 4 3" xfId="1766"/>
    <cellStyle name="Normal 2 19 11 3 5" xfId="1767"/>
    <cellStyle name="Normal 2 19 11 3 6" xfId="1768"/>
    <cellStyle name="Normal 2 19 11 4" xfId="1769"/>
    <cellStyle name="Normal 2 19 11 4 2" xfId="1770"/>
    <cellStyle name="Normal 2 19 11 4 2 2" xfId="1771"/>
    <cellStyle name="Normal 2 19 11 4 2 3" xfId="1772"/>
    <cellStyle name="Normal 2 19 11 4 3" xfId="1773"/>
    <cellStyle name="Normal 2 19 11 4 4" xfId="1774"/>
    <cellStyle name="Normal 2 19 11 5" xfId="1775"/>
    <cellStyle name="Normal 2 19 11 5 2" xfId="1776"/>
    <cellStyle name="Normal 2 19 11 5 2 2" xfId="1777"/>
    <cellStyle name="Normal 2 19 11 5 2 3" xfId="1778"/>
    <cellStyle name="Normal 2 19 11 5 3" xfId="1779"/>
    <cellStyle name="Normal 2 19 11 5 4" xfId="1780"/>
    <cellStyle name="Normal 2 19 11 6" xfId="1781"/>
    <cellStyle name="Normal 2 19 11 6 2" xfId="1782"/>
    <cellStyle name="Normal 2 19 11 6 3" xfId="1783"/>
    <cellStyle name="Normal 2 19 11 7" xfId="1784"/>
    <cellStyle name="Normal 2 19 11 8" xfId="1785"/>
    <cellStyle name="Normal 2 19 12" xfId="1786"/>
    <cellStyle name="Normal 2 19 12 2" xfId="1787"/>
    <cellStyle name="Normal 2 19 12 2 2" xfId="1788"/>
    <cellStyle name="Normal 2 19 12 2 2 2" xfId="1789"/>
    <cellStyle name="Normal 2 19 12 2 2 2 2" xfId="1790"/>
    <cellStyle name="Normal 2 19 12 2 2 2 3" xfId="1791"/>
    <cellStyle name="Normal 2 19 12 2 2 3" xfId="1792"/>
    <cellStyle name="Normal 2 19 12 2 2 4" xfId="1793"/>
    <cellStyle name="Normal 2 19 12 2 3" xfId="1794"/>
    <cellStyle name="Normal 2 19 12 2 3 2" xfId="1795"/>
    <cellStyle name="Normal 2 19 12 2 3 2 2" xfId="1796"/>
    <cellStyle name="Normal 2 19 12 2 3 2 3" xfId="1797"/>
    <cellStyle name="Normal 2 19 12 2 3 3" xfId="1798"/>
    <cellStyle name="Normal 2 19 12 2 3 4" xfId="1799"/>
    <cellStyle name="Normal 2 19 12 2 4" xfId="1800"/>
    <cellStyle name="Normal 2 19 12 2 4 2" xfId="1801"/>
    <cellStyle name="Normal 2 19 12 2 4 3" xfId="1802"/>
    <cellStyle name="Normal 2 19 12 2 5" xfId="1803"/>
    <cellStyle name="Normal 2 19 12 2 6" xfId="1804"/>
    <cellStyle name="Normal 2 19 12 3" xfId="1805"/>
    <cellStyle name="Normal 2 19 12 3 2" xfId="1806"/>
    <cellStyle name="Normal 2 19 12 3 2 2" xfId="1807"/>
    <cellStyle name="Normal 2 19 12 3 2 2 2" xfId="1808"/>
    <cellStyle name="Normal 2 19 12 3 2 2 3" xfId="1809"/>
    <cellStyle name="Normal 2 19 12 3 2 3" xfId="1810"/>
    <cellStyle name="Normal 2 19 12 3 2 4" xfId="1811"/>
    <cellStyle name="Normal 2 19 12 3 3" xfId="1812"/>
    <cellStyle name="Normal 2 19 12 3 3 2" xfId="1813"/>
    <cellStyle name="Normal 2 19 12 3 3 2 2" xfId="1814"/>
    <cellStyle name="Normal 2 19 12 3 3 2 3" xfId="1815"/>
    <cellStyle name="Normal 2 19 12 3 3 3" xfId="1816"/>
    <cellStyle name="Normal 2 19 12 3 3 4" xfId="1817"/>
    <cellStyle name="Normal 2 19 12 3 4" xfId="1818"/>
    <cellStyle name="Normal 2 19 12 3 4 2" xfId="1819"/>
    <cellStyle name="Normal 2 19 12 3 4 3" xfId="1820"/>
    <cellStyle name="Normal 2 19 12 3 5" xfId="1821"/>
    <cellStyle name="Normal 2 19 12 3 6" xfId="1822"/>
    <cellStyle name="Normal 2 19 12 4" xfId="1823"/>
    <cellStyle name="Normal 2 19 12 4 2" xfId="1824"/>
    <cellStyle name="Normal 2 19 12 4 2 2" xfId="1825"/>
    <cellStyle name="Normal 2 19 12 4 2 3" xfId="1826"/>
    <cellStyle name="Normal 2 19 12 4 3" xfId="1827"/>
    <cellStyle name="Normal 2 19 12 4 4" xfId="1828"/>
    <cellStyle name="Normal 2 19 12 5" xfId="1829"/>
    <cellStyle name="Normal 2 19 12 5 2" xfId="1830"/>
    <cellStyle name="Normal 2 19 12 5 2 2" xfId="1831"/>
    <cellStyle name="Normal 2 19 12 5 2 3" xfId="1832"/>
    <cellStyle name="Normal 2 19 12 5 3" xfId="1833"/>
    <cellStyle name="Normal 2 19 12 5 4" xfId="1834"/>
    <cellStyle name="Normal 2 19 12 6" xfId="1835"/>
    <cellStyle name="Normal 2 19 12 6 2" xfId="1836"/>
    <cellStyle name="Normal 2 19 12 6 3" xfId="1837"/>
    <cellStyle name="Normal 2 19 12 7" xfId="1838"/>
    <cellStyle name="Normal 2 19 12 8" xfId="1839"/>
    <cellStyle name="Normal 2 19 13" xfId="1840"/>
    <cellStyle name="Normal 2 19 13 2" xfId="1841"/>
    <cellStyle name="Normal 2 19 13 2 2" xfId="1842"/>
    <cellStyle name="Normal 2 19 13 2 2 2" xfId="1843"/>
    <cellStyle name="Normal 2 19 13 2 2 2 2" xfId="1844"/>
    <cellStyle name="Normal 2 19 13 2 2 2 3" xfId="1845"/>
    <cellStyle name="Normal 2 19 13 2 2 3" xfId="1846"/>
    <cellStyle name="Normal 2 19 13 2 2 4" xfId="1847"/>
    <cellStyle name="Normal 2 19 13 2 3" xfId="1848"/>
    <cellStyle name="Normal 2 19 13 2 3 2" xfId="1849"/>
    <cellStyle name="Normal 2 19 13 2 3 2 2" xfId="1850"/>
    <cellStyle name="Normal 2 19 13 2 3 2 3" xfId="1851"/>
    <cellStyle name="Normal 2 19 13 2 3 3" xfId="1852"/>
    <cellStyle name="Normal 2 19 13 2 3 4" xfId="1853"/>
    <cellStyle name="Normal 2 19 13 2 4" xfId="1854"/>
    <cellStyle name="Normal 2 19 13 2 4 2" xfId="1855"/>
    <cellStyle name="Normal 2 19 13 2 4 3" xfId="1856"/>
    <cellStyle name="Normal 2 19 13 2 5" xfId="1857"/>
    <cellStyle name="Normal 2 19 13 2 6" xfId="1858"/>
    <cellStyle name="Normal 2 19 13 3" xfId="1859"/>
    <cellStyle name="Normal 2 19 13 3 2" xfId="1860"/>
    <cellStyle name="Normal 2 19 13 3 2 2" xfId="1861"/>
    <cellStyle name="Normal 2 19 13 3 2 2 2" xfId="1862"/>
    <cellStyle name="Normal 2 19 13 3 2 2 3" xfId="1863"/>
    <cellStyle name="Normal 2 19 13 3 2 3" xfId="1864"/>
    <cellStyle name="Normal 2 19 13 3 2 4" xfId="1865"/>
    <cellStyle name="Normal 2 19 13 3 3" xfId="1866"/>
    <cellStyle name="Normal 2 19 13 3 3 2" xfId="1867"/>
    <cellStyle name="Normal 2 19 13 3 3 2 2" xfId="1868"/>
    <cellStyle name="Normal 2 19 13 3 3 2 3" xfId="1869"/>
    <cellStyle name="Normal 2 19 13 3 3 3" xfId="1870"/>
    <cellStyle name="Normal 2 19 13 3 3 4" xfId="1871"/>
    <cellStyle name="Normal 2 19 13 3 4" xfId="1872"/>
    <cellStyle name="Normal 2 19 13 3 4 2" xfId="1873"/>
    <cellStyle name="Normal 2 19 13 3 4 3" xfId="1874"/>
    <cellStyle name="Normal 2 19 13 3 5" xfId="1875"/>
    <cellStyle name="Normal 2 19 13 3 6" xfId="1876"/>
    <cellStyle name="Normal 2 19 13 4" xfId="1877"/>
    <cellStyle name="Normal 2 19 13 4 2" xfId="1878"/>
    <cellStyle name="Normal 2 19 13 4 2 2" xfId="1879"/>
    <cellStyle name="Normal 2 19 13 4 2 3" xfId="1880"/>
    <cellStyle name="Normal 2 19 13 4 3" xfId="1881"/>
    <cellStyle name="Normal 2 19 13 4 4" xfId="1882"/>
    <cellStyle name="Normal 2 19 13 5" xfId="1883"/>
    <cellStyle name="Normal 2 19 13 5 2" xfId="1884"/>
    <cellStyle name="Normal 2 19 13 5 2 2" xfId="1885"/>
    <cellStyle name="Normal 2 19 13 5 2 3" xfId="1886"/>
    <cellStyle name="Normal 2 19 13 5 3" xfId="1887"/>
    <cellStyle name="Normal 2 19 13 5 4" xfId="1888"/>
    <cellStyle name="Normal 2 19 13 6" xfId="1889"/>
    <cellStyle name="Normal 2 19 13 6 2" xfId="1890"/>
    <cellStyle name="Normal 2 19 13 6 3" xfId="1891"/>
    <cellStyle name="Normal 2 19 13 7" xfId="1892"/>
    <cellStyle name="Normal 2 19 13 8" xfId="1893"/>
    <cellStyle name="Normal 2 19 14" xfId="1894"/>
    <cellStyle name="Normal 2 19 14 2" xfId="1895"/>
    <cellStyle name="Normal 2 19 14 2 2" xfId="1896"/>
    <cellStyle name="Normal 2 19 14 2 2 2" xfId="1897"/>
    <cellStyle name="Normal 2 19 14 2 2 2 2" xfId="1898"/>
    <cellStyle name="Normal 2 19 14 2 2 2 3" xfId="1899"/>
    <cellStyle name="Normal 2 19 14 2 2 3" xfId="1900"/>
    <cellStyle name="Normal 2 19 14 2 2 4" xfId="1901"/>
    <cellStyle name="Normal 2 19 14 2 3" xfId="1902"/>
    <cellStyle name="Normal 2 19 14 2 3 2" xfId="1903"/>
    <cellStyle name="Normal 2 19 14 2 3 2 2" xfId="1904"/>
    <cellStyle name="Normal 2 19 14 2 3 2 3" xfId="1905"/>
    <cellStyle name="Normal 2 19 14 2 3 3" xfId="1906"/>
    <cellStyle name="Normal 2 19 14 2 3 4" xfId="1907"/>
    <cellStyle name="Normal 2 19 14 2 4" xfId="1908"/>
    <cellStyle name="Normal 2 19 14 2 4 2" xfId="1909"/>
    <cellStyle name="Normal 2 19 14 2 4 3" xfId="1910"/>
    <cellStyle name="Normal 2 19 14 2 5" xfId="1911"/>
    <cellStyle name="Normal 2 19 14 2 6" xfId="1912"/>
    <cellStyle name="Normal 2 19 14 3" xfId="1913"/>
    <cellStyle name="Normal 2 19 14 3 2" xfId="1914"/>
    <cellStyle name="Normal 2 19 14 3 2 2" xfId="1915"/>
    <cellStyle name="Normal 2 19 14 3 2 2 2" xfId="1916"/>
    <cellStyle name="Normal 2 19 14 3 2 2 3" xfId="1917"/>
    <cellStyle name="Normal 2 19 14 3 2 3" xfId="1918"/>
    <cellStyle name="Normal 2 19 14 3 2 4" xfId="1919"/>
    <cellStyle name="Normal 2 19 14 3 3" xfId="1920"/>
    <cellStyle name="Normal 2 19 14 3 3 2" xfId="1921"/>
    <cellStyle name="Normal 2 19 14 3 3 2 2" xfId="1922"/>
    <cellStyle name="Normal 2 19 14 3 3 2 3" xfId="1923"/>
    <cellStyle name="Normal 2 19 14 3 3 3" xfId="1924"/>
    <cellStyle name="Normal 2 19 14 3 3 4" xfId="1925"/>
    <cellStyle name="Normal 2 19 14 3 4" xfId="1926"/>
    <cellStyle name="Normal 2 19 14 3 4 2" xfId="1927"/>
    <cellStyle name="Normal 2 19 14 3 4 3" xfId="1928"/>
    <cellStyle name="Normal 2 19 14 3 5" xfId="1929"/>
    <cellStyle name="Normal 2 19 14 3 6" xfId="1930"/>
    <cellStyle name="Normal 2 19 14 4" xfId="1931"/>
    <cellStyle name="Normal 2 19 14 4 2" xfId="1932"/>
    <cellStyle name="Normal 2 19 14 4 2 2" xfId="1933"/>
    <cellStyle name="Normal 2 19 14 4 2 3" xfId="1934"/>
    <cellStyle name="Normal 2 19 14 4 3" xfId="1935"/>
    <cellStyle name="Normal 2 19 14 4 4" xfId="1936"/>
    <cellStyle name="Normal 2 19 14 5" xfId="1937"/>
    <cellStyle name="Normal 2 19 14 5 2" xfId="1938"/>
    <cellStyle name="Normal 2 19 14 5 2 2" xfId="1939"/>
    <cellStyle name="Normal 2 19 14 5 2 3" xfId="1940"/>
    <cellStyle name="Normal 2 19 14 5 3" xfId="1941"/>
    <cellStyle name="Normal 2 19 14 5 4" xfId="1942"/>
    <cellStyle name="Normal 2 19 14 6" xfId="1943"/>
    <cellStyle name="Normal 2 19 14 6 2" xfId="1944"/>
    <cellStyle name="Normal 2 19 14 6 3" xfId="1945"/>
    <cellStyle name="Normal 2 19 14 7" xfId="1946"/>
    <cellStyle name="Normal 2 19 14 8" xfId="1947"/>
    <cellStyle name="Normal 2 19 15" xfId="1948"/>
    <cellStyle name="Normal 2 19 15 2" xfId="1949"/>
    <cellStyle name="Normal 2 19 15 2 2" xfId="1950"/>
    <cellStyle name="Normal 2 19 15 2 2 2" xfId="1951"/>
    <cellStyle name="Normal 2 19 15 2 2 2 2" xfId="1952"/>
    <cellStyle name="Normal 2 19 15 2 2 2 3" xfId="1953"/>
    <cellStyle name="Normal 2 19 15 2 2 3" xfId="1954"/>
    <cellStyle name="Normal 2 19 15 2 2 4" xfId="1955"/>
    <cellStyle name="Normal 2 19 15 2 3" xfId="1956"/>
    <cellStyle name="Normal 2 19 15 2 3 2" xfId="1957"/>
    <cellStyle name="Normal 2 19 15 2 3 2 2" xfId="1958"/>
    <cellStyle name="Normal 2 19 15 2 3 2 3" xfId="1959"/>
    <cellStyle name="Normal 2 19 15 2 3 3" xfId="1960"/>
    <cellStyle name="Normal 2 19 15 2 3 4" xfId="1961"/>
    <cellStyle name="Normal 2 19 15 2 4" xfId="1962"/>
    <cellStyle name="Normal 2 19 15 2 4 2" xfId="1963"/>
    <cellStyle name="Normal 2 19 15 2 4 3" xfId="1964"/>
    <cellStyle name="Normal 2 19 15 2 5" xfId="1965"/>
    <cellStyle name="Normal 2 19 15 2 6" xfId="1966"/>
    <cellStyle name="Normal 2 19 15 3" xfId="1967"/>
    <cellStyle name="Normal 2 19 15 3 2" xfId="1968"/>
    <cellStyle name="Normal 2 19 15 3 2 2" xfId="1969"/>
    <cellStyle name="Normal 2 19 15 3 2 2 2" xfId="1970"/>
    <cellStyle name="Normal 2 19 15 3 2 2 3" xfId="1971"/>
    <cellStyle name="Normal 2 19 15 3 2 3" xfId="1972"/>
    <cellStyle name="Normal 2 19 15 3 2 4" xfId="1973"/>
    <cellStyle name="Normal 2 19 15 3 3" xfId="1974"/>
    <cellStyle name="Normal 2 19 15 3 3 2" xfId="1975"/>
    <cellStyle name="Normal 2 19 15 3 3 2 2" xfId="1976"/>
    <cellStyle name="Normal 2 19 15 3 3 2 3" xfId="1977"/>
    <cellStyle name="Normal 2 19 15 3 3 3" xfId="1978"/>
    <cellStyle name="Normal 2 19 15 3 3 4" xfId="1979"/>
    <cellStyle name="Normal 2 19 15 3 4" xfId="1980"/>
    <cellStyle name="Normal 2 19 15 3 4 2" xfId="1981"/>
    <cellStyle name="Normal 2 19 15 3 4 3" xfId="1982"/>
    <cellStyle name="Normal 2 19 15 3 5" xfId="1983"/>
    <cellStyle name="Normal 2 19 15 3 6" xfId="1984"/>
    <cellStyle name="Normal 2 19 15 4" xfId="1985"/>
    <cellStyle name="Normal 2 19 15 4 2" xfId="1986"/>
    <cellStyle name="Normal 2 19 15 4 2 2" xfId="1987"/>
    <cellStyle name="Normal 2 19 15 4 2 3" xfId="1988"/>
    <cellStyle name="Normal 2 19 15 4 3" xfId="1989"/>
    <cellStyle name="Normal 2 19 15 4 4" xfId="1990"/>
    <cellStyle name="Normal 2 19 15 5" xfId="1991"/>
    <cellStyle name="Normal 2 19 15 5 2" xfId="1992"/>
    <cellStyle name="Normal 2 19 15 5 2 2" xfId="1993"/>
    <cellStyle name="Normal 2 19 15 5 2 3" xfId="1994"/>
    <cellStyle name="Normal 2 19 15 5 3" xfId="1995"/>
    <cellStyle name="Normal 2 19 15 5 4" xfId="1996"/>
    <cellStyle name="Normal 2 19 15 6" xfId="1997"/>
    <cellStyle name="Normal 2 19 15 6 2" xfId="1998"/>
    <cellStyle name="Normal 2 19 15 6 3" xfId="1999"/>
    <cellStyle name="Normal 2 19 15 7" xfId="2000"/>
    <cellStyle name="Normal 2 19 15 8" xfId="2001"/>
    <cellStyle name="Normal 2 19 16" xfId="2002"/>
    <cellStyle name="Normal 2 19 16 2" xfId="2003"/>
    <cellStyle name="Normal 2 19 16 2 2" xfId="2004"/>
    <cellStyle name="Normal 2 19 16 2 2 2" xfId="2005"/>
    <cellStyle name="Normal 2 19 16 2 2 3" xfId="2006"/>
    <cellStyle name="Normal 2 19 16 2 3" xfId="2007"/>
    <cellStyle name="Normal 2 19 16 2 4" xfId="2008"/>
    <cellStyle name="Normal 2 19 16 3" xfId="2009"/>
    <cellStyle name="Normal 2 19 16 3 2" xfId="2010"/>
    <cellStyle name="Normal 2 19 16 3 2 2" xfId="2011"/>
    <cellStyle name="Normal 2 19 16 3 2 3" xfId="2012"/>
    <cellStyle name="Normal 2 19 16 3 3" xfId="2013"/>
    <cellStyle name="Normal 2 19 16 3 4" xfId="2014"/>
    <cellStyle name="Normal 2 19 16 4" xfId="2015"/>
    <cellStyle name="Normal 2 19 16 4 2" xfId="2016"/>
    <cellStyle name="Normal 2 19 16 4 3" xfId="2017"/>
    <cellStyle name="Normal 2 19 16 5" xfId="2018"/>
    <cellStyle name="Normal 2 19 16 6" xfId="2019"/>
    <cellStyle name="Normal 2 19 17" xfId="2020"/>
    <cellStyle name="Normal 2 19 17 2" xfId="2021"/>
    <cellStyle name="Normal 2 19 17 2 2" xfId="2022"/>
    <cellStyle name="Normal 2 19 17 2 2 2" xfId="2023"/>
    <cellStyle name="Normal 2 19 17 2 2 3" xfId="2024"/>
    <cellStyle name="Normal 2 19 17 2 3" xfId="2025"/>
    <cellStyle name="Normal 2 19 17 2 4" xfId="2026"/>
    <cellStyle name="Normal 2 19 17 3" xfId="2027"/>
    <cellStyle name="Normal 2 19 17 3 2" xfId="2028"/>
    <cellStyle name="Normal 2 19 17 3 2 2" xfId="2029"/>
    <cellStyle name="Normal 2 19 17 3 2 3" xfId="2030"/>
    <cellStyle name="Normal 2 19 17 3 3" xfId="2031"/>
    <cellStyle name="Normal 2 19 17 3 4" xfId="2032"/>
    <cellStyle name="Normal 2 19 17 4" xfId="2033"/>
    <cellStyle name="Normal 2 19 17 4 2" xfId="2034"/>
    <cellStyle name="Normal 2 19 17 4 3" xfId="2035"/>
    <cellStyle name="Normal 2 19 17 5" xfId="2036"/>
    <cellStyle name="Normal 2 19 17 6" xfId="2037"/>
    <cellStyle name="Normal 2 19 18" xfId="2038"/>
    <cellStyle name="Normal 2 19 18 2" xfId="2039"/>
    <cellStyle name="Normal 2 19 18 2 2" xfId="2040"/>
    <cellStyle name="Normal 2 19 18 2 2 2" xfId="2041"/>
    <cellStyle name="Normal 2 19 18 2 2 3" xfId="2042"/>
    <cellStyle name="Normal 2 19 18 2 3" xfId="2043"/>
    <cellStyle name="Normal 2 19 18 2 4" xfId="2044"/>
    <cellStyle name="Normal 2 19 18 3" xfId="2045"/>
    <cellStyle name="Normal 2 19 18 3 2" xfId="2046"/>
    <cellStyle name="Normal 2 19 18 3 2 2" xfId="2047"/>
    <cellStyle name="Normal 2 19 18 3 2 3" xfId="2048"/>
    <cellStyle name="Normal 2 19 18 3 3" xfId="2049"/>
    <cellStyle name="Normal 2 19 18 3 4" xfId="2050"/>
    <cellStyle name="Normal 2 19 18 4" xfId="2051"/>
    <cellStyle name="Normal 2 19 18 4 2" xfId="2052"/>
    <cellStyle name="Normal 2 19 18 4 3" xfId="2053"/>
    <cellStyle name="Normal 2 19 18 5" xfId="2054"/>
    <cellStyle name="Normal 2 19 18 6" xfId="2055"/>
    <cellStyle name="Normal 2 19 19" xfId="2056"/>
    <cellStyle name="Normal 2 19 19 2" xfId="2057"/>
    <cellStyle name="Normal 2 19 19 2 2" xfId="2058"/>
    <cellStyle name="Normal 2 19 19 2 2 2" xfId="2059"/>
    <cellStyle name="Normal 2 19 19 2 2 3" xfId="2060"/>
    <cellStyle name="Normal 2 19 19 2 3" xfId="2061"/>
    <cellStyle name="Normal 2 19 19 2 4" xfId="2062"/>
    <cellStyle name="Normal 2 19 19 3" xfId="2063"/>
    <cellStyle name="Normal 2 19 19 3 2" xfId="2064"/>
    <cellStyle name="Normal 2 19 19 3 2 2" xfId="2065"/>
    <cellStyle name="Normal 2 19 19 3 2 3" xfId="2066"/>
    <cellStyle name="Normal 2 19 19 3 3" xfId="2067"/>
    <cellStyle name="Normal 2 19 19 3 4" xfId="2068"/>
    <cellStyle name="Normal 2 19 19 4" xfId="2069"/>
    <cellStyle name="Normal 2 19 19 4 2" xfId="2070"/>
    <cellStyle name="Normal 2 19 19 4 3" xfId="2071"/>
    <cellStyle name="Normal 2 19 19 5" xfId="2072"/>
    <cellStyle name="Normal 2 19 19 6" xfId="2073"/>
    <cellStyle name="Normal 2 19 2" xfId="2074"/>
    <cellStyle name="Normal 2 19 2 10" xfId="2075"/>
    <cellStyle name="Normal 2 19 2 10 2" xfId="2076"/>
    <cellStyle name="Normal 2 19 2 10 2 2" xfId="2077"/>
    <cellStyle name="Normal 2 19 2 10 2 3" xfId="2078"/>
    <cellStyle name="Normal 2 19 2 10 3" xfId="2079"/>
    <cellStyle name="Normal 2 19 2 10 4" xfId="2080"/>
    <cellStyle name="Normal 2 19 2 11" xfId="2081"/>
    <cellStyle name="Normal 2 19 2 11 2" xfId="2082"/>
    <cellStyle name="Normal 2 19 2 11 2 2" xfId="2083"/>
    <cellStyle name="Normal 2 19 2 11 2 3" xfId="2084"/>
    <cellStyle name="Normal 2 19 2 11 3" xfId="2085"/>
    <cellStyle name="Normal 2 19 2 11 4" xfId="2086"/>
    <cellStyle name="Normal 2 19 2 12" xfId="2087"/>
    <cellStyle name="Normal 2 19 2 12 2" xfId="2088"/>
    <cellStyle name="Normal 2 19 2 12 3" xfId="2089"/>
    <cellStyle name="Normal 2 19 2 13" xfId="2090"/>
    <cellStyle name="Normal 2 19 2 14" xfId="2091"/>
    <cellStyle name="Normal 2 19 2 2" xfId="2092"/>
    <cellStyle name="Normal 2 19 2 2 2" xfId="2093"/>
    <cellStyle name="Normal 2 19 2 2 2 2" xfId="2094"/>
    <cellStyle name="Normal 2 19 2 2 2 2 2" xfId="2095"/>
    <cellStyle name="Normal 2 19 2 2 2 2 3" xfId="2096"/>
    <cellStyle name="Normal 2 19 2 2 2 3" xfId="2097"/>
    <cellStyle name="Normal 2 19 2 2 2 4" xfId="2098"/>
    <cellStyle name="Normal 2 19 2 2 3" xfId="2099"/>
    <cellStyle name="Normal 2 19 2 2 3 2" xfId="2100"/>
    <cellStyle name="Normal 2 19 2 2 3 2 2" xfId="2101"/>
    <cellStyle name="Normal 2 19 2 2 3 2 3" xfId="2102"/>
    <cellStyle name="Normal 2 19 2 2 3 3" xfId="2103"/>
    <cellStyle name="Normal 2 19 2 2 3 4" xfId="2104"/>
    <cellStyle name="Normal 2 19 2 2 4" xfId="2105"/>
    <cellStyle name="Normal 2 19 2 2 4 2" xfId="2106"/>
    <cellStyle name="Normal 2 19 2 2 4 3" xfId="2107"/>
    <cellStyle name="Normal 2 19 2 2 5" xfId="2108"/>
    <cellStyle name="Normal 2 19 2 2 6" xfId="2109"/>
    <cellStyle name="Normal 2 19 2 3" xfId="2110"/>
    <cellStyle name="Normal 2 19 2 3 2" xfId="2111"/>
    <cellStyle name="Normal 2 19 2 3 2 2" xfId="2112"/>
    <cellStyle name="Normal 2 19 2 3 2 2 2" xfId="2113"/>
    <cellStyle name="Normal 2 19 2 3 2 2 3" xfId="2114"/>
    <cellStyle name="Normal 2 19 2 3 2 3" xfId="2115"/>
    <cellStyle name="Normal 2 19 2 3 2 4" xfId="2116"/>
    <cellStyle name="Normal 2 19 2 3 3" xfId="2117"/>
    <cellStyle name="Normal 2 19 2 3 3 2" xfId="2118"/>
    <cellStyle name="Normal 2 19 2 3 3 2 2" xfId="2119"/>
    <cellStyle name="Normal 2 19 2 3 3 2 3" xfId="2120"/>
    <cellStyle name="Normal 2 19 2 3 3 3" xfId="2121"/>
    <cellStyle name="Normal 2 19 2 3 3 4" xfId="2122"/>
    <cellStyle name="Normal 2 19 2 3 4" xfId="2123"/>
    <cellStyle name="Normal 2 19 2 3 4 2" xfId="2124"/>
    <cellStyle name="Normal 2 19 2 3 4 3" xfId="2125"/>
    <cellStyle name="Normal 2 19 2 3 5" xfId="2126"/>
    <cellStyle name="Normal 2 19 2 3 6" xfId="2127"/>
    <cellStyle name="Normal 2 19 2 4" xfId="2128"/>
    <cellStyle name="Normal 2 19 2 4 2" xfId="2129"/>
    <cellStyle name="Normal 2 19 2 4 2 2" xfId="2130"/>
    <cellStyle name="Normal 2 19 2 4 2 2 2" xfId="2131"/>
    <cellStyle name="Normal 2 19 2 4 2 2 3" xfId="2132"/>
    <cellStyle name="Normal 2 19 2 4 2 3" xfId="2133"/>
    <cellStyle name="Normal 2 19 2 4 2 4" xfId="2134"/>
    <cellStyle name="Normal 2 19 2 4 3" xfId="2135"/>
    <cellStyle name="Normal 2 19 2 4 3 2" xfId="2136"/>
    <cellStyle name="Normal 2 19 2 4 3 2 2" xfId="2137"/>
    <cellStyle name="Normal 2 19 2 4 3 2 3" xfId="2138"/>
    <cellStyle name="Normal 2 19 2 4 3 3" xfId="2139"/>
    <cellStyle name="Normal 2 19 2 4 3 4" xfId="2140"/>
    <cellStyle name="Normal 2 19 2 4 4" xfId="2141"/>
    <cellStyle name="Normal 2 19 2 4 4 2" xfId="2142"/>
    <cellStyle name="Normal 2 19 2 4 4 3" xfId="2143"/>
    <cellStyle name="Normal 2 19 2 4 5" xfId="2144"/>
    <cellStyle name="Normal 2 19 2 4 6" xfId="2145"/>
    <cellStyle name="Normal 2 19 2 5" xfId="2146"/>
    <cellStyle name="Normal 2 19 2 5 2" xfId="2147"/>
    <cellStyle name="Normal 2 19 2 5 2 2" xfId="2148"/>
    <cellStyle name="Normal 2 19 2 5 2 2 2" xfId="2149"/>
    <cellStyle name="Normal 2 19 2 5 2 2 3" xfId="2150"/>
    <cellStyle name="Normal 2 19 2 5 2 3" xfId="2151"/>
    <cellStyle name="Normal 2 19 2 5 2 4" xfId="2152"/>
    <cellStyle name="Normal 2 19 2 5 3" xfId="2153"/>
    <cellStyle name="Normal 2 19 2 5 3 2" xfId="2154"/>
    <cellStyle name="Normal 2 19 2 5 3 2 2" xfId="2155"/>
    <cellStyle name="Normal 2 19 2 5 3 2 3" xfId="2156"/>
    <cellStyle name="Normal 2 19 2 5 3 3" xfId="2157"/>
    <cellStyle name="Normal 2 19 2 5 3 4" xfId="2158"/>
    <cellStyle name="Normal 2 19 2 5 4" xfId="2159"/>
    <cellStyle name="Normal 2 19 2 5 4 2" xfId="2160"/>
    <cellStyle name="Normal 2 19 2 5 4 3" xfId="2161"/>
    <cellStyle name="Normal 2 19 2 5 5" xfId="2162"/>
    <cellStyle name="Normal 2 19 2 5 6" xfId="2163"/>
    <cellStyle name="Normal 2 19 2 6" xfId="2164"/>
    <cellStyle name="Normal 2 19 2 6 2" xfId="2165"/>
    <cellStyle name="Normal 2 19 2 6 2 2" xfId="2166"/>
    <cellStyle name="Normal 2 19 2 6 2 2 2" xfId="2167"/>
    <cellStyle name="Normal 2 19 2 6 2 2 3" xfId="2168"/>
    <cellStyle name="Normal 2 19 2 6 2 3" xfId="2169"/>
    <cellStyle name="Normal 2 19 2 6 2 4" xfId="2170"/>
    <cellStyle name="Normal 2 19 2 6 3" xfId="2171"/>
    <cellStyle name="Normal 2 19 2 6 3 2" xfId="2172"/>
    <cellStyle name="Normal 2 19 2 6 3 2 2" xfId="2173"/>
    <cellStyle name="Normal 2 19 2 6 3 2 3" xfId="2174"/>
    <cellStyle name="Normal 2 19 2 6 3 3" xfId="2175"/>
    <cellStyle name="Normal 2 19 2 6 3 4" xfId="2176"/>
    <cellStyle name="Normal 2 19 2 6 4" xfId="2177"/>
    <cellStyle name="Normal 2 19 2 6 4 2" xfId="2178"/>
    <cellStyle name="Normal 2 19 2 6 4 3" xfId="2179"/>
    <cellStyle name="Normal 2 19 2 6 5" xfId="2180"/>
    <cellStyle name="Normal 2 19 2 6 6" xfId="2181"/>
    <cellStyle name="Normal 2 19 2 7" xfId="2182"/>
    <cellStyle name="Normal 2 19 2 7 2" xfId="2183"/>
    <cellStyle name="Normal 2 19 2 7 2 2" xfId="2184"/>
    <cellStyle name="Normal 2 19 2 7 2 2 2" xfId="2185"/>
    <cellStyle name="Normal 2 19 2 7 2 2 3" xfId="2186"/>
    <cellStyle name="Normal 2 19 2 7 2 3" xfId="2187"/>
    <cellStyle name="Normal 2 19 2 7 2 4" xfId="2188"/>
    <cellStyle name="Normal 2 19 2 7 3" xfId="2189"/>
    <cellStyle name="Normal 2 19 2 7 3 2" xfId="2190"/>
    <cellStyle name="Normal 2 19 2 7 3 2 2" xfId="2191"/>
    <cellStyle name="Normal 2 19 2 7 3 2 3" xfId="2192"/>
    <cellStyle name="Normal 2 19 2 7 3 3" xfId="2193"/>
    <cellStyle name="Normal 2 19 2 7 3 4" xfId="2194"/>
    <cellStyle name="Normal 2 19 2 7 4" xfId="2195"/>
    <cellStyle name="Normal 2 19 2 7 4 2" xfId="2196"/>
    <cellStyle name="Normal 2 19 2 7 4 3" xfId="2197"/>
    <cellStyle name="Normal 2 19 2 7 5" xfId="2198"/>
    <cellStyle name="Normal 2 19 2 7 6" xfId="2199"/>
    <cellStyle name="Normal 2 19 2 8" xfId="2200"/>
    <cellStyle name="Normal 2 19 2 8 2" xfId="2201"/>
    <cellStyle name="Normal 2 19 2 8 2 2" xfId="2202"/>
    <cellStyle name="Normal 2 19 2 8 2 2 2" xfId="2203"/>
    <cellStyle name="Normal 2 19 2 8 2 2 3" xfId="2204"/>
    <cellStyle name="Normal 2 19 2 8 2 3" xfId="2205"/>
    <cellStyle name="Normal 2 19 2 8 2 4" xfId="2206"/>
    <cellStyle name="Normal 2 19 2 8 3" xfId="2207"/>
    <cellStyle name="Normal 2 19 2 8 3 2" xfId="2208"/>
    <cellStyle name="Normal 2 19 2 8 3 2 2" xfId="2209"/>
    <cellStyle name="Normal 2 19 2 8 3 2 3" xfId="2210"/>
    <cellStyle name="Normal 2 19 2 8 3 3" xfId="2211"/>
    <cellStyle name="Normal 2 19 2 8 3 4" xfId="2212"/>
    <cellStyle name="Normal 2 19 2 8 4" xfId="2213"/>
    <cellStyle name="Normal 2 19 2 8 4 2" xfId="2214"/>
    <cellStyle name="Normal 2 19 2 8 4 3" xfId="2215"/>
    <cellStyle name="Normal 2 19 2 8 5" xfId="2216"/>
    <cellStyle name="Normal 2 19 2 8 6" xfId="2217"/>
    <cellStyle name="Normal 2 19 2 9" xfId="2218"/>
    <cellStyle name="Normal 2 19 2 9 2" xfId="2219"/>
    <cellStyle name="Normal 2 19 2 9 2 2" xfId="2220"/>
    <cellStyle name="Normal 2 19 2 9 2 2 2" xfId="2221"/>
    <cellStyle name="Normal 2 19 2 9 2 2 3" xfId="2222"/>
    <cellStyle name="Normal 2 19 2 9 2 3" xfId="2223"/>
    <cellStyle name="Normal 2 19 2 9 2 4" xfId="2224"/>
    <cellStyle name="Normal 2 19 2 9 3" xfId="2225"/>
    <cellStyle name="Normal 2 19 2 9 3 2" xfId="2226"/>
    <cellStyle name="Normal 2 19 2 9 3 2 2" xfId="2227"/>
    <cellStyle name="Normal 2 19 2 9 3 2 3" xfId="2228"/>
    <cellStyle name="Normal 2 19 2 9 3 3" xfId="2229"/>
    <cellStyle name="Normal 2 19 2 9 3 4" xfId="2230"/>
    <cellStyle name="Normal 2 19 2 9 4" xfId="2231"/>
    <cellStyle name="Normal 2 19 2 9 4 2" xfId="2232"/>
    <cellStyle name="Normal 2 19 2 9 4 3" xfId="2233"/>
    <cellStyle name="Normal 2 19 2 9 5" xfId="2234"/>
    <cellStyle name="Normal 2 19 2 9 6" xfId="2235"/>
    <cellStyle name="Normal 2 19 20" xfId="2236"/>
    <cellStyle name="Normal 2 19 20 2" xfId="2237"/>
    <cellStyle name="Normal 2 19 20 2 2" xfId="2238"/>
    <cellStyle name="Normal 2 19 20 2 2 2" xfId="2239"/>
    <cellStyle name="Normal 2 19 20 2 2 3" xfId="2240"/>
    <cellStyle name="Normal 2 19 20 2 3" xfId="2241"/>
    <cellStyle name="Normal 2 19 20 2 4" xfId="2242"/>
    <cellStyle name="Normal 2 19 20 3" xfId="2243"/>
    <cellStyle name="Normal 2 19 20 3 2" xfId="2244"/>
    <cellStyle name="Normal 2 19 20 3 2 2" xfId="2245"/>
    <cellStyle name="Normal 2 19 20 3 2 3" xfId="2246"/>
    <cellStyle name="Normal 2 19 20 3 3" xfId="2247"/>
    <cellStyle name="Normal 2 19 20 3 4" xfId="2248"/>
    <cellStyle name="Normal 2 19 20 4" xfId="2249"/>
    <cellStyle name="Normal 2 19 20 4 2" xfId="2250"/>
    <cellStyle name="Normal 2 19 20 4 3" xfId="2251"/>
    <cellStyle name="Normal 2 19 20 5" xfId="2252"/>
    <cellStyle name="Normal 2 19 20 6" xfId="2253"/>
    <cellStyle name="Normal 2 19 21" xfId="2254"/>
    <cellStyle name="Normal 2 19 21 2" xfId="2255"/>
    <cellStyle name="Normal 2 19 21 2 2" xfId="2256"/>
    <cellStyle name="Normal 2 19 21 2 2 2" xfId="2257"/>
    <cellStyle name="Normal 2 19 21 2 2 3" xfId="2258"/>
    <cellStyle name="Normal 2 19 21 2 3" xfId="2259"/>
    <cellStyle name="Normal 2 19 21 2 4" xfId="2260"/>
    <cellStyle name="Normal 2 19 21 3" xfId="2261"/>
    <cellStyle name="Normal 2 19 21 3 2" xfId="2262"/>
    <cellStyle name="Normal 2 19 21 3 2 2" xfId="2263"/>
    <cellStyle name="Normal 2 19 21 3 2 3" xfId="2264"/>
    <cellStyle name="Normal 2 19 21 3 3" xfId="2265"/>
    <cellStyle name="Normal 2 19 21 3 4" xfId="2266"/>
    <cellStyle name="Normal 2 19 21 4" xfId="2267"/>
    <cellStyle name="Normal 2 19 21 4 2" xfId="2268"/>
    <cellStyle name="Normal 2 19 21 4 3" xfId="2269"/>
    <cellStyle name="Normal 2 19 21 5" xfId="2270"/>
    <cellStyle name="Normal 2 19 21 6" xfId="2271"/>
    <cellStyle name="Normal 2 19 22" xfId="2272"/>
    <cellStyle name="Normal 2 19 22 2" xfId="2273"/>
    <cellStyle name="Normal 2 19 22 2 2" xfId="2274"/>
    <cellStyle name="Normal 2 19 22 2 3" xfId="2275"/>
    <cellStyle name="Normal 2 19 22 3" xfId="2276"/>
    <cellStyle name="Normal 2 19 22 4" xfId="2277"/>
    <cellStyle name="Normal 2 19 23" xfId="2278"/>
    <cellStyle name="Normal 2 19 23 2" xfId="2279"/>
    <cellStyle name="Normal 2 19 23 2 2" xfId="2280"/>
    <cellStyle name="Normal 2 19 23 2 3" xfId="2281"/>
    <cellStyle name="Normal 2 19 23 3" xfId="2282"/>
    <cellStyle name="Normal 2 19 23 4" xfId="2283"/>
    <cellStyle name="Normal 2 19 24" xfId="2284"/>
    <cellStyle name="Normal 2 19 24 2" xfId="2285"/>
    <cellStyle name="Normal 2 19 24 3" xfId="2286"/>
    <cellStyle name="Normal 2 19 25" xfId="2287"/>
    <cellStyle name="Normal 2 19 26" xfId="2288"/>
    <cellStyle name="Normal 2 19 3" xfId="2289"/>
    <cellStyle name="Normal 2 19 3 10" xfId="2290"/>
    <cellStyle name="Normal 2 19 3 10 2" xfId="2291"/>
    <cellStyle name="Normal 2 19 3 10 2 2" xfId="2292"/>
    <cellStyle name="Normal 2 19 3 10 2 3" xfId="2293"/>
    <cellStyle name="Normal 2 19 3 10 3" xfId="2294"/>
    <cellStyle name="Normal 2 19 3 10 4" xfId="2295"/>
    <cellStyle name="Normal 2 19 3 11" xfId="2296"/>
    <cellStyle name="Normal 2 19 3 11 2" xfId="2297"/>
    <cellStyle name="Normal 2 19 3 11 3" xfId="2298"/>
    <cellStyle name="Normal 2 19 3 12" xfId="2299"/>
    <cellStyle name="Normal 2 19 3 13" xfId="2300"/>
    <cellStyle name="Normal 2 19 3 2" xfId="2301"/>
    <cellStyle name="Normal 2 19 3 2 2" xfId="2302"/>
    <cellStyle name="Normal 2 19 3 2 2 2" xfId="2303"/>
    <cellStyle name="Normal 2 19 3 2 2 2 2" xfId="2304"/>
    <cellStyle name="Normal 2 19 3 2 2 2 3" xfId="2305"/>
    <cellStyle name="Normal 2 19 3 2 2 3" xfId="2306"/>
    <cellStyle name="Normal 2 19 3 2 2 4" xfId="2307"/>
    <cellStyle name="Normal 2 19 3 2 3" xfId="2308"/>
    <cellStyle name="Normal 2 19 3 2 3 2" xfId="2309"/>
    <cellStyle name="Normal 2 19 3 2 3 2 2" xfId="2310"/>
    <cellStyle name="Normal 2 19 3 2 3 2 3" xfId="2311"/>
    <cellStyle name="Normal 2 19 3 2 3 3" xfId="2312"/>
    <cellStyle name="Normal 2 19 3 2 3 4" xfId="2313"/>
    <cellStyle name="Normal 2 19 3 2 4" xfId="2314"/>
    <cellStyle name="Normal 2 19 3 2 4 2" xfId="2315"/>
    <cellStyle name="Normal 2 19 3 2 4 3" xfId="2316"/>
    <cellStyle name="Normal 2 19 3 2 5" xfId="2317"/>
    <cellStyle name="Normal 2 19 3 2 6" xfId="2318"/>
    <cellStyle name="Normal 2 19 3 3" xfId="2319"/>
    <cellStyle name="Normal 2 19 3 3 2" xfId="2320"/>
    <cellStyle name="Normal 2 19 3 3 2 2" xfId="2321"/>
    <cellStyle name="Normal 2 19 3 3 2 2 2" xfId="2322"/>
    <cellStyle name="Normal 2 19 3 3 2 2 3" xfId="2323"/>
    <cellStyle name="Normal 2 19 3 3 2 3" xfId="2324"/>
    <cellStyle name="Normal 2 19 3 3 2 4" xfId="2325"/>
    <cellStyle name="Normal 2 19 3 3 3" xfId="2326"/>
    <cellStyle name="Normal 2 19 3 3 3 2" xfId="2327"/>
    <cellStyle name="Normal 2 19 3 3 3 2 2" xfId="2328"/>
    <cellStyle name="Normal 2 19 3 3 3 2 3" xfId="2329"/>
    <cellStyle name="Normal 2 19 3 3 3 3" xfId="2330"/>
    <cellStyle name="Normal 2 19 3 3 3 4" xfId="2331"/>
    <cellStyle name="Normal 2 19 3 3 4" xfId="2332"/>
    <cellStyle name="Normal 2 19 3 3 4 2" xfId="2333"/>
    <cellStyle name="Normal 2 19 3 3 4 3" xfId="2334"/>
    <cellStyle name="Normal 2 19 3 3 5" xfId="2335"/>
    <cellStyle name="Normal 2 19 3 3 6" xfId="2336"/>
    <cellStyle name="Normal 2 19 3 4" xfId="2337"/>
    <cellStyle name="Normal 2 19 3 4 2" xfId="2338"/>
    <cellStyle name="Normal 2 19 3 4 2 2" xfId="2339"/>
    <cellStyle name="Normal 2 19 3 4 2 2 2" xfId="2340"/>
    <cellStyle name="Normal 2 19 3 4 2 2 3" xfId="2341"/>
    <cellStyle name="Normal 2 19 3 4 2 3" xfId="2342"/>
    <cellStyle name="Normal 2 19 3 4 2 4" xfId="2343"/>
    <cellStyle name="Normal 2 19 3 4 3" xfId="2344"/>
    <cellStyle name="Normal 2 19 3 4 3 2" xfId="2345"/>
    <cellStyle name="Normal 2 19 3 4 3 2 2" xfId="2346"/>
    <cellStyle name="Normal 2 19 3 4 3 2 3" xfId="2347"/>
    <cellStyle name="Normal 2 19 3 4 3 3" xfId="2348"/>
    <cellStyle name="Normal 2 19 3 4 3 4" xfId="2349"/>
    <cellStyle name="Normal 2 19 3 4 4" xfId="2350"/>
    <cellStyle name="Normal 2 19 3 4 4 2" xfId="2351"/>
    <cellStyle name="Normal 2 19 3 4 4 3" xfId="2352"/>
    <cellStyle name="Normal 2 19 3 4 5" xfId="2353"/>
    <cellStyle name="Normal 2 19 3 4 6" xfId="2354"/>
    <cellStyle name="Normal 2 19 3 5" xfId="2355"/>
    <cellStyle name="Normal 2 19 3 5 2" xfId="2356"/>
    <cellStyle name="Normal 2 19 3 5 2 2" xfId="2357"/>
    <cellStyle name="Normal 2 19 3 5 2 2 2" xfId="2358"/>
    <cellStyle name="Normal 2 19 3 5 2 2 3" xfId="2359"/>
    <cellStyle name="Normal 2 19 3 5 2 3" xfId="2360"/>
    <cellStyle name="Normal 2 19 3 5 2 4" xfId="2361"/>
    <cellStyle name="Normal 2 19 3 5 3" xfId="2362"/>
    <cellStyle name="Normal 2 19 3 5 3 2" xfId="2363"/>
    <cellStyle name="Normal 2 19 3 5 3 2 2" xfId="2364"/>
    <cellStyle name="Normal 2 19 3 5 3 2 3" xfId="2365"/>
    <cellStyle name="Normal 2 19 3 5 3 3" xfId="2366"/>
    <cellStyle name="Normal 2 19 3 5 3 4" xfId="2367"/>
    <cellStyle name="Normal 2 19 3 5 4" xfId="2368"/>
    <cellStyle name="Normal 2 19 3 5 4 2" xfId="2369"/>
    <cellStyle name="Normal 2 19 3 5 4 3" xfId="2370"/>
    <cellStyle name="Normal 2 19 3 5 5" xfId="2371"/>
    <cellStyle name="Normal 2 19 3 5 6" xfId="2372"/>
    <cellStyle name="Normal 2 19 3 6" xfId="2373"/>
    <cellStyle name="Normal 2 19 3 6 2" xfId="2374"/>
    <cellStyle name="Normal 2 19 3 6 2 2" xfId="2375"/>
    <cellStyle name="Normal 2 19 3 6 2 2 2" xfId="2376"/>
    <cellStyle name="Normal 2 19 3 6 2 2 3" xfId="2377"/>
    <cellStyle name="Normal 2 19 3 6 2 3" xfId="2378"/>
    <cellStyle name="Normal 2 19 3 6 2 4" xfId="2379"/>
    <cellStyle name="Normal 2 19 3 6 3" xfId="2380"/>
    <cellStyle name="Normal 2 19 3 6 3 2" xfId="2381"/>
    <cellStyle name="Normal 2 19 3 6 3 2 2" xfId="2382"/>
    <cellStyle name="Normal 2 19 3 6 3 2 3" xfId="2383"/>
    <cellStyle name="Normal 2 19 3 6 3 3" xfId="2384"/>
    <cellStyle name="Normal 2 19 3 6 3 4" xfId="2385"/>
    <cellStyle name="Normal 2 19 3 6 4" xfId="2386"/>
    <cellStyle name="Normal 2 19 3 6 4 2" xfId="2387"/>
    <cellStyle name="Normal 2 19 3 6 4 3" xfId="2388"/>
    <cellStyle name="Normal 2 19 3 6 5" xfId="2389"/>
    <cellStyle name="Normal 2 19 3 6 6" xfId="2390"/>
    <cellStyle name="Normal 2 19 3 7" xfId="2391"/>
    <cellStyle name="Normal 2 19 3 7 2" xfId="2392"/>
    <cellStyle name="Normal 2 19 3 7 2 2" xfId="2393"/>
    <cellStyle name="Normal 2 19 3 7 2 2 2" xfId="2394"/>
    <cellStyle name="Normal 2 19 3 7 2 2 3" xfId="2395"/>
    <cellStyle name="Normal 2 19 3 7 2 3" xfId="2396"/>
    <cellStyle name="Normal 2 19 3 7 2 4" xfId="2397"/>
    <cellStyle name="Normal 2 19 3 7 3" xfId="2398"/>
    <cellStyle name="Normal 2 19 3 7 3 2" xfId="2399"/>
    <cellStyle name="Normal 2 19 3 7 3 2 2" xfId="2400"/>
    <cellStyle name="Normal 2 19 3 7 3 2 3" xfId="2401"/>
    <cellStyle name="Normal 2 19 3 7 3 3" xfId="2402"/>
    <cellStyle name="Normal 2 19 3 7 3 4" xfId="2403"/>
    <cellStyle name="Normal 2 19 3 7 4" xfId="2404"/>
    <cellStyle name="Normal 2 19 3 7 4 2" xfId="2405"/>
    <cellStyle name="Normal 2 19 3 7 4 3" xfId="2406"/>
    <cellStyle name="Normal 2 19 3 7 5" xfId="2407"/>
    <cellStyle name="Normal 2 19 3 7 6" xfId="2408"/>
    <cellStyle name="Normal 2 19 3 8" xfId="2409"/>
    <cellStyle name="Normal 2 19 3 8 2" xfId="2410"/>
    <cellStyle name="Normal 2 19 3 8 2 2" xfId="2411"/>
    <cellStyle name="Normal 2 19 3 8 2 2 2" xfId="2412"/>
    <cellStyle name="Normal 2 19 3 8 2 2 3" xfId="2413"/>
    <cellStyle name="Normal 2 19 3 8 2 3" xfId="2414"/>
    <cellStyle name="Normal 2 19 3 8 2 4" xfId="2415"/>
    <cellStyle name="Normal 2 19 3 8 3" xfId="2416"/>
    <cellStyle name="Normal 2 19 3 8 3 2" xfId="2417"/>
    <cellStyle name="Normal 2 19 3 8 3 2 2" xfId="2418"/>
    <cellStyle name="Normal 2 19 3 8 3 2 3" xfId="2419"/>
    <cellStyle name="Normal 2 19 3 8 3 3" xfId="2420"/>
    <cellStyle name="Normal 2 19 3 8 3 4" xfId="2421"/>
    <cellStyle name="Normal 2 19 3 8 4" xfId="2422"/>
    <cellStyle name="Normal 2 19 3 8 4 2" xfId="2423"/>
    <cellStyle name="Normal 2 19 3 8 4 3" xfId="2424"/>
    <cellStyle name="Normal 2 19 3 8 5" xfId="2425"/>
    <cellStyle name="Normal 2 19 3 8 6" xfId="2426"/>
    <cellStyle name="Normal 2 19 3 9" xfId="2427"/>
    <cellStyle name="Normal 2 19 3 9 2" xfId="2428"/>
    <cellStyle name="Normal 2 19 3 9 2 2" xfId="2429"/>
    <cellStyle name="Normal 2 19 3 9 2 3" xfId="2430"/>
    <cellStyle name="Normal 2 19 3 9 3" xfId="2431"/>
    <cellStyle name="Normal 2 19 3 9 4" xfId="2432"/>
    <cellStyle name="Normal 2 19 4" xfId="2433"/>
    <cellStyle name="Normal 2 19 4 10" xfId="2434"/>
    <cellStyle name="Normal 2 19 4 10 2" xfId="2435"/>
    <cellStyle name="Normal 2 19 4 10 2 2" xfId="2436"/>
    <cellStyle name="Normal 2 19 4 10 2 3" xfId="2437"/>
    <cellStyle name="Normal 2 19 4 10 3" xfId="2438"/>
    <cellStyle name="Normal 2 19 4 10 4" xfId="2439"/>
    <cellStyle name="Normal 2 19 4 11" xfId="2440"/>
    <cellStyle name="Normal 2 19 4 11 2" xfId="2441"/>
    <cellStyle name="Normal 2 19 4 11 3" xfId="2442"/>
    <cellStyle name="Normal 2 19 4 12" xfId="2443"/>
    <cellStyle name="Normal 2 19 4 13" xfId="2444"/>
    <cellStyle name="Normal 2 19 4 2" xfId="2445"/>
    <cellStyle name="Normal 2 19 4 2 2" xfId="2446"/>
    <cellStyle name="Normal 2 19 4 2 2 2" xfId="2447"/>
    <cellStyle name="Normal 2 19 4 2 2 2 2" xfId="2448"/>
    <cellStyle name="Normal 2 19 4 2 2 2 3" xfId="2449"/>
    <cellStyle name="Normal 2 19 4 2 2 3" xfId="2450"/>
    <cellStyle name="Normal 2 19 4 2 2 4" xfId="2451"/>
    <cellStyle name="Normal 2 19 4 2 3" xfId="2452"/>
    <cellStyle name="Normal 2 19 4 2 3 2" xfId="2453"/>
    <cellStyle name="Normal 2 19 4 2 3 2 2" xfId="2454"/>
    <cellStyle name="Normal 2 19 4 2 3 2 3" xfId="2455"/>
    <cellStyle name="Normal 2 19 4 2 3 3" xfId="2456"/>
    <cellStyle name="Normal 2 19 4 2 3 4" xfId="2457"/>
    <cellStyle name="Normal 2 19 4 2 4" xfId="2458"/>
    <cellStyle name="Normal 2 19 4 2 4 2" xfId="2459"/>
    <cellStyle name="Normal 2 19 4 2 4 3" xfId="2460"/>
    <cellStyle name="Normal 2 19 4 2 5" xfId="2461"/>
    <cellStyle name="Normal 2 19 4 2 6" xfId="2462"/>
    <cellStyle name="Normal 2 19 4 3" xfId="2463"/>
    <cellStyle name="Normal 2 19 4 3 2" xfId="2464"/>
    <cellStyle name="Normal 2 19 4 3 2 2" xfId="2465"/>
    <cellStyle name="Normal 2 19 4 3 2 2 2" xfId="2466"/>
    <cellStyle name="Normal 2 19 4 3 2 2 3" xfId="2467"/>
    <cellStyle name="Normal 2 19 4 3 2 3" xfId="2468"/>
    <cellStyle name="Normal 2 19 4 3 2 4" xfId="2469"/>
    <cellStyle name="Normal 2 19 4 3 3" xfId="2470"/>
    <cellStyle name="Normal 2 19 4 3 3 2" xfId="2471"/>
    <cellStyle name="Normal 2 19 4 3 3 2 2" xfId="2472"/>
    <cellStyle name="Normal 2 19 4 3 3 2 3" xfId="2473"/>
    <cellStyle name="Normal 2 19 4 3 3 3" xfId="2474"/>
    <cellStyle name="Normal 2 19 4 3 3 4" xfId="2475"/>
    <cellStyle name="Normal 2 19 4 3 4" xfId="2476"/>
    <cellStyle name="Normal 2 19 4 3 4 2" xfId="2477"/>
    <cellStyle name="Normal 2 19 4 3 4 3" xfId="2478"/>
    <cellStyle name="Normal 2 19 4 3 5" xfId="2479"/>
    <cellStyle name="Normal 2 19 4 3 6" xfId="2480"/>
    <cellStyle name="Normal 2 19 4 4" xfId="2481"/>
    <cellStyle name="Normal 2 19 4 4 2" xfId="2482"/>
    <cellStyle name="Normal 2 19 4 4 2 2" xfId="2483"/>
    <cellStyle name="Normal 2 19 4 4 2 2 2" xfId="2484"/>
    <cellStyle name="Normal 2 19 4 4 2 2 3" xfId="2485"/>
    <cellStyle name="Normal 2 19 4 4 2 3" xfId="2486"/>
    <cellStyle name="Normal 2 19 4 4 2 4" xfId="2487"/>
    <cellStyle name="Normal 2 19 4 4 3" xfId="2488"/>
    <cellStyle name="Normal 2 19 4 4 3 2" xfId="2489"/>
    <cellStyle name="Normal 2 19 4 4 3 2 2" xfId="2490"/>
    <cellStyle name="Normal 2 19 4 4 3 2 3" xfId="2491"/>
    <cellStyle name="Normal 2 19 4 4 3 3" xfId="2492"/>
    <cellStyle name="Normal 2 19 4 4 3 4" xfId="2493"/>
    <cellStyle name="Normal 2 19 4 4 4" xfId="2494"/>
    <cellStyle name="Normal 2 19 4 4 4 2" xfId="2495"/>
    <cellStyle name="Normal 2 19 4 4 4 3" xfId="2496"/>
    <cellStyle name="Normal 2 19 4 4 5" xfId="2497"/>
    <cellStyle name="Normal 2 19 4 4 6" xfId="2498"/>
    <cellStyle name="Normal 2 19 4 5" xfId="2499"/>
    <cellStyle name="Normal 2 19 4 5 2" xfId="2500"/>
    <cellStyle name="Normal 2 19 4 5 2 2" xfId="2501"/>
    <cellStyle name="Normal 2 19 4 5 2 2 2" xfId="2502"/>
    <cellStyle name="Normal 2 19 4 5 2 2 3" xfId="2503"/>
    <cellStyle name="Normal 2 19 4 5 2 3" xfId="2504"/>
    <cellStyle name="Normal 2 19 4 5 2 4" xfId="2505"/>
    <cellStyle name="Normal 2 19 4 5 3" xfId="2506"/>
    <cellStyle name="Normal 2 19 4 5 3 2" xfId="2507"/>
    <cellStyle name="Normal 2 19 4 5 3 2 2" xfId="2508"/>
    <cellStyle name="Normal 2 19 4 5 3 2 3" xfId="2509"/>
    <cellStyle name="Normal 2 19 4 5 3 3" xfId="2510"/>
    <cellStyle name="Normal 2 19 4 5 3 4" xfId="2511"/>
    <cellStyle name="Normal 2 19 4 5 4" xfId="2512"/>
    <cellStyle name="Normal 2 19 4 5 4 2" xfId="2513"/>
    <cellStyle name="Normal 2 19 4 5 4 3" xfId="2514"/>
    <cellStyle name="Normal 2 19 4 5 5" xfId="2515"/>
    <cellStyle name="Normal 2 19 4 5 6" xfId="2516"/>
    <cellStyle name="Normal 2 19 4 6" xfId="2517"/>
    <cellStyle name="Normal 2 19 4 6 2" xfId="2518"/>
    <cellStyle name="Normal 2 19 4 6 2 2" xfId="2519"/>
    <cellStyle name="Normal 2 19 4 6 2 2 2" xfId="2520"/>
    <cellStyle name="Normal 2 19 4 6 2 2 3" xfId="2521"/>
    <cellStyle name="Normal 2 19 4 6 2 3" xfId="2522"/>
    <cellStyle name="Normal 2 19 4 6 2 4" xfId="2523"/>
    <cellStyle name="Normal 2 19 4 6 3" xfId="2524"/>
    <cellStyle name="Normal 2 19 4 6 3 2" xfId="2525"/>
    <cellStyle name="Normal 2 19 4 6 3 2 2" xfId="2526"/>
    <cellStyle name="Normal 2 19 4 6 3 2 3" xfId="2527"/>
    <cellStyle name="Normal 2 19 4 6 3 3" xfId="2528"/>
    <cellStyle name="Normal 2 19 4 6 3 4" xfId="2529"/>
    <cellStyle name="Normal 2 19 4 6 4" xfId="2530"/>
    <cellStyle name="Normal 2 19 4 6 4 2" xfId="2531"/>
    <cellStyle name="Normal 2 19 4 6 4 3" xfId="2532"/>
    <cellStyle name="Normal 2 19 4 6 5" xfId="2533"/>
    <cellStyle name="Normal 2 19 4 6 6" xfId="2534"/>
    <cellStyle name="Normal 2 19 4 7" xfId="2535"/>
    <cellStyle name="Normal 2 19 4 7 2" xfId="2536"/>
    <cellStyle name="Normal 2 19 4 7 2 2" xfId="2537"/>
    <cellStyle name="Normal 2 19 4 7 2 2 2" xfId="2538"/>
    <cellStyle name="Normal 2 19 4 7 2 2 3" xfId="2539"/>
    <cellStyle name="Normal 2 19 4 7 2 3" xfId="2540"/>
    <cellStyle name="Normal 2 19 4 7 2 4" xfId="2541"/>
    <cellStyle name="Normal 2 19 4 7 3" xfId="2542"/>
    <cellStyle name="Normal 2 19 4 7 3 2" xfId="2543"/>
    <cellStyle name="Normal 2 19 4 7 3 2 2" xfId="2544"/>
    <cellStyle name="Normal 2 19 4 7 3 2 3" xfId="2545"/>
    <cellStyle name="Normal 2 19 4 7 3 3" xfId="2546"/>
    <cellStyle name="Normal 2 19 4 7 3 4" xfId="2547"/>
    <cellStyle name="Normal 2 19 4 7 4" xfId="2548"/>
    <cellStyle name="Normal 2 19 4 7 4 2" xfId="2549"/>
    <cellStyle name="Normal 2 19 4 7 4 3" xfId="2550"/>
    <cellStyle name="Normal 2 19 4 7 5" xfId="2551"/>
    <cellStyle name="Normal 2 19 4 7 6" xfId="2552"/>
    <cellStyle name="Normal 2 19 4 8" xfId="2553"/>
    <cellStyle name="Normal 2 19 4 8 2" xfId="2554"/>
    <cellStyle name="Normal 2 19 4 8 2 2" xfId="2555"/>
    <cellStyle name="Normal 2 19 4 8 2 2 2" xfId="2556"/>
    <cellStyle name="Normal 2 19 4 8 2 2 3" xfId="2557"/>
    <cellStyle name="Normal 2 19 4 8 2 3" xfId="2558"/>
    <cellStyle name="Normal 2 19 4 8 2 4" xfId="2559"/>
    <cellStyle name="Normal 2 19 4 8 3" xfId="2560"/>
    <cellStyle name="Normal 2 19 4 8 3 2" xfId="2561"/>
    <cellStyle name="Normal 2 19 4 8 3 2 2" xfId="2562"/>
    <cellStyle name="Normal 2 19 4 8 3 2 3" xfId="2563"/>
    <cellStyle name="Normal 2 19 4 8 3 3" xfId="2564"/>
    <cellStyle name="Normal 2 19 4 8 3 4" xfId="2565"/>
    <cellStyle name="Normal 2 19 4 8 4" xfId="2566"/>
    <cellStyle name="Normal 2 19 4 8 4 2" xfId="2567"/>
    <cellStyle name="Normal 2 19 4 8 4 3" xfId="2568"/>
    <cellStyle name="Normal 2 19 4 8 5" xfId="2569"/>
    <cellStyle name="Normal 2 19 4 8 6" xfId="2570"/>
    <cellStyle name="Normal 2 19 4 9" xfId="2571"/>
    <cellStyle name="Normal 2 19 4 9 2" xfId="2572"/>
    <cellStyle name="Normal 2 19 4 9 2 2" xfId="2573"/>
    <cellStyle name="Normal 2 19 4 9 2 3" xfId="2574"/>
    <cellStyle name="Normal 2 19 4 9 3" xfId="2575"/>
    <cellStyle name="Normal 2 19 4 9 4" xfId="2576"/>
    <cellStyle name="Normal 2 19 5" xfId="2577"/>
    <cellStyle name="Normal 2 19 5 2" xfId="2578"/>
    <cellStyle name="Normal 2 19 5 2 2" xfId="2579"/>
    <cellStyle name="Normal 2 19 5 2 2 2" xfId="2580"/>
    <cellStyle name="Normal 2 19 5 2 2 2 2" xfId="2581"/>
    <cellStyle name="Normal 2 19 5 2 2 2 3" xfId="2582"/>
    <cellStyle name="Normal 2 19 5 2 2 3" xfId="2583"/>
    <cellStyle name="Normal 2 19 5 2 2 4" xfId="2584"/>
    <cellStyle name="Normal 2 19 5 2 3" xfId="2585"/>
    <cellStyle name="Normal 2 19 5 2 3 2" xfId="2586"/>
    <cellStyle name="Normal 2 19 5 2 3 2 2" xfId="2587"/>
    <cellStyle name="Normal 2 19 5 2 3 2 3" xfId="2588"/>
    <cellStyle name="Normal 2 19 5 2 3 3" xfId="2589"/>
    <cellStyle name="Normal 2 19 5 2 3 4" xfId="2590"/>
    <cellStyle name="Normal 2 19 5 2 4" xfId="2591"/>
    <cellStyle name="Normal 2 19 5 2 4 2" xfId="2592"/>
    <cellStyle name="Normal 2 19 5 2 4 3" xfId="2593"/>
    <cellStyle name="Normal 2 19 5 2 5" xfId="2594"/>
    <cellStyle name="Normal 2 19 5 2 6" xfId="2595"/>
    <cellStyle name="Normal 2 19 5 3" xfId="2596"/>
    <cellStyle name="Normal 2 19 5 3 2" xfId="2597"/>
    <cellStyle name="Normal 2 19 5 3 2 2" xfId="2598"/>
    <cellStyle name="Normal 2 19 5 3 2 2 2" xfId="2599"/>
    <cellStyle name="Normal 2 19 5 3 2 2 3" xfId="2600"/>
    <cellStyle name="Normal 2 19 5 3 2 3" xfId="2601"/>
    <cellStyle name="Normal 2 19 5 3 2 4" xfId="2602"/>
    <cellStyle name="Normal 2 19 5 3 3" xfId="2603"/>
    <cellStyle name="Normal 2 19 5 3 3 2" xfId="2604"/>
    <cellStyle name="Normal 2 19 5 3 3 2 2" xfId="2605"/>
    <cellStyle name="Normal 2 19 5 3 3 2 3" xfId="2606"/>
    <cellStyle name="Normal 2 19 5 3 3 3" xfId="2607"/>
    <cellStyle name="Normal 2 19 5 3 3 4" xfId="2608"/>
    <cellStyle name="Normal 2 19 5 3 4" xfId="2609"/>
    <cellStyle name="Normal 2 19 5 3 4 2" xfId="2610"/>
    <cellStyle name="Normal 2 19 5 3 4 3" xfId="2611"/>
    <cellStyle name="Normal 2 19 5 3 5" xfId="2612"/>
    <cellStyle name="Normal 2 19 5 3 6" xfId="2613"/>
    <cellStyle name="Normal 2 19 5 4" xfId="2614"/>
    <cellStyle name="Normal 2 19 5 4 2" xfId="2615"/>
    <cellStyle name="Normal 2 19 5 4 2 2" xfId="2616"/>
    <cellStyle name="Normal 2 19 5 4 2 3" xfId="2617"/>
    <cellStyle name="Normal 2 19 5 4 3" xfId="2618"/>
    <cellStyle name="Normal 2 19 5 4 4" xfId="2619"/>
    <cellStyle name="Normal 2 19 5 5" xfId="2620"/>
    <cellStyle name="Normal 2 19 5 5 2" xfId="2621"/>
    <cellStyle name="Normal 2 19 5 5 2 2" xfId="2622"/>
    <cellStyle name="Normal 2 19 5 5 2 3" xfId="2623"/>
    <cellStyle name="Normal 2 19 5 5 3" xfId="2624"/>
    <cellStyle name="Normal 2 19 5 5 4" xfId="2625"/>
    <cellStyle name="Normal 2 19 5 6" xfId="2626"/>
    <cellStyle name="Normal 2 19 5 6 2" xfId="2627"/>
    <cellStyle name="Normal 2 19 5 6 3" xfId="2628"/>
    <cellStyle name="Normal 2 19 5 7" xfId="2629"/>
    <cellStyle name="Normal 2 19 5 8" xfId="2630"/>
    <cellStyle name="Normal 2 19 6" xfId="2631"/>
    <cellStyle name="Normal 2 19 6 2" xfId="2632"/>
    <cellStyle name="Normal 2 19 6 2 2" xfId="2633"/>
    <cellStyle name="Normal 2 19 6 2 2 2" xfId="2634"/>
    <cellStyle name="Normal 2 19 6 2 2 2 2" xfId="2635"/>
    <cellStyle name="Normal 2 19 6 2 2 2 3" xfId="2636"/>
    <cellStyle name="Normal 2 19 6 2 2 3" xfId="2637"/>
    <cellStyle name="Normal 2 19 6 2 2 4" xfId="2638"/>
    <cellStyle name="Normal 2 19 6 2 3" xfId="2639"/>
    <cellStyle name="Normal 2 19 6 2 3 2" xfId="2640"/>
    <cellStyle name="Normal 2 19 6 2 3 2 2" xfId="2641"/>
    <cellStyle name="Normal 2 19 6 2 3 2 3" xfId="2642"/>
    <cellStyle name="Normal 2 19 6 2 3 3" xfId="2643"/>
    <cellStyle name="Normal 2 19 6 2 3 4" xfId="2644"/>
    <cellStyle name="Normal 2 19 6 2 4" xfId="2645"/>
    <cellStyle name="Normal 2 19 6 2 4 2" xfId="2646"/>
    <cellStyle name="Normal 2 19 6 2 4 3" xfId="2647"/>
    <cellStyle name="Normal 2 19 6 2 5" xfId="2648"/>
    <cellStyle name="Normal 2 19 6 2 6" xfId="2649"/>
    <cellStyle name="Normal 2 19 6 3" xfId="2650"/>
    <cellStyle name="Normal 2 19 6 3 2" xfId="2651"/>
    <cellStyle name="Normal 2 19 6 3 2 2" xfId="2652"/>
    <cellStyle name="Normal 2 19 6 3 2 2 2" xfId="2653"/>
    <cellStyle name="Normal 2 19 6 3 2 2 3" xfId="2654"/>
    <cellStyle name="Normal 2 19 6 3 2 3" xfId="2655"/>
    <cellStyle name="Normal 2 19 6 3 2 4" xfId="2656"/>
    <cellStyle name="Normal 2 19 6 3 3" xfId="2657"/>
    <cellStyle name="Normal 2 19 6 3 3 2" xfId="2658"/>
    <cellStyle name="Normal 2 19 6 3 3 2 2" xfId="2659"/>
    <cellStyle name="Normal 2 19 6 3 3 2 3" xfId="2660"/>
    <cellStyle name="Normal 2 19 6 3 3 3" xfId="2661"/>
    <cellStyle name="Normal 2 19 6 3 3 4" xfId="2662"/>
    <cellStyle name="Normal 2 19 6 3 4" xfId="2663"/>
    <cellStyle name="Normal 2 19 6 3 4 2" xfId="2664"/>
    <cellStyle name="Normal 2 19 6 3 4 3" xfId="2665"/>
    <cellStyle name="Normal 2 19 6 3 5" xfId="2666"/>
    <cellStyle name="Normal 2 19 6 3 6" xfId="2667"/>
    <cellStyle name="Normal 2 19 6 4" xfId="2668"/>
    <cellStyle name="Normal 2 19 6 4 2" xfId="2669"/>
    <cellStyle name="Normal 2 19 6 4 2 2" xfId="2670"/>
    <cellStyle name="Normal 2 19 6 4 2 3" xfId="2671"/>
    <cellStyle name="Normal 2 19 6 4 3" xfId="2672"/>
    <cellStyle name="Normal 2 19 6 4 4" xfId="2673"/>
    <cellStyle name="Normal 2 19 6 5" xfId="2674"/>
    <cellStyle name="Normal 2 19 6 5 2" xfId="2675"/>
    <cellStyle name="Normal 2 19 6 5 2 2" xfId="2676"/>
    <cellStyle name="Normal 2 19 6 5 2 3" xfId="2677"/>
    <cellStyle name="Normal 2 19 6 5 3" xfId="2678"/>
    <cellStyle name="Normal 2 19 6 5 4" xfId="2679"/>
    <cellStyle name="Normal 2 19 6 6" xfId="2680"/>
    <cellStyle name="Normal 2 19 6 6 2" xfId="2681"/>
    <cellStyle name="Normal 2 19 6 6 3" xfId="2682"/>
    <cellStyle name="Normal 2 19 6 7" xfId="2683"/>
    <cellStyle name="Normal 2 19 6 8" xfId="2684"/>
    <cellStyle name="Normal 2 19 7" xfId="2685"/>
    <cellStyle name="Normal 2 19 7 2" xfId="2686"/>
    <cellStyle name="Normal 2 19 7 2 2" xfId="2687"/>
    <cellStyle name="Normal 2 19 7 2 2 2" xfId="2688"/>
    <cellStyle name="Normal 2 19 7 2 2 2 2" xfId="2689"/>
    <cellStyle name="Normal 2 19 7 2 2 2 3" xfId="2690"/>
    <cellStyle name="Normal 2 19 7 2 2 3" xfId="2691"/>
    <cellStyle name="Normal 2 19 7 2 2 4" xfId="2692"/>
    <cellStyle name="Normal 2 19 7 2 3" xfId="2693"/>
    <cellStyle name="Normal 2 19 7 2 3 2" xfId="2694"/>
    <cellStyle name="Normal 2 19 7 2 3 2 2" xfId="2695"/>
    <cellStyle name="Normal 2 19 7 2 3 2 3" xfId="2696"/>
    <cellStyle name="Normal 2 19 7 2 3 3" xfId="2697"/>
    <cellStyle name="Normal 2 19 7 2 3 4" xfId="2698"/>
    <cellStyle name="Normal 2 19 7 2 4" xfId="2699"/>
    <cellStyle name="Normal 2 19 7 2 4 2" xfId="2700"/>
    <cellStyle name="Normal 2 19 7 2 4 3" xfId="2701"/>
    <cellStyle name="Normal 2 19 7 2 5" xfId="2702"/>
    <cellStyle name="Normal 2 19 7 2 6" xfId="2703"/>
    <cellStyle name="Normal 2 19 7 3" xfId="2704"/>
    <cellStyle name="Normal 2 19 7 3 2" xfId="2705"/>
    <cellStyle name="Normal 2 19 7 3 2 2" xfId="2706"/>
    <cellStyle name="Normal 2 19 7 3 2 2 2" xfId="2707"/>
    <cellStyle name="Normal 2 19 7 3 2 2 3" xfId="2708"/>
    <cellStyle name="Normal 2 19 7 3 2 3" xfId="2709"/>
    <cellStyle name="Normal 2 19 7 3 2 4" xfId="2710"/>
    <cellStyle name="Normal 2 19 7 3 3" xfId="2711"/>
    <cellStyle name="Normal 2 19 7 3 3 2" xfId="2712"/>
    <cellStyle name="Normal 2 19 7 3 3 2 2" xfId="2713"/>
    <cellStyle name="Normal 2 19 7 3 3 2 3" xfId="2714"/>
    <cellStyle name="Normal 2 19 7 3 3 3" xfId="2715"/>
    <cellStyle name="Normal 2 19 7 3 3 4" xfId="2716"/>
    <cellStyle name="Normal 2 19 7 3 4" xfId="2717"/>
    <cellStyle name="Normal 2 19 7 3 4 2" xfId="2718"/>
    <cellStyle name="Normal 2 19 7 3 4 3" xfId="2719"/>
    <cellStyle name="Normal 2 19 7 3 5" xfId="2720"/>
    <cellStyle name="Normal 2 19 7 3 6" xfId="2721"/>
    <cellStyle name="Normal 2 19 7 4" xfId="2722"/>
    <cellStyle name="Normal 2 19 7 4 2" xfId="2723"/>
    <cellStyle name="Normal 2 19 7 4 2 2" xfId="2724"/>
    <cellStyle name="Normal 2 19 7 4 2 3" xfId="2725"/>
    <cellStyle name="Normal 2 19 7 4 3" xfId="2726"/>
    <cellStyle name="Normal 2 19 7 4 4" xfId="2727"/>
    <cellStyle name="Normal 2 19 7 5" xfId="2728"/>
    <cellStyle name="Normal 2 19 7 5 2" xfId="2729"/>
    <cellStyle name="Normal 2 19 7 5 2 2" xfId="2730"/>
    <cellStyle name="Normal 2 19 7 5 2 3" xfId="2731"/>
    <cellStyle name="Normal 2 19 7 5 3" xfId="2732"/>
    <cellStyle name="Normal 2 19 7 5 4" xfId="2733"/>
    <cellStyle name="Normal 2 19 7 6" xfId="2734"/>
    <cellStyle name="Normal 2 19 7 6 2" xfId="2735"/>
    <cellStyle name="Normal 2 19 7 6 3" xfId="2736"/>
    <cellStyle name="Normal 2 19 7 7" xfId="2737"/>
    <cellStyle name="Normal 2 19 7 8" xfId="2738"/>
    <cellStyle name="Normal 2 19 8" xfId="2739"/>
    <cellStyle name="Normal 2 19 8 2" xfId="2740"/>
    <cellStyle name="Normal 2 19 8 2 2" xfId="2741"/>
    <cellStyle name="Normal 2 19 8 2 2 2" xfId="2742"/>
    <cellStyle name="Normal 2 19 8 2 2 2 2" xfId="2743"/>
    <cellStyle name="Normal 2 19 8 2 2 2 3" xfId="2744"/>
    <cellStyle name="Normal 2 19 8 2 2 3" xfId="2745"/>
    <cellStyle name="Normal 2 19 8 2 2 4" xfId="2746"/>
    <cellStyle name="Normal 2 19 8 2 3" xfId="2747"/>
    <cellStyle name="Normal 2 19 8 2 3 2" xfId="2748"/>
    <cellStyle name="Normal 2 19 8 2 3 2 2" xfId="2749"/>
    <cellStyle name="Normal 2 19 8 2 3 2 3" xfId="2750"/>
    <cellStyle name="Normal 2 19 8 2 3 3" xfId="2751"/>
    <cellStyle name="Normal 2 19 8 2 3 4" xfId="2752"/>
    <cellStyle name="Normal 2 19 8 2 4" xfId="2753"/>
    <cellStyle name="Normal 2 19 8 2 4 2" xfId="2754"/>
    <cellStyle name="Normal 2 19 8 2 4 3" xfId="2755"/>
    <cellStyle name="Normal 2 19 8 2 5" xfId="2756"/>
    <cellStyle name="Normal 2 19 8 2 6" xfId="2757"/>
    <cellStyle name="Normal 2 19 8 3" xfId="2758"/>
    <cellStyle name="Normal 2 19 8 3 2" xfId="2759"/>
    <cellStyle name="Normal 2 19 8 3 2 2" xfId="2760"/>
    <cellStyle name="Normal 2 19 8 3 2 2 2" xfId="2761"/>
    <cellStyle name="Normal 2 19 8 3 2 2 3" xfId="2762"/>
    <cellStyle name="Normal 2 19 8 3 2 3" xfId="2763"/>
    <cellStyle name="Normal 2 19 8 3 2 4" xfId="2764"/>
    <cellStyle name="Normal 2 19 8 3 3" xfId="2765"/>
    <cellStyle name="Normal 2 19 8 3 3 2" xfId="2766"/>
    <cellStyle name="Normal 2 19 8 3 3 2 2" xfId="2767"/>
    <cellStyle name="Normal 2 19 8 3 3 2 3" xfId="2768"/>
    <cellStyle name="Normal 2 19 8 3 3 3" xfId="2769"/>
    <cellStyle name="Normal 2 19 8 3 3 4" xfId="2770"/>
    <cellStyle name="Normal 2 19 8 3 4" xfId="2771"/>
    <cellStyle name="Normal 2 19 8 3 4 2" xfId="2772"/>
    <cellStyle name="Normal 2 19 8 3 4 3" xfId="2773"/>
    <cellStyle name="Normal 2 19 8 3 5" xfId="2774"/>
    <cellStyle name="Normal 2 19 8 3 6" xfId="2775"/>
    <cellStyle name="Normal 2 19 8 4" xfId="2776"/>
    <cellStyle name="Normal 2 19 8 4 2" xfId="2777"/>
    <cellStyle name="Normal 2 19 8 4 2 2" xfId="2778"/>
    <cellStyle name="Normal 2 19 8 4 2 3" xfId="2779"/>
    <cellStyle name="Normal 2 19 8 4 3" xfId="2780"/>
    <cellStyle name="Normal 2 19 8 4 4" xfId="2781"/>
    <cellStyle name="Normal 2 19 8 5" xfId="2782"/>
    <cellStyle name="Normal 2 19 8 5 2" xfId="2783"/>
    <cellStyle name="Normal 2 19 8 5 2 2" xfId="2784"/>
    <cellStyle name="Normal 2 19 8 5 2 3" xfId="2785"/>
    <cellStyle name="Normal 2 19 8 5 3" xfId="2786"/>
    <cellStyle name="Normal 2 19 8 5 4" xfId="2787"/>
    <cellStyle name="Normal 2 19 8 6" xfId="2788"/>
    <cellStyle name="Normal 2 19 8 6 2" xfId="2789"/>
    <cellStyle name="Normal 2 19 8 6 3" xfId="2790"/>
    <cellStyle name="Normal 2 19 8 7" xfId="2791"/>
    <cellStyle name="Normal 2 19 8 8" xfId="2792"/>
    <cellStyle name="Normal 2 19 9" xfId="2793"/>
    <cellStyle name="Normal 2 19 9 2" xfId="2794"/>
    <cellStyle name="Normal 2 19 9 2 2" xfId="2795"/>
    <cellStyle name="Normal 2 19 9 2 2 2" xfId="2796"/>
    <cellStyle name="Normal 2 19 9 2 2 2 2" xfId="2797"/>
    <cellStyle name="Normal 2 19 9 2 2 2 3" xfId="2798"/>
    <cellStyle name="Normal 2 19 9 2 2 3" xfId="2799"/>
    <cellStyle name="Normal 2 19 9 2 2 4" xfId="2800"/>
    <cellStyle name="Normal 2 19 9 2 3" xfId="2801"/>
    <cellStyle name="Normal 2 19 9 2 3 2" xfId="2802"/>
    <cellStyle name="Normal 2 19 9 2 3 2 2" xfId="2803"/>
    <cellStyle name="Normal 2 19 9 2 3 2 3" xfId="2804"/>
    <cellStyle name="Normal 2 19 9 2 3 3" xfId="2805"/>
    <cellStyle name="Normal 2 19 9 2 3 4" xfId="2806"/>
    <cellStyle name="Normal 2 19 9 2 4" xfId="2807"/>
    <cellStyle name="Normal 2 19 9 2 4 2" xfId="2808"/>
    <cellStyle name="Normal 2 19 9 2 4 3" xfId="2809"/>
    <cellStyle name="Normal 2 19 9 2 5" xfId="2810"/>
    <cellStyle name="Normal 2 19 9 2 6" xfId="2811"/>
    <cellStyle name="Normal 2 19 9 3" xfId="2812"/>
    <cellStyle name="Normal 2 19 9 3 2" xfId="2813"/>
    <cellStyle name="Normal 2 19 9 3 2 2" xfId="2814"/>
    <cellStyle name="Normal 2 19 9 3 2 2 2" xfId="2815"/>
    <cellStyle name="Normal 2 19 9 3 2 2 3" xfId="2816"/>
    <cellStyle name="Normal 2 19 9 3 2 3" xfId="2817"/>
    <cellStyle name="Normal 2 19 9 3 2 4" xfId="2818"/>
    <cellStyle name="Normal 2 19 9 3 3" xfId="2819"/>
    <cellStyle name="Normal 2 19 9 3 3 2" xfId="2820"/>
    <cellStyle name="Normal 2 19 9 3 3 2 2" xfId="2821"/>
    <cellStyle name="Normal 2 19 9 3 3 2 3" xfId="2822"/>
    <cellStyle name="Normal 2 19 9 3 3 3" xfId="2823"/>
    <cellStyle name="Normal 2 19 9 3 3 4" xfId="2824"/>
    <cellStyle name="Normal 2 19 9 3 4" xfId="2825"/>
    <cellStyle name="Normal 2 19 9 3 4 2" xfId="2826"/>
    <cellStyle name="Normal 2 19 9 3 4 3" xfId="2827"/>
    <cellStyle name="Normal 2 19 9 3 5" xfId="2828"/>
    <cellStyle name="Normal 2 19 9 3 6" xfId="2829"/>
    <cellStyle name="Normal 2 19 9 4" xfId="2830"/>
    <cellStyle name="Normal 2 19 9 4 2" xfId="2831"/>
    <cellStyle name="Normal 2 19 9 4 2 2" xfId="2832"/>
    <cellStyle name="Normal 2 19 9 4 2 3" xfId="2833"/>
    <cellStyle name="Normal 2 19 9 4 3" xfId="2834"/>
    <cellStyle name="Normal 2 19 9 4 4" xfId="2835"/>
    <cellStyle name="Normal 2 19 9 5" xfId="2836"/>
    <cellStyle name="Normal 2 19 9 5 2" xfId="2837"/>
    <cellStyle name="Normal 2 19 9 5 2 2" xfId="2838"/>
    <cellStyle name="Normal 2 19 9 5 2 3" xfId="2839"/>
    <cellStyle name="Normal 2 19 9 5 3" xfId="2840"/>
    <cellStyle name="Normal 2 19 9 5 4" xfId="2841"/>
    <cellStyle name="Normal 2 19 9 6" xfId="2842"/>
    <cellStyle name="Normal 2 19 9 6 2" xfId="2843"/>
    <cellStyle name="Normal 2 19 9 6 3" xfId="2844"/>
    <cellStyle name="Normal 2 19 9 7" xfId="2845"/>
    <cellStyle name="Normal 2 19 9 8" xfId="2846"/>
    <cellStyle name="Normal 2 2" xfId="2847"/>
    <cellStyle name="Normal 2 2 2" xfId="4216"/>
    <cellStyle name="Normal 2 2 3" xfId="4215"/>
    <cellStyle name="Normal 2 20" xfId="2848"/>
    <cellStyle name="Normal 2 20 10" xfId="2849"/>
    <cellStyle name="Normal 2 20 10 2" xfId="2850"/>
    <cellStyle name="Normal 2 20 10 2 2" xfId="2851"/>
    <cellStyle name="Normal 2 20 10 2 2 2" xfId="2852"/>
    <cellStyle name="Normal 2 20 10 2 2 2 2" xfId="2853"/>
    <cellStyle name="Normal 2 20 10 2 2 2 3" xfId="2854"/>
    <cellStyle name="Normal 2 20 10 2 2 3" xfId="2855"/>
    <cellStyle name="Normal 2 20 10 2 2 4" xfId="2856"/>
    <cellStyle name="Normal 2 20 10 2 3" xfId="2857"/>
    <cellStyle name="Normal 2 20 10 2 3 2" xfId="2858"/>
    <cellStyle name="Normal 2 20 10 2 3 2 2" xfId="2859"/>
    <cellStyle name="Normal 2 20 10 2 3 2 3" xfId="2860"/>
    <cellStyle name="Normal 2 20 10 2 3 3" xfId="2861"/>
    <cellStyle name="Normal 2 20 10 2 3 4" xfId="2862"/>
    <cellStyle name="Normal 2 20 10 2 4" xfId="2863"/>
    <cellStyle name="Normal 2 20 10 2 4 2" xfId="2864"/>
    <cellStyle name="Normal 2 20 10 2 4 3" xfId="2865"/>
    <cellStyle name="Normal 2 20 10 2 5" xfId="2866"/>
    <cellStyle name="Normal 2 20 10 2 6" xfId="2867"/>
    <cellStyle name="Normal 2 20 10 3" xfId="2868"/>
    <cellStyle name="Normal 2 20 10 3 2" xfId="2869"/>
    <cellStyle name="Normal 2 20 10 3 2 2" xfId="2870"/>
    <cellStyle name="Normal 2 20 10 3 2 2 2" xfId="2871"/>
    <cellStyle name="Normal 2 20 10 3 2 2 3" xfId="2872"/>
    <cellStyle name="Normal 2 20 10 3 2 3" xfId="2873"/>
    <cellStyle name="Normal 2 20 10 3 2 4" xfId="2874"/>
    <cellStyle name="Normal 2 20 10 3 3" xfId="2875"/>
    <cellStyle name="Normal 2 20 10 3 3 2" xfId="2876"/>
    <cellStyle name="Normal 2 20 10 3 3 2 2" xfId="2877"/>
    <cellStyle name="Normal 2 20 10 3 3 2 3" xfId="2878"/>
    <cellStyle name="Normal 2 20 10 3 3 3" xfId="2879"/>
    <cellStyle name="Normal 2 20 10 3 3 4" xfId="2880"/>
    <cellStyle name="Normal 2 20 10 3 4" xfId="2881"/>
    <cellStyle name="Normal 2 20 10 3 4 2" xfId="2882"/>
    <cellStyle name="Normal 2 20 10 3 4 3" xfId="2883"/>
    <cellStyle name="Normal 2 20 10 3 5" xfId="2884"/>
    <cellStyle name="Normal 2 20 10 3 6" xfId="2885"/>
    <cellStyle name="Normal 2 20 10 4" xfId="2886"/>
    <cellStyle name="Normal 2 20 10 4 2" xfId="2887"/>
    <cellStyle name="Normal 2 20 10 4 2 2" xfId="2888"/>
    <cellStyle name="Normal 2 20 10 4 2 3" xfId="2889"/>
    <cellStyle name="Normal 2 20 10 4 3" xfId="2890"/>
    <cellStyle name="Normal 2 20 10 4 4" xfId="2891"/>
    <cellStyle name="Normal 2 20 10 5" xfId="2892"/>
    <cellStyle name="Normal 2 20 10 5 2" xfId="2893"/>
    <cellStyle name="Normal 2 20 10 5 2 2" xfId="2894"/>
    <cellStyle name="Normal 2 20 10 5 2 3" xfId="2895"/>
    <cellStyle name="Normal 2 20 10 5 3" xfId="2896"/>
    <cellStyle name="Normal 2 20 10 5 4" xfId="2897"/>
    <cellStyle name="Normal 2 20 10 6" xfId="2898"/>
    <cellStyle name="Normal 2 20 10 6 2" xfId="2899"/>
    <cellStyle name="Normal 2 20 10 6 3" xfId="2900"/>
    <cellStyle name="Normal 2 20 10 7" xfId="2901"/>
    <cellStyle name="Normal 2 20 10 8" xfId="2902"/>
    <cellStyle name="Normal 2 20 11" xfId="2903"/>
    <cellStyle name="Normal 2 20 11 2" xfId="2904"/>
    <cellStyle name="Normal 2 20 11 2 2" xfId="2905"/>
    <cellStyle name="Normal 2 20 11 2 2 2" xfId="2906"/>
    <cellStyle name="Normal 2 20 11 2 2 2 2" xfId="2907"/>
    <cellStyle name="Normal 2 20 11 2 2 2 3" xfId="2908"/>
    <cellStyle name="Normal 2 20 11 2 2 3" xfId="2909"/>
    <cellStyle name="Normal 2 20 11 2 2 4" xfId="2910"/>
    <cellStyle name="Normal 2 20 11 2 3" xfId="2911"/>
    <cellStyle name="Normal 2 20 11 2 3 2" xfId="2912"/>
    <cellStyle name="Normal 2 20 11 2 3 2 2" xfId="2913"/>
    <cellStyle name="Normal 2 20 11 2 3 2 3" xfId="2914"/>
    <cellStyle name="Normal 2 20 11 2 3 3" xfId="2915"/>
    <cellStyle name="Normal 2 20 11 2 3 4" xfId="2916"/>
    <cellStyle name="Normal 2 20 11 2 4" xfId="2917"/>
    <cellStyle name="Normal 2 20 11 2 4 2" xfId="2918"/>
    <cellStyle name="Normal 2 20 11 2 4 3" xfId="2919"/>
    <cellStyle name="Normal 2 20 11 2 5" xfId="2920"/>
    <cellStyle name="Normal 2 20 11 2 6" xfId="2921"/>
    <cellStyle name="Normal 2 20 11 3" xfId="2922"/>
    <cellStyle name="Normal 2 20 11 3 2" xfId="2923"/>
    <cellStyle name="Normal 2 20 11 3 2 2" xfId="2924"/>
    <cellStyle name="Normal 2 20 11 3 2 2 2" xfId="2925"/>
    <cellStyle name="Normal 2 20 11 3 2 2 3" xfId="2926"/>
    <cellStyle name="Normal 2 20 11 3 2 3" xfId="2927"/>
    <cellStyle name="Normal 2 20 11 3 2 4" xfId="2928"/>
    <cellStyle name="Normal 2 20 11 3 3" xfId="2929"/>
    <cellStyle name="Normal 2 20 11 3 3 2" xfId="2930"/>
    <cellStyle name="Normal 2 20 11 3 3 2 2" xfId="2931"/>
    <cellStyle name="Normal 2 20 11 3 3 2 3" xfId="2932"/>
    <cellStyle name="Normal 2 20 11 3 3 3" xfId="2933"/>
    <cellStyle name="Normal 2 20 11 3 3 4" xfId="2934"/>
    <cellStyle name="Normal 2 20 11 3 4" xfId="2935"/>
    <cellStyle name="Normal 2 20 11 3 4 2" xfId="2936"/>
    <cellStyle name="Normal 2 20 11 3 4 3" xfId="2937"/>
    <cellStyle name="Normal 2 20 11 3 5" xfId="2938"/>
    <cellStyle name="Normal 2 20 11 3 6" xfId="2939"/>
    <cellStyle name="Normal 2 20 11 4" xfId="2940"/>
    <cellStyle name="Normal 2 20 11 4 2" xfId="2941"/>
    <cellStyle name="Normal 2 20 11 4 2 2" xfId="2942"/>
    <cellStyle name="Normal 2 20 11 4 2 3" xfId="2943"/>
    <cellStyle name="Normal 2 20 11 4 3" xfId="2944"/>
    <cellStyle name="Normal 2 20 11 4 4" xfId="2945"/>
    <cellStyle name="Normal 2 20 11 5" xfId="2946"/>
    <cellStyle name="Normal 2 20 11 5 2" xfId="2947"/>
    <cellStyle name="Normal 2 20 11 5 2 2" xfId="2948"/>
    <cellStyle name="Normal 2 20 11 5 2 3" xfId="2949"/>
    <cellStyle name="Normal 2 20 11 5 3" xfId="2950"/>
    <cellStyle name="Normal 2 20 11 5 4" xfId="2951"/>
    <cellStyle name="Normal 2 20 11 6" xfId="2952"/>
    <cellStyle name="Normal 2 20 11 6 2" xfId="2953"/>
    <cellStyle name="Normal 2 20 11 6 3" xfId="2954"/>
    <cellStyle name="Normal 2 20 11 7" xfId="2955"/>
    <cellStyle name="Normal 2 20 11 8" xfId="2956"/>
    <cellStyle name="Normal 2 20 12" xfId="2957"/>
    <cellStyle name="Normal 2 20 12 2" xfId="2958"/>
    <cellStyle name="Normal 2 20 12 2 2" xfId="2959"/>
    <cellStyle name="Normal 2 20 12 2 2 2" xfId="2960"/>
    <cellStyle name="Normal 2 20 12 2 2 2 2" xfId="2961"/>
    <cellStyle name="Normal 2 20 12 2 2 2 3" xfId="2962"/>
    <cellStyle name="Normal 2 20 12 2 2 3" xfId="2963"/>
    <cellStyle name="Normal 2 20 12 2 2 4" xfId="2964"/>
    <cellStyle name="Normal 2 20 12 2 3" xfId="2965"/>
    <cellStyle name="Normal 2 20 12 2 3 2" xfId="2966"/>
    <cellStyle name="Normal 2 20 12 2 3 2 2" xfId="2967"/>
    <cellStyle name="Normal 2 20 12 2 3 2 3" xfId="2968"/>
    <cellStyle name="Normal 2 20 12 2 3 3" xfId="2969"/>
    <cellStyle name="Normal 2 20 12 2 3 4" xfId="2970"/>
    <cellStyle name="Normal 2 20 12 2 4" xfId="2971"/>
    <cellStyle name="Normal 2 20 12 2 4 2" xfId="2972"/>
    <cellStyle name="Normal 2 20 12 2 4 3" xfId="2973"/>
    <cellStyle name="Normal 2 20 12 2 5" xfId="2974"/>
    <cellStyle name="Normal 2 20 12 2 6" xfId="2975"/>
    <cellStyle name="Normal 2 20 12 3" xfId="2976"/>
    <cellStyle name="Normal 2 20 12 3 2" xfId="2977"/>
    <cellStyle name="Normal 2 20 12 3 2 2" xfId="2978"/>
    <cellStyle name="Normal 2 20 12 3 2 2 2" xfId="2979"/>
    <cellStyle name="Normal 2 20 12 3 2 2 3" xfId="2980"/>
    <cellStyle name="Normal 2 20 12 3 2 3" xfId="2981"/>
    <cellStyle name="Normal 2 20 12 3 2 4" xfId="2982"/>
    <cellStyle name="Normal 2 20 12 3 3" xfId="2983"/>
    <cellStyle name="Normal 2 20 12 3 3 2" xfId="2984"/>
    <cellStyle name="Normal 2 20 12 3 3 2 2" xfId="2985"/>
    <cellStyle name="Normal 2 20 12 3 3 2 3" xfId="2986"/>
    <cellStyle name="Normal 2 20 12 3 3 3" xfId="2987"/>
    <cellStyle name="Normal 2 20 12 3 3 4" xfId="2988"/>
    <cellStyle name="Normal 2 20 12 3 4" xfId="2989"/>
    <cellStyle name="Normal 2 20 12 3 4 2" xfId="2990"/>
    <cellStyle name="Normal 2 20 12 3 4 3" xfId="2991"/>
    <cellStyle name="Normal 2 20 12 3 5" xfId="2992"/>
    <cellStyle name="Normal 2 20 12 3 6" xfId="2993"/>
    <cellStyle name="Normal 2 20 12 4" xfId="2994"/>
    <cellStyle name="Normal 2 20 12 4 2" xfId="2995"/>
    <cellStyle name="Normal 2 20 12 4 2 2" xfId="2996"/>
    <cellStyle name="Normal 2 20 12 4 2 3" xfId="2997"/>
    <cellStyle name="Normal 2 20 12 4 3" xfId="2998"/>
    <cellStyle name="Normal 2 20 12 4 4" xfId="2999"/>
    <cellStyle name="Normal 2 20 12 5" xfId="3000"/>
    <cellStyle name="Normal 2 20 12 5 2" xfId="3001"/>
    <cellStyle name="Normal 2 20 12 5 2 2" xfId="3002"/>
    <cellStyle name="Normal 2 20 12 5 2 3" xfId="3003"/>
    <cellStyle name="Normal 2 20 12 5 3" xfId="3004"/>
    <cellStyle name="Normal 2 20 12 5 4" xfId="3005"/>
    <cellStyle name="Normal 2 20 12 6" xfId="3006"/>
    <cellStyle name="Normal 2 20 12 6 2" xfId="3007"/>
    <cellStyle name="Normal 2 20 12 6 3" xfId="3008"/>
    <cellStyle name="Normal 2 20 12 7" xfId="3009"/>
    <cellStyle name="Normal 2 20 12 8" xfId="3010"/>
    <cellStyle name="Normal 2 20 13" xfId="3011"/>
    <cellStyle name="Normal 2 20 13 2" xfId="3012"/>
    <cellStyle name="Normal 2 20 13 2 2" xfId="3013"/>
    <cellStyle name="Normal 2 20 13 2 2 2" xfId="3014"/>
    <cellStyle name="Normal 2 20 13 2 2 2 2" xfId="3015"/>
    <cellStyle name="Normal 2 20 13 2 2 2 3" xfId="3016"/>
    <cellStyle name="Normal 2 20 13 2 2 3" xfId="3017"/>
    <cellStyle name="Normal 2 20 13 2 2 4" xfId="3018"/>
    <cellStyle name="Normal 2 20 13 2 3" xfId="3019"/>
    <cellStyle name="Normal 2 20 13 2 3 2" xfId="3020"/>
    <cellStyle name="Normal 2 20 13 2 3 2 2" xfId="3021"/>
    <cellStyle name="Normal 2 20 13 2 3 2 3" xfId="3022"/>
    <cellStyle name="Normal 2 20 13 2 3 3" xfId="3023"/>
    <cellStyle name="Normal 2 20 13 2 3 4" xfId="3024"/>
    <cellStyle name="Normal 2 20 13 2 4" xfId="3025"/>
    <cellStyle name="Normal 2 20 13 2 4 2" xfId="3026"/>
    <cellStyle name="Normal 2 20 13 2 4 3" xfId="3027"/>
    <cellStyle name="Normal 2 20 13 2 5" xfId="3028"/>
    <cellStyle name="Normal 2 20 13 2 6" xfId="3029"/>
    <cellStyle name="Normal 2 20 13 3" xfId="3030"/>
    <cellStyle name="Normal 2 20 13 3 2" xfId="3031"/>
    <cellStyle name="Normal 2 20 13 3 2 2" xfId="3032"/>
    <cellStyle name="Normal 2 20 13 3 2 2 2" xfId="3033"/>
    <cellStyle name="Normal 2 20 13 3 2 2 3" xfId="3034"/>
    <cellStyle name="Normal 2 20 13 3 2 3" xfId="3035"/>
    <cellStyle name="Normal 2 20 13 3 2 4" xfId="3036"/>
    <cellStyle name="Normal 2 20 13 3 3" xfId="3037"/>
    <cellStyle name="Normal 2 20 13 3 3 2" xfId="3038"/>
    <cellStyle name="Normal 2 20 13 3 3 2 2" xfId="3039"/>
    <cellStyle name="Normal 2 20 13 3 3 2 3" xfId="3040"/>
    <cellStyle name="Normal 2 20 13 3 3 3" xfId="3041"/>
    <cellStyle name="Normal 2 20 13 3 3 4" xfId="3042"/>
    <cellStyle name="Normal 2 20 13 3 4" xfId="3043"/>
    <cellStyle name="Normal 2 20 13 3 4 2" xfId="3044"/>
    <cellStyle name="Normal 2 20 13 3 4 3" xfId="3045"/>
    <cellStyle name="Normal 2 20 13 3 5" xfId="3046"/>
    <cellStyle name="Normal 2 20 13 3 6" xfId="3047"/>
    <cellStyle name="Normal 2 20 13 4" xfId="3048"/>
    <cellStyle name="Normal 2 20 13 4 2" xfId="3049"/>
    <cellStyle name="Normal 2 20 13 4 2 2" xfId="3050"/>
    <cellStyle name="Normal 2 20 13 4 2 3" xfId="3051"/>
    <cellStyle name="Normal 2 20 13 4 3" xfId="3052"/>
    <cellStyle name="Normal 2 20 13 4 4" xfId="3053"/>
    <cellStyle name="Normal 2 20 13 5" xfId="3054"/>
    <cellStyle name="Normal 2 20 13 5 2" xfId="3055"/>
    <cellStyle name="Normal 2 20 13 5 2 2" xfId="3056"/>
    <cellStyle name="Normal 2 20 13 5 2 3" xfId="3057"/>
    <cellStyle name="Normal 2 20 13 5 3" xfId="3058"/>
    <cellStyle name="Normal 2 20 13 5 4" xfId="3059"/>
    <cellStyle name="Normal 2 20 13 6" xfId="3060"/>
    <cellStyle name="Normal 2 20 13 6 2" xfId="3061"/>
    <cellStyle name="Normal 2 20 13 6 3" xfId="3062"/>
    <cellStyle name="Normal 2 20 13 7" xfId="3063"/>
    <cellStyle name="Normal 2 20 13 8" xfId="3064"/>
    <cellStyle name="Normal 2 20 14" xfId="3065"/>
    <cellStyle name="Normal 2 20 14 2" xfId="3066"/>
    <cellStyle name="Normal 2 20 14 2 2" xfId="3067"/>
    <cellStyle name="Normal 2 20 14 2 2 2" xfId="3068"/>
    <cellStyle name="Normal 2 20 14 2 2 2 2" xfId="3069"/>
    <cellStyle name="Normal 2 20 14 2 2 2 3" xfId="3070"/>
    <cellStyle name="Normal 2 20 14 2 2 3" xfId="3071"/>
    <cellStyle name="Normal 2 20 14 2 2 4" xfId="3072"/>
    <cellStyle name="Normal 2 20 14 2 3" xfId="3073"/>
    <cellStyle name="Normal 2 20 14 2 3 2" xfId="3074"/>
    <cellStyle name="Normal 2 20 14 2 3 2 2" xfId="3075"/>
    <cellStyle name="Normal 2 20 14 2 3 2 3" xfId="3076"/>
    <cellStyle name="Normal 2 20 14 2 3 3" xfId="3077"/>
    <cellStyle name="Normal 2 20 14 2 3 4" xfId="3078"/>
    <cellStyle name="Normal 2 20 14 2 4" xfId="3079"/>
    <cellStyle name="Normal 2 20 14 2 4 2" xfId="3080"/>
    <cellStyle name="Normal 2 20 14 2 4 3" xfId="3081"/>
    <cellStyle name="Normal 2 20 14 2 5" xfId="3082"/>
    <cellStyle name="Normal 2 20 14 2 6" xfId="3083"/>
    <cellStyle name="Normal 2 20 14 3" xfId="3084"/>
    <cellStyle name="Normal 2 20 14 3 2" xfId="3085"/>
    <cellStyle name="Normal 2 20 14 3 2 2" xfId="3086"/>
    <cellStyle name="Normal 2 20 14 3 2 2 2" xfId="3087"/>
    <cellStyle name="Normal 2 20 14 3 2 2 3" xfId="3088"/>
    <cellStyle name="Normal 2 20 14 3 2 3" xfId="3089"/>
    <cellStyle name="Normal 2 20 14 3 2 4" xfId="3090"/>
    <cellStyle name="Normal 2 20 14 3 3" xfId="3091"/>
    <cellStyle name="Normal 2 20 14 3 3 2" xfId="3092"/>
    <cellStyle name="Normal 2 20 14 3 3 2 2" xfId="3093"/>
    <cellStyle name="Normal 2 20 14 3 3 2 3" xfId="3094"/>
    <cellStyle name="Normal 2 20 14 3 3 3" xfId="3095"/>
    <cellStyle name="Normal 2 20 14 3 3 4" xfId="3096"/>
    <cellStyle name="Normal 2 20 14 3 4" xfId="3097"/>
    <cellStyle name="Normal 2 20 14 3 4 2" xfId="3098"/>
    <cellStyle name="Normal 2 20 14 3 4 3" xfId="3099"/>
    <cellStyle name="Normal 2 20 14 3 5" xfId="3100"/>
    <cellStyle name="Normal 2 20 14 3 6" xfId="3101"/>
    <cellStyle name="Normal 2 20 14 4" xfId="3102"/>
    <cellStyle name="Normal 2 20 14 4 2" xfId="3103"/>
    <cellStyle name="Normal 2 20 14 4 2 2" xfId="3104"/>
    <cellStyle name="Normal 2 20 14 4 2 3" xfId="3105"/>
    <cellStyle name="Normal 2 20 14 4 3" xfId="3106"/>
    <cellStyle name="Normal 2 20 14 4 4" xfId="3107"/>
    <cellStyle name="Normal 2 20 14 5" xfId="3108"/>
    <cellStyle name="Normal 2 20 14 5 2" xfId="3109"/>
    <cellStyle name="Normal 2 20 14 5 2 2" xfId="3110"/>
    <cellStyle name="Normal 2 20 14 5 2 3" xfId="3111"/>
    <cellStyle name="Normal 2 20 14 5 3" xfId="3112"/>
    <cellStyle name="Normal 2 20 14 5 4" xfId="3113"/>
    <cellStyle name="Normal 2 20 14 6" xfId="3114"/>
    <cellStyle name="Normal 2 20 14 6 2" xfId="3115"/>
    <cellStyle name="Normal 2 20 14 6 3" xfId="3116"/>
    <cellStyle name="Normal 2 20 14 7" xfId="3117"/>
    <cellStyle name="Normal 2 20 14 8" xfId="3118"/>
    <cellStyle name="Normal 2 20 15" xfId="3119"/>
    <cellStyle name="Normal 2 20 15 2" xfId="3120"/>
    <cellStyle name="Normal 2 20 15 2 2" xfId="3121"/>
    <cellStyle name="Normal 2 20 15 2 2 2" xfId="3122"/>
    <cellStyle name="Normal 2 20 15 2 2 2 2" xfId="3123"/>
    <cellStyle name="Normal 2 20 15 2 2 2 3" xfId="3124"/>
    <cellStyle name="Normal 2 20 15 2 2 3" xfId="3125"/>
    <cellStyle name="Normal 2 20 15 2 2 4" xfId="3126"/>
    <cellStyle name="Normal 2 20 15 2 3" xfId="3127"/>
    <cellStyle name="Normal 2 20 15 2 3 2" xfId="3128"/>
    <cellStyle name="Normal 2 20 15 2 3 2 2" xfId="3129"/>
    <cellStyle name="Normal 2 20 15 2 3 2 3" xfId="3130"/>
    <cellStyle name="Normal 2 20 15 2 3 3" xfId="3131"/>
    <cellStyle name="Normal 2 20 15 2 3 4" xfId="3132"/>
    <cellStyle name="Normal 2 20 15 2 4" xfId="3133"/>
    <cellStyle name="Normal 2 20 15 2 4 2" xfId="3134"/>
    <cellStyle name="Normal 2 20 15 2 4 3" xfId="3135"/>
    <cellStyle name="Normal 2 20 15 2 5" xfId="3136"/>
    <cellStyle name="Normal 2 20 15 2 6" xfId="3137"/>
    <cellStyle name="Normal 2 20 15 3" xfId="3138"/>
    <cellStyle name="Normal 2 20 15 3 2" xfId="3139"/>
    <cellStyle name="Normal 2 20 15 3 2 2" xfId="3140"/>
    <cellStyle name="Normal 2 20 15 3 2 2 2" xfId="3141"/>
    <cellStyle name="Normal 2 20 15 3 2 2 3" xfId="3142"/>
    <cellStyle name="Normal 2 20 15 3 2 3" xfId="3143"/>
    <cellStyle name="Normal 2 20 15 3 2 4" xfId="3144"/>
    <cellStyle name="Normal 2 20 15 3 3" xfId="3145"/>
    <cellStyle name="Normal 2 20 15 3 3 2" xfId="3146"/>
    <cellStyle name="Normal 2 20 15 3 3 2 2" xfId="3147"/>
    <cellStyle name="Normal 2 20 15 3 3 2 3" xfId="3148"/>
    <cellStyle name="Normal 2 20 15 3 3 3" xfId="3149"/>
    <cellStyle name="Normal 2 20 15 3 3 4" xfId="3150"/>
    <cellStyle name="Normal 2 20 15 3 4" xfId="3151"/>
    <cellStyle name="Normal 2 20 15 3 4 2" xfId="3152"/>
    <cellStyle name="Normal 2 20 15 3 4 3" xfId="3153"/>
    <cellStyle name="Normal 2 20 15 3 5" xfId="3154"/>
    <cellStyle name="Normal 2 20 15 3 6" xfId="3155"/>
    <cellStyle name="Normal 2 20 15 4" xfId="3156"/>
    <cellStyle name="Normal 2 20 15 4 2" xfId="3157"/>
    <cellStyle name="Normal 2 20 15 4 2 2" xfId="3158"/>
    <cellStyle name="Normal 2 20 15 4 2 3" xfId="3159"/>
    <cellStyle name="Normal 2 20 15 4 3" xfId="3160"/>
    <cellStyle name="Normal 2 20 15 4 4" xfId="3161"/>
    <cellStyle name="Normal 2 20 15 5" xfId="3162"/>
    <cellStyle name="Normal 2 20 15 5 2" xfId="3163"/>
    <cellStyle name="Normal 2 20 15 5 2 2" xfId="3164"/>
    <cellStyle name="Normal 2 20 15 5 2 3" xfId="3165"/>
    <cellStyle name="Normal 2 20 15 5 3" xfId="3166"/>
    <cellStyle name="Normal 2 20 15 5 4" xfId="3167"/>
    <cellStyle name="Normal 2 20 15 6" xfId="3168"/>
    <cellStyle name="Normal 2 20 15 6 2" xfId="3169"/>
    <cellStyle name="Normal 2 20 15 6 3" xfId="3170"/>
    <cellStyle name="Normal 2 20 15 7" xfId="3171"/>
    <cellStyle name="Normal 2 20 15 8" xfId="3172"/>
    <cellStyle name="Normal 2 20 16" xfId="3173"/>
    <cellStyle name="Normal 2 20 16 2" xfId="3174"/>
    <cellStyle name="Normal 2 20 16 2 2" xfId="3175"/>
    <cellStyle name="Normal 2 20 16 2 2 2" xfId="3176"/>
    <cellStyle name="Normal 2 20 16 2 2 3" xfId="3177"/>
    <cellStyle name="Normal 2 20 16 2 3" xfId="3178"/>
    <cellStyle name="Normal 2 20 16 2 4" xfId="3179"/>
    <cellStyle name="Normal 2 20 16 3" xfId="3180"/>
    <cellStyle name="Normal 2 20 16 3 2" xfId="3181"/>
    <cellStyle name="Normal 2 20 16 3 2 2" xfId="3182"/>
    <cellStyle name="Normal 2 20 16 3 2 3" xfId="3183"/>
    <cellStyle name="Normal 2 20 16 3 3" xfId="3184"/>
    <cellStyle name="Normal 2 20 16 3 4" xfId="3185"/>
    <cellStyle name="Normal 2 20 16 4" xfId="3186"/>
    <cellStyle name="Normal 2 20 16 4 2" xfId="3187"/>
    <cellStyle name="Normal 2 20 16 4 3" xfId="3188"/>
    <cellStyle name="Normal 2 20 16 5" xfId="3189"/>
    <cellStyle name="Normal 2 20 16 6" xfId="3190"/>
    <cellStyle name="Normal 2 20 17" xfId="3191"/>
    <cellStyle name="Normal 2 20 17 2" xfId="3192"/>
    <cellStyle name="Normal 2 20 17 2 2" xfId="3193"/>
    <cellStyle name="Normal 2 20 17 2 2 2" xfId="3194"/>
    <cellStyle name="Normal 2 20 17 2 2 3" xfId="3195"/>
    <cellStyle name="Normal 2 20 17 2 3" xfId="3196"/>
    <cellStyle name="Normal 2 20 17 2 4" xfId="3197"/>
    <cellStyle name="Normal 2 20 17 3" xfId="3198"/>
    <cellStyle name="Normal 2 20 17 3 2" xfId="3199"/>
    <cellStyle name="Normal 2 20 17 3 2 2" xfId="3200"/>
    <cellStyle name="Normal 2 20 17 3 2 3" xfId="3201"/>
    <cellStyle name="Normal 2 20 17 3 3" xfId="3202"/>
    <cellStyle name="Normal 2 20 17 3 4" xfId="3203"/>
    <cellStyle name="Normal 2 20 17 4" xfId="3204"/>
    <cellStyle name="Normal 2 20 17 4 2" xfId="3205"/>
    <cellStyle name="Normal 2 20 17 4 3" xfId="3206"/>
    <cellStyle name="Normal 2 20 17 5" xfId="3207"/>
    <cellStyle name="Normal 2 20 17 6" xfId="3208"/>
    <cellStyle name="Normal 2 20 18" xfId="3209"/>
    <cellStyle name="Normal 2 20 18 2" xfId="3210"/>
    <cellStyle name="Normal 2 20 18 2 2" xfId="3211"/>
    <cellStyle name="Normal 2 20 18 2 2 2" xfId="3212"/>
    <cellStyle name="Normal 2 20 18 2 2 3" xfId="3213"/>
    <cellStyle name="Normal 2 20 18 2 3" xfId="3214"/>
    <cellStyle name="Normal 2 20 18 2 4" xfId="3215"/>
    <cellStyle name="Normal 2 20 18 3" xfId="3216"/>
    <cellStyle name="Normal 2 20 18 3 2" xfId="3217"/>
    <cellStyle name="Normal 2 20 18 3 2 2" xfId="3218"/>
    <cellStyle name="Normal 2 20 18 3 2 3" xfId="3219"/>
    <cellStyle name="Normal 2 20 18 3 3" xfId="3220"/>
    <cellStyle name="Normal 2 20 18 3 4" xfId="3221"/>
    <cellStyle name="Normal 2 20 18 4" xfId="3222"/>
    <cellStyle name="Normal 2 20 18 4 2" xfId="3223"/>
    <cellStyle name="Normal 2 20 18 4 3" xfId="3224"/>
    <cellStyle name="Normal 2 20 18 5" xfId="3225"/>
    <cellStyle name="Normal 2 20 18 6" xfId="3226"/>
    <cellStyle name="Normal 2 20 19" xfId="3227"/>
    <cellStyle name="Normal 2 20 19 2" xfId="3228"/>
    <cellStyle name="Normal 2 20 19 2 2" xfId="3229"/>
    <cellStyle name="Normal 2 20 19 2 2 2" xfId="3230"/>
    <cellStyle name="Normal 2 20 19 2 2 3" xfId="3231"/>
    <cellStyle name="Normal 2 20 19 2 3" xfId="3232"/>
    <cellStyle name="Normal 2 20 19 2 4" xfId="3233"/>
    <cellStyle name="Normal 2 20 19 3" xfId="3234"/>
    <cellStyle name="Normal 2 20 19 3 2" xfId="3235"/>
    <cellStyle name="Normal 2 20 19 3 2 2" xfId="3236"/>
    <cellStyle name="Normal 2 20 19 3 2 3" xfId="3237"/>
    <cellStyle name="Normal 2 20 19 3 3" xfId="3238"/>
    <cellStyle name="Normal 2 20 19 3 4" xfId="3239"/>
    <cellStyle name="Normal 2 20 19 4" xfId="3240"/>
    <cellStyle name="Normal 2 20 19 4 2" xfId="3241"/>
    <cellStyle name="Normal 2 20 19 4 3" xfId="3242"/>
    <cellStyle name="Normal 2 20 19 5" xfId="3243"/>
    <cellStyle name="Normal 2 20 19 6" xfId="3244"/>
    <cellStyle name="Normal 2 20 2" xfId="3245"/>
    <cellStyle name="Normal 2 20 2 10" xfId="3246"/>
    <cellStyle name="Normal 2 20 2 10 2" xfId="3247"/>
    <cellStyle name="Normal 2 20 2 10 2 2" xfId="3248"/>
    <cellStyle name="Normal 2 20 2 10 2 3" xfId="3249"/>
    <cellStyle name="Normal 2 20 2 10 3" xfId="3250"/>
    <cellStyle name="Normal 2 20 2 10 4" xfId="3251"/>
    <cellStyle name="Normal 2 20 2 11" xfId="3252"/>
    <cellStyle name="Normal 2 20 2 11 2" xfId="3253"/>
    <cellStyle name="Normal 2 20 2 11 2 2" xfId="3254"/>
    <cellStyle name="Normal 2 20 2 11 2 3" xfId="3255"/>
    <cellStyle name="Normal 2 20 2 11 3" xfId="3256"/>
    <cellStyle name="Normal 2 20 2 11 4" xfId="3257"/>
    <cellStyle name="Normal 2 20 2 12" xfId="3258"/>
    <cellStyle name="Normal 2 20 2 12 2" xfId="3259"/>
    <cellStyle name="Normal 2 20 2 12 3" xfId="3260"/>
    <cellStyle name="Normal 2 20 2 13" xfId="3261"/>
    <cellStyle name="Normal 2 20 2 14" xfId="3262"/>
    <cellStyle name="Normal 2 20 2 2" xfId="3263"/>
    <cellStyle name="Normal 2 20 2 2 2" xfId="3264"/>
    <cellStyle name="Normal 2 20 2 2 2 2" xfId="3265"/>
    <cellStyle name="Normal 2 20 2 2 2 2 2" xfId="3266"/>
    <cellStyle name="Normal 2 20 2 2 2 2 3" xfId="3267"/>
    <cellStyle name="Normal 2 20 2 2 2 3" xfId="3268"/>
    <cellStyle name="Normal 2 20 2 2 2 4" xfId="3269"/>
    <cellStyle name="Normal 2 20 2 2 3" xfId="3270"/>
    <cellStyle name="Normal 2 20 2 2 3 2" xfId="3271"/>
    <cellStyle name="Normal 2 20 2 2 3 2 2" xfId="3272"/>
    <cellStyle name="Normal 2 20 2 2 3 2 3" xfId="3273"/>
    <cellStyle name="Normal 2 20 2 2 3 3" xfId="3274"/>
    <cellStyle name="Normal 2 20 2 2 3 4" xfId="3275"/>
    <cellStyle name="Normal 2 20 2 2 4" xfId="3276"/>
    <cellStyle name="Normal 2 20 2 2 4 2" xfId="3277"/>
    <cellStyle name="Normal 2 20 2 2 4 3" xfId="3278"/>
    <cellStyle name="Normal 2 20 2 2 5" xfId="3279"/>
    <cellStyle name="Normal 2 20 2 2 6" xfId="3280"/>
    <cellStyle name="Normal 2 20 2 3" xfId="3281"/>
    <cellStyle name="Normal 2 20 2 3 2" xfId="3282"/>
    <cellStyle name="Normal 2 20 2 3 2 2" xfId="3283"/>
    <cellStyle name="Normal 2 20 2 3 2 2 2" xfId="3284"/>
    <cellStyle name="Normal 2 20 2 3 2 2 3" xfId="3285"/>
    <cellStyle name="Normal 2 20 2 3 2 3" xfId="3286"/>
    <cellStyle name="Normal 2 20 2 3 2 4" xfId="3287"/>
    <cellStyle name="Normal 2 20 2 3 3" xfId="3288"/>
    <cellStyle name="Normal 2 20 2 3 3 2" xfId="3289"/>
    <cellStyle name="Normal 2 20 2 3 3 2 2" xfId="3290"/>
    <cellStyle name="Normal 2 20 2 3 3 2 3" xfId="3291"/>
    <cellStyle name="Normal 2 20 2 3 3 3" xfId="3292"/>
    <cellStyle name="Normal 2 20 2 3 3 4" xfId="3293"/>
    <cellStyle name="Normal 2 20 2 3 4" xfId="3294"/>
    <cellStyle name="Normal 2 20 2 3 4 2" xfId="3295"/>
    <cellStyle name="Normal 2 20 2 3 4 3" xfId="3296"/>
    <cellStyle name="Normal 2 20 2 3 5" xfId="3297"/>
    <cellStyle name="Normal 2 20 2 3 6" xfId="3298"/>
    <cellStyle name="Normal 2 20 2 4" xfId="3299"/>
    <cellStyle name="Normal 2 20 2 4 2" xfId="3300"/>
    <cellStyle name="Normal 2 20 2 4 2 2" xfId="3301"/>
    <cellStyle name="Normal 2 20 2 4 2 2 2" xfId="3302"/>
    <cellStyle name="Normal 2 20 2 4 2 2 3" xfId="3303"/>
    <cellStyle name="Normal 2 20 2 4 2 3" xfId="3304"/>
    <cellStyle name="Normal 2 20 2 4 2 4" xfId="3305"/>
    <cellStyle name="Normal 2 20 2 4 3" xfId="3306"/>
    <cellStyle name="Normal 2 20 2 4 3 2" xfId="3307"/>
    <cellStyle name="Normal 2 20 2 4 3 2 2" xfId="3308"/>
    <cellStyle name="Normal 2 20 2 4 3 2 3" xfId="3309"/>
    <cellStyle name="Normal 2 20 2 4 3 3" xfId="3310"/>
    <cellStyle name="Normal 2 20 2 4 3 4" xfId="3311"/>
    <cellStyle name="Normal 2 20 2 4 4" xfId="3312"/>
    <cellStyle name="Normal 2 20 2 4 4 2" xfId="3313"/>
    <cellStyle name="Normal 2 20 2 4 4 3" xfId="3314"/>
    <cellStyle name="Normal 2 20 2 4 5" xfId="3315"/>
    <cellStyle name="Normal 2 20 2 4 6" xfId="3316"/>
    <cellStyle name="Normal 2 20 2 5" xfId="3317"/>
    <cellStyle name="Normal 2 20 2 5 2" xfId="3318"/>
    <cellStyle name="Normal 2 20 2 5 2 2" xfId="3319"/>
    <cellStyle name="Normal 2 20 2 5 2 2 2" xfId="3320"/>
    <cellStyle name="Normal 2 20 2 5 2 2 3" xfId="3321"/>
    <cellStyle name="Normal 2 20 2 5 2 3" xfId="3322"/>
    <cellStyle name="Normal 2 20 2 5 2 4" xfId="3323"/>
    <cellStyle name="Normal 2 20 2 5 3" xfId="3324"/>
    <cellStyle name="Normal 2 20 2 5 3 2" xfId="3325"/>
    <cellStyle name="Normal 2 20 2 5 3 2 2" xfId="3326"/>
    <cellStyle name="Normal 2 20 2 5 3 2 3" xfId="3327"/>
    <cellStyle name="Normal 2 20 2 5 3 3" xfId="3328"/>
    <cellStyle name="Normal 2 20 2 5 3 4" xfId="3329"/>
    <cellStyle name="Normal 2 20 2 5 4" xfId="3330"/>
    <cellStyle name="Normal 2 20 2 5 4 2" xfId="3331"/>
    <cellStyle name="Normal 2 20 2 5 4 3" xfId="3332"/>
    <cellStyle name="Normal 2 20 2 5 5" xfId="3333"/>
    <cellStyle name="Normal 2 20 2 5 6" xfId="3334"/>
    <cellStyle name="Normal 2 20 2 6" xfId="3335"/>
    <cellStyle name="Normal 2 20 2 6 2" xfId="3336"/>
    <cellStyle name="Normal 2 20 2 6 2 2" xfId="3337"/>
    <cellStyle name="Normal 2 20 2 6 2 2 2" xfId="3338"/>
    <cellStyle name="Normal 2 20 2 6 2 2 3" xfId="3339"/>
    <cellStyle name="Normal 2 20 2 6 2 3" xfId="3340"/>
    <cellStyle name="Normal 2 20 2 6 2 4" xfId="3341"/>
    <cellStyle name="Normal 2 20 2 6 3" xfId="3342"/>
    <cellStyle name="Normal 2 20 2 6 3 2" xfId="3343"/>
    <cellStyle name="Normal 2 20 2 6 3 2 2" xfId="3344"/>
    <cellStyle name="Normal 2 20 2 6 3 2 3" xfId="3345"/>
    <cellStyle name="Normal 2 20 2 6 3 3" xfId="3346"/>
    <cellStyle name="Normal 2 20 2 6 3 4" xfId="3347"/>
    <cellStyle name="Normal 2 20 2 6 4" xfId="3348"/>
    <cellStyle name="Normal 2 20 2 6 4 2" xfId="3349"/>
    <cellStyle name="Normal 2 20 2 6 4 3" xfId="3350"/>
    <cellStyle name="Normal 2 20 2 6 5" xfId="3351"/>
    <cellStyle name="Normal 2 20 2 6 6" xfId="3352"/>
    <cellStyle name="Normal 2 20 2 7" xfId="3353"/>
    <cellStyle name="Normal 2 20 2 7 2" xfId="3354"/>
    <cellStyle name="Normal 2 20 2 7 2 2" xfId="3355"/>
    <cellStyle name="Normal 2 20 2 7 2 2 2" xfId="3356"/>
    <cellStyle name="Normal 2 20 2 7 2 2 3" xfId="3357"/>
    <cellStyle name="Normal 2 20 2 7 2 3" xfId="3358"/>
    <cellStyle name="Normal 2 20 2 7 2 4" xfId="3359"/>
    <cellStyle name="Normal 2 20 2 7 3" xfId="3360"/>
    <cellStyle name="Normal 2 20 2 7 3 2" xfId="3361"/>
    <cellStyle name="Normal 2 20 2 7 3 2 2" xfId="3362"/>
    <cellStyle name="Normal 2 20 2 7 3 2 3" xfId="3363"/>
    <cellStyle name="Normal 2 20 2 7 3 3" xfId="3364"/>
    <cellStyle name="Normal 2 20 2 7 3 4" xfId="3365"/>
    <cellStyle name="Normal 2 20 2 7 4" xfId="3366"/>
    <cellStyle name="Normal 2 20 2 7 4 2" xfId="3367"/>
    <cellStyle name="Normal 2 20 2 7 4 3" xfId="3368"/>
    <cellStyle name="Normal 2 20 2 7 5" xfId="3369"/>
    <cellStyle name="Normal 2 20 2 7 6" xfId="3370"/>
    <cellStyle name="Normal 2 20 2 8" xfId="3371"/>
    <cellStyle name="Normal 2 20 2 8 2" xfId="3372"/>
    <cellStyle name="Normal 2 20 2 8 2 2" xfId="3373"/>
    <cellStyle name="Normal 2 20 2 8 2 2 2" xfId="3374"/>
    <cellStyle name="Normal 2 20 2 8 2 2 3" xfId="3375"/>
    <cellStyle name="Normal 2 20 2 8 2 3" xfId="3376"/>
    <cellStyle name="Normal 2 20 2 8 2 4" xfId="3377"/>
    <cellStyle name="Normal 2 20 2 8 3" xfId="3378"/>
    <cellStyle name="Normal 2 20 2 8 3 2" xfId="3379"/>
    <cellStyle name="Normal 2 20 2 8 3 2 2" xfId="3380"/>
    <cellStyle name="Normal 2 20 2 8 3 2 3" xfId="3381"/>
    <cellStyle name="Normal 2 20 2 8 3 3" xfId="3382"/>
    <cellStyle name="Normal 2 20 2 8 3 4" xfId="3383"/>
    <cellStyle name="Normal 2 20 2 8 4" xfId="3384"/>
    <cellStyle name="Normal 2 20 2 8 4 2" xfId="3385"/>
    <cellStyle name="Normal 2 20 2 8 4 3" xfId="3386"/>
    <cellStyle name="Normal 2 20 2 8 5" xfId="3387"/>
    <cellStyle name="Normal 2 20 2 8 6" xfId="3388"/>
    <cellStyle name="Normal 2 20 2 9" xfId="3389"/>
    <cellStyle name="Normal 2 20 2 9 2" xfId="3390"/>
    <cellStyle name="Normal 2 20 2 9 2 2" xfId="3391"/>
    <cellStyle name="Normal 2 20 2 9 2 2 2" xfId="3392"/>
    <cellStyle name="Normal 2 20 2 9 2 2 3" xfId="3393"/>
    <cellStyle name="Normal 2 20 2 9 2 3" xfId="3394"/>
    <cellStyle name="Normal 2 20 2 9 2 4" xfId="3395"/>
    <cellStyle name="Normal 2 20 2 9 3" xfId="3396"/>
    <cellStyle name="Normal 2 20 2 9 3 2" xfId="3397"/>
    <cellStyle name="Normal 2 20 2 9 3 2 2" xfId="3398"/>
    <cellStyle name="Normal 2 20 2 9 3 2 3" xfId="3399"/>
    <cellStyle name="Normal 2 20 2 9 3 3" xfId="3400"/>
    <cellStyle name="Normal 2 20 2 9 3 4" xfId="3401"/>
    <cellStyle name="Normal 2 20 2 9 4" xfId="3402"/>
    <cellStyle name="Normal 2 20 2 9 4 2" xfId="3403"/>
    <cellStyle name="Normal 2 20 2 9 4 3" xfId="3404"/>
    <cellStyle name="Normal 2 20 2 9 5" xfId="3405"/>
    <cellStyle name="Normal 2 20 2 9 6" xfId="3406"/>
    <cellStyle name="Normal 2 20 20" xfId="3407"/>
    <cellStyle name="Normal 2 20 20 2" xfId="3408"/>
    <cellStyle name="Normal 2 20 20 2 2" xfId="3409"/>
    <cellStyle name="Normal 2 20 20 2 2 2" xfId="3410"/>
    <cellStyle name="Normal 2 20 20 2 2 3" xfId="3411"/>
    <cellStyle name="Normal 2 20 20 2 3" xfId="3412"/>
    <cellStyle name="Normal 2 20 20 2 4" xfId="3413"/>
    <cellStyle name="Normal 2 20 20 3" xfId="3414"/>
    <cellStyle name="Normal 2 20 20 3 2" xfId="3415"/>
    <cellStyle name="Normal 2 20 20 3 2 2" xfId="3416"/>
    <cellStyle name="Normal 2 20 20 3 2 3" xfId="3417"/>
    <cellStyle name="Normal 2 20 20 3 3" xfId="3418"/>
    <cellStyle name="Normal 2 20 20 3 4" xfId="3419"/>
    <cellStyle name="Normal 2 20 20 4" xfId="3420"/>
    <cellStyle name="Normal 2 20 20 4 2" xfId="3421"/>
    <cellStyle name="Normal 2 20 20 4 3" xfId="3422"/>
    <cellStyle name="Normal 2 20 20 5" xfId="3423"/>
    <cellStyle name="Normal 2 20 20 6" xfId="3424"/>
    <cellStyle name="Normal 2 20 21" xfId="3425"/>
    <cellStyle name="Normal 2 20 21 2" xfId="3426"/>
    <cellStyle name="Normal 2 20 21 2 2" xfId="3427"/>
    <cellStyle name="Normal 2 20 21 2 2 2" xfId="3428"/>
    <cellStyle name="Normal 2 20 21 2 2 3" xfId="3429"/>
    <cellStyle name="Normal 2 20 21 2 3" xfId="3430"/>
    <cellStyle name="Normal 2 20 21 2 4" xfId="3431"/>
    <cellStyle name="Normal 2 20 21 3" xfId="3432"/>
    <cellStyle name="Normal 2 20 21 3 2" xfId="3433"/>
    <cellStyle name="Normal 2 20 21 3 2 2" xfId="3434"/>
    <cellStyle name="Normal 2 20 21 3 2 3" xfId="3435"/>
    <cellStyle name="Normal 2 20 21 3 3" xfId="3436"/>
    <cellStyle name="Normal 2 20 21 3 4" xfId="3437"/>
    <cellStyle name="Normal 2 20 21 4" xfId="3438"/>
    <cellStyle name="Normal 2 20 21 4 2" xfId="3439"/>
    <cellStyle name="Normal 2 20 21 4 3" xfId="3440"/>
    <cellStyle name="Normal 2 20 21 5" xfId="3441"/>
    <cellStyle name="Normal 2 20 21 6" xfId="3442"/>
    <cellStyle name="Normal 2 20 22" xfId="3443"/>
    <cellStyle name="Normal 2 20 22 2" xfId="3444"/>
    <cellStyle name="Normal 2 20 22 2 2" xfId="3445"/>
    <cellStyle name="Normal 2 20 22 2 3" xfId="3446"/>
    <cellStyle name="Normal 2 20 22 3" xfId="3447"/>
    <cellStyle name="Normal 2 20 22 4" xfId="3448"/>
    <cellStyle name="Normal 2 20 23" xfId="3449"/>
    <cellStyle name="Normal 2 20 23 2" xfId="3450"/>
    <cellStyle name="Normal 2 20 23 2 2" xfId="3451"/>
    <cellStyle name="Normal 2 20 23 2 3" xfId="3452"/>
    <cellStyle name="Normal 2 20 23 3" xfId="3453"/>
    <cellStyle name="Normal 2 20 23 4" xfId="3454"/>
    <cellStyle name="Normal 2 20 24" xfId="3455"/>
    <cellStyle name="Normal 2 20 24 2" xfId="3456"/>
    <cellStyle name="Normal 2 20 24 3" xfId="3457"/>
    <cellStyle name="Normal 2 20 25" xfId="3458"/>
    <cellStyle name="Normal 2 20 26" xfId="3459"/>
    <cellStyle name="Normal 2 20 3" xfId="3460"/>
    <cellStyle name="Normal 2 20 3 10" xfId="3461"/>
    <cellStyle name="Normal 2 20 3 10 2" xfId="3462"/>
    <cellStyle name="Normal 2 20 3 10 2 2" xfId="3463"/>
    <cellStyle name="Normal 2 20 3 10 2 3" xfId="3464"/>
    <cellStyle name="Normal 2 20 3 10 3" xfId="3465"/>
    <cellStyle name="Normal 2 20 3 10 4" xfId="3466"/>
    <cellStyle name="Normal 2 20 3 11" xfId="3467"/>
    <cellStyle name="Normal 2 20 3 11 2" xfId="3468"/>
    <cellStyle name="Normal 2 20 3 11 3" xfId="3469"/>
    <cellStyle name="Normal 2 20 3 12" xfId="3470"/>
    <cellStyle name="Normal 2 20 3 13" xfId="3471"/>
    <cellStyle name="Normal 2 20 3 2" xfId="3472"/>
    <cellStyle name="Normal 2 20 3 2 2" xfId="3473"/>
    <cellStyle name="Normal 2 20 3 2 2 2" xfId="3474"/>
    <cellStyle name="Normal 2 20 3 2 2 2 2" xfId="3475"/>
    <cellStyle name="Normal 2 20 3 2 2 2 3" xfId="3476"/>
    <cellStyle name="Normal 2 20 3 2 2 3" xfId="3477"/>
    <cellStyle name="Normal 2 20 3 2 2 4" xfId="3478"/>
    <cellStyle name="Normal 2 20 3 2 3" xfId="3479"/>
    <cellStyle name="Normal 2 20 3 2 3 2" xfId="3480"/>
    <cellStyle name="Normal 2 20 3 2 3 2 2" xfId="3481"/>
    <cellStyle name="Normal 2 20 3 2 3 2 3" xfId="3482"/>
    <cellStyle name="Normal 2 20 3 2 3 3" xfId="3483"/>
    <cellStyle name="Normal 2 20 3 2 3 4" xfId="3484"/>
    <cellStyle name="Normal 2 20 3 2 4" xfId="3485"/>
    <cellStyle name="Normal 2 20 3 2 4 2" xfId="3486"/>
    <cellStyle name="Normal 2 20 3 2 4 3" xfId="3487"/>
    <cellStyle name="Normal 2 20 3 2 5" xfId="3488"/>
    <cellStyle name="Normal 2 20 3 2 6" xfId="3489"/>
    <cellStyle name="Normal 2 20 3 3" xfId="3490"/>
    <cellStyle name="Normal 2 20 3 3 2" xfId="3491"/>
    <cellStyle name="Normal 2 20 3 3 2 2" xfId="3492"/>
    <cellStyle name="Normal 2 20 3 3 2 2 2" xfId="3493"/>
    <cellStyle name="Normal 2 20 3 3 2 2 3" xfId="3494"/>
    <cellStyle name="Normal 2 20 3 3 2 3" xfId="3495"/>
    <cellStyle name="Normal 2 20 3 3 2 4" xfId="3496"/>
    <cellStyle name="Normal 2 20 3 3 3" xfId="3497"/>
    <cellStyle name="Normal 2 20 3 3 3 2" xfId="3498"/>
    <cellStyle name="Normal 2 20 3 3 3 2 2" xfId="3499"/>
    <cellStyle name="Normal 2 20 3 3 3 2 3" xfId="3500"/>
    <cellStyle name="Normal 2 20 3 3 3 3" xfId="3501"/>
    <cellStyle name="Normal 2 20 3 3 3 4" xfId="3502"/>
    <cellStyle name="Normal 2 20 3 3 4" xfId="3503"/>
    <cellStyle name="Normal 2 20 3 3 4 2" xfId="3504"/>
    <cellStyle name="Normal 2 20 3 3 4 3" xfId="3505"/>
    <cellStyle name="Normal 2 20 3 3 5" xfId="3506"/>
    <cellStyle name="Normal 2 20 3 3 6" xfId="3507"/>
    <cellStyle name="Normal 2 20 3 4" xfId="3508"/>
    <cellStyle name="Normal 2 20 3 4 2" xfId="3509"/>
    <cellStyle name="Normal 2 20 3 4 2 2" xfId="3510"/>
    <cellStyle name="Normal 2 20 3 4 2 2 2" xfId="3511"/>
    <cellStyle name="Normal 2 20 3 4 2 2 3" xfId="3512"/>
    <cellStyle name="Normal 2 20 3 4 2 3" xfId="3513"/>
    <cellStyle name="Normal 2 20 3 4 2 4" xfId="3514"/>
    <cellStyle name="Normal 2 20 3 4 3" xfId="3515"/>
    <cellStyle name="Normal 2 20 3 4 3 2" xfId="3516"/>
    <cellStyle name="Normal 2 20 3 4 3 2 2" xfId="3517"/>
    <cellStyle name="Normal 2 20 3 4 3 2 3" xfId="3518"/>
    <cellStyle name="Normal 2 20 3 4 3 3" xfId="3519"/>
    <cellStyle name="Normal 2 20 3 4 3 4" xfId="3520"/>
    <cellStyle name="Normal 2 20 3 4 4" xfId="3521"/>
    <cellStyle name="Normal 2 20 3 4 4 2" xfId="3522"/>
    <cellStyle name="Normal 2 20 3 4 4 3" xfId="3523"/>
    <cellStyle name="Normal 2 20 3 4 5" xfId="3524"/>
    <cellStyle name="Normal 2 20 3 4 6" xfId="3525"/>
    <cellStyle name="Normal 2 20 3 5" xfId="3526"/>
    <cellStyle name="Normal 2 20 3 5 2" xfId="3527"/>
    <cellStyle name="Normal 2 20 3 5 2 2" xfId="3528"/>
    <cellStyle name="Normal 2 20 3 5 2 2 2" xfId="3529"/>
    <cellStyle name="Normal 2 20 3 5 2 2 3" xfId="3530"/>
    <cellStyle name="Normal 2 20 3 5 2 3" xfId="3531"/>
    <cellStyle name="Normal 2 20 3 5 2 4" xfId="3532"/>
    <cellStyle name="Normal 2 20 3 5 3" xfId="3533"/>
    <cellStyle name="Normal 2 20 3 5 3 2" xfId="3534"/>
    <cellStyle name="Normal 2 20 3 5 3 2 2" xfId="3535"/>
    <cellStyle name="Normal 2 20 3 5 3 2 3" xfId="3536"/>
    <cellStyle name="Normal 2 20 3 5 3 3" xfId="3537"/>
    <cellStyle name="Normal 2 20 3 5 3 4" xfId="3538"/>
    <cellStyle name="Normal 2 20 3 5 4" xfId="3539"/>
    <cellStyle name="Normal 2 20 3 5 4 2" xfId="3540"/>
    <cellStyle name="Normal 2 20 3 5 4 3" xfId="3541"/>
    <cellStyle name="Normal 2 20 3 5 5" xfId="3542"/>
    <cellStyle name="Normal 2 20 3 5 6" xfId="3543"/>
    <cellStyle name="Normal 2 20 3 6" xfId="3544"/>
    <cellStyle name="Normal 2 20 3 6 2" xfId="3545"/>
    <cellStyle name="Normal 2 20 3 6 2 2" xfId="3546"/>
    <cellStyle name="Normal 2 20 3 6 2 2 2" xfId="3547"/>
    <cellStyle name="Normal 2 20 3 6 2 2 3" xfId="3548"/>
    <cellStyle name="Normal 2 20 3 6 2 3" xfId="3549"/>
    <cellStyle name="Normal 2 20 3 6 2 4" xfId="3550"/>
    <cellStyle name="Normal 2 20 3 6 3" xfId="3551"/>
    <cellStyle name="Normal 2 20 3 6 3 2" xfId="3552"/>
    <cellStyle name="Normal 2 20 3 6 3 2 2" xfId="3553"/>
    <cellStyle name="Normal 2 20 3 6 3 2 3" xfId="3554"/>
    <cellStyle name="Normal 2 20 3 6 3 3" xfId="3555"/>
    <cellStyle name="Normal 2 20 3 6 3 4" xfId="3556"/>
    <cellStyle name="Normal 2 20 3 6 4" xfId="3557"/>
    <cellStyle name="Normal 2 20 3 6 4 2" xfId="3558"/>
    <cellStyle name="Normal 2 20 3 6 4 3" xfId="3559"/>
    <cellStyle name="Normal 2 20 3 6 5" xfId="3560"/>
    <cellStyle name="Normal 2 20 3 6 6" xfId="3561"/>
    <cellStyle name="Normal 2 20 3 7" xfId="3562"/>
    <cellStyle name="Normal 2 20 3 7 2" xfId="3563"/>
    <cellStyle name="Normal 2 20 3 7 2 2" xfId="3564"/>
    <cellStyle name="Normal 2 20 3 7 2 2 2" xfId="3565"/>
    <cellStyle name="Normal 2 20 3 7 2 2 3" xfId="3566"/>
    <cellStyle name="Normal 2 20 3 7 2 3" xfId="3567"/>
    <cellStyle name="Normal 2 20 3 7 2 4" xfId="3568"/>
    <cellStyle name="Normal 2 20 3 7 3" xfId="3569"/>
    <cellStyle name="Normal 2 20 3 7 3 2" xfId="3570"/>
    <cellStyle name="Normal 2 20 3 7 3 2 2" xfId="3571"/>
    <cellStyle name="Normal 2 20 3 7 3 2 3" xfId="3572"/>
    <cellStyle name="Normal 2 20 3 7 3 3" xfId="3573"/>
    <cellStyle name="Normal 2 20 3 7 3 4" xfId="3574"/>
    <cellStyle name="Normal 2 20 3 7 4" xfId="3575"/>
    <cellStyle name="Normal 2 20 3 7 4 2" xfId="3576"/>
    <cellStyle name="Normal 2 20 3 7 4 3" xfId="3577"/>
    <cellStyle name="Normal 2 20 3 7 5" xfId="3578"/>
    <cellStyle name="Normal 2 20 3 7 6" xfId="3579"/>
    <cellStyle name="Normal 2 20 3 8" xfId="3580"/>
    <cellStyle name="Normal 2 20 3 8 2" xfId="3581"/>
    <cellStyle name="Normal 2 20 3 8 2 2" xfId="3582"/>
    <cellStyle name="Normal 2 20 3 8 2 2 2" xfId="3583"/>
    <cellStyle name="Normal 2 20 3 8 2 2 3" xfId="3584"/>
    <cellStyle name="Normal 2 20 3 8 2 3" xfId="3585"/>
    <cellStyle name="Normal 2 20 3 8 2 4" xfId="3586"/>
    <cellStyle name="Normal 2 20 3 8 3" xfId="3587"/>
    <cellStyle name="Normal 2 20 3 8 3 2" xfId="3588"/>
    <cellStyle name="Normal 2 20 3 8 3 2 2" xfId="3589"/>
    <cellStyle name="Normal 2 20 3 8 3 2 3" xfId="3590"/>
    <cellStyle name="Normal 2 20 3 8 3 3" xfId="3591"/>
    <cellStyle name="Normal 2 20 3 8 3 4" xfId="3592"/>
    <cellStyle name="Normal 2 20 3 8 4" xfId="3593"/>
    <cellStyle name="Normal 2 20 3 8 4 2" xfId="3594"/>
    <cellStyle name="Normal 2 20 3 8 4 3" xfId="3595"/>
    <cellStyle name="Normal 2 20 3 8 5" xfId="3596"/>
    <cellStyle name="Normal 2 20 3 8 6" xfId="3597"/>
    <cellStyle name="Normal 2 20 3 9" xfId="3598"/>
    <cellStyle name="Normal 2 20 3 9 2" xfId="3599"/>
    <cellStyle name="Normal 2 20 3 9 2 2" xfId="3600"/>
    <cellStyle name="Normal 2 20 3 9 2 3" xfId="3601"/>
    <cellStyle name="Normal 2 20 3 9 3" xfId="3602"/>
    <cellStyle name="Normal 2 20 3 9 4" xfId="3603"/>
    <cellStyle name="Normal 2 20 4" xfId="3604"/>
    <cellStyle name="Normal 2 20 4 10" xfId="3605"/>
    <cellStyle name="Normal 2 20 4 10 2" xfId="3606"/>
    <cellStyle name="Normal 2 20 4 10 2 2" xfId="3607"/>
    <cellStyle name="Normal 2 20 4 10 2 3" xfId="3608"/>
    <cellStyle name="Normal 2 20 4 10 3" xfId="3609"/>
    <cellStyle name="Normal 2 20 4 10 4" xfId="3610"/>
    <cellStyle name="Normal 2 20 4 11" xfId="3611"/>
    <cellStyle name="Normal 2 20 4 11 2" xfId="3612"/>
    <cellStyle name="Normal 2 20 4 11 3" xfId="3613"/>
    <cellStyle name="Normal 2 20 4 12" xfId="3614"/>
    <cellStyle name="Normal 2 20 4 13" xfId="3615"/>
    <cellStyle name="Normal 2 20 4 2" xfId="3616"/>
    <cellStyle name="Normal 2 20 4 2 2" xfId="3617"/>
    <cellStyle name="Normal 2 20 4 2 2 2" xfId="3618"/>
    <cellStyle name="Normal 2 20 4 2 2 2 2" xfId="3619"/>
    <cellStyle name="Normal 2 20 4 2 2 2 3" xfId="3620"/>
    <cellStyle name="Normal 2 20 4 2 2 3" xfId="3621"/>
    <cellStyle name="Normal 2 20 4 2 2 4" xfId="3622"/>
    <cellStyle name="Normal 2 20 4 2 3" xfId="3623"/>
    <cellStyle name="Normal 2 20 4 2 3 2" xfId="3624"/>
    <cellStyle name="Normal 2 20 4 2 3 2 2" xfId="3625"/>
    <cellStyle name="Normal 2 20 4 2 3 2 3" xfId="3626"/>
    <cellStyle name="Normal 2 20 4 2 3 3" xfId="3627"/>
    <cellStyle name="Normal 2 20 4 2 3 4" xfId="3628"/>
    <cellStyle name="Normal 2 20 4 2 4" xfId="3629"/>
    <cellStyle name="Normal 2 20 4 2 4 2" xfId="3630"/>
    <cellStyle name="Normal 2 20 4 2 4 3" xfId="3631"/>
    <cellStyle name="Normal 2 20 4 2 5" xfId="3632"/>
    <cellStyle name="Normal 2 20 4 2 6" xfId="3633"/>
    <cellStyle name="Normal 2 20 4 3" xfId="3634"/>
    <cellStyle name="Normal 2 20 4 3 2" xfId="3635"/>
    <cellStyle name="Normal 2 20 4 3 2 2" xfId="3636"/>
    <cellStyle name="Normal 2 20 4 3 2 2 2" xfId="3637"/>
    <cellStyle name="Normal 2 20 4 3 2 2 3" xfId="3638"/>
    <cellStyle name="Normal 2 20 4 3 2 3" xfId="3639"/>
    <cellStyle name="Normal 2 20 4 3 2 4" xfId="3640"/>
    <cellStyle name="Normal 2 20 4 3 3" xfId="3641"/>
    <cellStyle name="Normal 2 20 4 3 3 2" xfId="3642"/>
    <cellStyle name="Normal 2 20 4 3 3 2 2" xfId="3643"/>
    <cellStyle name="Normal 2 20 4 3 3 2 3" xfId="3644"/>
    <cellStyle name="Normal 2 20 4 3 3 3" xfId="3645"/>
    <cellStyle name="Normal 2 20 4 3 3 4" xfId="3646"/>
    <cellStyle name="Normal 2 20 4 3 4" xfId="3647"/>
    <cellStyle name="Normal 2 20 4 3 4 2" xfId="3648"/>
    <cellStyle name="Normal 2 20 4 3 4 3" xfId="3649"/>
    <cellStyle name="Normal 2 20 4 3 5" xfId="3650"/>
    <cellStyle name="Normal 2 20 4 3 6" xfId="3651"/>
    <cellStyle name="Normal 2 20 4 4" xfId="3652"/>
    <cellStyle name="Normal 2 20 4 4 2" xfId="3653"/>
    <cellStyle name="Normal 2 20 4 4 2 2" xfId="3654"/>
    <cellStyle name="Normal 2 20 4 4 2 2 2" xfId="3655"/>
    <cellStyle name="Normal 2 20 4 4 2 2 3" xfId="3656"/>
    <cellStyle name="Normal 2 20 4 4 2 3" xfId="3657"/>
    <cellStyle name="Normal 2 20 4 4 2 4" xfId="3658"/>
    <cellStyle name="Normal 2 20 4 4 3" xfId="3659"/>
    <cellStyle name="Normal 2 20 4 4 3 2" xfId="3660"/>
    <cellStyle name="Normal 2 20 4 4 3 2 2" xfId="3661"/>
    <cellStyle name="Normal 2 20 4 4 3 2 3" xfId="3662"/>
    <cellStyle name="Normal 2 20 4 4 3 3" xfId="3663"/>
    <cellStyle name="Normal 2 20 4 4 3 4" xfId="3664"/>
    <cellStyle name="Normal 2 20 4 4 4" xfId="3665"/>
    <cellStyle name="Normal 2 20 4 4 4 2" xfId="3666"/>
    <cellStyle name="Normal 2 20 4 4 4 3" xfId="3667"/>
    <cellStyle name="Normal 2 20 4 4 5" xfId="3668"/>
    <cellStyle name="Normal 2 20 4 4 6" xfId="3669"/>
    <cellStyle name="Normal 2 20 4 5" xfId="3670"/>
    <cellStyle name="Normal 2 20 4 5 2" xfId="3671"/>
    <cellStyle name="Normal 2 20 4 5 2 2" xfId="3672"/>
    <cellStyle name="Normal 2 20 4 5 2 2 2" xfId="3673"/>
    <cellStyle name="Normal 2 20 4 5 2 2 3" xfId="3674"/>
    <cellStyle name="Normal 2 20 4 5 2 3" xfId="3675"/>
    <cellStyle name="Normal 2 20 4 5 2 4" xfId="3676"/>
    <cellStyle name="Normal 2 20 4 5 3" xfId="3677"/>
    <cellStyle name="Normal 2 20 4 5 3 2" xfId="3678"/>
    <cellStyle name="Normal 2 20 4 5 3 2 2" xfId="3679"/>
    <cellStyle name="Normal 2 20 4 5 3 2 3" xfId="3680"/>
    <cellStyle name="Normal 2 20 4 5 3 3" xfId="3681"/>
    <cellStyle name="Normal 2 20 4 5 3 4" xfId="3682"/>
    <cellStyle name="Normal 2 20 4 5 4" xfId="3683"/>
    <cellStyle name="Normal 2 20 4 5 4 2" xfId="3684"/>
    <cellStyle name="Normal 2 20 4 5 4 3" xfId="3685"/>
    <cellStyle name="Normal 2 20 4 5 5" xfId="3686"/>
    <cellStyle name="Normal 2 20 4 5 6" xfId="3687"/>
    <cellStyle name="Normal 2 20 4 6" xfId="3688"/>
    <cellStyle name="Normal 2 20 4 6 2" xfId="3689"/>
    <cellStyle name="Normal 2 20 4 6 2 2" xfId="3690"/>
    <cellStyle name="Normal 2 20 4 6 2 2 2" xfId="3691"/>
    <cellStyle name="Normal 2 20 4 6 2 2 3" xfId="3692"/>
    <cellStyle name="Normal 2 20 4 6 2 3" xfId="3693"/>
    <cellStyle name="Normal 2 20 4 6 2 4" xfId="3694"/>
    <cellStyle name="Normal 2 20 4 6 3" xfId="3695"/>
    <cellStyle name="Normal 2 20 4 6 3 2" xfId="3696"/>
    <cellStyle name="Normal 2 20 4 6 3 2 2" xfId="3697"/>
    <cellStyle name="Normal 2 20 4 6 3 2 3" xfId="3698"/>
    <cellStyle name="Normal 2 20 4 6 3 3" xfId="3699"/>
    <cellStyle name="Normal 2 20 4 6 3 4" xfId="3700"/>
    <cellStyle name="Normal 2 20 4 6 4" xfId="3701"/>
    <cellStyle name="Normal 2 20 4 6 4 2" xfId="3702"/>
    <cellStyle name="Normal 2 20 4 6 4 3" xfId="3703"/>
    <cellStyle name="Normal 2 20 4 6 5" xfId="3704"/>
    <cellStyle name="Normal 2 20 4 6 6" xfId="3705"/>
    <cellStyle name="Normal 2 20 4 7" xfId="3706"/>
    <cellStyle name="Normal 2 20 4 7 2" xfId="3707"/>
    <cellStyle name="Normal 2 20 4 7 2 2" xfId="3708"/>
    <cellStyle name="Normal 2 20 4 7 2 2 2" xfId="3709"/>
    <cellStyle name="Normal 2 20 4 7 2 2 3" xfId="3710"/>
    <cellStyle name="Normal 2 20 4 7 2 3" xfId="3711"/>
    <cellStyle name="Normal 2 20 4 7 2 4" xfId="3712"/>
    <cellStyle name="Normal 2 20 4 7 3" xfId="3713"/>
    <cellStyle name="Normal 2 20 4 7 3 2" xfId="3714"/>
    <cellStyle name="Normal 2 20 4 7 3 2 2" xfId="3715"/>
    <cellStyle name="Normal 2 20 4 7 3 2 3" xfId="3716"/>
    <cellStyle name="Normal 2 20 4 7 3 3" xfId="3717"/>
    <cellStyle name="Normal 2 20 4 7 3 4" xfId="3718"/>
    <cellStyle name="Normal 2 20 4 7 4" xfId="3719"/>
    <cellStyle name="Normal 2 20 4 7 4 2" xfId="3720"/>
    <cellStyle name="Normal 2 20 4 7 4 3" xfId="3721"/>
    <cellStyle name="Normal 2 20 4 7 5" xfId="3722"/>
    <cellStyle name="Normal 2 20 4 7 6" xfId="3723"/>
    <cellStyle name="Normal 2 20 4 8" xfId="3724"/>
    <cellStyle name="Normal 2 20 4 8 2" xfId="3725"/>
    <cellStyle name="Normal 2 20 4 8 2 2" xfId="3726"/>
    <cellStyle name="Normal 2 20 4 8 2 2 2" xfId="3727"/>
    <cellStyle name="Normal 2 20 4 8 2 2 3" xfId="3728"/>
    <cellStyle name="Normal 2 20 4 8 2 3" xfId="3729"/>
    <cellStyle name="Normal 2 20 4 8 2 4" xfId="3730"/>
    <cellStyle name="Normal 2 20 4 8 3" xfId="3731"/>
    <cellStyle name="Normal 2 20 4 8 3 2" xfId="3732"/>
    <cellStyle name="Normal 2 20 4 8 3 2 2" xfId="3733"/>
    <cellStyle name="Normal 2 20 4 8 3 2 3" xfId="3734"/>
    <cellStyle name="Normal 2 20 4 8 3 3" xfId="3735"/>
    <cellStyle name="Normal 2 20 4 8 3 4" xfId="3736"/>
    <cellStyle name="Normal 2 20 4 8 4" xfId="3737"/>
    <cellStyle name="Normal 2 20 4 8 4 2" xfId="3738"/>
    <cellStyle name="Normal 2 20 4 8 4 3" xfId="3739"/>
    <cellStyle name="Normal 2 20 4 8 5" xfId="3740"/>
    <cellStyle name="Normal 2 20 4 8 6" xfId="3741"/>
    <cellStyle name="Normal 2 20 4 9" xfId="3742"/>
    <cellStyle name="Normal 2 20 4 9 2" xfId="3743"/>
    <cellStyle name="Normal 2 20 4 9 2 2" xfId="3744"/>
    <cellStyle name="Normal 2 20 4 9 2 3" xfId="3745"/>
    <cellStyle name="Normal 2 20 4 9 3" xfId="3746"/>
    <cellStyle name="Normal 2 20 4 9 4" xfId="3747"/>
    <cellStyle name="Normal 2 20 5" xfId="3748"/>
    <cellStyle name="Normal 2 20 5 2" xfId="3749"/>
    <cellStyle name="Normal 2 20 5 2 2" xfId="3750"/>
    <cellStyle name="Normal 2 20 5 2 2 2" xfId="3751"/>
    <cellStyle name="Normal 2 20 5 2 2 2 2" xfId="3752"/>
    <cellStyle name="Normal 2 20 5 2 2 2 3" xfId="3753"/>
    <cellStyle name="Normal 2 20 5 2 2 3" xfId="3754"/>
    <cellStyle name="Normal 2 20 5 2 2 4" xfId="3755"/>
    <cellStyle name="Normal 2 20 5 2 3" xfId="3756"/>
    <cellStyle name="Normal 2 20 5 2 3 2" xfId="3757"/>
    <cellStyle name="Normal 2 20 5 2 3 2 2" xfId="3758"/>
    <cellStyle name="Normal 2 20 5 2 3 2 3" xfId="3759"/>
    <cellStyle name="Normal 2 20 5 2 3 3" xfId="3760"/>
    <cellStyle name="Normal 2 20 5 2 3 4" xfId="3761"/>
    <cellStyle name="Normal 2 20 5 2 4" xfId="3762"/>
    <cellStyle name="Normal 2 20 5 2 4 2" xfId="3763"/>
    <cellStyle name="Normal 2 20 5 2 4 3" xfId="3764"/>
    <cellStyle name="Normal 2 20 5 2 5" xfId="3765"/>
    <cellStyle name="Normal 2 20 5 2 6" xfId="3766"/>
    <cellStyle name="Normal 2 20 5 3" xfId="3767"/>
    <cellStyle name="Normal 2 20 5 3 2" xfId="3768"/>
    <cellStyle name="Normal 2 20 5 3 2 2" xfId="3769"/>
    <cellStyle name="Normal 2 20 5 3 2 2 2" xfId="3770"/>
    <cellStyle name="Normal 2 20 5 3 2 2 3" xfId="3771"/>
    <cellStyle name="Normal 2 20 5 3 2 3" xfId="3772"/>
    <cellStyle name="Normal 2 20 5 3 2 4" xfId="3773"/>
    <cellStyle name="Normal 2 20 5 3 3" xfId="3774"/>
    <cellStyle name="Normal 2 20 5 3 3 2" xfId="3775"/>
    <cellStyle name="Normal 2 20 5 3 3 2 2" xfId="3776"/>
    <cellStyle name="Normal 2 20 5 3 3 2 3" xfId="3777"/>
    <cellStyle name="Normal 2 20 5 3 3 3" xfId="3778"/>
    <cellStyle name="Normal 2 20 5 3 3 4" xfId="3779"/>
    <cellStyle name="Normal 2 20 5 3 4" xfId="3780"/>
    <cellStyle name="Normal 2 20 5 3 4 2" xfId="3781"/>
    <cellStyle name="Normal 2 20 5 3 4 3" xfId="3782"/>
    <cellStyle name="Normal 2 20 5 3 5" xfId="3783"/>
    <cellStyle name="Normal 2 20 5 3 6" xfId="3784"/>
    <cellStyle name="Normal 2 20 5 4" xfId="3785"/>
    <cellStyle name="Normal 2 20 5 4 2" xfId="3786"/>
    <cellStyle name="Normal 2 20 5 4 2 2" xfId="3787"/>
    <cellStyle name="Normal 2 20 5 4 2 3" xfId="3788"/>
    <cellStyle name="Normal 2 20 5 4 3" xfId="3789"/>
    <cellStyle name="Normal 2 20 5 4 4" xfId="3790"/>
    <cellStyle name="Normal 2 20 5 5" xfId="3791"/>
    <cellStyle name="Normal 2 20 5 5 2" xfId="3792"/>
    <cellStyle name="Normal 2 20 5 5 2 2" xfId="3793"/>
    <cellStyle name="Normal 2 20 5 5 2 3" xfId="3794"/>
    <cellStyle name="Normal 2 20 5 5 3" xfId="3795"/>
    <cellStyle name="Normal 2 20 5 5 4" xfId="3796"/>
    <cellStyle name="Normal 2 20 5 6" xfId="3797"/>
    <cellStyle name="Normal 2 20 5 6 2" xfId="3798"/>
    <cellStyle name="Normal 2 20 5 6 3" xfId="3799"/>
    <cellStyle name="Normal 2 20 5 7" xfId="3800"/>
    <cellStyle name="Normal 2 20 5 8" xfId="3801"/>
    <cellStyle name="Normal 2 20 6" xfId="3802"/>
    <cellStyle name="Normal 2 20 6 2" xfId="3803"/>
    <cellStyle name="Normal 2 20 6 2 2" xfId="3804"/>
    <cellStyle name="Normal 2 20 6 2 2 2" xfId="3805"/>
    <cellStyle name="Normal 2 20 6 2 2 2 2" xfId="3806"/>
    <cellStyle name="Normal 2 20 6 2 2 2 3" xfId="3807"/>
    <cellStyle name="Normal 2 20 6 2 2 3" xfId="3808"/>
    <cellStyle name="Normal 2 20 6 2 2 4" xfId="3809"/>
    <cellStyle name="Normal 2 20 6 2 3" xfId="3810"/>
    <cellStyle name="Normal 2 20 6 2 3 2" xfId="3811"/>
    <cellStyle name="Normal 2 20 6 2 3 2 2" xfId="3812"/>
    <cellStyle name="Normal 2 20 6 2 3 2 3" xfId="3813"/>
    <cellStyle name="Normal 2 20 6 2 3 3" xfId="3814"/>
    <cellStyle name="Normal 2 20 6 2 3 4" xfId="3815"/>
    <cellStyle name="Normal 2 20 6 2 4" xfId="3816"/>
    <cellStyle name="Normal 2 20 6 2 4 2" xfId="3817"/>
    <cellStyle name="Normal 2 20 6 2 4 3" xfId="3818"/>
    <cellStyle name="Normal 2 20 6 2 5" xfId="3819"/>
    <cellStyle name="Normal 2 20 6 2 6" xfId="3820"/>
    <cellStyle name="Normal 2 20 6 3" xfId="3821"/>
    <cellStyle name="Normal 2 20 6 3 2" xfId="3822"/>
    <cellStyle name="Normal 2 20 6 3 2 2" xfId="3823"/>
    <cellStyle name="Normal 2 20 6 3 2 2 2" xfId="3824"/>
    <cellStyle name="Normal 2 20 6 3 2 2 3" xfId="3825"/>
    <cellStyle name="Normal 2 20 6 3 2 3" xfId="3826"/>
    <cellStyle name="Normal 2 20 6 3 2 4" xfId="3827"/>
    <cellStyle name="Normal 2 20 6 3 3" xfId="3828"/>
    <cellStyle name="Normal 2 20 6 3 3 2" xfId="3829"/>
    <cellStyle name="Normal 2 20 6 3 3 2 2" xfId="3830"/>
    <cellStyle name="Normal 2 20 6 3 3 2 3" xfId="3831"/>
    <cellStyle name="Normal 2 20 6 3 3 3" xfId="3832"/>
    <cellStyle name="Normal 2 20 6 3 3 4" xfId="3833"/>
    <cellStyle name="Normal 2 20 6 3 4" xfId="3834"/>
    <cellStyle name="Normal 2 20 6 3 4 2" xfId="3835"/>
    <cellStyle name="Normal 2 20 6 3 4 3" xfId="3836"/>
    <cellStyle name="Normal 2 20 6 3 5" xfId="3837"/>
    <cellStyle name="Normal 2 20 6 3 6" xfId="3838"/>
    <cellStyle name="Normal 2 20 6 4" xfId="3839"/>
    <cellStyle name="Normal 2 20 6 4 2" xfId="3840"/>
    <cellStyle name="Normal 2 20 6 4 2 2" xfId="3841"/>
    <cellStyle name="Normal 2 20 6 4 2 3" xfId="3842"/>
    <cellStyle name="Normal 2 20 6 4 3" xfId="3843"/>
    <cellStyle name="Normal 2 20 6 4 4" xfId="3844"/>
    <cellStyle name="Normal 2 20 6 5" xfId="3845"/>
    <cellStyle name="Normal 2 20 6 5 2" xfId="3846"/>
    <cellStyle name="Normal 2 20 6 5 2 2" xfId="3847"/>
    <cellStyle name="Normal 2 20 6 5 2 3" xfId="3848"/>
    <cellStyle name="Normal 2 20 6 5 3" xfId="3849"/>
    <cellStyle name="Normal 2 20 6 5 4" xfId="3850"/>
    <cellStyle name="Normal 2 20 6 6" xfId="3851"/>
    <cellStyle name="Normal 2 20 6 6 2" xfId="3852"/>
    <cellStyle name="Normal 2 20 6 6 3" xfId="3853"/>
    <cellStyle name="Normal 2 20 6 7" xfId="3854"/>
    <cellStyle name="Normal 2 20 6 8" xfId="3855"/>
    <cellStyle name="Normal 2 20 7" xfId="3856"/>
    <cellStyle name="Normal 2 20 7 2" xfId="3857"/>
    <cellStyle name="Normal 2 20 7 2 2" xfId="3858"/>
    <cellStyle name="Normal 2 20 7 2 2 2" xfId="3859"/>
    <cellStyle name="Normal 2 20 7 2 2 2 2" xfId="3860"/>
    <cellStyle name="Normal 2 20 7 2 2 2 3" xfId="3861"/>
    <cellStyle name="Normal 2 20 7 2 2 3" xfId="3862"/>
    <cellStyle name="Normal 2 20 7 2 2 4" xfId="3863"/>
    <cellStyle name="Normal 2 20 7 2 3" xfId="3864"/>
    <cellStyle name="Normal 2 20 7 2 3 2" xfId="3865"/>
    <cellStyle name="Normal 2 20 7 2 3 2 2" xfId="3866"/>
    <cellStyle name="Normal 2 20 7 2 3 2 3" xfId="3867"/>
    <cellStyle name="Normal 2 20 7 2 3 3" xfId="3868"/>
    <cellStyle name="Normal 2 20 7 2 3 4" xfId="3869"/>
    <cellStyle name="Normal 2 20 7 2 4" xfId="3870"/>
    <cellStyle name="Normal 2 20 7 2 4 2" xfId="3871"/>
    <cellStyle name="Normal 2 20 7 2 4 3" xfId="3872"/>
    <cellStyle name="Normal 2 20 7 2 5" xfId="3873"/>
    <cellStyle name="Normal 2 20 7 2 6" xfId="3874"/>
    <cellStyle name="Normal 2 20 7 3" xfId="3875"/>
    <cellStyle name="Normal 2 20 7 3 2" xfId="3876"/>
    <cellStyle name="Normal 2 20 7 3 2 2" xfId="3877"/>
    <cellStyle name="Normal 2 20 7 3 2 2 2" xfId="3878"/>
    <cellStyle name="Normal 2 20 7 3 2 2 3" xfId="3879"/>
    <cellStyle name="Normal 2 20 7 3 2 3" xfId="3880"/>
    <cellStyle name="Normal 2 20 7 3 2 4" xfId="3881"/>
    <cellStyle name="Normal 2 20 7 3 3" xfId="3882"/>
    <cellStyle name="Normal 2 20 7 3 3 2" xfId="3883"/>
    <cellStyle name="Normal 2 20 7 3 3 2 2" xfId="3884"/>
    <cellStyle name="Normal 2 20 7 3 3 2 3" xfId="3885"/>
    <cellStyle name="Normal 2 20 7 3 3 3" xfId="3886"/>
    <cellStyle name="Normal 2 20 7 3 3 4" xfId="3887"/>
    <cellStyle name="Normal 2 20 7 3 4" xfId="3888"/>
    <cellStyle name="Normal 2 20 7 3 4 2" xfId="3889"/>
    <cellStyle name="Normal 2 20 7 3 4 3" xfId="3890"/>
    <cellStyle name="Normal 2 20 7 3 5" xfId="3891"/>
    <cellStyle name="Normal 2 20 7 3 6" xfId="3892"/>
    <cellStyle name="Normal 2 20 7 4" xfId="3893"/>
    <cellStyle name="Normal 2 20 7 4 2" xfId="3894"/>
    <cellStyle name="Normal 2 20 7 4 2 2" xfId="3895"/>
    <cellStyle name="Normal 2 20 7 4 2 3" xfId="3896"/>
    <cellStyle name="Normal 2 20 7 4 3" xfId="3897"/>
    <cellStyle name="Normal 2 20 7 4 4" xfId="3898"/>
    <cellStyle name="Normal 2 20 7 5" xfId="3899"/>
    <cellStyle name="Normal 2 20 7 5 2" xfId="3900"/>
    <cellStyle name="Normal 2 20 7 5 2 2" xfId="3901"/>
    <cellStyle name="Normal 2 20 7 5 2 3" xfId="3902"/>
    <cellStyle name="Normal 2 20 7 5 3" xfId="3903"/>
    <cellStyle name="Normal 2 20 7 5 4" xfId="3904"/>
    <cellStyle name="Normal 2 20 7 6" xfId="3905"/>
    <cellStyle name="Normal 2 20 7 6 2" xfId="3906"/>
    <cellStyle name="Normal 2 20 7 6 3" xfId="3907"/>
    <cellStyle name="Normal 2 20 7 7" xfId="3908"/>
    <cellStyle name="Normal 2 20 7 8" xfId="3909"/>
    <cellStyle name="Normal 2 20 8" xfId="3910"/>
    <cellStyle name="Normal 2 20 8 2" xfId="3911"/>
    <cellStyle name="Normal 2 20 8 2 2" xfId="3912"/>
    <cellStyle name="Normal 2 20 8 2 2 2" xfId="3913"/>
    <cellStyle name="Normal 2 20 8 2 2 2 2" xfId="3914"/>
    <cellStyle name="Normal 2 20 8 2 2 2 3" xfId="3915"/>
    <cellStyle name="Normal 2 20 8 2 2 3" xfId="3916"/>
    <cellStyle name="Normal 2 20 8 2 2 4" xfId="3917"/>
    <cellStyle name="Normal 2 20 8 2 3" xfId="3918"/>
    <cellStyle name="Normal 2 20 8 2 3 2" xfId="3919"/>
    <cellStyle name="Normal 2 20 8 2 3 2 2" xfId="3920"/>
    <cellStyle name="Normal 2 20 8 2 3 2 3" xfId="3921"/>
    <cellStyle name="Normal 2 20 8 2 3 3" xfId="3922"/>
    <cellStyle name="Normal 2 20 8 2 3 4" xfId="3923"/>
    <cellStyle name="Normal 2 20 8 2 4" xfId="3924"/>
    <cellStyle name="Normal 2 20 8 2 4 2" xfId="3925"/>
    <cellStyle name="Normal 2 20 8 2 4 3" xfId="3926"/>
    <cellStyle name="Normal 2 20 8 2 5" xfId="3927"/>
    <cellStyle name="Normal 2 20 8 2 6" xfId="3928"/>
    <cellStyle name="Normal 2 20 8 3" xfId="3929"/>
    <cellStyle name="Normal 2 20 8 3 2" xfId="3930"/>
    <cellStyle name="Normal 2 20 8 3 2 2" xfId="3931"/>
    <cellStyle name="Normal 2 20 8 3 2 2 2" xfId="3932"/>
    <cellStyle name="Normal 2 20 8 3 2 2 3" xfId="3933"/>
    <cellStyle name="Normal 2 20 8 3 2 3" xfId="3934"/>
    <cellStyle name="Normal 2 20 8 3 2 4" xfId="3935"/>
    <cellStyle name="Normal 2 20 8 3 3" xfId="3936"/>
    <cellStyle name="Normal 2 20 8 3 3 2" xfId="3937"/>
    <cellStyle name="Normal 2 20 8 3 3 2 2" xfId="3938"/>
    <cellStyle name="Normal 2 20 8 3 3 2 3" xfId="3939"/>
    <cellStyle name="Normal 2 20 8 3 3 3" xfId="3940"/>
    <cellStyle name="Normal 2 20 8 3 3 4" xfId="3941"/>
    <cellStyle name="Normal 2 20 8 3 4" xfId="3942"/>
    <cellStyle name="Normal 2 20 8 3 4 2" xfId="3943"/>
    <cellStyle name="Normal 2 20 8 3 4 3" xfId="3944"/>
    <cellStyle name="Normal 2 20 8 3 5" xfId="3945"/>
    <cellStyle name="Normal 2 20 8 3 6" xfId="3946"/>
    <cellStyle name="Normal 2 20 8 4" xfId="3947"/>
    <cellStyle name="Normal 2 20 8 4 2" xfId="3948"/>
    <cellStyle name="Normal 2 20 8 4 2 2" xfId="3949"/>
    <cellStyle name="Normal 2 20 8 4 2 3" xfId="3950"/>
    <cellStyle name="Normal 2 20 8 4 3" xfId="3951"/>
    <cellStyle name="Normal 2 20 8 4 4" xfId="3952"/>
    <cellStyle name="Normal 2 20 8 5" xfId="3953"/>
    <cellStyle name="Normal 2 20 8 5 2" xfId="3954"/>
    <cellStyle name="Normal 2 20 8 5 2 2" xfId="3955"/>
    <cellStyle name="Normal 2 20 8 5 2 3" xfId="3956"/>
    <cellStyle name="Normal 2 20 8 5 3" xfId="3957"/>
    <cellStyle name="Normal 2 20 8 5 4" xfId="3958"/>
    <cellStyle name="Normal 2 20 8 6" xfId="3959"/>
    <cellStyle name="Normal 2 20 8 6 2" xfId="3960"/>
    <cellStyle name="Normal 2 20 8 6 3" xfId="3961"/>
    <cellStyle name="Normal 2 20 8 7" xfId="3962"/>
    <cellStyle name="Normal 2 20 8 8" xfId="3963"/>
    <cellStyle name="Normal 2 20 9" xfId="3964"/>
    <cellStyle name="Normal 2 20 9 2" xfId="3965"/>
    <cellStyle name="Normal 2 20 9 2 2" xfId="3966"/>
    <cellStyle name="Normal 2 20 9 2 2 2" xfId="3967"/>
    <cellStyle name="Normal 2 20 9 2 2 2 2" xfId="3968"/>
    <cellStyle name="Normal 2 20 9 2 2 2 3" xfId="3969"/>
    <cellStyle name="Normal 2 20 9 2 2 3" xfId="3970"/>
    <cellStyle name="Normal 2 20 9 2 2 4" xfId="3971"/>
    <cellStyle name="Normal 2 20 9 2 3" xfId="3972"/>
    <cellStyle name="Normal 2 20 9 2 3 2" xfId="3973"/>
    <cellStyle name="Normal 2 20 9 2 3 2 2" xfId="3974"/>
    <cellStyle name="Normal 2 20 9 2 3 2 3" xfId="3975"/>
    <cellStyle name="Normal 2 20 9 2 3 3" xfId="3976"/>
    <cellStyle name="Normal 2 20 9 2 3 4" xfId="3977"/>
    <cellStyle name="Normal 2 20 9 2 4" xfId="3978"/>
    <cellStyle name="Normal 2 20 9 2 4 2" xfId="3979"/>
    <cellStyle name="Normal 2 20 9 2 4 3" xfId="3980"/>
    <cellStyle name="Normal 2 20 9 2 5" xfId="3981"/>
    <cellStyle name="Normal 2 20 9 2 6" xfId="3982"/>
    <cellStyle name="Normal 2 20 9 3" xfId="3983"/>
    <cellStyle name="Normal 2 20 9 3 2" xfId="3984"/>
    <cellStyle name="Normal 2 20 9 3 2 2" xfId="3985"/>
    <cellStyle name="Normal 2 20 9 3 2 2 2" xfId="3986"/>
    <cellStyle name="Normal 2 20 9 3 2 2 3" xfId="3987"/>
    <cellStyle name="Normal 2 20 9 3 2 3" xfId="3988"/>
    <cellStyle name="Normal 2 20 9 3 2 4" xfId="3989"/>
    <cellStyle name="Normal 2 20 9 3 3" xfId="3990"/>
    <cellStyle name="Normal 2 20 9 3 3 2" xfId="3991"/>
    <cellStyle name="Normal 2 20 9 3 3 2 2" xfId="3992"/>
    <cellStyle name="Normal 2 20 9 3 3 2 3" xfId="3993"/>
    <cellStyle name="Normal 2 20 9 3 3 3" xfId="3994"/>
    <cellStyle name="Normal 2 20 9 3 3 4" xfId="3995"/>
    <cellStyle name="Normal 2 20 9 3 4" xfId="3996"/>
    <cellStyle name="Normal 2 20 9 3 4 2" xfId="3997"/>
    <cellStyle name="Normal 2 20 9 3 4 3" xfId="3998"/>
    <cellStyle name="Normal 2 20 9 3 5" xfId="3999"/>
    <cellStyle name="Normal 2 20 9 3 6" xfId="4000"/>
    <cellStyle name="Normal 2 20 9 4" xfId="4001"/>
    <cellStyle name="Normal 2 20 9 4 2" xfId="4002"/>
    <cellStyle name="Normal 2 20 9 4 2 2" xfId="4003"/>
    <cellStyle name="Normal 2 20 9 4 2 3" xfId="4004"/>
    <cellStyle name="Normal 2 20 9 4 3" xfId="4005"/>
    <cellStyle name="Normal 2 20 9 4 4" xfId="4006"/>
    <cellStyle name="Normal 2 20 9 5" xfId="4007"/>
    <cellStyle name="Normal 2 20 9 5 2" xfId="4008"/>
    <cellStyle name="Normal 2 20 9 5 2 2" xfId="4009"/>
    <cellStyle name="Normal 2 20 9 5 2 3" xfId="4010"/>
    <cellStyle name="Normal 2 20 9 5 3" xfId="4011"/>
    <cellStyle name="Normal 2 20 9 5 4" xfId="4012"/>
    <cellStyle name="Normal 2 20 9 6" xfId="4013"/>
    <cellStyle name="Normal 2 20 9 6 2" xfId="4014"/>
    <cellStyle name="Normal 2 20 9 6 3" xfId="4015"/>
    <cellStyle name="Normal 2 20 9 7" xfId="4016"/>
    <cellStyle name="Normal 2 20 9 8" xfId="4017"/>
    <cellStyle name="Normal 2 21" xfId="4018"/>
    <cellStyle name="Normal 2 22" xfId="4019"/>
    <cellStyle name="Normal 2 23" xfId="4020"/>
    <cellStyle name="Normal 2 24" xfId="4021"/>
    <cellStyle name="Normal 2 25" xfId="4022"/>
    <cellStyle name="Normal 2 25 2" xfId="4023"/>
    <cellStyle name="Normal 2 25 2 2" xfId="4024"/>
    <cellStyle name="Normal 2 25 2 3" xfId="4025"/>
    <cellStyle name="Normal 2 25 3" xfId="4026"/>
    <cellStyle name="Normal 2 25 4" xfId="4027"/>
    <cellStyle name="Normal 2 26" xfId="4028"/>
    <cellStyle name="Normal 2 26 2" xfId="4029"/>
    <cellStyle name="Normal 2 26 2 2" xfId="4030"/>
    <cellStyle name="Normal 2 26 2 3" xfId="4031"/>
    <cellStyle name="Normal 2 26 3" xfId="4032"/>
    <cellStyle name="Normal 2 26 4" xfId="4033"/>
    <cellStyle name="Normal 2 27" xfId="4034"/>
    <cellStyle name="Normal 2 27 2" xfId="4035"/>
    <cellStyle name="Normal 2 27 3" xfId="4036"/>
    <cellStyle name="Normal 2 3" xfId="4037"/>
    <cellStyle name="Normal 2 4" xfId="4038"/>
    <cellStyle name="Normal 2 5" xfId="4039"/>
    <cellStyle name="Normal 2 6" xfId="4040"/>
    <cellStyle name="Normal 2 6 2" xfId="4217"/>
    <cellStyle name="Normal 2 7" xfId="4041"/>
    <cellStyle name="Normal 2 8" xfId="4042"/>
    <cellStyle name="Normal 2 9" xfId="4043"/>
    <cellStyle name="Normal 20" xfId="4044"/>
    <cellStyle name="Normal 20 10" xfId="4045"/>
    <cellStyle name="Normal 20 11" xfId="4046"/>
    <cellStyle name="Normal 20 12" xfId="4047"/>
    <cellStyle name="Normal 20 13" xfId="4048"/>
    <cellStyle name="Normal 20 14" xfId="4049"/>
    <cellStyle name="Normal 20 15" xfId="4050"/>
    <cellStyle name="Normal 20 16" xfId="4051"/>
    <cellStyle name="Normal 20 17" xfId="4052"/>
    <cellStyle name="Normal 20 2" xfId="4053"/>
    <cellStyle name="Normal 20 3" xfId="4054"/>
    <cellStyle name="Normal 20 4" xfId="4055"/>
    <cellStyle name="Normal 20 5" xfId="4056"/>
    <cellStyle name="Normal 20 6" xfId="4057"/>
    <cellStyle name="Normal 20 7" xfId="4058"/>
    <cellStyle name="Normal 20 8" xfId="4059"/>
    <cellStyle name="Normal 20 9" xfId="4060"/>
    <cellStyle name="Normal 21" xfId="4061"/>
    <cellStyle name="Normal 22" xfId="4062"/>
    <cellStyle name="Normal 23" xfId="4063"/>
    <cellStyle name="Normal 24" xfId="4064"/>
    <cellStyle name="Normal 25" xfId="4065"/>
    <cellStyle name="Normal 26" xfId="4066"/>
    <cellStyle name="Normal 27" xfId="4067"/>
    <cellStyle name="Normal 27 2" xfId="4068"/>
    <cellStyle name="Normal 27 3" xfId="4069"/>
    <cellStyle name="Normal 28" xfId="4070"/>
    <cellStyle name="Normal 28 2" xfId="4071"/>
    <cellStyle name="Normal 29" xfId="4072"/>
    <cellStyle name="Normal 3" xfId="4073"/>
    <cellStyle name="Normal 3 10" xfId="4074"/>
    <cellStyle name="Normal 3 11" xfId="4075"/>
    <cellStyle name="Normal 3 12" xfId="4076"/>
    <cellStyle name="Normal 3 13" xfId="4077"/>
    <cellStyle name="Normal 3 14" xfId="4078"/>
    <cellStyle name="Normal 3 15" xfId="4079"/>
    <cellStyle name="Normal 3 16" xfId="4080"/>
    <cellStyle name="Normal 3 17" xfId="4081"/>
    <cellStyle name="Normal 3 2" xfId="4082"/>
    <cellStyle name="Normal 3 3" xfId="4083"/>
    <cellStyle name="Normal 3 4" xfId="4084"/>
    <cellStyle name="Normal 3 5" xfId="4085"/>
    <cellStyle name="Normal 3 6" xfId="4086"/>
    <cellStyle name="Normal 3 7" xfId="4087"/>
    <cellStyle name="Normal 3 8" xfId="4088"/>
    <cellStyle name="Normal 3 9" xfId="4089"/>
    <cellStyle name="Normal 30" xfId="4090"/>
    <cellStyle name="Normal 30 2" xfId="4091"/>
    <cellStyle name="Normal 30 3" xfId="4092"/>
    <cellStyle name="Normal 31" xfId="4093"/>
    <cellStyle name="Normal 31 2" xfId="4094"/>
    <cellStyle name="Normal 31 3" xfId="4095"/>
    <cellStyle name="Normal 32" xfId="4096"/>
    <cellStyle name="Normal 33" xfId="4097"/>
    <cellStyle name="Normal 34" xfId="4098"/>
    <cellStyle name="Normal 34 2" xfId="4099"/>
    <cellStyle name="Normal 34 2 2" xfId="4100"/>
    <cellStyle name="Normal 34 2 2 2" xfId="4101"/>
    <cellStyle name="Normal 34 2 2 3" xfId="4102"/>
    <cellStyle name="Normal 34 2 3" xfId="4103"/>
    <cellStyle name="Normal 34 2 4" xfId="4104"/>
    <cellStyle name="Normal 34 3" xfId="4105"/>
    <cellStyle name="Normal 34 3 2" xfId="4106"/>
    <cellStyle name="Normal 34 4" xfId="4107"/>
    <cellStyle name="Normal 34 4 2" xfId="4108"/>
    <cellStyle name="Normal 34 4 3" xfId="4109"/>
    <cellStyle name="Normal 34 5" xfId="4110"/>
    <cellStyle name="Normal 34 6" xfId="4111"/>
    <cellStyle name="Normal 35" xfId="4112"/>
    <cellStyle name="Normal 36" xfId="4213"/>
    <cellStyle name="Normal 4" xfId="4113"/>
    <cellStyle name="Normal 4 10" xfId="4114"/>
    <cellStyle name="Normal 4 11" xfId="4115"/>
    <cellStyle name="Normal 4 12" xfId="4116"/>
    <cellStyle name="Normal 4 13" xfId="4117"/>
    <cellStyle name="Normal 4 14" xfId="4118"/>
    <cellStyle name="Normal 4 15" xfId="4119"/>
    <cellStyle name="Normal 4 16" xfId="4120"/>
    <cellStyle name="Normal 4 17" xfId="4121"/>
    <cellStyle name="Normal 4 2" xfId="4122"/>
    <cellStyle name="Normal 4 3" xfId="4123"/>
    <cellStyle name="Normal 4 4" xfId="4124"/>
    <cellStyle name="Normal 4 5" xfId="4125"/>
    <cellStyle name="Normal 4 6" xfId="4126"/>
    <cellStyle name="Normal 4 7" xfId="4127"/>
    <cellStyle name="Normal 4 8" xfId="4128"/>
    <cellStyle name="Normal 4 9" xfId="4129"/>
    <cellStyle name="Normal 5" xfId="4130"/>
    <cellStyle name="Normal 5 10" xfId="4131"/>
    <cellStyle name="Normal 5 11" xfId="4132"/>
    <cellStyle name="Normal 5 12" xfId="4133"/>
    <cellStyle name="Normal 5 13" xfId="4134"/>
    <cellStyle name="Normal 5 14" xfId="4135"/>
    <cellStyle name="Normal 5 15" xfId="4136"/>
    <cellStyle name="Normal 5 16" xfId="4137"/>
    <cellStyle name="Normal 5 17" xfId="4138"/>
    <cellStyle name="Normal 5 2" xfId="4139"/>
    <cellStyle name="Normal 5 3" xfId="4140"/>
    <cellStyle name="Normal 5 4" xfId="4141"/>
    <cellStyle name="Normal 5 5" xfId="4142"/>
    <cellStyle name="Normal 5 6" xfId="4143"/>
    <cellStyle name="Normal 5 7" xfId="4144"/>
    <cellStyle name="Normal 5 8" xfId="4145"/>
    <cellStyle name="Normal 5 9" xfId="4146"/>
    <cellStyle name="Normal 6" xfId="4147"/>
    <cellStyle name="Normal 6 10" xfId="4148"/>
    <cellStyle name="Normal 6 11" xfId="4149"/>
    <cellStyle name="Normal 6 12" xfId="4150"/>
    <cellStyle name="Normal 6 13" xfId="4151"/>
    <cellStyle name="Normal 6 14" xfId="4152"/>
    <cellStyle name="Normal 6 15" xfId="4153"/>
    <cellStyle name="Normal 6 16" xfId="4154"/>
    <cellStyle name="Normal 6 17" xfId="4155"/>
    <cellStyle name="Normal 6 2" xfId="4156"/>
    <cellStyle name="Normal 6 3" xfId="4157"/>
    <cellStyle name="Normal 6 4" xfId="4158"/>
    <cellStyle name="Normal 6 5" xfId="4159"/>
    <cellStyle name="Normal 6 6" xfId="4160"/>
    <cellStyle name="Normal 6 7" xfId="4161"/>
    <cellStyle name="Normal 6 8" xfId="4162"/>
    <cellStyle name="Normal 6 9" xfId="4163"/>
    <cellStyle name="Normal 7" xfId="4164"/>
    <cellStyle name="Normal 7 2" xfId="4165"/>
    <cellStyle name="Normal 8" xfId="4166"/>
    <cellStyle name="Normal 8 10" xfId="4167"/>
    <cellStyle name="Normal 8 11" xfId="4168"/>
    <cellStyle name="Normal 8 12" xfId="4169"/>
    <cellStyle name="Normal 8 13" xfId="4170"/>
    <cellStyle name="Normal 8 14" xfId="4171"/>
    <cellStyle name="Normal 8 15" xfId="4172"/>
    <cellStyle name="Normal 8 16" xfId="4173"/>
    <cellStyle name="Normal 8 17" xfId="4174"/>
    <cellStyle name="Normal 8 18" xfId="4175"/>
    <cellStyle name="Normal 8 19" xfId="4176"/>
    <cellStyle name="Normal 8 2" xfId="4177"/>
    <cellStyle name="Normal 8 20" xfId="4178"/>
    <cellStyle name="Normal 8 21" xfId="4179"/>
    <cellStyle name="Normal 8 22" xfId="4180"/>
    <cellStyle name="Normal 8 23" xfId="4181"/>
    <cellStyle name="Normal 8 24" xfId="4182"/>
    <cellStyle name="Normal 8 25" xfId="4183"/>
    <cellStyle name="Normal 8 26" xfId="4184"/>
    <cellStyle name="Normal 8 27" xfId="4185"/>
    <cellStyle name="Normal 8 28" xfId="4186"/>
    <cellStyle name="Normal 8 29" xfId="4187"/>
    <cellStyle name="Normal 8 3" xfId="4188"/>
    <cellStyle name="Normal 8 4" xfId="4189"/>
    <cellStyle name="Normal 8 5" xfId="4190"/>
    <cellStyle name="Normal 8 6" xfId="4191"/>
    <cellStyle name="Normal 8 7" xfId="4192"/>
    <cellStyle name="Normal 8 8" xfId="4193"/>
    <cellStyle name="Normal 8 9" xfId="4194"/>
    <cellStyle name="Normal 9" xfId="4195"/>
    <cellStyle name="Normal 9 10" xfId="4196"/>
    <cellStyle name="Normal 9 11" xfId="4197"/>
    <cellStyle name="Normal 9 12" xfId="4198"/>
    <cellStyle name="Normal 9 13" xfId="4199"/>
    <cellStyle name="Normal 9 14" xfId="4200"/>
    <cellStyle name="Normal 9 15" xfId="4201"/>
    <cellStyle name="Normal 9 16" xfId="4202"/>
    <cellStyle name="Normal 9 17" xfId="4203"/>
    <cellStyle name="Normal 9 2" xfId="4204"/>
    <cellStyle name="Normal 9 3" xfId="4205"/>
    <cellStyle name="Normal 9 4" xfId="4206"/>
    <cellStyle name="Normal 9 5" xfId="4207"/>
    <cellStyle name="Normal 9 6" xfId="4208"/>
    <cellStyle name="Normal 9 7" xfId="4209"/>
    <cellStyle name="Normal 9 8" xfId="4210"/>
    <cellStyle name="Normal 9 9" xfId="4211"/>
    <cellStyle name="Normal_FDD Workbook Template1" xfId="1"/>
    <cellStyle name="Percent 2" xfId="4212"/>
  </cellStyles>
  <dxfs count="0"/>
  <tableStyles count="0" defaultTableStyle="TableStyleMedium2" defaultPivotStyle="PivotStyleLight16"/>
  <colors>
    <mruColors>
      <color rgb="FF0000CC"/>
      <color rgb="FFFFFF00"/>
      <color rgb="FFFFFFCC"/>
      <color rgb="FF00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DD%20Workbook%20Template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EOINT/Registry/_Registry%20Manager/_AS%20Registry/__Export/Workbooks/ANAS%20(v1.0_draft3)%20EC.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EOINT%20Registry/_Registry%20Manager/_DCS/TDS/NAS%20Profile/_Export/Workbooks/Templates/GSIP-style%20AS%20Template.xlt"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nfstl02\office3\Documents%20and%20Settings\pbirkel\Desktop\Feature-level%20Map%20v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ature Types"/>
      <sheetName val="Feature Attributes"/>
      <sheetName val="Attribute Listed Values"/>
    </sheetNames>
    <sheetDataSet>
      <sheetData sheetId="0"/>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Entity_Views"/>
      <sheetName val="Entities"/>
      <sheetName val="Entity_Types"/>
      <sheetName val="Entity_Attributes"/>
      <sheetName val="Listed_Values"/>
      <sheetName val="Associations"/>
      <sheetName val="Thematic_Groups"/>
      <sheetName val="View_Groups"/>
      <sheetName val="View_Type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tity_Views"/>
      <sheetName val="Entities"/>
      <sheetName val="Info_Types"/>
      <sheetName val="Info_Attributes"/>
      <sheetName val="Info_Datatypes"/>
      <sheetName val="Info_DatatypeListedValues"/>
      <sheetName val="View_Groups"/>
      <sheetName val="View_Types"/>
      <sheetName val="Shape_Encoding"/>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IFD_Map"/>
      <sheetName val="GNDB_Map"/>
      <sheetName val="DVOF_Map"/>
      <sheetName val="NFDD_Features"/>
      <sheetName val="NFDD_Attributes"/>
      <sheetName val="NFDD_Enumerants"/>
      <sheetName val="FACC_Features"/>
      <sheetName val="FACC_Attributes"/>
      <sheetName val="FACC_Enumerants"/>
    </sheetNames>
    <sheetDataSet>
      <sheetData sheetId="0"/>
      <sheetData sheetId="1"/>
      <sheetData sheetId="2"/>
      <sheetData sheetId="3">
        <row r="1">
          <cell r="A1" t="str">
            <v>count</v>
          </cell>
          <cell r="B1" t="str">
            <v>DVOF</v>
          </cell>
          <cell r="C1" t="str">
            <v>Primary Name</v>
          </cell>
          <cell r="D1" t="str">
            <v>Secondary Name</v>
          </cell>
          <cell r="E1" t="str">
            <v>NFDD</v>
          </cell>
          <cell r="F1" t="str">
            <v>NSG FC Entity Name</v>
          </cell>
          <cell r="H1" t="str">
            <v>Code</v>
          </cell>
          <cell r="I1" t="str">
            <v>Code</v>
          </cell>
          <cell r="J1" t="str">
            <v>Attribute1</v>
          </cell>
          <cell r="K1" t="str">
            <v>Enum1</v>
          </cell>
          <cell r="M1" t="str">
            <v>Code</v>
          </cell>
          <cell r="N1" t="str">
            <v>Code</v>
          </cell>
          <cell r="O1" t="str">
            <v>Attribute2</v>
          </cell>
          <cell r="P1" t="str">
            <v>Enum2</v>
          </cell>
          <cell r="R1" t="str">
            <v>Code</v>
          </cell>
          <cell r="S1" t="str">
            <v>Code</v>
          </cell>
          <cell r="T1" t="str">
            <v>Attribute3</v>
          </cell>
          <cell r="U1" t="str">
            <v>Enum3</v>
          </cell>
          <cell r="V1" t="str">
            <v>Notes</v>
          </cell>
        </row>
        <row r="2">
          <cell r="B2" t="str">
            <v>&lt;0&gt;</v>
          </cell>
          <cell r="C2" t="str">
            <v>Place</v>
          </cell>
          <cell r="D2" t="str">
            <v>(See Data Item Palace)</v>
          </cell>
          <cell r="G2" t="str">
            <v>_</v>
          </cell>
          <cell r="L2" t="str">
            <v>_</v>
          </cell>
          <cell r="Q2" t="str">
            <v>_</v>
          </cell>
          <cell r="V2" t="str">
            <v>Provided for reference from the DVOF specification.</v>
          </cell>
        </row>
        <row r="3">
          <cell r="B3" t="str">
            <v>&lt;1&gt;</v>
          </cell>
          <cell r="C3" t="str">
            <v>House of Religious Worship</v>
          </cell>
          <cell r="D3" t="str">
            <v>(See Data Item Church)</v>
          </cell>
          <cell r="G3" t="str">
            <v>_</v>
          </cell>
          <cell r="L3" t="str">
            <v>_</v>
          </cell>
          <cell r="Q3" t="str">
            <v>_</v>
          </cell>
          <cell r="V3" t="str">
            <v>Provided for reference from the DVOF specification.</v>
          </cell>
        </row>
        <row r="4">
          <cell r="B4" t="str">
            <v>&lt;2&gt;</v>
          </cell>
          <cell r="C4" t="str">
            <v>Industrial Building</v>
          </cell>
          <cell r="D4" t="str">
            <v>(See Data Item Industrial Plant)</v>
          </cell>
          <cell r="G4" t="str">
            <v>_</v>
          </cell>
          <cell r="L4" t="str">
            <v>_</v>
          </cell>
          <cell r="Q4" t="str">
            <v>_</v>
          </cell>
          <cell r="V4" t="str">
            <v>Provided for reference from the DVOF specification.</v>
          </cell>
        </row>
        <row r="5">
          <cell r="B5" t="str">
            <v>&lt;3&gt;</v>
          </cell>
          <cell r="C5" t="str">
            <v>Water- Tower Building</v>
          </cell>
          <cell r="D5" t="str">
            <v>(See Data Item Water Tower</v>
          </cell>
          <cell r="G5" t="str">
            <v>_</v>
          </cell>
          <cell r="L5" t="str">
            <v>_</v>
          </cell>
          <cell r="Q5" t="str">
            <v>_</v>
          </cell>
          <cell r="V5" t="str">
            <v>Provided for reference from the DVOF specification.</v>
          </cell>
        </row>
        <row r="6">
          <cell r="B6" t="str">
            <v>&lt;4&gt;</v>
          </cell>
          <cell r="C6" t="str">
            <v>Thermal Power Plant</v>
          </cell>
          <cell r="D6" t="str">
            <v>(See Data Item Smokestack)</v>
          </cell>
          <cell r="G6" t="str">
            <v>_</v>
          </cell>
          <cell r="L6" t="str">
            <v>_</v>
          </cell>
          <cell r="Q6" t="str">
            <v>_</v>
          </cell>
          <cell r="V6" t="str">
            <v>Provided for reference from the DVOF specification.</v>
          </cell>
        </row>
        <row r="7">
          <cell r="B7" t="str">
            <v>&lt;5&gt;</v>
          </cell>
          <cell r="C7" t="str">
            <v>Powerplant</v>
          </cell>
          <cell r="D7" t="str">
            <v>(See Data Item Industrial Plant, and Smokestack)</v>
          </cell>
          <cell r="G7" t="str">
            <v>_</v>
          </cell>
          <cell r="L7" t="str">
            <v>_</v>
          </cell>
          <cell r="Q7" t="str">
            <v>_</v>
          </cell>
          <cell r="V7" t="str">
            <v>Provided for reference from the DVOF specification.</v>
          </cell>
        </row>
        <row r="8">
          <cell r="B8" t="str">
            <v>&lt;6&gt;</v>
          </cell>
          <cell r="C8" t="str">
            <v>Power Transmission Line</v>
          </cell>
          <cell r="D8" t="str">
            <v>(See Data Item Aerial Cable)</v>
          </cell>
          <cell r="G8" t="str">
            <v>_</v>
          </cell>
          <cell r="L8" t="str">
            <v>_</v>
          </cell>
          <cell r="Q8" t="str">
            <v>_</v>
          </cell>
          <cell r="V8" t="str">
            <v>Provided for reference from the DVOF specification.</v>
          </cell>
        </row>
        <row r="9">
          <cell r="B9" t="str">
            <v>&lt;7&gt;</v>
          </cell>
          <cell r="C9" t="str">
            <v>Tank, Telescoping Gasholder (Gasometer)</v>
          </cell>
          <cell r="D9" t="str">
            <v>(See Data Item Gasholder)</v>
          </cell>
          <cell r="G9" t="str">
            <v>_</v>
          </cell>
          <cell r="L9" t="str">
            <v>_</v>
          </cell>
          <cell r="Q9" t="str">
            <v>_</v>
          </cell>
          <cell r="V9" t="str">
            <v>Provided for reference from the DVOF specification.</v>
          </cell>
        </row>
        <row r="10">
          <cell r="B10" t="str">
            <v>&lt;8&gt;</v>
          </cell>
          <cell r="C10" t="str">
            <v>Microwave Tower, Type I</v>
          </cell>
          <cell r="D10" t="str">
            <v>(See Data Item Mast)</v>
          </cell>
          <cell r="G10" t="str">
            <v>_</v>
          </cell>
          <cell r="L10" t="str">
            <v>_</v>
          </cell>
          <cell r="Q10" t="str">
            <v>_</v>
          </cell>
          <cell r="V10" t="str">
            <v>Provided for reference from the DVOF specification.</v>
          </cell>
        </row>
        <row r="11">
          <cell r="B11" t="str">
            <v>&lt;9&gt;</v>
          </cell>
          <cell r="C11" t="str">
            <v>Radio/TV Tower, Type I</v>
          </cell>
          <cell r="D11" t="str">
            <v>(See Data Item Mast)</v>
          </cell>
          <cell r="G11" t="str">
            <v>_</v>
          </cell>
          <cell r="L11" t="str">
            <v>_</v>
          </cell>
          <cell r="Q11" t="str">
            <v>_</v>
          </cell>
          <cell r="V11" t="str">
            <v>Provided for reference from the DVOF specification.</v>
          </cell>
        </row>
        <row r="12">
          <cell r="A12">
            <v>48246</v>
          </cell>
          <cell r="B12" t="str">
            <v>099</v>
          </cell>
          <cell r="C12" t="str">
            <v>Building</v>
          </cell>
          <cell r="D12" t="str">
            <v>General  (All types)</v>
          </cell>
          <cell r="E12" t="str">
            <v>AL013</v>
          </cell>
          <cell r="F12" t="str">
            <v>Building</v>
          </cell>
          <cell r="G12" t="str">
            <v>_</v>
          </cell>
          <cell r="L12" t="str">
            <v>_</v>
          </cell>
          <cell r="Q12" t="str">
            <v>_</v>
          </cell>
        </row>
        <row r="13">
          <cell r="A13">
            <v>283</v>
          </cell>
          <cell r="B13" t="str">
            <v>101</v>
          </cell>
          <cell r="C13" t="str">
            <v>Industrial Structure</v>
          </cell>
          <cell r="D13" t="str">
            <v>Structure, General, Extraction Industry</v>
          </cell>
          <cell r="E13" t="str">
            <v>AL014</v>
          </cell>
          <cell r="F13" t="str">
            <v>Non-building Structure</v>
          </cell>
          <cell r="G13" t="str">
            <v>FFN_40</v>
          </cell>
          <cell r="H13" t="str">
            <v>FFN</v>
          </cell>
          <cell r="I13">
            <v>40</v>
          </cell>
          <cell r="J13" t="str">
            <v>Feature Function(s)</v>
          </cell>
          <cell r="K13" t="str">
            <v>Mining and Quarrying</v>
          </cell>
          <cell r="L13" t="str">
            <v>_</v>
          </cell>
          <cell r="Q13" t="str">
            <v>_</v>
          </cell>
          <cell r="V13" t="str">
            <v>[PVA]: "Could be crushers, powderhouses, explosive magazines." *however* BB states "part of an Industrial Complex" implying that the extraction aspect is ignored in practice.</v>
          </cell>
        </row>
        <row r="14">
          <cell r="A14">
            <v>5835</v>
          </cell>
          <cell r="B14" t="str">
            <v>103</v>
          </cell>
          <cell r="C14" t="str">
            <v>Tower</v>
          </cell>
          <cell r="D14" t="str">
            <v>Derrick, Gas/Oil</v>
          </cell>
          <cell r="E14" t="str">
            <v>AA040</v>
          </cell>
          <cell r="F14" t="str">
            <v>Rig</v>
          </cell>
          <cell r="G14" t="str">
            <v>PPO_157</v>
          </cell>
          <cell r="H14" t="str">
            <v>PPO</v>
          </cell>
          <cell r="I14">
            <v>157</v>
          </cell>
          <cell r="J14" t="str">
            <v>Product</v>
          </cell>
          <cell r="K14" t="str">
            <v>Petroleum and/or Natural Gas</v>
          </cell>
          <cell r="L14" t="str">
            <v>_</v>
          </cell>
          <cell r="Q14" t="str">
            <v>_</v>
          </cell>
        </row>
        <row r="15">
          <cell r="A15">
            <v>1023</v>
          </cell>
          <cell r="B15" t="str">
            <v>104</v>
          </cell>
          <cell r="C15" t="str">
            <v>Platform</v>
          </cell>
          <cell r="D15" t="str">
            <v>Offshore Platform, General</v>
          </cell>
          <cell r="E15" t="str">
            <v>BD110</v>
          </cell>
          <cell r="F15" t="str">
            <v>Offshore Platform</v>
          </cell>
          <cell r="G15" t="str">
            <v>_</v>
          </cell>
          <cell r="L15" t="str">
            <v>_</v>
          </cell>
          <cell r="Q15" t="str">
            <v>_</v>
          </cell>
        </row>
        <row r="16">
          <cell r="A16">
            <v>678</v>
          </cell>
          <cell r="B16" t="str">
            <v>105</v>
          </cell>
          <cell r="C16" t="str">
            <v>Platform</v>
          </cell>
          <cell r="D16" t="str">
            <v>Offshore Platform with Derrick</v>
          </cell>
          <cell r="E16" t="str">
            <v>AA040</v>
          </cell>
          <cell r="F16" t="str">
            <v>Rig</v>
          </cell>
          <cell r="G16" t="str">
            <v>_</v>
          </cell>
          <cell r="L16" t="str">
            <v>_</v>
          </cell>
          <cell r="Q16" t="str">
            <v>_</v>
          </cell>
          <cell r="V16" t="str">
            <v>[NCGIS]: Model as a 'Rig' with association 'isComponentOf' either 'Offshore Platform' or 'Mobile Offshore Drilling Unit' to capture how the derrick and the offshore platform/MODU are related to each other. The associated 'Offshore Platform' feature instan</v>
          </cell>
        </row>
        <row r="17">
          <cell r="A17">
            <v>281</v>
          </cell>
          <cell r="B17" t="str">
            <v>106</v>
          </cell>
          <cell r="C17" t="str">
            <v>Mining Structure</v>
          </cell>
          <cell r="D17" t="str">
            <v>Mine Shaft Superstructure</v>
          </cell>
          <cell r="E17" t="str">
            <v>AA020</v>
          </cell>
          <cell r="F17" t="str">
            <v>Mine Shaft Superstructure</v>
          </cell>
          <cell r="G17" t="str">
            <v>_</v>
          </cell>
          <cell r="L17" t="str">
            <v>_</v>
          </cell>
          <cell r="Q17" t="str">
            <v>_</v>
          </cell>
        </row>
        <row r="18">
          <cell r="A18">
            <v>563</v>
          </cell>
          <cell r="B18" t="str">
            <v>107</v>
          </cell>
          <cell r="C18" t="str">
            <v>Platform</v>
          </cell>
          <cell r="D18" t="str">
            <v>Offshore Platform with Helipad</v>
          </cell>
          <cell r="E18" t="str">
            <v>BD110</v>
          </cell>
          <cell r="F18" t="str">
            <v>Offshore Platform</v>
          </cell>
          <cell r="G18" t="str">
            <v>HEL_</v>
          </cell>
          <cell r="H18" t="str">
            <v>HEL</v>
          </cell>
          <cell r="J18" t="str">
            <v>Helipad Present</v>
          </cell>
          <cell r="L18" t="str">
            <v>_</v>
          </cell>
          <cell r="Q18" t="str">
            <v>_</v>
          </cell>
        </row>
        <row r="19">
          <cell r="A19">
            <v>589</v>
          </cell>
          <cell r="B19" t="str">
            <v>110</v>
          </cell>
          <cell r="C19" t="str">
            <v>Industrial Structure</v>
          </cell>
          <cell r="D19" t="str">
            <v>Structure, General, Processing Industry</v>
          </cell>
          <cell r="E19" t="str">
            <v>AL014</v>
          </cell>
          <cell r="F19" t="str">
            <v>Non-building Structure</v>
          </cell>
          <cell r="G19" t="str">
            <v>FFN_99</v>
          </cell>
          <cell r="H19" t="str">
            <v>FFN</v>
          </cell>
          <cell r="I19">
            <v>99</v>
          </cell>
          <cell r="J19" t="str">
            <v>Feature Function(s)</v>
          </cell>
          <cell r="K19" t="str">
            <v>Manufacturing</v>
          </cell>
          <cell r="L19" t="str">
            <v>_</v>
          </cell>
          <cell r="Q19" t="str">
            <v>_</v>
          </cell>
          <cell r="V19" t="str">
            <v>[PVA]: "Treat as a general industrial structure that is used when more specific structures (e.g., catalytic cracker, blast furnace, flare pipe) do not apply."</v>
          </cell>
        </row>
        <row r="20">
          <cell r="A20">
            <v>144</v>
          </cell>
          <cell r="B20" t="str">
            <v>111</v>
          </cell>
          <cell r="C20" t="str">
            <v>Industrial Plant</v>
          </cell>
          <cell r="D20" t="str">
            <v>Chemical Processing Plant</v>
          </cell>
          <cell r="E20" t="str">
            <v>AC000</v>
          </cell>
          <cell r="F20" t="str">
            <v>Processing Facility</v>
          </cell>
          <cell r="G20" t="str">
            <v>PPO_16</v>
          </cell>
          <cell r="H20" t="str">
            <v>PPO</v>
          </cell>
          <cell r="I20">
            <v>16</v>
          </cell>
          <cell r="J20" t="str">
            <v>Product</v>
          </cell>
          <cell r="K20" t="str">
            <v>Chemical</v>
          </cell>
          <cell r="L20" t="str">
            <v>_</v>
          </cell>
          <cell r="Q20" t="str">
            <v>_</v>
          </cell>
        </row>
        <row r="21">
          <cell r="A21">
            <v>116</v>
          </cell>
          <cell r="B21" t="str">
            <v>112</v>
          </cell>
          <cell r="C21" t="str">
            <v>Industrial Plant</v>
          </cell>
          <cell r="D21" t="str">
            <v>Metal Processing Plant</v>
          </cell>
          <cell r="E21" t="str">
            <v>AC000</v>
          </cell>
          <cell r="F21" t="str">
            <v>Processing Facility</v>
          </cell>
          <cell r="G21" t="str">
            <v>PPO_69</v>
          </cell>
          <cell r="H21" t="str">
            <v>PPO</v>
          </cell>
          <cell r="I21">
            <v>69</v>
          </cell>
          <cell r="J21" t="str">
            <v>Product</v>
          </cell>
          <cell r="K21" t="str">
            <v>Metal</v>
          </cell>
          <cell r="L21" t="str">
            <v>_</v>
          </cell>
          <cell r="Q21" t="str">
            <v>_</v>
          </cell>
        </row>
        <row r="22">
          <cell r="A22">
            <v>21</v>
          </cell>
          <cell r="B22" t="str">
            <v>115</v>
          </cell>
          <cell r="C22" t="str">
            <v>Industrial Plant</v>
          </cell>
          <cell r="D22" t="str">
            <v>Coke Plant</v>
          </cell>
          <cell r="E22" t="str">
            <v>AC000</v>
          </cell>
          <cell r="F22" t="str">
            <v>Processing Facility</v>
          </cell>
          <cell r="G22" t="str">
            <v>PPO_21</v>
          </cell>
          <cell r="H22" t="str">
            <v>PPO</v>
          </cell>
          <cell r="I22">
            <v>21</v>
          </cell>
          <cell r="J22" t="str">
            <v>Product</v>
          </cell>
          <cell r="K22" t="str">
            <v>Coke</v>
          </cell>
          <cell r="L22" t="str">
            <v>_</v>
          </cell>
          <cell r="Q22" t="str">
            <v>_</v>
          </cell>
        </row>
        <row r="23">
          <cell r="A23">
            <v>66</v>
          </cell>
          <cell r="B23" t="str">
            <v>116</v>
          </cell>
          <cell r="C23" t="str">
            <v>Industrial Structure</v>
          </cell>
          <cell r="D23" t="str">
            <v>Blast Furnace</v>
          </cell>
          <cell r="E23" t="str">
            <v>AC010</v>
          </cell>
          <cell r="F23" t="str">
            <v>Blast-furnace</v>
          </cell>
          <cell r="G23" t="str">
            <v>_</v>
          </cell>
          <cell r="L23" t="str">
            <v>_</v>
          </cell>
          <cell r="Q23" t="str">
            <v>_</v>
          </cell>
        </row>
        <row r="24">
          <cell r="A24">
            <v>186</v>
          </cell>
          <cell r="B24" t="str">
            <v>120</v>
          </cell>
          <cell r="C24" t="str">
            <v>Industrial Plant</v>
          </cell>
          <cell r="D24" t="str">
            <v>Refinery</v>
          </cell>
          <cell r="E24" t="str">
            <v>AC040</v>
          </cell>
          <cell r="F24" t="str">
            <v>Hydrocarbon Products Facility</v>
          </cell>
          <cell r="G24" t="str">
            <v>_</v>
          </cell>
          <cell r="L24" t="str">
            <v>_</v>
          </cell>
          <cell r="Q24" t="str">
            <v>_</v>
          </cell>
        </row>
        <row r="25">
          <cell r="A25">
            <v>501</v>
          </cell>
          <cell r="B25" t="str">
            <v>121</v>
          </cell>
          <cell r="C25" t="str">
            <v>Industrial Structure</v>
          </cell>
          <cell r="D25" t="str">
            <v>Catalytic Cracker</v>
          </cell>
          <cell r="E25" t="str">
            <v>AC020</v>
          </cell>
          <cell r="F25" t="str">
            <v>Catalytic Cracker</v>
          </cell>
          <cell r="G25" t="str">
            <v>_</v>
          </cell>
          <cell r="L25" t="str">
            <v>_</v>
          </cell>
          <cell r="Q25" t="str">
            <v>_</v>
          </cell>
        </row>
        <row r="26">
          <cell r="A26">
            <v>1528</v>
          </cell>
          <cell r="B26" t="str">
            <v>122</v>
          </cell>
          <cell r="C26" t="str">
            <v>Industrial Structure</v>
          </cell>
          <cell r="D26" t="str">
            <v>Flare Pipe - Located On Land (in refinery)</v>
          </cell>
          <cell r="E26" t="str">
            <v>AF070</v>
          </cell>
          <cell r="F26" t="str">
            <v>Flare Pipe</v>
          </cell>
          <cell r="G26" t="str">
            <v>SRL_2</v>
          </cell>
          <cell r="H26" t="str">
            <v>SRL</v>
          </cell>
          <cell r="I26">
            <v>2</v>
          </cell>
          <cell r="J26" t="str">
            <v>Location Referenced to Shoreline</v>
          </cell>
          <cell r="K26" t="str">
            <v>Inland</v>
          </cell>
          <cell r="L26" t="str">
            <v>_</v>
          </cell>
          <cell r="Q26" t="str">
            <v>_</v>
          </cell>
        </row>
        <row r="27">
          <cell r="A27">
            <v>1</v>
          </cell>
          <cell r="B27" t="str">
            <v>123</v>
          </cell>
          <cell r="C27" t="str">
            <v>Industrial Structure</v>
          </cell>
          <cell r="D27" t="str">
            <v>Flare Pipe - Located Off Shore</v>
          </cell>
          <cell r="E27" t="str">
            <v>AF070</v>
          </cell>
          <cell r="F27" t="str">
            <v>Flare Pipe</v>
          </cell>
          <cell r="G27" t="str">
            <v>SRL_1</v>
          </cell>
          <cell r="H27" t="str">
            <v>SRL</v>
          </cell>
          <cell r="I27">
            <v>1</v>
          </cell>
          <cell r="J27" t="str">
            <v>Location Referenced to Shoreline</v>
          </cell>
          <cell r="K27" t="str">
            <v>Offshore</v>
          </cell>
          <cell r="L27" t="str">
            <v>_</v>
          </cell>
          <cell r="Q27" t="str">
            <v>_</v>
          </cell>
        </row>
        <row r="28">
          <cell r="A28">
            <v>2052</v>
          </cell>
          <cell r="B28" t="str">
            <v>130</v>
          </cell>
          <cell r="C28" t="str">
            <v>Industrial Plant</v>
          </cell>
          <cell r="D28" t="str">
            <v>Power Plant</v>
          </cell>
          <cell r="E28" t="str">
            <v>AD010</v>
          </cell>
          <cell r="F28" t="str">
            <v>Power Station</v>
          </cell>
          <cell r="G28" t="str">
            <v>_</v>
          </cell>
          <cell r="L28" t="str">
            <v>_</v>
          </cell>
          <cell r="Q28" t="str">
            <v>_</v>
          </cell>
        </row>
        <row r="29">
          <cell r="A29">
            <v>1582</v>
          </cell>
          <cell r="B29" t="str">
            <v>136</v>
          </cell>
          <cell r="C29" t="str">
            <v>Smokestack</v>
          </cell>
          <cell r="D29" t="str">
            <v>Thermal Power-Plant Smokestack</v>
          </cell>
          <cell r="E29" t="str">
            <v>AF010</v>
          </cell>
          <cell r="F29" t="str">
            <v>Smokestack</v>
          </cell>
          <cell r="G29" t="str">
            <v>_</v>
          </cell>
          <cell r="L29" t="str">
            <v>_</v>
          </cell>
          <cell r="Q29" t="str">
            <v>_</v>
          </cell>
          <cell r="V29" t="str">
            <v>[PVA]: "Need to distinguish from 182 (smokestack, general); these are not only the highest point at the power station but also typically provide end-points for power line features." [NCGIS]: Model as a 'Smokestack' with association 'isSmokeStackOf' to a '</v>
          </cell>
        </row>
        <row r="30">
          <cell r="A30">
            <v>12682</v>
          </cell>
          <cell r="B30" t="str">
            <v>137</v>
          </cell>
          <cell r="C30" t="str">
            <v>Pylon</v>
          </cell>
          <cell r="D30" t="str">
            <v>Transformer Yard</v>
          </cell>
          <cell r="E30" t="str">
            <v>AD030</v>
          </cell>
          <cell r="F30" t="str">
            <v>Power Substation</v>
          </cell>
          <cell r="G30" t="str">
            <v>_</v>
          </cell>
          <cell r="L30" t="str">
            <v>_</v>
          </cell>
          <cell r="Q30" t="str">
            <v>_</v>
          </cell>
          <cell r="V30" t="str">
            <v>[PVA]: "Agree to map to a 'Power Substation' rather than a specialized type of 'Pylon'."</v>
          </cell>
        </row>
        <row r="31">
          <cell r="A31">
            <v>0</v>
          </cell>
          <cell r="B31" t="str">
            <v>145</v>
          </cell>
          <cell r="C31" t="str">
            <v>Industrial Structure</v>
          </cell>
          <cell r="D31" t="str">
            <v>Solar Energy Electrical Collection Panels</v>
          </cell>
          <cell r="E31" t="str">
            <v>AD025</v>
          </cell>
          <cell r="F31" t="str">
            <v>Solar Farm</v>
          </cell>
          <cell r="G31" t="str">
            <v>PPO_37</v>
          </cell>
          <cell r="H31" t="str">
            <v>PPO</v>
          </cell>
          <cell r="I31">
            <v>37</v>
          </cell>
          <cell r="J31" t="str">
            <v>Product</v>
          </cell>
          <cell r="K31" t="str">
            <v>Electric Power</v>
          </cell>
          <cell r="L31" t="str">
            <v>_</v>
          </cell>
          <cell r="Q31" t="str">
            <v>_</v>
          </cell>
        </row>
        <row r="32">
          <cell r="A32">
            <v>0</v>
          </cell>
          <cell r="B32" t="str">
            <v>146</v>
          </cell>
          <cell r="C32" t="str">
            <v>Industrial Structure</v>
          </cell>
          <cell r="D32" t="str">
            <v>Solar Energy Heat Collection Panels</v>
          </cell>
          <cell r="E32" t="str">
            <v>AD025</v>
          </cell>
          <cell r="F32" t="str">
            <v>Solar Farm</v>
          </cell>
          <cell r="G32" t="str">
            <v>PPO_146</v>
          </cell>
          <cell r="H32" t="str">
            <v>PPO</v>
          </cell>
          <cell r="I32">
            <v>146</v>
          </cell>
          <cell r="J32" t="str">
            <v>Product</v>
          </cell>
          <cell r="K32" t="str">
            <v>Heating Steam and/or Water</v>
          </cell>
          <cell r="L32" t="str">
            <v>_</v>
          </cell>
          <cell r="Q32" t="str">
            <v>_</v>
          </cell>
        </row>
        <row r="33">
          <cell r="A33">
            <v>87</v>
          </cell>
          <cell r="B33" t="str">
            <v>150</v>
          </cell>
          <cell r="C33" t="str">
            <v>Industrial Plant</v>
          </cell>
          <cell r="D33" t="str">
            <v>Building, Heavy Fabrication Industry, General</v>
          </cell>
          <cell r="E33" t="str">
            <v>AL013</v>
          </cell>
          <cell r="F33" t="str">
            <v>Building</v>
          </cell>
          <cell r="G33" t="str">
            <v>FFN_99</v>
          </cell>
          <cell r="H33" t="str">
            <v>FFN</v>
          </cell>
          <cell r="I33">
            <v>99</v>
          </cell>
          <cell r="J33" t="str">
            <v>Feature Function(s)</v>
          </cell>
          <cell r="K33" t="str">
            <v>Manufacturing</v>
          </cell>
          <cell r="L33" t="str">
            <v>FTP_2</v>
          </cell>
          <cell r="M33" t="str">
            <v>FTP</v>
          </cell>
          <cell r="N33">
            <v>2</v>
          </cell>
          <cell r="O33" t="str">
            <v>Fabrication Facility Type</v>
          </cell>
          <cell r="P33" t="str">
            <v>Heavy</v>
          </cell>
          <cell r="Q33" t="str">
            <v>_</v>
          </cell>
        </row>
        <row r="34">
          <cell r="A34">
            <v>94</v>
          </cell>
          <cell r="B34" t="str">
            <v>151</v>
          </cell>
          <cell r="C34" t="str">
            <v>Industrial Plant</v>
          </cell>
          <cell r="D34" t="str">
            <v>Building with Flat Roof, Heavy Fabrication Industry</v>
          </cell>
          <cell r="E34" t="str">
            <v>AL013</v>
          </cell>
          <cell r="F34" t="str">
            <v>Building</v>
          </cell>
          <cell r="G34" t="str">
            <v>FFN_99</v>
          </cell>
          <cell r="H34" t="str">
            <v>FFN</v>
          </cell>
          <cell r="I34">
            <v>99</v>
          </cell>
          <cell r="J34" t="str">
            <v>Feature Function(s)</v>
          </cell>
          <cell r="K34" t="str">
            <v>Manufacturing</v>
          </cell>
          <cell r="L34" t="str">
            <v>FTP_2</v>
          </cell>
          <cell r="M34" t="str">
            <v>FTP</v>
          </cell>
          <cell r="N34">
            <v>2</v>
          </cell>
          <cell r="O34" t="str">
            <v>Fabrication Facility Type</v>
          </cell>
          <cell r="P34" t="str">
            <v>Heavy</v>
          </cell>
          <cell r="Q34" t="str">
            <v>SSR_41</v>
          </cell>
          <cell r="R34" t="str">
            <v>SSR</v>
          </cell>
          <cell r="S34">
            <v>41</v>
          </cell>
          <cell r="T34" t="str">
            <v>Roof Shape</v>
          </cell>
          <cell r="U34" t="str">
            <v>Flat</v>
          </cell>
        </row>
        <row r="35">
          <cell r="A35">
            <v>28</v>
          </cell>
          <cell r="B35" t="str">
            <v>152</v>
          </cell>
          <cell r="C35" t="str">
            <v>Industrial Plant</v>
          </cell>
          <cell r="D35" t="str">
            <v>Building with Flat Roof and Monitor, Heavy Fabrication Industry (same as type 151 with monitor)</v>
          </cell>
          <cell r="E35" t="str">
            <v>AL013</v>
          </cell>
          <cell r="F35" t="str">
            <v>Building</v>
          </cell>
          <cell r="G35" t="str">
            <v>FFN_99</v>
          </cell>
          <cell r="H35" t="str">
            <v>FFN</v>
          </cell>
          <cell r="I35">
            <v>99</v>
          </cell>
          <cell r="J35" t="str">
            <v>Feature Function(s)</v>
          </cell>
          <cell r="K35" t="str">
            <v>Manufacturing</v>
          </cell>
          <cell r="L35" t="str">
            <v>FTP_2</v>
          </cell>
          <cell r="M35" t="str">
            <v>FTP</v>
          </cell>
          <cell r="N35">
            <v>2</v>
          </cell>
          <cell r="O35" t="str">
            <v>Fabrication Facility Type</v>
          </cell>
          <cell r="P35" t="str">
            <v>Heavy</v>
          </cell>
          <cell r="Q35" t="str">
            <v>SSR_55</v>
          </cell>
          <cell r="R35" t="str">
            <v>SSR</v>
          </cell>
          <cell r="S35">
            <v>55</v>
          </cell>
          <cell r="T35" t="str">
            <v>Roof Shape</v>
          </cell>
          <cell r="U35" t="str">
            <v>Flat with Clerestory</v>
          </cell>
        </row>
        <row r="36">
          <cell r="A36">
            <v>20</v>
          </cell>
          <cell r="B36" t="str">
            <v>153</v>
          </cell>
          <cell r="C36" t="str">
            <v>Industrial Plant</v>
          </cell>
          <cell r="D36" t="str">
            <v>Building with Gable Roof (pitched), Heavy Fabrication Industry</v>
          </cell>
          <cell r="E36" t="str">
            <v>AL013</v>
          </cell>
          <cell r="F36" t="str">
            <v>Building</v>
          </cell>
          <cell r="G36" t="str">
            <v>FFN_99</v>
          </cell>
          <cell r="H36" t="str">
            <v>FFN</v>
          </cell>
          <cell r="I36">
            <v>99</v>
          </cell>
          <cell r="J36" t="str">
            <v>Feature Function(s)</v>
          </cell>
          <cell r="K36" t="str">
            <v>Manufacturing</v>
          </cell>
          <cell r="L36" t="str">
            <v>FTP_2</v>
          </cell>
          <cell r="M36" t="str">
            <v>FTP</v>
          </cell>
          <cell r="N36">
            <v>2</v>
          </cell>
          <cell r="O36" t="str">
            <v>Fabrication Facility Type</v>
          </cell>
          <cell r="P36" t="str">
            <v>Heavy</v>
          </cell>
          <cell r="Q36" t="str">
            <v>SSR_42</v>
          </cell>
          <cell r="R36" t="str">
            <v>SSR</v>
          </cell>
          <cell r="S36">
            <v>42</v>
          </cell>
          <cell r="T36" t="str">
            <v>Roof Shape</v>
          </cell>
          <cell r="U36" t="str">
            <v>Pitched</v>
          </cell>
        </row>
        <row r="37">
          <cell r="A37">
            <v>17</v>
          </cell>
          <cell r="B37" t="str">
            <v>154</v>
          </cell>
          <cell r="C37" t="str">
            <v>Industrial Plant</v>
          </cell>
          <cell r="D37" t="str">
            <v>Building with Gable Roof (pitched) and Monitor, Heavy Fabrication Industry / Fabrication Industry (same as type 153 with monitor)</v>
          </cell>
          <cell r="E37" t="str">
            <v>AL013</v>
          </cell>
          <cell r="F37" t="str">
            <v>Building</v>
          </cell>
          <cell r="G37" t="str">
            <v>FFN_99</v>
          </cell>
          <cell r="H37" t="str">
            <v>FFN</v>
          </cell>
          <cell r="I37">
            <v>99</v>
          </cell>
          <cell r="J37" t="str">
            <v>Feature Function(s)</v>
          </cell>
          <cell r="K37" t="str">
            <v>Manufacturing</v>
          </cell>
          <cell r="L37" t="str">
            <v>FTP_2</v>
          </cell>
          <cell r="M37" t="str">
            <v>FTP</v>
          </cell>
          <cell r="N37">
            <v>2</v>
          </cell>
          <cell r="O37" t="str">
            <v>Fabrication Facility Type</v>
          </cell>
          <cell r="P37" t="str">
            <v>Heavy</v>
          </cell>
          <cell r="Q37" t="str">
            <v>SSR_64</v>
          </cell>
          <cell r="R37" t="str">
            <v>SSR</v>
          </cell>
          <cell r="S37">
            <v>64</v>
          </cell>
          <cell r="T37" t="str">
            <v>Roof Shape</v>
          </cell>
          <cell r="U37" t="str">
            <v>Pitched with Clerestory</v>
          </cell>
        </row>
        <row r="38">
          <cell r="A38">
            <v>2</v>
          </cell>
          <cell r="B38" t="str">
            <v>155</v>
          </cell>
          <cell r="C38" t="str">
            <v>Industrial Plant</v>
          </cell>
          <cell r="D38" t="str">
            <v>Building with Sawtooth Roof, Heavy Fabrication Industry</v>
          </cell>
          <cell r="E38" t="str">
            <v>AL013</v>
          </cell>
          <cell r="F38" t="str">
            <v>Building</v>
          </cell>
          <cell r="G38" t="str">
            <v>FFN_99</v>
          </cell>
          <cell r="H38" t="str">
            <v>FFN</v>
          </cell>
          <cell r="I38">
            <v>99</v>
          </cell>
          <cell r="J38" t="str">
            <v>Feature Function(s)</v>
          </cell>
          <cell r="K38" t="str">
            <v>Manufacturing</v>
          </cell>
          <cell r="L38" t="str">
            <v>FTP_2</v>
          </cell>
          <cell r="M38" t="str">
            <v>FTP</v>
          </cell>
          <cell r="N38">
            <v>2</v>
          </cell>
          <cell r="O38" t="str">
            <v>Fabrication Facility Type</v>
          </cell>
          <cell r="P38" t="str">
            <v>Heavy</v>
          </cell>
          <cell r="Q38" t="str">
            <v>SSR_47</v>
          </cell>
          <cell r="R38" t="str">
            <v>SSR</v>
          </cell>
          <cell r="S38">
            <v>47</v>
          </cell>
          <cell r="T38" t="str">
            <v>Roof Shape</v>
          </cell>
          <cell r="U38" t="str">
            <v>Sawtoothed</v>
          </cell>
        </row>
        <row r="39">
          <cell r="A39">
            <v>2</v>
          </cell>
          <cell r="B39" t="str">
            <v>156</v>
          </cell>
          <cell r="C39" t="str">
            <v>Industrial Plant</v>
          </cell>
          <cell r="D39" t="str">
            <v>Building with Curved Roof, Heavy Fabrication Industry</v>
          </cell>
          <cell r="E39" t="str">
            <v>AL013</v>
          </cell>
          <cell r="F39" t="str">
            <v>Building</v>
          </cell>
          <cell r="G39" t="str">
            <v>FFN_99</v>
          </cell>
          <cell r="H39" t="str">
            <v>FFN</v>
          </cell>
          <cell r="I39">
            <v>99</v>
          </cell>
          <cell r="J39" t="str">
            <v>Feature Function(s)</v>
          </cell>
          <cell r="K39" t="str">
            <v>Manufacturing</v>
          </cell>
          <cell r="L39" t="str">
            <v>FTP_2</v>
          </cell>
          <cell r="M39" t="str">
            <v>FTP</v>
          </cell>
          <cell r="N39">
            <v>2</v>
          </cell>
          <cell r="O39" t="str">
            <v>Fabrication Facility Type</v>
          </cell>
          <cell r="P39" t="str">
            <v>Heavy</v>
          </cell>
          <cell r="Q39" t="str">
            <v>SSR_38</v>
          </cell>
          <cell r="R39" t="str">
            <v>SSR</v>
          </cell>
          <cell r="S39">
            <v>38</v>
          </cell>
          <cell r="T39" t="str">
            <v>Roof Shape</v>
          </cell>
          <cell r="U39" t="str">
            <v>Semi-cylindrical</v>
          </cell>
          <cell r="V39" t="str">
            <v>[PVA]: "Most likely a half-cylinder -- quonset-like -- but there might be unimportant variation; the important information is the heavy/light distinction."</v>
          </cell>
        </row>
        <row r="40">
          <cell r="A40">
            <v>133</v>
          </cell>
          <cell r="B40" t="str">
            <v>160</v>
          </cell>
          <cell r="C40" t="str">
            <v>Industrial Plant</v>
          </cell>
          <cell r="D40" t="str">
            <v>Building, Light Fabrication Industry, General</v>
          </cell>
          <cell r="E40" t="str">
            <v>AL013</v>
          </cell>
          <cell r="F40" t="str">
            <v>Building</v>
          </cell>
          <cell r="G40" t="str">
            <v>FFN_99</v>
          </cell>
          <cell r="H40" t="str">
            <v>FFN</v>
          </cell>
          <cell r="I40">
            <v>99</v>
          </cell>
          <cell r="J40" t="str">
            <v>Feature Function(s)</v>
          </cell>
          <cell r="K40" t="str">
            <v>Manufacturing</v>
          </cell>
          <cell r="L40" t="str">
            <v>FTP_1</v>
          </cell>
          <cell r="M40" t="str">
            <v>FTP</v>
          </cell>
          <cell r="N40">
            <v>1</v>
          </cell>
          <cell r="O40" t="str">
            <v>Fabrication Facility Type</v>
          </cell>
          <cell r="P40" t="str">
            <v>Light</v>
          </cell>
          <cell r="Q40" t="str">
            <v>_</v>
          </cell>
        </row>
        <row r="41">
          <cell r="A41">
            <v>267</v>
          </cell>
          <cell r="B41" t="str">
            <v>161</v>
          </cell>
          <cell r="C41" t="str">
            <v>Industrial Plant</v>
          </cell>
          <cell r="D41" t="str">
            <v>Building with Flat Roof, Light Fabrication Industry</v>
          </cell>
          <cell r="E41" t="str">
            <v>AL013</v>
          </cell>
          <cell r="F41" t="str">
            <v>Building</v>
          </cell>
          <cell r="G41" t="str">
            <v>FFN_99</v>
          </cell>
          <cell r="H41" t="str">
            <v>FFN</v>
          </cell>
          <cell r="I41">
            <v>99</v>
          </cell>
          <cell r="J41" t="str">
            <v>Feature Function(s)</v>
          </cell>
          <cell r="K41" t="str">
            <v>Manufacturing</v>
          </cell>
          <cell r="L41" t="str">
            <v>FTP_1</v>
          </cell>
          <cell r="M41" t="str">
            <v>FTP</v>
          </cell>
          <cell r="N41">
            <v>1</v>
          </cell>
          <cell r="O41" t="str">
            <v>Fabrication Facility Type</v>
          </cell>
          <cell r="P41" t="str">
            <v>Light</v>
          </cell>
          <cell r="Q41" t="str">
            <v>SSR_41</v>
          </cell>
          <cell r="R41" t="str">
            <v>SSR</v>
          </cell>
          <cell r="S41">
            <v>41</v>
          </cell>
          <cell r="T41" t="str">
            <v>Roof Shape</v>
          </cell>
          <cell r="U41" t="str">
            <v>Flat</v>
          </cell>
        </row>
        <row r="42">
          <cell r="A42">
            <v>42</v>
          </cell>
          <cell r="B42" t="str">
            <v>162</v>
          </cell>
          <cell r="C42" t="str">
            <v>Industrial Plant</v>
          </cell>
          <cell r="D42" t="str">
            <v>Building with Flat Roof and Monitor, Light Fabrication Industry (same as type 161 with monitor)</v>
          </cell>
          <cell r="E42" t="str">
            <v>AL013</v>
          </cell>
          <cell r="F42" t="str">
            <v>Building</v>
          </cell>
          <cell r="G42" t="str">
            <v>FFN_99</v>
          </cell>
          <cell r="H42" t="str">
            <v>FFN</v>
          </cell>
          <cell r="I42">
            <v>99</v>
          </cell>
          <cell r="J42" t="str">
            <v>Feature Function(s)</v>
          </cell>
          <cell r="K42" t="str">
            <v>Manufacturing</v>
          </cell>
          <cell r="L42" t="str">
            <v>FTP_1</v>
          </cell>
          <cell r="M42" t="str">
            <v>FTP</v>
          </cell>
          <cell r="N42">
            <v>1</v>
          </cell>
          <cell r="O42" t="str">
            <v>Fabrication Facility Type</v>
          </cell>
          <cell r="P42" t="str">
            <v>Light</v>
          </cell>
          <cell r="Q42" t="str">
            <v>SSR_55</v>
          </cell>
          <cell r="R42" t="str">
            <v>SSR</v>
          </cell>
          <cell r="S42">
            <v>55</v>
          </cell>
          <cell r="T42" t="str">
            <v>Roof Shape</v>
          </cell>
          <cell r="U42" t="str">
            <v>Flat with Clerestory</v>
          </cell>
        </row>
        <row r="43">
          <cell r="A43">
            <v>170</v>
          </cell>
          <cell r="B43" t="str">
            <v>163</v>
          </cell>
          <cell r="C43" t="str">
            <v>Industrial Plant</v>
          </cell>
          <cell r="D43" t="str">
            <v>Building with Gable Roof (pitched), Light Fabrication Industry</v>
          </cell>
          <cell r="E43" t="str">
            <v>AL013</v>
          </cell>
          <cell r="F43" t="str">
            <v>Building</v>
          </cell>
          <cell r="G43" t="str">
            <v>FFN_99</v>
          </cell>
          <cell r="H43" t="str">
            <v>FFN</v>
          </cell>
          <cell r="I43">
            <v>99</v>
          </cell>
          <cell r="J43" t="str">
            <v>Feature Function(s)</v>
          </cell>
          <cell r="K43" t="str">
            <v>Manufacturing</v>
          </cell>
          <cell r="L43" t="str">
            <v>FTP_1</v>
          </cell>
          <cell r="M43" t="str">
            <v>FTP</v>
          </cell>
          <cell r="N43">
            <v>1</v>
          </cell>
          <cell r="O43" t="str">
            <v>Fabrication Facility Type</v>
          </cell>
          <cell r="P43" t="str">
            <v>Light</v>
          </cell>
          <cell r="Q43" t="str">
            <v>SSR_42</v>
          </cell>
          <cell r="R43" t="str">
            <v>SSR</v>
          </cell>
          <cell r="S43">
            <v>42</v>
          </cell>
          <cell r="T43" t="str">
            <v>Roof Shape</v>
          </cell>
          <cell r="U43" t="str">
            <v>Pitched</v>
          </cell>
        </row>
        <row r="44">
          <cell r="A44">
            <v>22</v>
          </cell>
          <cell r="B44" t="str">
            <v>164</v>
          </cell>
          <cell r="C44" t="str">
            <v>Industrial Plant</v>
          </cell>
          <cell r="D44" t="str">
            <v>Building with Gable Roof (pitched) and Monitor, Light Fabrication Industry (same as type 1631 with monitor)</v>
          </cell>
          <cell r="E44" t="str">
            <v>AL013</v>
          </cell>
          <cell r="F44" t="str">
            <v>Building</v>
          </cell>
          <cell r="G44" t="str">
            <v>FFN_99</v>
          </cell>
          <cell r="H44" t="str">
            <v>FFN</v>
          </cell>
          <cell r="I44">
            <v>99</v>
          </cell>
          <cell r="J44" t="str">
            <v>Feature Function(s)</v>
          </cell>
          <cell r="K44" t="str">
            <v>Manufacturing</v>
          </cell>
          <cell r="L44" t="str">
            <v>FTP_1</v>
          </cell>
          <cell r="M44" t="str">
            <v>FTP</v>
          </cell>
          <cell r="N44">
            <v>1</v>
          </cell>
          <cell r="O44" t="str">
            <v>Fabrication Facility Type</v>
          </cell>
          <cell r="P44" t="str">
            <v>Light</v>
          </cell>
          <cell r="Q44" t="str">
            <v>SSR_64</v>
          </cell>
          <cell r="R44" t="str">
            <v>SSR</v>
          </cell>
          <cell r="S44">
            <v>64</v>
          </cell>
          <cell r="T44" t="str">
            <v>Roof Shape</v>
          </cell>
          <cell r="U44" t="str">
            <v>Pitched with Clerestory</v>
          </cell>
        </row>
        <row r="45">
          <cell r="A45">
            <v>30</v>
          </cell>
          <cell r="B45" t="str">
            <v>165</v>
          </cell>
          <cell r="C45" t="str">
            <v>Industrial Plant</v>
          </cell>
          <cell r="D45" t="str">
            <v>Building with Sawtooth Roof, Light Fabrication Industry</v>
          </cell>
          <cell r="E45" t="str">
            <v>AL013</v>
          </cell>
          <cell r="F45" t="str">
            <v>Building</v>
          </cell>
          <cell r="G45" t="str">
            <v>FFN_99</v>
          </cell>
          <cell r="H45" t="str">
            <v>FFN</v>
          </cell>
          <cell r="I45">
            <v>99</v>
          </cell>
          <cell r="J45" t="str">
            <v>Feature Function(s)</v>
          </cell>
          <cell r="K45" t="str">
            <v>Manufacturing</v>
          </cell>
          <cell r="L45" t="str">
            <v>FTP_1</v>
          </cell>
          <cell r="M45" t="str">
            <v>FTP</v>
          </cell>
          <cell r="N45">
            <v>1</v>
          </cell>
          <cell r="O45" t="str">
            <v>Fabrication Facility Type</v>
          </cell>
          <cell r="P45" t="str">
            <v>Light</v>
          </cell>
          <cell r="Q45" t="str">
            <v>SSR_47</v>
          </cell>
          <cell r="R45" t="str">
            <v>SSR</v>
          </cell>
          <cell r="S45">
            <v>47</v>
          </cell>
          <cell r="T45" t="str">
            <v>Roof Shape</v>
          </cell>
          <cell r="U45" t="str">
            <v>Sawtoothed</v>
          </cell>
        </row>
        <row r="46">
          <cell r="A46">
            <v>20</v>
          </cell>
          <cell r="B46" t="str">
            <v>166</v>
          </cell>
          <cell r="C46" t="str">
            <v>Industrial Plant</v>
          </cell>
          <cell r="D46" t="str">
            <v>Building with Curved Roof, Light Fabrication Industry</v>
          </cell>
          <cell r="E46" t="str">
            <v>AL013</v>
          </cell>
          <cell r="F46" t="str">
            <v>Building</v>
          </cell>
          <cell r="G46" t="str">
            <v>FFN_99</v>
          </cell>
          <cell r="H46" t="str">
            <v>FFN</v>
          </cell>
          <cell r="I46">
            <v>99</v>
          </cell>
          <cell r="J46" t="str">
            <v>Feature Function(s)</v>
          </cell>
          <cell r="K46" t="str">
            <v>Manufacturing</v>
          </cell>
          <cell r="L46" t="str">
            <v>FTP_1</v>
          </cell>
          <cell r="M46" t="str">
            <v>FTP</v>
          </cell>
          <cell r="N46">
            <v>1</v>
          </cell>
          <cell r="O46" t="str">
            <v>Fabrication Facility Type</v>
          </cell>
          <cell r="P46" t="str">
            <v>Light</v>
          </cell>
          <cell r="Q46" t="str">
            <v>SSR_38</v>
          </cell>
          <cell r="R46" t="str">
            <v>SSR</v>
          </cell>
          <cell r="S46">
            <v>38</v>
          </cell>
          <cell r="T46" t="str">
            <v>Roof Shape</v>
          </cell>
          <cell r="U46" t="str">
            <v>Semi-cylindrical</v>
          </cell>
          <cell r="V46" t="str">
            <v>[PVA]: "Most likely a half-cylinder -- quonset-like -- but there might be unimportant variation; the important information is the heavy/light distinction."</v>
          </cell>
        </row>
        <row r="47">
          <cell r="A47">
            <v>199</v>
          </cell>
          <cell r="B47" t="str">
            <v>170</v>
          </cell>
          <cell r="C47" t="str">
            <v>Waste Pile</v>
          </cell>
          <cell r="D47" t="str">
            <v>Disposal, General Dump</v>
          </cell>
          <cell r="E47" t="str">
            <v>AB000</v>
          </cell>
          <cell r="F47" t="str">
            <v>Disposal Site</v>
          </cell>
          <cell r="G47" t="str">
            <v>PBY_8</v>
          </cell>
          <cell r="H47" t="str">
            <v>PBY</v>
          </cell>
          <cell r="I47">
            <v>8</v>
          </cell>
          <cell r="J47" t="str">
            <v>By-product</v>
          </cell>
          <cell r="K47" t="str">
            <v>Refuse</v>
          </cell>
          <cell r="L47" t="str">
            <v>_</v>
          </cell>
          <cell r="Q47" t="str">
            <v>_</v>
          </cell>
        </row>
        <row r="48">
          <cell r="A48">
            <v>56</v>
          </cell>
          <cell r="B48" t="str">
            <v>172</v>
          </cell>
          <cell r="C48" t="str">
            <v>Slag Pile</v>
          </cell>
          <cell r="D48" t="str">
            <v>Metal Ore Slag Dump</v>
          </cell>
          <cell r="E48" t="str">
            <v>AB000</v>
          </cell>
          <cell r="F48" t="str">
            <v>Disposal Site</v>
          </cell>
          <cell r="G48" t="str">
            <v>PBY_15</v>
          </cell>
          <cell r="H48" t="str">
            <v>PBY</v>
          </cell>
          <cell r="I48">
            <v>15</v>
          </cell>
          <cell r="J48" t="str">
            <v>By-product</v>
          </cell>
          <cell r="K48" t="str">
            <v>Slag</v>
          </cell>
          <cell r="L48" t="str">
            <v>_</v>
          </cell>
          <cell r="Q48" t="str">
            <v>_</v>
          </cell>
        </row>
        <row r="49">
          <cell r="A49">
            <v>400</v>
          </cell>
          <cell r="B49" t="str">
            <v>173</v>
          </cell>
          <cell r="C49" t="str">
            <v>Waste Pile</v>
          </cell>
          <cell r="D49" t="str">
            <v>Tailing/Waste Pile</v>
          </cell>
          <cell r="E49" t="str">
            <v>AB000</v>
          </cell>
          <cell r="F49" t="str">
            <v>Disposal Site</v>
          </cell>
          <cell r="G49" t="str">
            <v>PBY_17</v>
          </cell>
          <cell r="H49" t="str">
            <v>PBY</v>
          </cell>
          <cell r="I49">
            <v>17</v>
          </cell>
          <cell r="J49" t="str">
            <v>By-product</v>
          </cell>
          <cell r="K49" t="str">
            <v>Spoil</v>
          </cell>
          <cell r="L49" t="str">
            <v>_</v>
          </cell>
          <cell r="Q49" t="str">
            <v>_</v>
          </cell>
        </row>
        <row r="50">
          <cell r="A50">
            <v>1020</v>
          </cell>
          <cell r="B50" t="str">
            <v>180</v>
          </cell>
          <cell r="C50" t="str">
            <v>Industrial Structure</v>
          </cell>
          <cell r="D50" t="str">
            <v>Industrial Structure, General</v>
          </cell>
          <cell r="E50" t="str">
            <v>AL014</v>
          </cell>
          <cell r="F50" t="str">
            <v>Non-building Structure</v>
          </cell>
          <cell r="G50" t="str">
            <v>FFN_99</v>
          </cell>
          <cell r="H50" t="str">
            <v>FFN</v>
          </cell>
          <cell r="I50">
            <v>99</v>
          </cell>
          <cell r="J50" t="str">
            <v>Feature Function(s)</v>
          </cell>
          <cell r="K50" t="str">
            <v>Manufacturing</v>
          </cell>
          <cell r="L50" t="str">
            <v>_</v>
          </cell>
          <cell r="Q50" t="str">
            <v>_</v>
          </cell>
          <cell r="V50" t="str">
            <v>[PVA]: "Wording of structure vs. plant/building may be an artifact of sources and may be dropped, if necessary, thus merging 180/181."</v>
          </cell>
        </row>
        <row r="51">
          <cell r="A51">
            <v>1090</v>
          </cell>
          <cell r="B51" t="str">
            <v>181</v>
          </cell>
          <cell r="C51" t="str">
            <v>Industrial Plant</v>
          </cell>
          <cell r="D51" t="str">
            <v>Building, General Industrial</v>
          </cell>
          <cell r="E51" t="str">
            <v>AL013</v>
          </cell>
          <cell r="F51" t="str">
            <v>Building</v>
          </cell>
          <cell r="G51" t="str">
            <v>FFN_99</v>
          </cell>
          <cell r="H51" t="str">
            <v>FFN</v>
          </cell>
          <cell r="I51">
            <v>99</v>
          </cell>
          <cell r="J51" t="str">
            <v>Feature Function(s)</v>
          </cell>
          <cell r="K51" t="str">
            <v>Manufacturing</v>
          </cell>
          <cell r="L51" t="str">
            <v>_</v>
          </cell>
          <cell r="Q51" t="str">
            <v>_</v>
          </cell>
        </row>
        <row r="52">
          <cell r="A52">
            <v>55232</v>
          </cell>
          <cell r="B52" t="str">
            <v>182</v>
          </cell>
          <cell r="C52" t="str">
            <v>Smokestack</v>
          </cell>
          <cell r="D52" t="str">
            <v>Smokestack, General</v>
          </cell>
          <cell r="E52" t="str">
            <v>AF010</v>
          </cell>
          <cell r="F52" t="str">
            <v>Smokestack</v>
          </cell>
          <cell r="G52" t="str">
            <v>_</v>
          </cell>
          <cell r="L52" t="str">
            <v>_</v>
          </cell>
          <cell r="Q52" t="str">
            <v>_</v>
          </cell>
        </row>
        <row r="53">
          <cell r="A53">
            <v>246</v>
          </cell>
          <cell r="B53" t="str">
            <v>183</v>
          </cell>
          <cell r="C53" t="str">
            <v>Industrial Structure</v>
          </cell>
          <cell r="D53" t="str">
            <v>Conveyor, Industrial</v>
          </cell>
          <cell r="E53" t="str">
            <v>AF020</v>
          </cell>
          <cell r="F53" t="str">
            <v>Conveyor</v>
          </cell>
          <cell r="G53" t="str">
            <v>_</v>
          </cell>
          <cell r="L53" t="str">
            <v>_</v>
          </cell>
          <cell r="Q53" t="str">
            <v>_</v>
          </cell>
        </row>
        <row r="54">
          <cell r="A54">
            <v>544</v>
          </cell>
          <cell r="B54" t="str">
            <v>185</v>
          </cell>
          <cell r="C54" t="str">
            <v>Crane</v>
          </cell>
          <cell r="D54" t="str">
            <v>Bridge Crane, Industrial</v>
          </cell>
          <cell r="E54" t="str">
            <v>AF040</v>
          </cell>
          <cell r="F54" t="str">
            <v>Crane</v>
          </cell>
          <cell r="G54" t="str">
            <v>CRA_2</v>
          </cell>
          <cell r="H54" t="str">
            <v>CRA</v>
          </cell>
          <cell r="I54">
            <v>2</v>
          </cell>
          <cell r="J54" t="str">
            <v>Crane Type</v>
          </cell>
          <cell r="K54" t="str">
            <v>Bridge Crane</v>
          </cell>
          <cell r="L54" t="str">
            <v>_</v>
          </cell>
          <cell r="Q54" t="str">
            <v>_</v>
          </cell>
        </row>
        <row r="55">
          <cell r="A55">
            <v>3681</v>
          </cell>
          <cell r="B55" t="str">
            <v>186</v>
          </cell>
          <cell r="C55" t="str">
            <v>Crane</v>
          </cell>
          <cell r="D55" t="str">
            <v>Rotating Crane, Industrial</v>
          </cell>
          <cell r="E55" t="str">
            <v>AF040</v>
          </cell>
          <cell r="F55" t="str">
            <v>Crane</v>
          </cell>
          <cell r="G55" t="str">
            <v>CRA_3</v>
          </cell>
          <cell r="H55" t="str">
            <v>CRA</v>
          </cell>
          <cell r="I55">
            <v>3</v>
          </cell>
          <cell r="J55" t="str">
            <v>Crane Type</v>
          </cell>
          <cell r="K55" t="str">
            <v>Rotating Crane</v>
          </cell>
          <cell r="L55" t="str">
            <v>_</v>
          </cell>
          <cell r="Q55" t="str">
            <v>_</v>
          </cell>
        </row>
        <row r="56">
          <cell r="A56">
            <v>1393</v>
          </cell>
          <cell r="B56" t="str">
            <v>187</v>
          </cell>
          <cell r="C56" t="str">
            <v>Crane</v>
          </cell>
          <cell r="D56" t="str">
            <v>Rotating Crane on Tower, Industrial (same as type 186 on a tower)</v>
          </cell>
          <cell r="E56" t="str">
            <v>AF040</v>
          </cell>
          <cell r="F56" t="str">
            <v>Crane</v>
          </cell>
          <cell r="G56" t="str">
            <v>CRA_7</v>
          </cell>
          <cell r="H56" t="str">
            <v>CRA</v>
          </cell>
          <cell r="I56">
            <v>7</v>
          </cell>
          <cell r="J56" t="str">
            <v>Crane Type</v>
          </cell>
          <cell r="K56" t="str">
            <v>Tower Crane</v>
          </cell>
          <cell r="L56" t="str">
            <v>_</v>
          </cell>
          <cell r="Q56" t="str">
            <v>_</v>
          </cell>
        </row>
        <row r="57">
          <cell r="A57">
            <v>1657</v>
          </cell>
          <cell r="B57" t="str">
            <v>188</v>
          </cell>
          <cell r="C57" t="str">
            <v>Cooling Tower</v>
          </cell>
          <cell r="D57" t="str">
            <v>Cooling Tower, Industrial</v>
          </cell>
          <cell r="E57" t="str">
            <v>AF030</v>
          </cell>
          <cell r="F57" t="str">
            <v>Cooling Tower</v>
          </cell>
          <cell r="G57" t="str">
            <v>_</v>
          </cell>
          <cell r="L57" t="str">
            <v>_</v>
          </cell>
          <cell r="Q57" t="str">
            <v>_</v>
          </cell>
        </row>
        <row r="58">
          <cell r="A58">
            <v>278</v>
          </cell>
          <cell r="B58" t="str">
            <v>189</v>
          </cell>
          <cell r="C58" t="str">
            <v>Industrial Structure</v>
          </cell>
          <cell r="D58" t="str">
            <v>Hopper, Industrial</v>
          </cell>
          <cell r="E58" t="str">
            <v>AF080</v>
          </cell>
          <cell r="F58" t="str">
            <v>Hopper</v>
          </cell>
          <cell r="G58" t="str">
            <v>_</v>
          </cell>
          <cell r="L58" t="str">
            <v>_</v>
          </cell>
          <cell r="Q58" t="str">
            <v>_</v>
          </cell>
        </row>
        <row r="59">
          <cell r="A59">
            <v>211</v>
          </cell>
          <cell r="B59" t="str">
            <v>190</v>
          </cell>
          <cell r="C59" t="str">
            <v>Industrial Structure</v>
          </cell>
          <cell r="D59" t="str">
            <v>Dragline/Powershovel Boom, Industrial</v>
          </cell>
          <cell r="E59" t="str">
            <v>AF050</v>
          </cell>
          <cell r="F59" t="str">
            <v>Excavating Machine</v>
          </cell>
          <cell r="G59" t="str">
            <v>_</v>
          </cell>
          <cell r="L59" t="str">
            <v>_</v>
          </cell>
          <cell r="Q59" t="str">
            <v>_</v>
          </cell>
        </row>
        <row r="60">
          <cell r="A60">
            <v>23</v>
          </cell>
          <cell r="B60" t="str">
            <v>211</v>
          </cell>
          <cell r="C60" t="str">
            <v>Building</v>
          </cell>
          <cell r="D60" t="str">
            <v>Railroad Terminal Building</v>
          </cell>
          <cell r="E60" t="str">
            <v>AL013</v>
          </cell>
          <cell r="F60" t="str">
            <v>Building</v>
          </cell>
          <cell r="G60" t="str">
            <v>FFN_490</v>
          </cell>
          <cell r="H60" t="str">
            <v>FFN</v>
          </cell>
          <cell r="I60">
            <v>490</v>
          </cell>
          <cell r="J60" t="str">
            <v>Feature Function(s)</v>
          </cell>
          <cell r="K60" t="str">
            <v>Railway Transport</v>
          </cell>
          <cell r="L60" t="str">
            <v>FFN_481</v>
          </cell>
          <cell r="M60" t="str">
            <v>FFN</v>
          </cell>
          <cell r="N60">
            <v>481</v>
          </cell>
          <cell r="O60" t="str">
            <v>Feature Function(s)</v>
          </cell>
          <cell r="P60" t="str">
            <v>Terminal</v>
          </cell>
          <cell r="Q60" t="str">
            <v>_</v>
          </cell>
        </row>
        <row r="61">
          <cell r="A61">
            <v>14</v>
          </cell>
          <cell r="B61" t="str">
            <v>222</v>
          </cell>
          <cell r="C61" t="str">
            <v>Building</v>
          </cell>
          <cell r="D61" t="str">
            <v>Railroad Station</v>
          </cell>
          <cell r="E61" t="str">
            <v>AQ125</v>
          </cell>
          <cell r="F61" t="str">
            <v>Transportation Station</v>
          </cell>
          <cell r="G61" t="str">
            <v>TRS_12</v>
          </cell>
          <cell r="H61" t="str">
            <v>TRS</v>
          </cell>
          <cell r="I61">
            <v>12</v>
          </cell>
          <cell r="J61" t="str">
            <v>Transportation System Type</v>
          </cell>
          <cell r="K61" t="str">
            <v>Railway</v>
          </cell>
          <cell r="L61" t="str">
            <v>_</v>
          </cell>
          <cell r="Q61" t="str">
            <v>_</v>
          </cell>
        </row>
        <row r="62">
          <cell r="A62">
            <v>39</v>
          </cell>
          <cell r="B62" t="str">
            <v>223</v>
          </cell>
          <cell r="C62" t="str">
            <v>Tower</v>
          </cell>
          <cell r="D62" t="str">
            <v>Railroad Control Tower</v>
          </cell>
          <cell r="E62" t="str">
            <v>AQ060</v>
          </cell>
          <cell r="F62" t="str">
            <v>Control Tower</v>
          </cell>
          <cell r="G62" t="str">
            <v>TRS_12</v>
          </cell>
          <cell r="H62" t="str">
            <v>TRS</v>
          </cell>
          <cell r="I62">
            <v>12</v>
          </cell>
          <cell r="J62" t="str">
            <v>Transportation System Type</v>
          </cell>
          <cell r="K62" t="str">
            <v>Railway</v>
          </cell>
          <cell r="L62" t="str">
            <v>_</v>
          </cell>
          <cell r="Q62" t="str">
            <v>_</v>
          </cell>
        </row>
        <row r="63">
          <cell r="A63">
            <v>5</v>
          </cell>
          <cell r="B63" t="str">
            <v>224</v>
          </cell>
          <cell r="C63" t="str">
            <v>Building</v>
          </cell>
          <cell r="D63" t="str">
            <v>Railroad Roundhouse</v>
          </cell>
          <cell r="E63" t="str">
            <v>AN076</v>
          </cell>
          <cell r="F63" t="str">
            <v xml:space="preserve">Roundhouse </v>
          </cell>
          <cell r="G63" t="str">
            <v>_</v>
          </cell>
          <cell r="L63" t="str">
            <v>_</v>
          </cell>
          <cell r="Q63" t="str">
            <v>_</v>
          </cell>
        </row>
        <row r="64">
          <cell r="A64">
            <v>840</v>
          </cell>
          <cell r="B64" t="str">
            <v>260</v>
          </cell>
          <cell r="C64" t="str">
            <v>Bridge</v>
          </cell>
          <cell r="D64" t="str">
            <v>Bridge, General</v>
          </cell>
          <cell r="E64" t="str">
            <v>AQ040</v>
          </cell>
          <cell r="F64" t="str">
            <v>Bridge</v>
          </cell>
          <cell r="G64" t="str">
            <v>_</v>
          </cell>
          <cell r="L64" t="str">
            <v>_</v>
          </cell>
          <cell r="Q64" t="str">
            <v>_</v>
          </cell>
        </row>
        <row r="65">
          <cell r="A65">
            <v>114</v>
          </cell>
          <cell r="B65" t="str">
            <v>261</v>
          </cell>
          <cell r="C65" t="str">
            <v>Bridge</v>
          </cell>
          <cell r="D65" t="str">
            <v>Suspension Bridge</v>
          </cell>
          <cell r="E65" t="str">
            <v>AQ040</v>
          </cell>
          <cell r="F65" t="str">
            <v>Bridge</v>
          </cell>
          <cell r="G65" t="str">
            <v>BSC_9</v>
          </cell>
          <cell r="H65" t="str">
            <v>BSC</v>
          </cell>
          <cell r="I65">
            <v>9</v>
          </cell>
          <cell r="J65" t="str">
            <v>Bridge Structure Type</v>
          </cell>
          <cell r="K65" t="str">
            <v>Suspension</v>
          </cell>
          <cell r="L65" t="str">
            <v>_</v>
          </cell>
          <cell r="Q65" t="str">
            <v>_</v>
          </cell>
        </row>
        <row r="66">
          <cell r="A66">
            <v>17</v>
          </cell>
          <cell r="B66" t="str">
            <v>262</v>
          </cell>
          <cell r="C66" t="str">
            <v>Bridge</v>
          </cell>
          <cell r="D66" t="str">
            <v>Cantilever Bridge</v>
          </cell>
          <cell r="E66" t="str">
            <v>AQ040</v>
          </cell>
          <cell r="F66" t="str">
            <v>Bridge</v>
          </cell>
          <cell r="G66" t="str">
            <v>BSC_2</v>
          </cell>
          <cell r="H66" t="str">
            <v>BSC</v>
          </cell>
          <cell r="I66">
            <v>2</v>
          </cell>
          <cell r="J66" t="str">
            <v>Bridge Structure Type</v>
          </cell>
          <cell r="K66" t="str">
            <v>Cantilever</v>
          </cell>
          <cell r="L66" t="str">
            <v>_</v>
          </cell>
          <cell r="Q66" t="str">
            <v>_</v>
          </cell>
        </row>
        <row r="67">
          <cell r="A67">
            <v>166</v>
          </cell>
          <cell r="B67" t="str">
            <v>263</v>
          </cell>
          <cell r="C67" t="str">
            <v>Bridge</v>
          </cell>
          <cell r="D67" t="str">
            <v>Arch Bridge</v>
          </cell>
          <cell r="E67" t="str">
            <v>AQ040</v>
          </cell>
          <cell r="F67" t="str">
            <v>Bridge</v>
          </cell>
          <cell r="G67" t="str">
            <v>BSC_1</v>
          </cell>
          <cell r="H67" t="str">
            <v>BSC</v>
          </cell>
          <cell r="I67">
            <v>1</v>
          </cell>
          <cell r="J67" t="str">
            <v>Bridge Structure Type</v>
          </cell>
          <cell r="K67" t="str">
            <v>Open Spandrel Arch</v>
          </cell>
          <cell r="L67" t="str">
            <v>_</v>
          </cell>
          <cell r="Q67" t="str">
            <v>_</v>
          </cell>
        </row>
        <row r="68">
          <cell r="A68">
            <v>47</v>
          </cell>
          <cell r="B68" t="str">
            <v>264</v>
          </cell>
          <cell r="C68" t="str">
            <v>Bridge</v>
          </cell>
          <cell r="D68" t="str">
            <v>Truss Bridge</v>
          </cell>
          <cell r="E68" t="str">
            <v>AQ040</v>
          </cell>
          <cell r="F68" t="str">
            <v>Bridge</v>
          </cell>
          <cell r="G68" t="str">
            <v>BSC_8</v>
          </cell>
          <cell r="H68" t="str">
            <v>BSC</v>
          </cell>
          <cell r="I68">
            <v>8</v>
          </cell>
          <cell r="J68" t="str">
            <v>Bridge Structure Type</v>
          </cell>
          <cell r="K68" t="str">
            <v>Truss</v>
          </cell>
          <cell r="L68" t="str">
            <v>_</v>
          </cell>
          <cell r="Q68" t="str">
            <v>_</v>
          </cell>
        </row>
        <row r="69">
          <cell r="A69">
            <v>21</v>
          </cell>
          <cell r="B69" t="str">
            <v>265</v>
          </cell>
          <cell r="C69" t="str">
            <v>Bridge</v>
          </cell>
          <cell r="D69" t="str">
            <v>Moveable-Span Bridge</v>
          </cell>
          <cell r="E69" t="str">
            <v>AQ040</v>
          </cell>
          <cell r="F69" t="str">
            <v>Bridge</v>
          </cell>
          <cell r="G69" t="str">
            <v>BOT_16</v>
          </cell>
          <cell r="H69" t="str">
            <v>BOT</v>
          </cell>
          <cell r="I69">
            <v>16</v>
          </cell>
          <cell r="J69" t="str">
            <v>Bridge Opening Type</v>
          </cell>
          <cell r="K69" t="str">
            <v>Opening</v>
          </cell>
          <cell r="L69" t="str">
            <v>_</v>
          </cell>
          <cell r="Q69" t="str">
            <v>_</v>
          </cell>
        </row>
        <row r="70">
          <cell r="A70">
            <v>296</v>
          </cell>
          <cell r="B70" t="str">
            <v>266</v>
          </cell>
          <cell r="C70" t="str">
            <v>Tower</v>
          </cell>
          <cell r="D70" t="str">
            <v>Bridge Tower (Note:266 was changed to 277 in Data.Collect)</v>
          </cell>
          <cell r="E70" t="str">
            <v>AQ055</v>
          </cell>
          <cell r="F70" t="str">
            <v>Bridge Tower</v>
          </cell>
          <cell r="G70" t="str">
            <v>_</v>
          </cell>
          <cell r="L70" t="str">
            <v>_</v>
          </cell>
          <cell r="Q70" t="str">
            <v>_</v>
          </cell>
        </row>
        <row r="71">
          <cell r="A71">
            <v>2020</v>
          </cell>
          <cell r="B71" t="str">
            <v>267</v>
          </cell>
          <cell r="C71" t="str">
            <v>Bridge</v>
          </cell>
          <cell r="D71" t="str">
            <v>Deck Bridge</v>
          </cell>
          <cell r="E71" t="str">
            <v>AQ040</v>
          </cell>
          <cell r="F71" t="str">
            <v>Bridge</v>
          </cell>
          <cell r="G71" t="str">
            <v>BSC_3</v>
          </cell>
          <cell r="H71" t="str">
            <v>BSC</v>
          </cell>
          <cell r="I71">
            <v>3</v>
          </cell>
          <cell r="J71" t="str">
            <v>Bridge Structure Type</v>
          </cell>
          <cell r="K71" t="str">
            <v>Deck</v>
          </cell>
          <cell r="L71" t="str">
            <v>_</v>
          </cell>
          <cell r="Q71" t="str">
            <v>_</v>
          </cell>
        </row>
        <row r="72">
          <cell r="A72">
            <v>8</v>
          </cell>
          <cell r="B72" t="str">
            <v>270</v>
          </cell>
          <cell r="C72" t="str">
            <v>Bridge (Superstr. General)</v>
          </cell>
          <cell r="D72" t="str">
            <v>Superstructure - General</v>
          </cell>
          <cell r="E72" t="str">
            <v>AQ050</v>
          </cell>
          <cell r="F72" t="str">
            <v>Bridge Superstructure</v>
          </cell>
          <cell r="G72" t="str">
            <v>_</v>
          </cell>
          <cell r="L72" t="str">
            <v>_</v>
          </cell>
          <cell r="Q72" t="str">
            <v>_</v>
          </cell>
        </row>
        <row r="73">
          <cell r="A73">
            <v>2</v>
          </cell>
          <cell r="B73" t="str">
            <v>271</v>
          </cell>
          <cell r="C73" t="str">
            <v>Bridge (Superst.Suspension)</v>
          </cell>
          <cell r="D73" t="str">
            <v>Superstructure - Suspension</v>
          </cell>
          <cell r="E73" t="str">
            <v>AQ050</v>
          </cell>
          <cell r="F73" t="str">
            <v>Bridge Superstructure</v>
          </cell>
          <cell r="G73" t="str">
            <v>BSC_9</v>
          </cell>
          <cell r="H73" t="str">
            <v>BSC</v>
          </cell>
          <cell r="I73">
            <v>9</v>
          </cell>
          <cell r="J73" t="str">
            <v>Bridge Structure Type</v>
          </cell>
          <cell r="K73" t="str">
            <v>Suspension</v>
          </cell>
          <cell r="L73" t="str">
            <v>_</v>
          </cell>
          <cell r="Q73" t="str">
            <v>_</v>
          </cell>
        </row>
        <row r="74">
          <cell r="A74">
            <v>9</v>
          </cell>
          <cell r="B74" t="str">
            <v>272</v>
          </cell>
          <cell r="C74" t="str">
            <v>Bridge (Superstr.Twr Suspen)</v>
          </cell>
          <cell r="D74" t="str">
            <v>Superstructure - Tower Suspension</v>
          </cell>
          <cell r="E74" t="str">
            <v>AQ050</v>
          </cell>
          <cell r="F74" t="str">
            <v>Bridge Superstructure</v>
          </cell>
          <cell r="G74" t="str">
            <v>BSC_7</v>
          </cell>
          <cell r="H74" t="str">
            <v>BSC</v>
          </cell>
          <cell r="I74">
            <v>7</v>
          </cell>
          <cell r="J74" t="str">
            <v>Bridge Structure Type</v>
          </cell>
          <cell r="K74" t="str">
            <v>Tower Suspension</v>
          </cell>
          <cell r="L74" t="str">
            <v>_</v>
          </cell>
          <cell r="Q74" t="str">
            <v>_</v>
          </cell>
        </row>
        <row r="75">
          <cell r="A75">
            <v>0</v>
          </cell>
          <cell r="B75" t="str">
            <v>273</v>
          </cell>
          <cell r="C75" t="str">
            <v>Bridge (Superstr.Cantilever)</v>
          </cell>
          <cell r="D75" t="str">
            <v>Superstructure - Cantilever</v>
          </cell>
          <cell r="E75" t="str">
            <v>AQ050</v>
          </cell>
          <cell r="F75" t="str">
            <v>Bridge Superstructure</v>
          </cell>
          <cell r="G75" t="str">
            <v>BSC_2</v>
          </cell>
          <cell r="H75" t="str">
            <v>BSC</v>
          </cell>
          <cell r="I75">
            <v>2</v>
          </cell>
          <cell r="J75" t="str">
            <v>Bridge Structure Type</v>
          </cell>
          <cell r="K75" t="str">
            <v>Cantilever</v>
          </cell>
          <cell r="L75" t="str">
            <v>_</v>
          </cell>
          <cell r="Q75" t="str">
            <v>_</v>
          </cell>
        </row>
        <row r="76">
          <cell r="A76">
            <v>0</v>
          </cell>
          <cell r="B76" t="str">
            <v>274</v>
          </cell>
          <cell r="C76" t="str">
            <v>Bridge (Superstr. Arch)</v>
          </cell>
          <cell r="D76" t="str">
            <v>Superstructure - Arch</v>
          </cell>
          <cell r="E76" t="str">
            <v>AQ050</v>
          </cell>
          <cell r="F76" t="str">
            <v>Bridge Superstructure</v>
          </cell>
          <cell r="G76" t="str">
            <v>BSC_31</v>
          </cell>
          <cell r="H76" t="str">
            <v>BSC</v>
          </cell>
          <cell r="I76">
            <v>31</v>
          </cell>
          <cell r="J76" t="str">
            <v>Bridge Structure Type</v>
          </cell>
          <cell r="K76" t="str">
            <v>Arch</v>
          </cell>
          <cell r="L76" t="str">
            <v>_</v>
          </cell>
          <cell r="Q76" t="str">
            <v>_</v>
          </cell>
        </row>
        <row r="77">
          <cell r="A77">
            <v>2</v>
          </cell>
          <cell r="B77" t="str">
            <v>275</v>
          </cell>
          <cell r="C77" t="str">
            <v>Bridge (Superstr. Truss)</v>
          </cell>
          <cell r="D77" t="str">
            <v>Superstructure - Truss</v>
          </cell>
          <cell r="E77" t="str">
            <v>AQ050</v>
          </cell>
          <cell r="F77" t="str">
            <v>Bridge Superstructure</v>
          </cell>
          <cell r="G77" t="str">
            <v>BSC_8</v>
          </cell>
          <cell r="H77" t="str">
            <v>BSC</v>
          </cell>
          <cell r="I77">
            <v>8</v>
          </cell>
          <cell r="J77" t="str">
            <v>Bridge Structure Type</v>
          </cell>
          <cell r="K77" t="str">
            <v>Truss</v>
          </cell>
          <cell r="L77" t="str">
            <v>_</v>
          </cell>
          <cell r="Q77" t="str">
            <v>_</v>
          </cell>
        </row>
        <row r="78">
          <cell r="A78">
            <v>0</v>
          </cell>
          <cell r="B78" t="str">
            <v>276</v>
          </cell>
          <cell r="C78" t="str">
            <v>Bridge (Superstr.Move Span)</v>
          </cell>
          <cell r="D78" t="str">
            <v>Superstructure - Moveable Span</v>
          </cell>
          <cell r="E78" t="str">
            <v>AQ040</v>
          </cell>
          <cell r="F78" t="str">
            <v>Bridge</v>
          </cell>
          <cell r="G78" t="str">
            <v>BOT_16</v>
          </cell>
          <cell r="H78" t="str">
            <v>BOT</v>
          </cell>
          <cell r="I78">
            <v>16</v>
          </cell>
          <cell r="J78" t="str">
            <v>Bridge Opening Type</v>
          </cell>
          <cell r="K78" t="str">
            <v>Opening</v>
          </cell>
          <cell r="L78" t="str">
            <v>_</v>
          </cell>
          <cell r="Q78" t="str">
            <v>_</v>
          </cell>
          <cell r="V78" t="str">
            <v>[NCGIS]: Merge with 265 (moveable-span bridge).</v>
          </cell>
        </row>
        <row r="79">
          <cell r="A79">
            <v>0</v>
          </cell>
          <cell r="B79" t="str">
            <v>277</v>
          </cell>
          <cell r="C79" t="str">
            <v>Tower</v>
          </cell>
          <cell r="D79" t="str">
            <v>Bridge Tower (Note:266 was changed to 277 in Data.Collect)</v>
          </cell>
          <cell r="E79" t="str">
            <v>AQ055</v>
          </cell>
          <cell r="F79" t="str">
            <v>Bridge Tower</v>
          </cell>
          <cell r="G79" t="str">
            <v>_</v>
          </cell>
          <cell r="L79" t="str">
            <v>_</v>
          </cell>
          <cell r="Q79" t="str">
            <v>_</v>
          </cell>
          <cell r="V79" t="str">
            <v>[NCGIS]: Merge with 266 (alternate code for same thing according to DVOF specification).</v>
          </cell>
        </row>
        <row r="80">
          <cell r="A80">
            <v>0</v>
          </cell>
          <cell r="B80" t="str">
            <v>280</v>
          </cell>
          <cell r="C80" t="str">
            <v>Conduit</v>
          </cell>
          <cell r="D80" t="str">
            <v>Conduit, General (Aqueduct, Overhead Pipeline)</v>
          </cell>
          <cell r="E80" t="str">
            <v>AQ113</v>
          </cell>
          <cell r="F80" t="str">
            <v>Pipeline</v>
          </cell>
          <cell r="G80" t="str">
            <v>LOC_45</v>
          </cell>
          <cell r="H80" t="str">
            <v>LOC</v>
          </cell>
          <cell r="I80">
            <v>45</v>
          </cell>
          <cell r="J80" t="str">
            <v>Vertical Relative Location</v>
          </cell>
          <cell r="K80" t="str">
            <v>Above Surface</v>
          </cell>
          <cell r="L80" t="str">
            <v>_</v>
          </cell>
          <cell r="Q80" t="str">
            <v>_</v>
          </cell>
          <cell r="V80" t="str">
            <v>[PVA]: "Agree with map to suspended pipeline since an aqueduct is captured separately (282)."</v>
          </cell>
        </row>
        <row r="81">
          <cell r="A81">
            <v>17</v>
          </cell>
          <cell r="B81" t="str">
            <v>281</v>
          </cell>
          <cell r="C81" t="str">
            <v>Conduit</v>
          </cell>
          <cell r="D81" t="str">
            <v>Pipeline (above ground)</v>
          </cell>
          <cell r="E81" t="str">
            <v>AQ113</v>
          </cell>
          <cell r="F81" t="str">
            <v>Pipeline</v>
          </cell>
          <cell r="G81" t="str">
            <v>LOC_44</v>
          </cell>
          <cell r="H81" t="str">
            <v>LOC</v>
          </cell>
          <cell r="I81">
            <v>44</v>
          </cell>
          <cell r="J81" t="str">
            <v>Vertical Relative Location</v>
          </cell>
          <cell r="K81" t="str">
            <v>On Surface</v>
          </cell>
          <cell r="L81" t="str">
            <v>_</v>
          </cell>
          <cell r="Q81" t="str">
            <v>_</v>
          </cell>
        </row>
        <row r="82">
          <cell r="A82">
            <v>559</v>
          </cell>
          <cell r="B82" t="str">
            <v>282</v>
          </cell>
          <cell r="C82" t="str">
            <v>Conduit</v>
          </cell>
          <cell r="D82" t="str">
            <v>Aqueduct</v>
          </cell>
          <cell r="E82" t="str">
            <v>BH010</v>
          </cell>
          <cell r="F82" t="str">
            <v>Aqueduct</v>
          </cell>
          <cell r="G82" t="str">
            <v>_</v>
          </cell>
          <cell r="L82" t="str">
            <v>_</v>
          </cell>
          <cell r="Q82" t="str">
            <v>_</v>
          </cell>
        </row>
        <row r="83">
          <cell r="A83">
            <v>158</v>
          </cell>
          <cell r="B83" t="str">
            <v>290</v>
          </cell>
          <cell r="C83" t="str">
            <v>Transportation</v>
          </cell>
          <cell r="D83" t="str">
            <v>Associated Structure, Transportation</v>
          </cell>
          <cell r="E83" t="str">
            <v>AL014</v>
          </cell>
          <cell r="F83" t="str">
            <v>Non-building Structure</v>
          </cell>
          <cell r="G83" t="str">
            <v>FFN_480</v>
          </cell>
          <cell r="H83" t="str">
            <v>FFN</v>
          </cell>
          <cell r="I83">
            <v>480</v>
          </cell>
          <cell r="J83" t="str">
            <v>Feature Function(s)</v>
          </cell>
          <cell r="K83" t="str">
            <v>Transport</v>
          </cell>
          <cell r="L83" t="str">
            <v>_</v>
          </cell>
          <cell r="Q83" t="str">
            <v>_</v>
          </cell>
        </row>
        <row r="84">
          <cell r="A84">
            <v>1431</v>
          </cell>
          <cell r="B84" t="str">
            <v>301</v>
          </cell>
          <cell r="C84" t="str">
            <v>Building</v>
          </cell>
          <cell r="D84" t="str">
            <v>Commercial Building, General</v>
          </cell>
          <cell r="E84" t="str">
            <v>AL013</v>
          </cell>
          <cell r="F84" t="str">
            <v>Building</v>
          </cell>
          <cell r="G84" t="str">
            <v>FFN_440</v>
          </cell>
          <cell r="H84" t="str">
            <v>FFN</v>
          </cell>
          <cell r="I84">
            <v>440</v>
          </cell>
          <cell r="J84" t="str">
            <v>Feature Function(s)</v>
          </cell>
          <cell r="K84" t="str">
            <v>Commerce</v>
          </cell>
          <cell r="L84" t="str">
            <v>_</v>
          </cell>
          <cell r="Q84" t="str">
            <v>_</v>
          </cell>
        </row>
        <row r="85">
          <cell r="A85">
            <v>5033</v>
          </cell>
          <cell r="B85" t="str">
            <v>302</v>
          </cell>
          <cell r="C85" t="str">
            <v>Building</v>
          </cell>
          <cell r="D85" t="str">
            <v>Commercial Building with Flat Roof (same as type 301 with flat roof)</v>
          </cell>
          <cell r="E85" t="str">
            <v>AL013</v>
          </cell>
          <cell r="F85" t="str">
            <v>Building</v>
          </cell>
          <cell r="G85" t="str">
            <v>FFN_440</v>
          </cell>
          <cell r="H85" t="str">
            <v>FFN</v>
          </cell>
          <cell r="I85">
            <v>440</v>
          </cell>
          <cell r="J85" t="str">
            <v>Feature Function(s)</v>
          </cell>
          <cell r="K85" t="str">
            <v>Commerce</v>
          </cell>
          <cell r="L85" t="str">
            <v>SSR_41</v>
          </cell>
          <cell r="M85" t="str">
            <v>SSR</v>
          </cell>
          <cell r="N85">
            <v>41</v>
          </cell>
          <cell r="O85" t="str">
            <v>Roof Shape</v>
          </cell>
          <cell r="P85" t="str">
            <v>Flat</v>
          </cell>
          <cell r="Q85" t="str">
            <v>_</v>
          </cell>
        </row>
        <row r="86">
          <cell r="A86">
            <v>120</v>
          </cell>
          <cell r="B86" t="str">
            <v>303</v>
          </cell>
          <cell r="C86" t="str">
            <v>Building</v>
          </cell>
          <cell r="D86" t="str">
            <v>Commercial Building, Circular with Flat Roof</v>
          </cell>
          <cell r="E86" t="str">
            <v>AL013</v>
          </cell>
          <cell r="F86" t="str">
            <v>Building</v>
          </cell>
          <cell r="G86" t="str">
            <v>FFN_440</v>
          </cell>
          <cell r="H86" t="str">
            <v>FFN</v>
          </cell>
          <cell r="I86">
            <v>440</v>
          </cell>
          <cell r="J86" t="str">
            <v>Feature Function(s)</v>
          </cell>
          <cell r="K86" t="str">
            <v>Commerce</v>
          </cell>
          <cell r="L86" t="str">
            <v>SSR_41</v>
          </cell>
          <cell r="M86" t="str">
            <v>SSR</v>
          </cell>
          <cell r="N86">
            <v>41</v>
          </cell>
          <cell r="O86" t="str">
            <v>Roof Shape</v>
          </cell>
          <cell r="P86" t="str">
            <v>Flat</v>
          </cell>
          <cell r="Q86" t="str">
            <v>CSS_4</v>
          </cell>
          <cell r="R86" t="str">
            <v>CSS</v>
          </cell>
          <cell r="S86">
            <v>4</v>
          </cell>
          <cell r="T86" t="str">
            <v>Cross-sectional Shape</v>
          </cell>
          <cell r="U86" t="str">
            <v>Circular</v>
          </cell>
        </row>
        <row r="87">
          <cell r="A87">
            <v>295</v>
          </cell>
          <cell r="B87" t="str">
            <v>304</v>
          </cell>
          <cell r="C87" t="str">
            <v>Building</v>
          </cell>
          <cell r="D87" t="str">
            <v>Commercial Building with Gable Roof (same as type 301 with gable roof)</v>
          </cell>
          <cell r="E87" t="str">
            <v>AL013</v>
          </cell>
          <cell r="F87" t="str">
            <v>Building</v>
          </cell>
          <cell r="G87" t="str">
            <v>FFN_440</v>
          </cell>
          <cell r="H87" t="str">
            <v>FFN</v>
          </cell>
          <cell r="I87">
            <v>440</v>
          </cell>
          <cell r="J87" t="str">
            <v>Feature Function(s)</v>
          </cell>
          <cell r="K87" t="str">
            <v>Commerce</v>
          </cell>
          <cell r="L87" t="str">
            <v>SSR_42</v>
          </cell>
          <cell r="M87" t="str">
            <v>SSR</v>
          </cell>
          <cell r="N87">
            <v>42</v>
          </cell>
          <cell r="O87" t="str">
            <v>Roof Shape</v>
          </cell>
          <cell r="P87" t="str">
            <v>Pitched</v>
          </cell>
          <cell r="Q87" t="str">
            <v>_</v>
          </cell>
        </row>
        <row r="88">
          <cell r="A88">
            <v>78</v>
          </cell>
          <cell r="B88" t="str">
            <v>305</v>
          </cell>
          <cell r="C88" t="str">
            <v>Building</v>
          </cell>
          <cell r="D88" t="str">
            <v>Commercial Building with Curved Roof (same as type 301 with curved roof)</v>
          </cell>
          <cell r="E88" t="str">
            <v>AL013</v>
          </cell>
          <cell r="F88" t="str">
            <v>Building</v>
          </cell>
          <cell r="G88" t="str">
            <v>FFN_440</v>
          </cell>
          <cell r="H88" t="str">
            <v>FFN</v>
          </cell>
          <cell r="I88">
            <v>440</v>
          </cell>
          <cell r="J88" t="str">
            <v>Feature Function(s)</v>
          </cell>
          <cell r="K88" t="str">
            <v>Commerce</v>
          </cell>
          <cell r="L88" t="str">
            <v>SSR_38</v>
          </cell>
          <cell r="M88" t="str">
            <v>SSR</v>
          </cell>
          <cell r="N88">
            <v>38</v>
          </cell>
          <cell r="O88" t="str">
            <v>Roof Shape</v>
          </cell>
          <cell r="P88" t="str">
            <v>Semi-cylindrical</v>
          </cell>
          <cell r="Q88" t="str">
            <v>_</v>
          </cell>
          <cell r="V88" t="str">
            <v>[PVA]: "Most likely a half-cylinder -- quonset-like -- but there might be unimportant variation."</v>
          </cell>
        </row>
        <row r="89">
          <cell r="A89">
            <v>30</v>
          </cell>
          <cell r="B89" t="str">
            <v>321</v>
          </cell>
          <cell r="C89" t="str">
            <v>Stadium</v>
          </cell>
          <cell r="D89" t="str">
            <v>Stadium, Enclosed</v>
          </cell>
          <cell r="E89" t="str">
            <v>AK160</v>
          </cell>
          <cell r="F89" t="str">
            <v>Stadium</v>
          </cell>
          <cell r="G89" t="str">
            <v>_</v>
          </cell>
          <cell r="L89" t="str">
            <v>_</v>
          </cell>
          <cell r="Q89" t="str">
            <v>_</v>
          </cell>
          <cell r="V89" t="str">
            <v>[PVA]: "No need to discriminate 'Enclosed' (four-sided) from 'Open' (facing grandstands)."</v>
          </cell>
        </row>
        <row r="90">
          <cell r="A90">
            <v>26</v>
          </cell>
          <cell r="B90" t="str">
            <v>322</v>
          </cell>
          <cell r="C90" t="str">
            <v>Stadium</v>
          </cell>
          <cell r="D90" t="str">
            <v>Stadium, Open-ended</v>
          </cell>
          <cell r="E90" t="str">
            <v>AK160</v>
          </cell>
          <cell r="F90" t="str">
            <v>Stadium</v>
          </cell>
          <cell r="G90" t="str">
            <v>_</v>
          </cell>
          <cell r="L90" t="str">
            <v>_</v>
          </cell>
          <cell r="Q90" t="str">
            <v>_</v>
          </cell>
          <cell r="V90" t="str">
            <v>[PVA]: "No need to discriminate 'Enclosed' (four-sided) from 'Open' (facing grandstands)."</v>
          </cell>
        </row>
        <row r="91">
          <cell r="A91">
            <v>6</v>
          </cell>
          <cell r="B91" t="str">
            <v>323</v>
          </cell>
          <cell r="C91" t="str">
            <v>Stadium</v>
          </cell>
          <cell r="D91" t="str">
            <v>Stadium, Domed</v>
          </cell>
          <cell r="E91" t="str">
            <v>AK160</v>
          </cell>
          <cell r="F91" t="str">
            <v>Stadium</v>
          </cell>
          <cell r="G91" t="str">
            <v>SSR_40</v>
          </cell>
          <cell r="H91" t="str">
            <v>SSR</v>
          </cell>
          <cell r="I91">
            <v>40</v>
          </cell>
          <cell r="J91" t="str">
            <v>Roof Shape</v>
          </cell>
          <cell r="K91" t="str">
            <v>Domed</v>
          </cell>
          <cell r="L91" t="str">
            <v>_</v>
          </cell>
          <cell r="Q91" t="str">
            <v>_</v>
          </cell>
        </row>
        <row r="92">
          <cell r="A92">
            <v>49</v>
          </cell>
          <cell r="B92" t="str">
            <v>324</v>
          </cell>
          <cell r="C92" t="str">
            <v>Stadium</v>
          </cell>
          <cell r="D92" t="str">
            <v>Grandstand</v>
          </cell>
          <cell r="E92" t="str">
            <v>AK110</v>
          </cell>
          <cell r="F92" t="str">
            <v>Grandstand</v>
          </cell>
          <cell r="G92" t="str">
            <v>_</v>
          </cell>
          <cell r="L92" t="str">
            <v>_</v>
          </cell>
          <cell r="Q92" t="str">
            <v>_</v>
          </cell>
        </row>
        <row r="93">
          <cell r="A93">
            <v>25</v>
          </cell>
          <cell r="B93" t="str">
            <v>331</v>
          </cell>
          <cell r="C93" t="str">
            <v>Amusement Park</v>
          </cell>
          <cell r="D93" t="str">
            <v>Roller Coaster Structure</v>
          </cell>
          <cell r="E93" t="str">
            <v>AK020</v>
          </cell>
          <cell r="F93" t="str">
            <v>Amusement Park Attraction</v>
          </cell>
          <cell r="G93" t="str">
            <v>AMA_3</v>
          </cell>
          <cell r="H93" t="str">
            <v>AMA</v>
          </cell>
          <cell r="I93">
            <v>3</v>
          </cell>
          <cell r="J93" t="str">
            <v>Amusement Attraction Type</v>
          </cell>
          <cell r="K93" t="str">
            <v>Roller-coaster</v>
          </cell>
          <cell r="L93" t="str">
            <v>_</v>
          </cell>
          <cell r="Q93" t="str">
            <v>_</v>
          </cell>
        </row>
        <row r="94">
          <cell r="A94">
            <v>21</v>
          </cell>
          <cell r="B94" t="str">
            <v>332</v>
          </cell>
          <cell r="C94" t="str">
            <v>Amusement Park</v>
          </cell>
          <cell r="D94" t="str">
            <v>Ferris Wheel Structure</v>
          </cell>
          <cell r="E94" t="str">
            <v>AK020</v>
          </cell>
          <cell r="F94" t="str">
            <v>Amusement Park Attraction</v>
          </cell>
          <cell r="G94" t="str">
            <v>AMA_2</v>
          </cell>
          <cell r="H94" t="str">
            <v>AMA</v>
          </cell>
          <cell r="I94">
            <v>2</v>
          </cell>
          <cell r="J94" t="str">
            <v>Amusement Attraction Type</v>
          </cell>
          <cell r="K94" t="str">
            <v>Ferris Wheel</v>
          </cell>
          <cell r="L94" t="str">
            <v>_</v>
          </cell>
          <cell r="Q94" t="str">
            <v>_</v>
          </cell>
        </row>
        <row r="95">
          <cell r="A95">
            <v>9</v>
          </cell>
          <cell r="B95" t="str">
            <v>334</v>
          </cell>
          <cell r="C95" t="str">
            <v>Amusement Park</v>
          </cell>
          <cell r="D95" t="str">
            <v>Artificial Mountain Structure</v>
          </cell>
          <cell r="E95" t="str">
            <v>AK020</v>
          </cell>
          <cell r="F95" t="str">
            <v>Amusement Park Attraction</v>
          </cell>
          <cell r="G95" t="str">
            <v>AMA_1</v>
          </cell>
          <cell r="H95" t="str">
            <v>AMA</v>
          </cell>
          <cell r="I95">
            <v>1</v>
          </cell>
          <cell r="J95" t="str">
            <v>Amusement Attraction Type</v>
          </cell>
          <cell r="K95" t="str">
            <v>Artificial Mountain</v>
          </cell>
          <cell r="L95" t="str">
            <v>_</v>
          </cell>
          <cell r="Q95" t="str">
            <v>_</v>
          </cell>
        </row>
        <row r="96">
          <cell r="A96">
            <v>2</v>
          </cell>
          <cell r="B96" t="str">
            <v>335</v>
          </cell>
          <cell r="C96" t="str">
            <v>Ski Jump</v>
          </cell>
          <cell r="D96" t="str">
            <v>Ski Jump</v>
          </cell>
          <cell r="E96" t="str">
            <v>AK150</v>
          </cell>
          <cell r="F96" t="str">
            <v>Ski-jump</v>
          </cell>
          <cell r="G96" t="str">
            <v>_</v>
          </cell>
          <cell r="L96" t="str">
            <v>_</v>
          </cell>
          <cell r="Q96" t="str">
            <v>_</v>
          </cell>
        </row>
        <row r="97">
          <cell r="A97">
            <v>107</v>
          </cell>
          <cell r="B97" t="str">
            <v>340</v>
          </cell>
          <cell r="C97" t="str">
            <v>Sign</v>
          </cell>
          <cell r="D97" t="str">
            <v>Display Sign, General</v>
          </cell>
          <cell r="E97" t="str">
            <v>AL050</v>
          </cell>
          <cell r="F97" t="str">
            <v>Display Sign</v>
          </cell>
          <cell r="G97" t="str">
            <v>_</v>
          </cell>
          <cell r="L97" t="str">
            <v>_</v>
          </cell>
          <cell r="Q97" t="str">
            <v>_</v>
          </cell>
        </row>
        <row r="98">
          <cell r="A98">
            <v>83</v>
          </cell>
          <cell r="B98" t="str">
            <v>350</v>
          </cell>
          <cell r="C98" t="str">
            <v>Recreational Structure</v>
          </cell>
          <cell r="D98" t="str">
            <v>Commercial/Recreational Structure, General</v>
          </cell>
          <cell r="E98" t="str">
            <v>AK020</v>
          </cell>
          <cell r="F98" t="str">
            <v>Amusement Park Attraction</v>
          </cell>
          <cell r="G98" t="str">
            <v>_</v>
          </cell>
          <cell r="L98" t="str">
            <v>_</v>
          </cell>
          <cell r="Q98" t="str">
            <v>_</v>
          </cell>
          <cell r="V98" t="str">
            <v>[PVA]: "Used to collect a significant structure at an amusement park."</v>
          </cell>
        </row>
        <row r="99">
          <cell r="A99">
            <v>4104</v>
          </cell>
          <cell r="B99" t="str">
            <v>401</v>
          </cell>
          <cell r="C99" t="str">
            <v>Building</v>
          </cell>
          <cell r="D99" t="str">
            <v>Dwelling, Multi-family</v>
          </cell>
          <cell r="E99" t="str">
            <v>AL013</v>
          </cell>
          <cell r="F99" t="str">
            <v>Building</v>
          </cell>
          <cell r="G99" t="str">
            <v>FFN_561</v>
          </cell>
          <cell r="H99" t="str">
            <v>FFN</v>
          </cell>
          <cell r="I99">
            <v>561</v>
          </cell>
          <cell r="J99" t="str">
            <v>Feature Function(s)</v>
          </cell>
          <cell r="K99" t="str">
            <v>Attached House</v>
          </cell>
          <cell r="L99" t="str">
            <v>_</v>
          </cell>
          <cell r="Q99" t="str">
            <v>_</v>
          </cell>
        </row>
        <row r="100">
          <cell r="A100">
            <v>15550</v>
          </cell>
          <cell r="B100" t="str">
            <v>402</v>
          </cell>
          <cell r="C100" t="str">
            <v>Building</v>
          </cell>
          <cell r="D100" t="str">
            <v>Apartment/Hotel with Flat Roof</v>
          </cell>
          <cell r="E100" t="str">
            <v>AL013</v>
          </cell>
          <cell r="F100" t="str">
            <v>Building</v>
          </cell>
          <cell r="G100" t="str">
            <v>FFN_559</v>
          </cell>
          <cell r="H100" t="str">
            <v>FFN</v>
          </cell>
          <cell r="I100">
            <v>559</v>
          </cell>
          <cell r="J100" t="str">
            <v>Feature Function(s)</v>
          </cell>
          <cell r="K100" t="str">
            <v>Apartment House</v>
          </cell>
          <cell r="L100" t="str">
            <v>SSR_41</v>
          </cell>
          <cell r="M100" t="str">
            <v>SSR</v>
          </cell>
          <cell r="N100">
            <v>41</v>
          </cell>
          <cell r="O100" t="str">
            <v>Roof Shape</v>
          </cell>
          <cell r="P100" t="str">
            <v>Flat</v>
          </cell>
          <cell r="Q100" t="str">
            <v>_</v>
          </cell>
        </row>
        <row r="101">
          <cell r="A101">
            <v>722</v>
          </cell>
          <cell r="B101" t="str">
            <v>403</v>
          </cell>
          <cell r="C101" t="str">
            <v>Building</v>
          </cell>
          <cell r="D101" t="str">
            <v>Apartment/Hotel with Gable Roof</v>
          </cell>
          <cell r="E101" t="str">
            <v>AL013</v>
          </cell>
          <cell r="F101" t="str">
            <v>Building</v>
          </cell>
          <cell r="G101" t="str">
            <v>FFN_559</v>
          </cell>
          <cell r="H101" t="str">
            <v>FFN</v>
          </cell>
          <cell r="I101">
            <v>559</v>
          </cell>
          <cell r="J101" t="str">
            <v>Feature Function(s)</v>
          </cell>
          <cell r="K101" t="str">
            <v>Apartment House</v>
          </cell>
          <cell r="L101" t="str">
            <v>SSR_42</v>
          </cell>
          <cell r="M101" t="str">
            <v>SSR</v>
          </cell>
          <cell r="N101">
            <v>42</v>
          </cell>
          <cell r="O101" t="str">
            <v>Roof Shape</v>
          </cell>
          <cell r="P101" t="str">
            <v>Pitched</v>
          </cell>
          <cell r="Q101" t="str">
            <v>_</v>
          </cell>
        </row>
        <row r="102">
          <cell r="A102">
            <v>157</v>
          </cell>
          <cell r="B102" t="str">
            <v>434</v>
          </cell>
          <cell r="C102" t="str">
            <v>Windmill</v>
          </cell>
          <cell r="D102" t="str">
            <v>Windmill, Truss</v>
          </cell>
          <cell r="E102" t="str">
            <v>AJ050</v>
          </cell>
          <cell r="F102" t="str">
            <v>Windmill</v>
          </cell>
          <cell r="G102" t="str">
            <v>TOS_12</v>
          </cell>
          <cell r="H102" t="str">
            <v>TOS</v>
          </cell>
          <cell r="I102">
            <v>12</v>
          </cell>
          <cell r="J102" t="str">
            <v>Tower Shape</v>
          </cell>
          <cell r="K102" t="str">
            <v>Truss</v>
          </cell>
          <cell r="L102" t="str">
            <v>_</v>
          </cell>
          <cell r="Q102" t="str">
            <v>_</v>
          </cell>
        </row>
        <row r="103">
          <cell r="A103">
            <v>4190</v>
          </cell>
          <cell r="B103" t="str">
            <v>435</v>
          </cell>
          <cell r="C103" t="str">
            <v>Windmill</v>
          </cell>
          <cell r="D103" t="str">
            <v>Windmill, Solid</v>
          </cell>
          <cell r="E103" t="str">
            <v>AJ050</v>
          </cell>
          <cell r="F103" t="str">
            <v>Windmill</v>
          </cell>
          <cell r="G103" t="str">
            <v>TOS_13</v>
          </cell>
          <cell r="H103" t="str">
            <v>TOS</v>
          </cell>
          <cell r="I103">
            <v>13</v>
          </cell>
          <cell r="J103" t="str">
            <v>Tower Shape</v>
          </cell>
          <cell r="K103" t="str">
            <v>Tubular</v>
          </cell>
          <cell r="L103" t="str">
            <v>_</v>
          </cell>
          <cell r="Q103" t="str">
            <v>_</v>
          </cell>
        </row>
        <row r="104">
          <cell r="A104">
            <v>11186</v>
          </cell>
          <cell r="B104" t="str">
            <v>437</v>
          </cell>
          <cell r="C104" t="str">
            <v>Windmill (Windmtr. On Land)</v>
          </cell>
          <cell r="D104" t="str">
            <v>Windmotor/Wind Power Generator - Located On Land</v>
          </cell>
          <cell r="E104" t="str">
            <v>AJ051</v>
          </cell>
          <cell r="F104" t="str">
            <v>Windmotor</v>
          </cell>
          <cell r="G104" t="str">
            <v>SRL_2</v>
          </cell>
          <cell r="H104" t="str">
            <v>SRL</v>
          </cell>
          <cell r="I104">
            <v>2</v>
          </cell>
          <cell r="J104" t="str">
            <v>Location Referenced to Shoreline</v>
          </cell>
          <cell r="K104" t="str">
            <v>Inland</v>
          </cell>
          <cell r="L104" t="str">
            <v>_</v>
          </cell>
          <cell r="Q104" t="str">
            <v>_</v>
          </cell>
        </row>
        <row r="105">
          <cell r="A105">
            <v>19</v>
          </cell>
          <cell r="B105" t="str">
            <v>438</v>
          </cell>
          <cell r="C105" t="str">
            <v>Windmill (Windmtr. Off Shore)</v>
          </cell>
          <cell r="D105" t="str">
            <v>Windmotor/Wind Power Generator - Located Off Shore</v>
          </cell>
          <cell r="E105" t="str">
            <v>AJ051</v>
          </cell>
          <cell r="F105" t="str">
            <v>Windmotor</v>
          </cell>
          <cell r="G105" t="str">
            <v>SRL_1</v>
          </cell>
          <cell r="H105" t="str">
            <v>SRL</v>
          </cell>
          <cell r="I105">
            <v>1</v>
          </cell>
          <cell r="J105" t="str">
            <v>Location Referenced to Shoreline</v>
          </cell>
          <cell r="K105" t="str">
            <v>Offshore</v>
          </cell>
          <cell r="L105" t="str">
            <v>_</v>
          </cell>
          <cell r="Q105" t="str">
            <v>_</v>
          </cell>
        </row>
        <row r="106">
          <cell r="A106">
            <v>75</v>
          </cell>
          <cell r="B106" t="str">
            <v>450</v>
          </cell>
          <cell r="C106" t="str">
            <v>Building</v>
          </cell>
          <cell r="D106" t="str">
            <v>Associated Structure, Agricultural/Residential</v>
          </cell>
          <cell r="E106" t="str">
            <v>AL014</v>
          </cell>
          <cell r="F106" t="str">
            <v>Non-building Structure</v>
          </cell>
          <cell r="G106" t="str">
            <v>FFN_2</v>
          </cell>
          <cell r="H106" t="str">
            <v>FFN</v>
          </cell>
          <cell r="I106">
            <v>2</v>
          </cell>
          <cell r="J106" t="str">
            <v>Feature Function(s)</v>
          </cell>
          <cell r="K106" t="str">
            <v>Agriculture</v>
          </cell>
          <cell r="L106" t="str">
            <v>_</v>
          </cell>
          <cell r="Q106" t="str">
            <v>_</v>
          </cell>
          <cell r="V106" t="str">
            <v>[PVA]: "Associated with an agricultural facility but something other than a Silo or Grain Elevator; not necessarily a building, e.g., shed, corn crib, ..."</v>
          </cell>
        </row>
        <row r="107">
          <cell r="A107">
            <v>63966</v>
          </cell>
          <cell r="B107" t="str">
            <v>501</v>
          </cell>
          <cell r="C107" t="str">
            <v>Tower</v>
          </cell>
          <cell r="D107" t="str">
            <v>Communication Tower, General</v>
          </cell>
          <cell r="E107" t="str">
            <v>AL241</v>
          </cell>
          <cell r="F107" t="str">
            <v>Tower</v>
          </cell>
          <cell r="G107" t="str">
            <v>TTC_20</v>
          </cell>
          <cell r="H107" t="str">
            <v>TTC</v>
          </cell>
          <cell r="I107">
            <v>20</v>
          </cell>
          <cell r="J107" t="str">
            <v>Tower Type</v>
          </cell>
          <cell r="K107" t="str">
            <v>Telecommunication Tower</v>
          </cell>
          <cell r="L107" t="str">
            <v>_</v>
          </cell>
          <cell r="Q107" t="str">
            <v>_</v>
          </cell>
        </row>
        <row r="108">
          <cell r="A108">
            <v>6742</v>
          </cell>
          <cell r="B108" t="str">
            <v>511</v>
          </cell>
          <cell r="C108" t="str">
            <v>Tower</v>
          </cell>
          <cell r="D108" t="str">
            <v>Radio/TV Tower, Type A</v>
          </cell>
          <cell r="E108" t="str">
            <v>AL241</v>
          </cell>
          <cell r="F108" t="str">
            <v>Tower</v>
          </cell>
          <cell r="G108" t="str">
            <v>TTC_20</v>
          </cell>
          <cell r="H108" t="str">
            <v>TTC</v>
          </cell>
          <cell r="I108">
            <v>20</v>
          </cell>
          <cell r="J108" t="str">
            <v>Tower Type</v>
          </cell>
          <cell r="K108" t="str">
            <v>Telecommunication Tower</v>
          </cell>
          <cell r="L108" t="str">
            <v>PYC_1</v>
          </cell>
          <cell r="M108" t="str">
            <v>PYC</v>
          </cell>
          <cell r="N108">
            <v>1</v>
          </cell>
          <cell r="O108" t="str">
            <v>Pylon Configuration</v>
          </cell>
          <cell r="P108" t="str">
            <v>'A'</v>
          </cell>
          <cell r="Q108" t="str">
            <v>_</v>
          </cell>
          <cell r="V108" t="str">
            <v>[NCGIS]: Ignoring Radio/TV aspect as the distinction really appears to be the visual one of "without reflector/cone".</v>
          </cell>
        </row>
        <row r="109">
          <cell r="A109">
            <v>26237</v>
          </cell>
          <cell r="B109" t="str">
            <v>512</v>
          </cell>
          <cell r="C109" t="str">
            <v>Mast</v>
          </cell>
          <cell r="D109" t="str">
            <v>Radio/TV Tower, Type I</v>
          </cell>
          <cell r="E109" t="str">
            <v>AL241</v>
          </cell>
          <cell r="F109" t="str">
            <v>Tower</v>
          </cell>
          <cell r="G109" t="str">
            <v>TTC_20</v>
          </cell>
          <cell r="H109" t="str">
            <v>TTC</v>
          </cell>
          <cell r="I109">
            <v>20</v>
          </cell>
          <cell r="J109" t="str">
            <v>Tower Type</v>
          </cell>
          <cell r="K109" t="str">
            <v>Telecommunication Tower</v>
          </cell>
          <cell r="L109" t="str">
            <v>PYC_3</v>
          </cell>
          <cell r="M109" t="str">
            <v>PYC</v>
          </cell>
          <cell r="N109">
            <v>3</v>
          </cell>
          <cell r="O109" t="str">
            <v>Pylon Configuration</v>
          </cell>
          <cell r="P109" t="str">
            <v>'I'</v>
          </cell>
          <cell r="Q109" t="str">
            <v>_</v>
          </cell>
          <cell r="V109" t="str">
            <v>[NCGIS]: Ignoring Radio/TV aspect as the distinction really appears to be the visual one of "without reflector/cone".</v>
          </cell>
        </row>
        <row r="110">
          <cell r="A110">
            <v>2880</v>
          </cell>
          <cell r="B110" t="str">
            <v>520</v>
          </cell>
          <cell r="C110" t="str">
            <v>Tower</v>
          </cell>
          <cell r="D110" t="str">
            <v>Microwave Tower, Type A (has reflector/cone)</v>
          </cell>
          <cell r="E110" t="str">
            <v>AL241</v>
          </cell>
          <cell r="F110" t="str">
            <v>Tower</v>
          </cell>
          <cell r="G110" t="str">
            <v>TTC_20</v>
          </cell>
          <cell r="H110" t="str">
            <v>TTC</v>
          </cell>
          <cell r="I110">
            <v>20</v>
          </cell>
          <cell r="J110" t="str">
            <v>Tower Type</v>
          </cell>
          <cell r="K110" t="str">
            <v>Telecommunication Tower</v>
          </cell>
          <cell r="L110" t="str">
            <v>PYC_1</v>
          </cell>
          <cell r="M110" t="str">
            <v>PYC</v>
          </cell>
          <cell r="N110">
            <v>1</v>
          </cell>
          <cell r="O110" t="str">
            <v>Pylon Configuration</v>
          </cell>
          <cell r="P110" t="str">
            <v>'A'</v>
          </cell>
          <cell r="Q110" t="str">
            <v>NST_16</v>
          </cell>
          <cell r="R110" t="str">
            <v>NST</v>
          </cell>
          <cell r="S110">
            <v>16</v>
          </cell>
          <cell r="T110" t="str">
            <v>Navigation System Type</v>
          </cell>
          <cell r="U110" t="str">
            <v>Microwave</v>
          </cell>
        </row>
        <row r="111">
          <cell r="A111">
            <v>2482</v>
          </cell>
          <cell r="B111" t="str">
            <v>521</v>
          </cell>
          <cell r="C111" t="str">
            <v>Mast</v>
          </cell>
          <cell r="D111" t="str">
            <v>Microwave Tower, Type I (has reflector/cone)</v>
          </cell>
          <cell r="E111" t="str">
            <v>AL241</v>
          </cell>
          <cell r="F111" t="str">
            <v>Tower</v>
          </cell>
          <cell r="G111" t="str">
            <v>TTC_20</v>
          </cell>
          <cell r="H111" t="str">
            <v>TTC</v>
          </cell>
          <cell r="I111">
            <v>20</v>
          </cell>
          <cell r="J111" t="str">
            <v>Tower Type</v>
          </cell>
          <cell r="K111" t="str">
            <v>Telecommunication Tower</v>
          </cell>
          <cell r="L111" t="str">
            <v>PYC_3</v>
          </cell>
          <cell r="M111" t="str">
            <v>PYC</v>
          </cell>
          <cell r="N111">
            <v>3</v>
          </cell>
          <cell r="O111" t="str">
            <v>Pylon Configuration</v>
          </cell>
          <cell r="P111" t="str">
            <v>'I'</v>
          </cell>
          <cell r="Q111" t="str">
            <v>NST_16</v>
          </cell>
          <cell r="R111" t="str">
            <v>NST</v>
          </cell>
          <cell r="S111">
            <v>16</v>
          </cell>
          <cell r="T111" t="str">
            <v>Navigation System Type</v>
          </cell>
          <cell r="U111" t="str">
            <v>Microwave</v>
          </cell>
        </row>
        <row r="112">
          <cell r="A112">
            <v>82477</v>
          </cell>
          <cell r="B112" t="str">
            <v>530</v>
          </cell>
          <cell r="C112" t="str">
            <v>Tower</v>
          </cell>
          <cell r="D112" t="str">
            <v>Miscellaneous Tower, General</v>
          </cell>
          <cell r="E112" t="str">
            <v>AL241</v>
          </cell>
          <cell r="F112" t="str">
            <v>Tower</v>
          </cell>
          <cell r="G112" t="str">
            <v>_</v>
          </cell>
          <cell r="L112" t="str">
            <v>_</v>
          </cell>
          <cell r="Q112" t="str">
            <v>_</v>
          </cell>
        </row>
        <row r="113">
          <cell r="A113">
            <v>570</v>
          </cell>
          <cell r="B113" t="str">
            <v>531</v>
          </cell>
          <cell r="C113" t="str">
            <v>Tower</v>
          </cell>
          <cell r="D113" t="str">
            <v>Observation Tower</v>
          </cell>
          <cell r="E113" t="str">
            <v>AL241</v>
          </cell>
          <cell r="F113" t="str">
            <v>Tower</v>
          </cell>
          <cell r="G113" t="str">
            <v>TTC_2</v>
          </cell>
          <cell r="H113" t="str">
            <v>TTC</v>
          </cell>
          <cell r="I113">
            <v>2</v>
          </cell>
          <cell r="J113" t="str">
            <v>Tower Type</v>
          </cell>
          <cell r="K113" t="str">
            <v>Observation Tower</v>
          </cell>
          <cell r="L113" t="str">
            <v>_</v>
          </cell>
          <cell r="Q113" t="str">
            <v>_</v>
          </cell>
        </row>
        <row r="114">
          <cell r="A114">
            <v>2064</v>
          </cell>
          <cell r="B114" t="str">
            <v>532</v>
          </cell>
          <cell r="C114" t="str">
            <v>Tower</v>
          </cell>
          <cell r="D114" t="str">
            <v>Tower on Structure</v>
          </cell>
          <cell r="E114" t="str">
            <v>AL241</v>
          </cell>
          <cell r="F114" t="str">
            <v>Tower</v>
          </cell>
          <cell r="G114" t="str">
            <v>SPT_</v>
          </cell>
          <cell r="H114" t="str">
            <v>SPT</v>
          </cell>
          <cell r="J114" t="str">
            <v>Supported</v>
          </cell>
          <cell r="K114" t="e">
            <v>#N/A</v>
          </cell>
          <cell r="L114" t="str">
            <v>_</v>
          </cell>
          <cell r="Q114" t="str">
            <v>_</v>
          </cell>
          <cell r="V114" t="str">
            <v>[PVA]: "Need to move to GIDI model of two separate features, e.g., antennas/towers mounted on and protruding above a 'Water Tower'." [NCGIS]: Modeled as explicit 'Tower' that is supported by another structure.</v>
          </cell>
        </row>
        <row r="115">
          <cell r="A115">
            <v>3</v>
          </cell>
          <cell r="B115" t="str">
            <v>533</v>
          </cell>
          <cell r="C115" t="str">
            <v>Tower (Rocket Launch)</v>
          </cell>
          <cell r="D115" t="str">
            <v>Rocket Launch Tower</v>
          </cell>
          <cell r="E115" t="str">
            <v>AL080</v>
          </cell>
          <cell r="F115" t="str">
            <v>Gantry</v>
          </cell>
          <cell r="G115" t="str">
            <v>_</v>
          </cell>
          <cell r="L115" t="str">
            <v>_</v>
          </cell>
          <cell r="Q115" t="str">
            <v>_</v>
          </cell>
          <cell r="V115" t="str">
            <v>[PVA]: "Traditionally mapped to 'Launch Pad' (GB040) however the feature actually collected is the gantry/tower and not the pad." [NCGIS]: Model as a 'Gantry' with association 'isRocketGantryOf' to a 'Launch Pad' to capture how the tower and the pad are r</v>
          </cell>
        </row>
        <row r="116">
          <cell r="A116">
            <v>2157</v>
          </cell>
          <cell r="B116" t="str">
            <v>535</v>
          </cell>
          <cell r="C116" t="str">
            <v>Tower</v>
          </cell>
          <cell r="D116" t="str">
            <v>Athletic Field Lights/Light Standards/Light Poles</v>
          </cell>
          <cell r="E116" t="str">
            <v>AL110</v>
          </cell>
          <cell r="F116" t="str">
            <v>Light Support Structure</v>
          </cell>
          <cell r="G116" t="str">
            <v>_</v>
          </cell>
          <cell r="L116" t="str">
            <v>_</v>
          </cell>
          <cell r="Q116" t="str">
            <v>_</v>
          </cell>
          <cell r="V116" t="str">
            <v>[PVA]: "Not specific to athletic field; also for light standards along roads, lights in parking lots and airport parking aprons."</v>
          </cell>
        </row>
        <row r="117">
          <cell r="A117">
            <v>109</v>
          </cell>
          <cell r="B117" t="str">
            <v>537</v>
          </cell>
          <cell r="C117" t="str">
            <v>Pylon</v>
          </cell>
          <cell r="D117" t="str">
            <v>Telephone Pylon/Poles</v>
          </cell>
          <cell r="E117" t="str">
            <v>AT070</v>
          </cell>
          <cell r="F117" t="str">
            <v>Communication Line Pylon</v>
          </cell>
          <cell r="G117" t="str">
            <v>_</v>
          </cell>
          <cell r="L117" t="str">
            <v>_</v>
          </cell>
          <cell r="Q117" t="str">
            <v>_</v>
          </cell>
        </row>
        <row r="118">
          <cell r="A118">
            <v>12</v>
          </cell>
          <cell r="B118" t="str">
            <v>538</v>
          </cell>
          <cell r="C118" t="str">
            <v>Pylon</v>
          </cell>
          <cell r="D118" t="str">
            <v>Aerial Cableway Pylons/Ski Lift Pylon</v>
          </cell>
          <cell r="E118" t="str">
            <v>AQ020</v>
          </cell>
          <cell r="F118" t="str">
            <v>Aerial Cable Pylon</v>
          </cell>
          <cell r="G118" t="str">
            <v>_</v>
          </cell>
          <cell r="L118" t="str">
            <v>_</v>
          </cell>
          <cell r="Q118" t="str">
            <v>_</v>
          </cell>
        </row>
        <row r="119">
          <cell r="A119">
            <v>1376111</v>
          </cell>
          <cell r="B119" t="str">
            <v>540</v>
          </cell>
          <cell r="C119" t="str">
            <v>Pylon</v>
          </cell>
          <cell r="D119" t="str">
            <v>Powerline Pylon, General</v>
          </cell>
          <cell r="E119" t="str">
            <v>AT040</v>
          </cell>
          <cell r="F119" t="str">
            <v>Power Line Pylon</v>
          </cell>
          <cell r="G119" t="str">
            <v>_</v>
          </cell>
          <cell r="L119" t="str">
            <v>_</v>
          </cell>
          <cell r="Q119" t="str">
            <v>_</v>
          </cell>
        </row>
        <row r="120">
          <cell r="A120">
            <v>929706</v>
          </cell>
          <cell r="B120" t="str">
            <v>541</v>
          </cell>
          <cell r="C120" t="str">
            <v>Pylon</v>
          </cell>
          <cell r="D120" t="str">
            <v>Powerline Pylon, Type A</v>
          </cell>
          <cell r="E120" t="str">
            <v>AT040</v>
          </cell>
          <cell r="F120" t="str">
            <v>Power Line Pylon</v>
          </cell>
          <cell r="G120" t="str">
            <v>PYC_1</v>
          </cell>
          <cell r="H120" t="str">
            <v>PYC</v>
          </cell>
          <cell r="I120">
            <v>1</v>
          </cell>
          <cell r="J120" t="str">
            <v>Pylon Configuration</v>
          </cell>
          <cell r="K120" t="str">
            <v>'A'</v>
          </cell>
          <cell r="L120" t="str">
            <v>_</v>
          </cell>
          <cell r="Q120" t="str">
            <v>_</v>
          </cell>
        </row>
        <row r="121">
          <cell r="A121">
            <v>444831</v>
          </cell>
          <cell r="B121" t="str">
            <v>542</v>
          </cell>
          <cell r="C121" t="str">
            <v>Pylon</v>
          </cell>
          <cell r="D121" t="str">
            <v>Powerline Pylon, Type H</v>
          </cell>
          <cell r="E121" t="str">
            <v>AT040</v>
          </cell>
          <cell r="F121" t="str">
            <v>Power Line Pylon</v>
          </cell>
          <cell r="G121" t="str">
            <v>PYC_2</v>
          </cell>
          <cell r="H121" t="str">
            <v>PYC</v>
          </cell>
          <cell r="I121">
            <v>2</v>
          </cell>
          <cell r="J121" t="str">
            <v>Pylon Configuration</v>
          </cell>
          <cell r="K121" t="str">
            <v>'H'</v>
          </cell>
          <cell r="L121" t="str">
            <v>_</v>
          </cell>
          <cell r="Q121" t="str">
            <v>_</v>
          </cell>
        </row>
        <row r="122">
          <cell r="A122">
            <v>1319956</v>
          </cell>
          <cell r="B122" t="str">
            <v>543</v>
          </cell>
          <cell r="C122" t="str">
            <v>Pylon</v>
          </cell>
          <cell r="D122" t="str">
            <v>Powerline Pylon, Type I</v>
          </cell>
          <cell r="E122" t="str">
            <v>AT040</v>
          </cell>
          <cell r="F122" t="str">
            <v>Power Line Pylon</v>
          </cell>
          <cell r="G122" t="str">
            <v>PYC_3</v>
          </cell>
          <cell r="H122" t="str">
            <v>PYC</v>
          </cell>
          <cell r="I122">
            <v>3</v>
          </cell>
          <cell r="J122" t="str">
            <v>Pylon Configuration</v>
          </cell>
          <cell r="K122" t="str">
            <v>'I'</v>
          </cell>
          <cell r="L122" t="str">
            <v>_</v>
          </cell>
          <cell r="Q122" t="str">
            <v>_</v>
          </cell>
        </row>
        <row r="123">
          <cell r="A123">
            <v>290529</v>
          </cell>
          <cell r="B123" t="str">
            <v>544</v>
          </cell>
          <cell r="C123" t="str">
            <v>Pylon</v>
          </cell>
          <cell r="D123" t="str">
            <v>Powerline Pylon, Type Y</v>
          </cell>
          <cell r="E123" t="str">
            <v>AT040</v>
          </cell>
          <cell r="F123" t="str">
            <v>Power Line Pylon</v>
          </cell>
          <cell r="G123" t="str">
            <v>PYC_4</v>
          </cell>
          <cell r="H123" t="str">
            <v>PYC</v>
          </cell>
          <cell r="I123">
            <v>4</v>
          </cell>
          <cell r="J123" t="str">
            <v>Pylon Configuration</v>
          </cell>
          <cell r="K123" t="str">
            <v>'Y'</v>
          </cell>
          <cell r="L123" t="str">
            <v>_</v>
          </cell>
          <cell r="Q123" t="str">
            <v>_</v>
          </cell>
        </row>
        <row r="124">
          <cell r="A124">
            <v>165</v>
          </cell>
          <cell r="B124" t="str">
            <v>561</v>
          </cell>
          <cell r="C124" t="str">
            <v>Building</v>
          </cell>
          <cell r="D124" t="str">
            <v>Communication Building</v>
          </cell>
          <cell r="E124" t="str">
            <v>AL013</v>
          </cell>
          <cell r="F124" t="str">
            <v>Building</v>
          </cell>
          <cell r="G124" t="str">
            <v>FFN_610</v>
          </cell>
          <cell r="H124" t="str">
            <v>FFN</v>
          </cell>
          <cell r="I124">
            <v>610</v>
          </cell>
          <cell r="J124" t="str">
            <v>Feature Function(s)</v>
          </cell>
          <cell r="K124" t="str">
            <v>Telecommunications</v>
          </cell>
          <cell r="L124" t="str">
            <v>_</v>
          </cell>
          <cell r="Q124" t="str">
            <v>_</v>
          </cell>
        </row>
        <row r="125">
          <cell r="A125">
            <v>420</v>
          </cell>
          <cell r="B125" t="str">
            <v>601</v>
          </cell>
          <cell r="C125" t="str">
            <v>Building</v>
          </cell>
          <cell r="D125" t="str">
            <v>Governmental Building, General</v>
          </cell>
          <cell r="E125" t="str">
            <v>AL013</v>
          </cell>
          <cell r="F125" t="str">
            <v>Building</v>
          </cell>
          <cell r="G125" t="str">
            <v>FFN_811</v>
          </cell>
          <cell r="H125" t="str">
            <v>FFN</v>
          </cell>
          <cell r="I125">
            <v>811</v>
          </cell>
          <cell r="J125" t="str">
            <v>Feature Function(s)</v>
          </cell>
          <cell r="K125" t="str">
            <v>Government</v>
          </cell>
          <cell r="L125" t="str">
            <v>_</v>
          </cell>
          <cell r="Q125" t="str">
            <v>_</v>
          </cell>
        </row>
        <row r="126">
          <cell r="A126">
            <v>25</v>
          </cell>
          <cell r="B126" t="str">
            <v>602</v>
          </cell>
          <cell r="C126" t="str">
            <v>Building</v>
          </cell>
          <cell r="D126" t="str">
            <v>Capitol Building</v>
          </cell>
          <cell r="E126" t="str">
            <v>AL013</v>
          </cell>
          <cell r="F126" t="str">
            <v>Building</v>
          </cell>
          <cell r="G126" t="str">
            <v>FFN_817</v>
          </cell>
          <cell r="H126" t="str">
            <v>FFN</v>
          </cell>
          <cell r="I126">
            <v>817</v>
          </cell>
          <cell r="J126" t="str">
            <v>Feature Function(s)</v>
          </cell>
          <cell r="K126" t="str">
            <v>Capitol</v>
          </cell>
          <cell r="L126" t="str">
            <v>_</v>
          </cell>
          <cell r="Q126" t="str">
            <v>_</v>
          </cell>
        </row>
        <row r="127">
          <cell r="A127">
            <v>519</v>
          </cell>
          <cell r="B127" t="str">
            <v>603</v>
          </cell>
          <cell r="C127" t="str">
            <v>Building</v>
          </cell>
          <cell r="D127" t="str">
            <v>Administrative Building, Governmental</v>
          </cell>
          <cell r="E127" t="str">
            <v>AL013</v>
          </cell>
          <cell r="F127" t="str">
            <v>Building</v>
          </cell>
          <cell r="G127" t="str">
            <v>FFN_822</v>
          </cell>
          <cell r="H127" t="str">
            <v>FFN</v>
          </cell>
          <cell r="I127">
            <v>822</v>
          </cell>
          <cell r="J127" t="str">
            <v>Feature Function(s)</v>
          </cell>
          <cell r="K127" t="str">
            <v>Civil Activities</v>
          </cell>
          <cell r="L127" t="str">
            <v>FFN_810</v>
          </cell>
          <cell r="M127" t="str">
            <v>FFN</v>
          </cell>
          <cell r="N127">
            <v>810</v>
          </cell>
          <cell r="O127" t="str">
            <v>Feature Function(s)</v>
          </cell>
          <cell r="P127" t="str">
            <v>Administration</v>
          </cell>
          <cell r="Q127" t="str">
            <v>_</v>
          </cell>
        </row>
        <row r="128">
          <cell r="A128">
            <v>10</v>
          </cell>
          <cell r="B128" t="str">
            <v>604</v>
          </cell>
          <cell r="C128" t="str">
            <v>Building</v>
          </cell>
          <cell r="D128" t="str">
            <v>Prison</v>
          </cell>
          <cell r="E128" t="str">
            <v>AL013</v>
          </cell>
          <cell r="F128" t="str">
            <v>Building</v>
          </cell>
          <cell r="G128" t="str">
            <v>FFN_843</v>
          </cell>
          <cell r="H128" t="str">
            <v>FFN</v>
          </cell>
          <cell r="I128">
            <v>843</v>
          </cell>
          <cell r="J128" t="str">
            <v>Feature Function(s)</v>
          </cell>
          <cell r="K128" t="str">
            <v>Imprisonment</v>
          </cell>
          <cell r="L128" t="str">
            <v>_</v>
          </cell>
          <cell r="Q128" t="str">
            <v>_</v>
          </cell>
        </row>
        <row r="129">
          <cell r="A129">
            <v>62</v>
          </cell>
          <cell r="B129" t="str">
            <v>605</v>
          </cell>
          <cell r="C129" t="str">
            <v>Palace</v>
          </cell>
          <cell r="D129" t="str">
            <v>Palace</v>
          </cell>
          <cell r="E129" t="str">
            <v>AL013</v>
          </cell>
          <cell r="F129" t="str">
            <v>Building</v>
          </cell>
          <cell r="G129" t="str">
            <v>FFN_815</v>
          </cell>
          <cell r="H129" t="str">
            <v>FFN</v>
          </cell>
          <cell r="I129">
            <v>815</v>
          </cell>
          <cell r="J129" t="str">
            <v>Feature Function(s)</v>
          </cell>
          <cell r="K129" t="str">
            <v>Palace</v>
          </cell>
          <cell r="L129" t="str">
            <v>_</v>
          </cell>
          <cell r="Q129" t="str">
            <v>_</v>
          </cell>
        </row>
        <row r="130">
          <cell r="A130">
            <v>381</v>
          </cell>
          <cell r="B130" t="str">
            <v>606</v>
          </cell>
          <cell r="C130" t="str">
            <v>Castle</v>
          </cell>
          <cell r="D130" t="str">
            <v>Castle</v>
          </cell>
          <cell r="E130" t="str">
            <v>AL375</v>
          </cell>
          <cell r="F130" t="str">
            <v xml:space="preserve">Castle </v>
          </cell>
          <cell r="G130" t="str">
            <v>_</v>
          </cell>
          <cell r="L130" t="str">
            <v>_</v>
          </cell>
          <cell r="Q130" t="str">
            <v>_</v>
          </cell>
        </row>
        <row r="131">
          <cell r="A131">
            <v>13</v>
          </cell>
          <cell r="B131" t="str">
            <v>607</v>
          </cell>
          <cell r="C131" t="str">
            <v>Castle</v>
          </cell>
          <cell r="D131" t="str">
            <v>Fortification - Constructed for Military Defense</v>
          </cell>
          <cell r="E131" t="str">
            <v>AH050</v>
          </cell>
          <cell r="F131" t="str">
            <v>Fortification</v>
          </cell>
          <cell r="G131" t="str">
            <v>_</v>
          </cell>
          <cell r="L131" t="str">
            <v>_</v>
          </cell>
          <cell r="Q131" t="str">
            <v>_</v>
          </cell>
        </row>
        <row r="132">
          <cell r="A132">
            <v>310</v>
          </cell>
          <cell r="B132" t="str">
            <v>610</v>
          </cell>
          <cell r="C132" t="str">
            <v>Building</v>
          </cell>
          <cell r="D132" t="str">
            <v>Institutional Building, General</v>
          </cell>
          <cell r="E132" t="str">
            <v>AL013</v>
          </cell>
          <cell r="F132" t="str">
            <v>Building</v>
          </cell>
          <cell r="G132" t="str">
            <v>FFN_859</v>
          </cell>
          <cell r="H132" t="str">
            <v>FFN</v>
          </cell>
          <cell r="I132">
            <v>859</v>
          </cell>
          <cell r="J132" t="str">
            <v>Feature Function(s)</v>
          </cell>
          <cell r="K132" t="str">
            <v>Institution</v>
          </cell>
          <cell r="L132" t="str">
            <v>_</v>
          </cell>
          <cell r="Q132" t="str">
            <v>_</v>
          </cell>
          <cell r="V132" t="str">
            <v>[NCGIS]: "Seems to be general case overarching school, hospital, observatory, ...; is this functional classification important?" [PVA]: "A generalized feature due to lack of better source material."</v>
          </cell>
        </row>
        <row r="133">
          <cell r="A133">
            <v>61</v>
          </cell>
          <cell r="B133" t="str">
            <v>620</v>
          </cell>
          <cell r="C133" t="str">
            <v>Building</v>
          </cell>
          <cell r="D133" t="str">
            <v>School, General</v>
          </cell>
          <cell r="E133" t="str">
            <v>AL013</v>
          </cell>
          <cell r="F133" t="str">
            <v>Building</v>
          </cell>
          <cell r="G133" t="str">
            <v>FFN_850</v>
          </cell>
          <cell r="H133" t="str">
            <v>FFN</v>
          </cell>
          <cell r="I133">
            <v>850</v>
          </cell>
          <cell r="J133" t="str">
            <v>Feature Function(s)</v>
          </cell>
          <cell r="K133" t="str">
            <v>Education</v>
          </cell>
          <cell r="L133" t="str">
            <v>_</v>
          </cell>
          <cell r="Q133" t="str">
            <v>_</v>
          </cell>
        </row>
        <row r="134">
          <cell r="A134">
            <v>93</v>
          </cell>
          <cell r="B134" t="str">
            <v>621</v>
          </cell>
          <cell r="C134" t="str">
            <v>Building</v>
          </cell>
          <cell r="D134" t="str">
            <v>School with Flat Roof (type 620 with flat roof)</v>
          </cell>
          <cell r="E134" t="str">
            <v>AL013</v>
          </cell>
          <cell r="F134" t="str">
            <v>Building</v>
          </cell>
          <cell r="G134" t="str">
            <v>FFN_850</v>
          </cell>
          <cell r="H134" t="str">
            <v>FFN</v>
          </cell>
          <cell r="I134">
            <v>850</v>
          </cell>
          <cell r="J134" t="str">
            <v>Feature Function(s)</v>
          </cell>
          <cell r="K134" t="str">
            <v>Education</v>
          </cell>
          <cell r="L134" t="str">
            <v>SSR_41</v>
          </cell>
          <cell r="M134" t="str">
            <v>SSR</v>
          </cell>
          <cell r="N134">
            <v>41</v>
          </cell>
          <cell r="O134" t="str">
            <v>Roof Shape</v>
          </cell>
          <cell r="P134" t="str">
            <v>Flat</v>
          </cell>
          <cell r="Q134" t="str">
            <v>_</v>
          </cell>
        </row>
        <row r="135">
          <cell r="A135">
            <v>30</v>
          </cell>
          <cell r="B135" t="str">
            <v>622</v>
          </cell>
          <cell r="C135" t="str">
            <v>Building</v>
          </cell>
          <cell r="D135" t="str">
            <v>School with Gable Roof (type 620 with gable roof)</v>
          </cell>
          <cell r="E135" t="str">
            <v>AL013</v>
          </cell>
          <cell r="F135" t="str">
            <v>Building</v>
          </cell>
          <cell r="G135" t="str">
            <v>FFN_850</v>
          </cell>
          <cell r="H135" t="str">
            <v>FFN</v>
          </cell>
          <cell r="I135">
            <v>850</v>
          </cell>
          <cell r="J135" t="str">
            <v>Feature Function(s)</v>
          </cell>
          <cell r="K135" t="str">
            <v>Education</v>
          </cell>
          <cell r="L135" t="str">
            <v>SSR_42</v>
          </cell>
          <cell r="M135" t="str">
            <v>SSR</v>
          </cell>
          <cell r="N135">
            <v>42</v>
          </cell>
          <cell r="O135" t="str">
            <v>Roof Shape</v>
          </cell>
          <cell r="P135" t="str">
            <v>Pitched</v>
          </cell>
          <cell r="Q135" t="str">
            <v>_</v>
          </cell>
        </row>
        <row r="136">
          <cell r="A136">
            <v>96</v>
          </cell>
          <cell r="B136" t="str">
            <v>630</v>
          </cell>
          <cell r="C136" t="str">
            <v>Building</v>
          </cell>
          <cell r="D136" t="str">
            <v>Hospital</v>
          </cell>
          <cell r="E136" t="str">
            <v>AL013</v>
          </cell>
          <cell r="F136" t="str">
            <v>Building</v>
          </cell>
          <cell r="G136" t="str">
            <v>FFN_861</v>
          </cell>
          <cell r="H136" t="str">
            <v>FFN</v>
          </cell>
          <cell r="I136">
            <v>861</v>
          </cell>
          <cell r="J136" t="str">
            <v>Feature Function(s)</v>
          </cell>
          <cell r="K136" t="str">
            <v>In-patient Care</v>
          </cell>
          <cell r="L136" t="str">
            <v>_</v>
          </cell>
          <cell r="Q136" t="str">
            <v>_</v>
          </cell>
        </row>
        <row r="137">
          <cell r="A137">
            <v>116</v>
          </cell>
          <cell r="B137" t="str">
            <v>631</v>
          </cell>
          <cell r="C137" t="str">
            <v>Building</v>
          </cell>
          <cell r="D137" t="str">
            <v>Hospital with Flat Roof (type 630 with flat roof)</v>
          </cell>
          <cell r="E137" t="str">
            <v>AL013</v>
          </cell>
          <cell r="F137" t="str">
            <v>Building</v>
          </cell>
          <cell r="G137" t="str">
            <v>FFN_861</v>
          </cell>
          <cell r="H137" t="str">
            <v>FFN</v>
          </cell>
          <cell r="I137">
            <v>861</v>
          </cell>
          <cell r="J137" t="str">
            <v>Feature Function(s)</v>
          </cell>
          <cell r="K137" t="str">
            <v>In-patient Care</v>
          </cell>
          <cell r="L137" t="str">
            <v>SSR_41</v>
          </cell>
          <cell r="M137" t="str">
            <v>SSR</v>
          </cell>
          <cell r="N137">
            <v>41</v>
          </cell>
          <cell r="O137" t="str">
            <v>Roof Shape</v>
          </cell>
          <cell r="P137" t="str">
            <v>Flat</v>
          </cell>
          <cell r="Q137" t="str">
            <v>_</v>
          </cell>
        </row>
        <row r="138">
          <cell r="A138">
            <v>19</v>
          </cell>
          <cell r="B138" t="str">
            <v>632</v>
          </cell>
          <cell r="C138" t="str">
            <v>Building</v>
          </cell>
          <cell r="D138" t="str">
            <v>Hospital with Gable Roof (type 630 with gable roof)</v>
          </cell>
          <cell r="E138" t="str">
            <v>AL013</v>
          </cell>
          <cell r="F138" t="str">
            <v>Building</v>
          </cell>
          <cell r="G138" t="str">
            <v>FFN_861</v>
          </cell>
          <cell r="H138" t="str">
            <v>FFN</v>
          </cell>
          <cell r="I138">
            <v>861</v>
          </cell>
          <cell r="J138" t="str">
            <v>Feature Function(s)</v>
          </cell>
          <cell r="K138" t="str">
            <v>In-patient Care</v>
          </cell>
          <cell r="L138" t="str">
            <v>SSR_42</v>
          </cell>
          <cell r="M138" t="str">
            <v>SSR</v>
          </cell>
          <cell r="N138">
            <v>42</v>
          </cell>
          <cell r="O138" t="str">
            <v>Roof Shape</v>
          </cell>
          <cell r="P138" t="str">
            <v>Pitched</v>
          </cell>
          <cell r="Q138" t="str">
            <v>_</v>
          </cell>
        </row>
        <row r="139">
          <cell r="A139">
            <v>20</v>
          </cell>
          <cell r="B139" t="str">
            <v>640</v>
          </cell>
          <cell r="C139" t="str">
            <v>Building</v>
          </cell>
          <cell r="D139" t="str">
            <v>Observatory</v>
          </cell>
          <cell r="E139" t="str">
            <v>AL142</v>
          </cell>
          <cell r="F139" t="str">
            <v>Astronomical Observatory</v>
          </cell>
          <cell r="G139" t="str">
            <v>_</v>
          </cell>
          <cell r="L139" t="str">
            <v>_</v>
          </cell>
          <cell r="Q139" t="str">
            <v>_</v>
          </cell>
        </row>
        <row r="140">
          <cell r="A140">
            <v>17</v>
          </cell>
          <cell r="B140" t="str">
            <v>641</v>
          </cell>
          <cell r="C140" t="str">
            <v>Building</v>
          </cell>
          <cell r="D140" t="str">
            <v>Observatory with Dome Roof (type 640 with dome roof)</v>
          </cell>
          <cell r="E140" t="str">
            <v>AL142</v>
          </cell>
          <cell r="F140" t="str">
            <v>Astronomical Observatory</v>
          </cell>
          <cell r="G140" t="str">
            <v>_</v>
          </cell>
          <cell r="L140" t="str">
            <v>_</v>
          </cell>
          <cell r="Q140" t="str">
            <v>_</v>
          </cell>
        </row>
        <row r="141">
          <cell r="A141">
            <v>2201</v>
          </cell>
          <cell r="B141" t="str">
            <v>650</v>
          </cell>
          <cell r="C141" t="str">
            <v>Church</v>
          </cell>
          <cell r="D141" t="str">
            <v>House of Religious Worship, General (Church, Mosque, Synagogue, Temple) :  Also see Steeple</v>
          </cell>
          <cell r="E141" t="str">
            <v>AL330</v>
          </cell>
          <cell r="F141" t="str">
            <v>Religious Facility</v>
          </cell>
          <cell r="G141" t="str">
            <v>RFA_0</v>
          </cell>
          <cell r="H141" t="str">
            <v>RFA</v>
          </cell>
          <cell r="I141">
            <v>0</v>
          </cell>
          <cell r="J141" t="str">
            <v>Religious Facility Type</v>
          </cell>
          <cell r="K141" t="e">
            <v>#N/A</v>
          </cell>
          <cell r="L141" t="str">
            <v>_</v>
          </cell>
          <cell r="Q141" t="str">
            <v>_</v>
          </cell>
        </row>
        <row r="142">
          <cell r="A142">
            <v>143</v>
          </cell>
          <cell r="B142" t="str">
            <v>651</v>
          </cell>
          <cell r="C142" t="str">
            <v>Church (Minaret)</v>
          </cell>
          <cell r="D142" t="str">
            <v>House of Religious Worship - Minaret</v>
          </cell>
          <cell r="E142" t="str">
            <v>AL330</v>
          </cell>
          <cell r="F142" t="str">
            <v>Religious Facility</v>
          </cell>
          <cell r="G142" t="str">
            <v>RFA_5</v>
          </cell>
          <cell r="H142" t="str">
            <v>RFA</v>
          </cell>
          <cell r="I142">
            <v>5</v>
          </cell>
          <cell r="J142" t="str">
            <v>Religious Facility Type</v>
          </cell>
          <cell r="K142" t="str">
            <v>Minaret</v>
          </cell>
          <cell r="L142" t="str">
            <v>SSR_80</v>
          </cell>
          <cell r="M142" t="str">
            <v>SSR</v>
          </cell>
          <cell r="N142">
            <v>80</v>
          </cell>
          <cell r="O142" t="str">
            <v>Roof Shape</v>
          </cell>
          <cell r="P142" t="str">
            <v>With Minaret</v>
          </cell>
          <cell r="Q142" t="str">
            <v>_</v>
          </cell>
        </row>
        <row r="143">
          <cell r="A143">
            <v>13</v>
          </cell>
          <cell r="B143" t="str">
            <v>652</v>
          </cell>
          <cell r="C143" t="str">
            <v>Church (Mosque)</v>
          </cell>
          <cell r="D143" t="str">
            <v>House of Religious Worship - Mosque</v>
          </cell>
          <cell r="E143" t="str">
            <v>AL330</v>
          </cell>
          <cell r="F143" t="str">
            <v>Religious Facility</v>
          </cell>
          <cell r="G143" t="str">
            <v>RFA_7</v>
          </cell>
          <cell r="H143" t="str">
            <v>RFA</v>
          </cell>
          <cell r="I143">
            <v>7</v>
          </cell>
          <cell r="J143" t="str">
            <v>Religious Facility Type</v>
          </cell>
          <cell r="K143" t="str">
            <v>Mosque</v>
          </cell>
          <cell r="L143" t="str">
            <v>_</v>
          </cell>
          <cell r="Q143" t="str">
            <v>_</v>
          </cell>
        </row>
        <row r="144">
          <cell r="A144">
            <v>0</v>
          </cell>
          <cell r="B144" t="str">
            <v>653</v>
          </cell>
          <cell r="C144" t="str">
            <v>Church (Synagogue)</v>
          </cell>
          <cell r="D144" t="str">
            <v>House of Religious Worship - Synagogue</v>
          </cell>
          <cell r="E144" t="str">
            <v>AL330</v>
          </cell>
          <cell r="F144" t="str">
            <v>Religious Facility</v>
          </cell>
          <cell r="G144" t="str">
            <v>RFA_13</v>
          </cell>
          <cell r="H144" t="str">
            <v>RFA</v>
          </cell>
          <cell r="I144">
            <v>13</v>
          </cell>
          <cell r="J144" t="str">
            <v>Religious Facility Type</v>
          </cell>
          <cell r="K144" t="str">
            <v>Synagogue</v>
          </cell>
          <cell r="L144" t="str">
            <v>_</v>
          </cell>
          <cell r="Q144" t="str">
            <v>_</v>
          </cell>
        </row>
        <row r="145">
          <cell r="A145">
            <v>6</v>
          </cell>
          <cell r="B145" t="str">
            <v>654</v>
          </cell>
          <cell r="C145" t="str">
            <v>Church (Temple)</v>
          </cell>
          <cell r="D145" t="str">
            <v>House of Religious Worship - Temple</v>
          </cell>
          <cell r="E145" t="str">
            <v>AL330</v>
          </cell>
          <cell r="F145" t="str">
            <v>Religious Facility</v>
          </cell>
          <cell r="G145" t="str">
            <v>RFA_15</v>
          </cell>
          <cell r="H145" t="str">
            <v>RFA</v>
          </cell>
          <cell r="I145">
            <v>15</v>
          </cell>
          <cell r="J145" t="str">
            <v>Religious Facility Type</v>
          </cell>
          <cell r="K145" t="str">
            <v>Temple</v>
          </cell>
          <cell r="L145" t="str">
            <v>_</v>
          </cell>
          <cell r="Q145" t="str">
            <v>_</v>
          </cell>
        </row>
        <row r="146">
          <cell r="A146">
            <v>310</v>
          </cell>
          <cell r="B146" t="str">
            <v>680</v>
          </cell>
          <cell r="C146" t="str">
            <v>Monument</v>
          </cell>
          <cell r="D146" t="str">
            <v>Government/Institutional/Religious Structure, General; DCHUM/ECHUM: "Monument (general - all types)"</v>
          </cell>
          <cell r="E146" t="str">
            <v>AL130</v>
          </cell>
          <cell r="F146" t="str">
            <v>Memorial Monument</v>
          </cell>
          <cell r="G146" t="str">
            <v>_</v>
          </cell>
          <cell r="L146" t="str">
            <v>_</v>
          </cell>
          <cell r="Q146" t="str">
            <v>_</v>
          </cell>
        </row>
        <row r="147">
          <cell r="A147">
            <v>18028</v>
          </cell>
          <cell r="B147" t="str">
            <v>681</v>
          </cell>
          <cell r="C147" t="str">
            <v>Steeple</v>
          </cell>
          <cell r="D147" t="str">
            <v>House of Religious Worship with Steeple</v>
          </cell>
          <cell r="E147" t="str">
            <v>AL330</v>
          </cell>
          <cell r="F147" t="str">
            <v>Religious Facility</v>
          </cell>
          <cell r="G147" t="str">
            <v>SSR_51</v>
          </cell>
          <cell r="H147" t="str">
            <v>SSR</v>
          </cell>
          <cell r="I147">
            <v>51</v>
          </cell>
          <cell r="J147" t="str">
            <v>Roof Shape</v>
          </cell>
          <cell r="K147" t="str">
            <v>With Steeple</v>
          </cell>
          <cell r="L147" t="str">
            <v>RFA_0</v>
          </cell>
          <cell r="M147" t="str">
            <v>RFA</v>
          </cell>
          <cell r="N147">
            <v>0</v>
          </cell>
          <cell r="O147" t="str">
            <v>Religious Facility Type</v>
          </cell>
          <cell r="P147" t="e">
            <v>#N/A</v>
          </cell>
          <cell r="Q147" t="str">
            <v>_</v>
          </cell>
        </row>
        <row r="148">
          <cell r="A148">
            <v>807</v>
          </cell>
          <cell r="B148" t="str">
            <v>682</v>
          </cell>
          <cell r="C148" t="str">
            <v>Monument</v>
          </cell>
          <cell r="D148" t="str">
            <v>Monument/Obelisk</v>
          </cell>
          <cell r="E148" t="str">
            <v>AL130</v>
          </cell>
          <cell r="F148" t="str">
            <v>Memorial Monument</v>
          </cell>
          <cell r="G148" t="str">
            <v>SSC_109</v>
          </cell>
          <cell r="H148" t="str">
            <v>SSC</v>
          </cell>
          <cell r="I148">
            <v>109</v>
          </cell>
          <cell r="J148" t="str">
            <v>Structure Shape</v>
          </cell>
          <cell r="K148" t="str">
            <v>Obelisk</v>
          </cell>
          <cell r="L148" t="str">
            <v>_</v>
          </cell>
          <cell r="Q148" t="str">
            <v>_</v>
          </cell>
        </row>
        <row r="149">
          <cell r="A149">
            <v>17</v>
          </cell>
          <cell r="B149" t="str">
            <v>683</v>
          </cell>
          <cell r="C149" t="str">
            <v>Arch</v>
          </cell>
          <cell r="D149" t="str">
            <v>Arch</v>
          </cell>
          <cell r="E149" t="str">
            <v>AL130</v>
          </cell>
          <cell r="F149" t="str">
            <v>Memorial Monument</v>
          </cell>
          <cell r="G149" t="str">
            <v>SSC_77</v>
          </cell>
          <cell r="H149" t="str">
            <v>SSC</v>
          </cell>
          <cell r="I149">
            <v>77</v>
          </cell>
          <cell r="J149" t="str">
            <v>Structure Shape</v>
          </cell>
          <cell r="K149" t="str">
            <v>Arched</v>
          </cell>
          <cell r="L149" t="str">
            <v>_</v>
          </cell>
          <cell r="Q149" t="str">
            <v>_</v>
          </cell>
        </row>
        <row r="150">
          <cell r="A150">
            <v>26</v>
          </cell>
          <cell r="B150" t="str">
            <v>684</v>
          </cell>
          <cell r="C150" t="str">
            <v>Pyramid</v>
          </cell>
          <cell r="D150" t="str">
            <v>Pyramid</v>
          </cell>
          <cell r="E150" t="str">
            <v>AL130</v>
          </cell>
          <cell r="F150" t="str">
            <v>Memorial Monument</v>
          </cell>
          <cell r="G150" t="str">
            <v>SSC_12</v>
          </cell>
          <cell r="H150" t="str">
            <v>SSC</v>
          </cell>
          <cell r="I150">
            <v>12</v>
          </cell>
          <cell r="J150" t="str">
            <v>Structure Shape</v>
          </cell>
          <cell r="K150" t="str">
            <v>Pyramidal</v>
          </cell>
          <cell r="L150" t="str">
            <v>_</v>
          </cell>
          <cell r="Q150" t="str">
            <v>_</v>
          </cell>
        </row>
        <row r="151">
          <cell r="A151">
            <v>3636</v>
          </cell>
          <cell r="B151" t="str">
            <v>702</v>
          </cell>
          <cell r="C151" t="str">
            <v>Tower</v>
          </cell>
          <cell r="D151" t="str">
            <v>Airport/Airbase Control Tower</v>
          </cell>
          <cell r="E151" t="str">
            <v>AQ060</v>
          </cell>
          <cell r="F151" t="str">
            <v>Control Tower</v>
          </cell>
          <cell r="G151" t="str">
            <v>TRS_1</v>
          </cell>
          <cell r="H151" t="str">
            <v>TRS</v>
          </cell>
          <cell r="I151">
            <v>1</v>
          </cell>
          <cell r="J151" t="str">
            <v>Transportation System Type</v>
          </cell>
          <cell r="K151" t="str">
            <v>Aeronautical</v>
          </cell>
          <cell r="L151" t="str">
            <v>_</v>
          </cell>
          <cell r="Q151" t="str">
            <v>_</v>
          </cell>
        </row>
        <row r="152">
          <cell r="A152">
            <v>33</v>
          </cell>
          <cell r="B152" t="str">
            <v>704</v>
          </cell>
          <cell r="C152" t="str">
            <v>Hanger (Flat Roof)</v>
          </cell>
          <cell r="D152" t="str">
            <v>Aircraft Hanger Building - Flat Roof</v>
          </cell>
          <cell r="E152" t="str">
            <v>GB230</v>
          </cell>
          <cell r="F152" t="str">
            <v>Aircraft Hangar</v>
          </cell>
          <cell r="G152" t="str">
            <v>SSR_41</v>
          </cell>
          <cell r="H152" t="str">
            <v>SSR</v>
          </cell>
          <cell r="I152">
            <v>41</v>
          </cell>
          <cell r="J152" t="str">
            <v>Roof Shape</v>
          </cell>
          <cell r="K152" t="str">
            <v>Flat</v>
          </cell>
          <cell r="L152" t="str">
            <v>_</v>
          </cell>
          <cell r="Q152" t="str">
            <v>_</v>
          </cell>
        </row>
        <row r="153">
          <cell r="A153">
            <v>44</v>
          </cell>
          <cell r="B153" t="str">
            <v>705</v>
          </cell>
          <cell r="C153" t="str">
            <v>Hanger (Curved Roof)</v>
          </cell>
          <cell r="D153" t="str">
            <v>Aircraft Hanger Building - Curved Roof</v>
          </cell>
          <cell r="E153" t="str">
            <v>GB230</v>
          </cell>
          <cell r="F153" t="str">
            <v>Aircraft Hangar</v>
          </cell>
          <cell r="G153" t="str">
            <v>SSR_38</v>
          </cell>
          <cell r="H153" t="str">
            <v>SSR</v>
          </cell>
          <cell r="I153">
            <v>38</v>
          </cell>
          <cell r="J153" t="str">
            <v>Roof Shape</v>
          </cell>
          <cell r="K153" t="str">
            <v>Semi-cylindrical</v>
          </cell>
          <cell r="L153" t="str">
            <v>_</v>
          </cell>
          <cell r="Q153" t="str">
            <v>_</v>
          </cell>
          <cell r="V153" t="str">
            <v>[PVA]: "Most likely a half-cylinder -- quonset-like -- but there might be unimportant variation."</v>
          </cell>
        </row>
        <row r="154">
          <cell r="A154">
            <v>226</v>
          </cell>
          <cell r="B154" t="str">
            <v>710</v>
          </cell>
          <cell r="C154" t="str">
            <v>Airbase NAVAID</v>
          </cell>
          <cell r="D154" t="str">
            <v>Airport NAVAID / Airbase Electronic/Navigation Aid</v>
          </cell>
          <cell r="E154" t="str">
            <v>GA035</v>
          </cell>
          <cell r="F154" t="str">
            <v>Aeronautical NAVAID</v>
          </cell>
          <cell r="G154" t="str">
            <v>_</v>
          </cell>
          <cell r="L154" t="str">
            <v>_</v>
          </cell>
          <cell r="Q154" t="str">
            <v>_</v>
          </cell>
          <cell r="V154" t="str">
            <v>[PVA]: "710-718 are from airfield surveys and are likely also in ADDE with much more atttribution."</v>
          </cell>
        </row>
        <row r="155">
          <cell r="A155">
            <v>46</v>
          </cell>
          <cell r="B155" t="str">
            <v>711</v>
          </cell>
          <cell r="C155" t="str">
            <v>Radar (Reflector)</v>
          </cell>
          <cell r="D155" t="str">
            <v>Radar Reflector</v>
          </cell>
          <cell r="E155" t="str">
            <v>GA035</v>
          </cell>
          <cell r="F155" t="str">
            <v>Aeronautical NAVAID</v>
          </cell>
          <cell r="G155" t="str">
            <v>NST_55</v>
          </cell>
          <cell r="H155" t="str">
            <v>NST</v>
          </cell>
          <cell r="I155">
            <v>55</v>
          </cell>
          <cell r="J155" t="str">
            <v>Navigation System Type</v>
          </cell>
          <cell r="K155" t="str">
            <v>Radar Reflector</v>
          </cell>
          <cell r="L155" t="str">
            <v>_</v>
          </cell>
          <cell r="Q155" t="str">
            <v>_</v>
          </cell>
        </row>
        <row r="156">
          <cell r="A156">
            <v>35</v>
          </cell>
          <cell r="B156" t="str">
            <v>714</v>
          </cell>
          <cell r="C156" t="str">
            <v>Radar (Antenna VORTAC)</v>
          </cell>
          <cell r="D156" t="str">
            <v>VOR/VORTAC/TACON Facility</v>
          </cell>
          <cell r="E156" t="str">
            <v>GA035</v>
          </cell>
          <cell r="F156" t="str">
            <v>Aeronautical NAVAID</v>
          </cell>
          <cell r="G156" t="str">
            <v>NST_22</v>
          </cell>
          <cell r="H156" t="str">
            <v>NST</v>
          </cell>
          <cell r="I156">
            <v>22</v>
          </cell>
          <cell r="J156" t="str">
            <v>Navigation System Type</v>
          </cell>
          <cell r="K156" t="str">
            <v>VHF Omni Directional Radio Range and TACAN (VORTAC)</v>
          </cell>
          <cell r="L156" t="str">
            <v>_</v>
          </cell>
          <cell r="Q156" t="str">
            <v>_</v>
          </cell>
        </row>
        <row r="157">
          <cell r="A157">
            <v>38</v>
          </cell>
          <cell r="B157" t="str">
            <v>715</v>
          </cell>
          <cell r="C157" t="str">
            <v>Radar (Antenna Radon)</v>
          </cell>
          <cell r="D157" t="str">
            <v>Antenna (Radar with Radome)</v>
          </cell>
          <cell r="E157" t="str">
            <v>GA035</v>
          </cell>
          <cell r="F157" t="str">
            <v>Aeronautical NAVAID</v>
          </cell>
          <cell r="G157" t="str">
            <v>NST_35</v>
          </cell>
          <cell r="H157" t="str">
            <v>NST</v>
          </cell>
          <cell r="I157">
            <v>35</v>
          </cell>
          <cell r="J157" t="str">
            <v>Navigation System Type</v>
          </cell>
          <cell r="K157" t="str">
            <v>Radar Antenna</v>
          </cell>
          <cell r="L157" t="str">
            <v>RAC_3</v>
          </cell>
          <cell r="M157" t="str">
            <v>RAC</v>
          </cell>
          <cell r="N157">
            <v>3</v>
          </cell>
          <cell r="O157" t="str">
            <v>Radar Antenna Configuration</v>
          </cell>
          <cell r="P157" t="str">
            <v>Radome</v>
          </cell>
          <cell r="Q157" t="str">
            <v>_</v>
          </cell>
        </row>
        <row r="158">
          <cell r="A158">
            <v>18</v>
          </cell>
          <cell r="B158" t="str">
            <v>716</v>
          </cell>
          <cell r="C158" t="str">
            <v>Radar (Ant.Twr. Mnt. Radon)</v>
          </cell>
          <cell r="D158" t="str">
            <v>Antenna (with Radar Tower Mounted with Radome)</v>
          </cell>
          <cell r="E158" t="str">
            <v>GA035</v>
          </cell>
          <cell r="F158" t="str">
            <v>Aeronautical NAVAID</v>
          </cell>
          <cell r="G158" t="str">
            <v>NST_35</v>
          </cell>
          <cell r="H158" t="str">
            <v>NST</v>
          </cell>
          <cell r="I158">
            <v>35</v>
          </cell>
          <cell r="J158" t="str">
            <v>Navigation System Type</v>
          </cell>
          <cell r="K158" t="str">
            <v>Radar Antenna</v>
          </cell>
          <cell r="L158" t="str">
            <v>RAC_4</v>
          </cell>
          <cell r="M158" t="str">
            <v>RAC</v>
          </cell>
          <cell r="N158">
            <v>4</v>
          </cell>
          <cell r="O158" t="str">
            <v>Radar Antenna Configuration</v>
          </cell>
          <cell r="P158" t="str">
            <v>Radome on Tower</v>
          </cell>
          <cell r="Q158" t="str">
            <v>_</v>
          </cell>
        </row>
        <row r="159">
          <cell r="A159">
            <v>552</v>
          </cell>
          <cell r="B159" t="str">
            <v>717</v>
          </cell>
          <cell r="C159" t="str">
            <v>Radar Antenna</v>
          </cell>
          <cell r="D159" t="str">
            <v>Antenna  Radar</v>
          </cell>
          <cell r="E159" t="str">
            <v>GA035</v>
          </cell>
          <cell r="F159" t="str">
            <v>Aeronautical NAVAID</v>
          </cell>
          <cell r="G159" t="str">
            <v>NST_35</v>
          </cell>
          <cell r="H159" t="str">
            <v>NST</v>
          </cell>
          <cell r="I159">
            <v>35</v>
          </cell>
          <cell r="J159" t="str">
            <v>Navigation System Type</v>
          </cell>
          <cell r="K159" t="str">
            <v>Radar Antenna</v>
          </cell>
          <cell r="L159" t="str">
            <v>_</v>
          </cell>
          <cell r="Q159" t="str">
            <v>_</v>
          </cell>
        </row>
        <row r="160">
          <cell r="A160">
            <v>33</v>
          </cell>
          <cell r="B160" t="str">
            <v>718</v>
          </cell>
          <cell r="C160" t="str">
            <v>Radar Antenna (Twr.Mnt.)</v>
          </cell>
          <cell r="D160" t="str">
            <v>Radar Antenna  (Tower Mounted)</v>
          </cell>
          <cell r="E160" t="str">
            <v>GA035</v>
          </cell>
          <cell r="F160" t="str">
            <v>Aeronautical NAVAID</v>
          </cell>
          <cell r="G160" t="str">
            <v>NST_35</v>
          </cell>
          <cell r="H160" t="str">
            <v>NST</v>
          </cell>
          <cell r="I160">
            <v>35</v>
          </cell>
          <cell r="J160" t="str">
            <v>Navigation System Type</v>
          </cell>
          <cell r="K160" t="str">
            <v>Radar Antenna</v>
          </cell>
          <cell r="L160" t="str">
            <v>RAC_6</v>
          </cell>
          <cell r="M160" t="str">
            <v>RAC</v>
          </cell>
          <cell r="N160">
            <v>6</v>
          </cell>
          <cell r="O160" t="str">
            <v>Radar Antenna Configuration</v>
          </cell>
          <cell r="P160" t="str">
            <v>Tower Mounted</v>
          </cell>
          <cell r="Q160" t="str">
            <v>_</v>
          </cell>
        </row>
        <row r="161">
          <cell r="A161">
            <v>427</v>
          </cell>
          <cell r="B161" t="str">
            <v>720</v>
          </cell>
          <cell r="C161" t="str">
            <v>Air Obstruction (Man Made)</v>
          </cell>
          <cell r="D161" t="str">
            <v>Miscellaneous Air Obstruction - Man-made</v>
          </cell>
          <cell r="G161" t="str">
            <v>_</v>
          </cell>
          <cell r="L161" t="str">
            <v>_</v>
          </cell>
          <cell r="Q161" t="str">
            <v>_</v>
          </cell>
          <cell r="V161" t="str">
            <v>[PVA]: "Many of the feature instances collected here do not have their own DVOF Code (e.g., windsock). They are most often associated with an airfield.  When the specific feature type is known it many be collected in the remarks field. The code didn't com</v>
          </cell>
        </row>
        <row r="162">
          <cell r="A162">
            <v>130</v>
          </cell>
          <cell r="B162" t="str">
            <v>755</v>
          </cell>
          <cell r="C162" t="str">
            <v>Offshore Structure</v>
          </cell>
          <cell r="D162" t="str">
            <v>Offshore Loading Facility</v>
          </cell>
          <cell r="E162" t="str">
            <v>BB170</v>
          </cell>
          <cell r="F162" t="str">
            <v>Single Point Mooring</v>
          </cell>
          <cell r="G162" t="str">
            <v>_</v>
          </cell>
          <cell r="L162" t="str">
            <v>_</v>
          </cell>
          <cell r="Q162" t="str">
            <v>_</v>
          </cell>
          <cell r="V162" t="str">
            <v>[PVA]: "These are platforms unconnected to land (except by pipeline) -- 'bunkering pier' is a colloquial expression; should follow the correct maritime perspective."</v>
          </cell>
        </row>
        <row r="163">
          <cell r="A163">
            <v>10</v>
          </cell>
          <cell r="B163" t="str">
            <v>761</v>
          </cell>
          <cell r="C163" t="str">
            <v>Lightship</v>
          </cell>
          <cell r="D163" t="str">
            <v>Navigation Lightship, Permanently Moored</v>
          </cell>
          <cell r="E163" t="str">
            <v>BC070</v>
          </cell>
          <cell r="F163" t="str">
            <v>Light Vessel</v>
          </cell>
          <cell r="G163" t="str">
            <v>_</v>
          </cell>
          <cell r="L163" t="str">
            <v>_</v>
          </cell>
          <cell r="Q163" t="str">
            <v>_</v>
          </cell>
        </row>
        <row r="164">
          <cell r="A164">
            <v>939</v>
          </cell>
          <cell r="B164" t="str">
            <v>765</v>
          </cell>
          <cell r="C164" t="str">
            <v>Lighthouse</v>
          </cell>
          <cell r="D164" t="str">
            <v>Lighthouse</v>
          </cell>
          <cell r="E164" t="str">
            <v>BC050</v>
          </cell>
          <cell r="F164" t="str">
            <v>Lighthouse</v>
          </cell>
          <cell r="G164" t="str">
            <v>_</v>
          </cell>
          <cell r="L164" t="str">
            <v>_</v>
          </cell>
          <cell r="Q164" t="str">
            <v>_</v>
          </cell>
        </row>
        <row r="165">
          <cell r="A165">
            <v>25</v>
          </cell>
          <cell r="B165" t="str">
            <v>785</v>
          </cell>
          <cell r="C165" t="str">
            <v>Tethered Balloon</v>
          </cell>
          <cell r="D165" t="str">
            <v>Tethered Balloon</v>
          </cell>
          <cell r="E165" t="str">
            <v>AL510</v>
          </cell>
          <cell r="F165" t="str">
            <v>Tethered Balloon</v>
          </cell>
          <cell r="G165" t="str">
            <v>_</v>
          </cell>
          <cell r="L165" t="str">
            <v>_</v>
          </cell>
          <cell r="Q165" t="str">
            <v>_</v>
          </cell>
          <cell r="V165" t="str">
            <v>[PVA]: "Anywhere between 50 and 3000 feet AGL."</v>
          </cell>
        </row>
        <row r="166">
          <cell r="A166">
            <v>6902</v>
          </cell>
          <cell r="B166" t="str">
            <v>801</v>
          </cell>
          <cell r="C166" t="str">
            <v>Tank</v>
          </cell>
          <cell r="D166" t="str">
            <v>Tank, General</v>
          </cell>
          <cell r="E166" t="str">
            <v>AM070</v>
          </cell>
          <cell r="F166" t="str">
            <v>Storage Tank</v>
          </cell>
          <cell r="G166" t="str">
            <v>_</v>
          </cell>
          <cell r="L166" t="str">
            <v>_</v>
          </cell>
          <cell r="Q166" t="str">
            <v>_</v>
          </cell>
        </row>
        <row r="167">
          <cell r="A167">
            <v>1111</v>
          </cell>
          <cell r="B167" t="str">
            <v>802</v>
          </cell>
          <cell r="C167" t="str">
            <v>Tank</v>
          </cell>
          <cell r="D167" t="str">
            <v>Tank, Cylindrical, Flat Top</v>
          </cell>
          <cell r="E167" t="str">
            <v>AM070</v>
          </cell>
          <cell r="F167" t="str">
            <v>Storage Tank</v>
          </cell>
          <cell r="G167" t="str">
            <v>SSC_65</v>
          </cell>
          <cell r="H167" t="str">
            <v>SSC</v>
          </cell>
          <cell r="I167">
            <v>65</v>
          </cell>
          <cell r="J167" t="str">
            <v>Structure Shape</v>
          </cell>
          <cell r="K167" t="str">
            <v>Cylindrical with Flat Top</v>
          </cell>
          <cell r="L167" t="str">
            <v>_</v>
          </cell>
          <cell r="Q167" t="str">
            <v>_</v>
          </cell>
        </row>
        <row r="168">
          <cell r="A168">
            <v>614</v>
          </cell>
          <cell r="B168" t="str">
            <v>803</v>
          </cell>
          <cell r="C168" t="str">
            <v>Tank</v>
          </cell>
          <cell r="D168" t="str">
            <v>Tank Cylindrical, Dome Top</v>
          </cell>
          <cell r="E168" t="str">
            <v>AM070</v>
          </cell>
          <cell r="F168" t="str">
            <v>Storage Tank</v>
          </cell>
          <cell r="G168" t="str">
            <v>SSC_66</v>
          </cell>
          <cell r="H168" t="str">
            <v>SSC</v>
          </cell>
          <cell r="I168">
            <v>66</v>
          </cell>
          <cell r="J168" t="str">
            <v>Structure Shape</v>
          </cell>
          <cell r="K168" t="str">
            <v>Cylindrical with Domed Top</v>
          </cell>
          <cell r="L168" t="str">
            <v>_</v>
          </cell>
          <cell r="Q168" t="str">
            <v>_</v>
          </cell>
        </row>
        <row r="169">
          <cell r="A169">
            <v>423</v>
          </cell>
          <cell r="B169" t="str">
            <v>804</v>
          </cell>
          <cell r="C169" t="str">
            <v>Tank</v>
          </cell>
          <cell r="D169" t="str">
            <v>Tank, Cylindrical, Peaked Top</v>
          </cell>
          <cell r="E169" t="str">
            <v>AM070</v>
          </cell>
          <cell r="F169" t="str">
            <v>Storage Tank</v>
          </cell>
          <cell r="G169" t="str">
            <v>SSC_71</v>
          </cell>
          <cell r="H169" t="str">
            <v>SSC</v>
          </cell>
          <cell r="I169">
            <v>71</v>
          </cell>
          <cell r="J169" t="str">
            <v>Structure Shape</v>
          </cell>
          <cell r="K169" t="str">
            <v>Cylindrical with Conical Top</v>
          </cell>
          <cell r="L169" t="str">
            <v>_</v>
          </cell>
          <cell r="Q169" t="str">
            <v>_</v>
          </cell>
        </row>
        <row r="170">
          <cell r="A170">
            <v>1983</v>
          </cell>
          <cell r="B170" t="str">
            <v>805</v>
          </cell>
          <cell r="C170" t="str">
            <v>Tank</v>
          </cell>
          <cell r="D170" t="str">
            <v>Tank, Cylindrical, Peaked Top, Tower Mounted (type 804 with tower mounted)</v>
          </cell>
          <cell r="E170" t="str">
            <v>AM070</v>
          </cell>
          <cell r="F170" t="str">
            <v>Storage Tank</v>
          </cell>
          <cell r="G170" t="str">
            <v>SSC_89</v>
          </cell>
          <cell r="H170" t="str">
            <v>SSC</v>
          </cell>
          <cell r="I170">
            <v>89</v>
          </cell>
          <cell r="J170" t="str">
            <v>Structure Shape</v>
          </cell>
          <cell r="K170" t="str">
            <v>Cylindrical on Tower</v>
          </cell>
          <cell r="L170" t="str">
            <v>_</v>
          </cell>
          <cell r="Q170" t="str">
            <v>_</v>
          </cell>
          <cell r="V170" t="str">
            <v>[NCGIS]: The peaked nature of the top doesn't appear to be as critical a discriminator as the on-tower aspect, so we believe that it can be dropped.</v>
          </cell>
        </row>
        <row r="171">
          <cell r="A171">
            <v>49</v>
          </cell>
          <cell r="B171" t="str">
            <v>806</v>
          </cell>
          <cell r="C171" t="str">
            <v>Tank</v>
          </cell>
          <cell r="D171" t="str">
            <v>Tank, Spherical</v>
          </cell>
          <cell r="E171" t="str">
            <v>AM070</v>
          </cell>
          <cell r="F171" t="str">
            <v>Storage Tank</v>
          </cell>
          <cell r="G171" t="str">
            <v>SSC_17</v>
          </cell>
          <cell r="H171" t="str">
            <v>SSC</v>
          </cell>
          <cell r="I171">
            <v>17</v>
          </cell>
          <cell r="J171" t="str">
            <v>Structure Shape</v>
          </cell>
          <cell r="K171" t="str">
            <v>Spherical</v>
          </cell>
          <cell r="L171" t="str">
            <v>_</v>
          </cell>
          <cell r="Q171" t="str">
            <v>_</v>
          </cell>
        </row>
        <row r="172">
          <cell r="A172">
            <v>1030</v>
          </cell>
          <cell r="B172" t="str">
            <v>807</v>
          </cell>
          <cell r="C172" t="str">
            <v>Tank</v>
          </cell>
          <cell r="D172" t="str">
            <v>Tank, Spherical with Column Support (type 806 with column supports)</v>
          </cell>
          <cell r="E172" t="str">
            <v>AM070</v>
          </cell>
          <cell r="F172" t="str">
            <v>Storage Tank</v>
          </cell>
          <cell r="G172" t="str">
            <v>SSC_88</v>
          </cell>
          <cell r="H172" t="str">
            <v>SSC</v>
          </cell>
          <cell r="I172">
            <v>88</v>
          </cell>
          <cell r="J172" t="str">
            <v>Structure Shape</v>
          </cell>
          <cell r="K172" t="str">
            <v>Spherical on Column</v>
          </cell>
          <cell r="L172" t="str">
            <v>_</v>
          </cell>
          <cell r="Q172" t="str">
            <v>_</v>
          </cell>
        </row>
        <row r="173">
          <cell r="A173">
            <v>74</v>
          </cell>
          <cell r="B173" t="str">
            <v>811</v>
          </cell>
          <cell r="C173" t="str">
            <v>Tank</v>
          </cell>
          <cell r="D173" t="str">
            <v>Tank, Bullet</v>
          </cell>
          <cell r="E173" t="str">
            <v>AM070</v>
          </cell>
          <cell r="F173" t="str">
            <v>Storage Tank</v>
          </cell>
          <cell r="G173" t="str">
            <v>SSC_4</v>
          </cell>
          <cell r="H173" t="str">
            <v>SSC</v>
          </cell>
          <cell r="I173">
            <v>4</v>
          </cell>
          <cell r="J173" t="str">
            <v>Structure Shape</v>
          </cell>
          <cell r="K173" t="str">
            <v>Vertical Capped Cylindrical</v>
          </cell>
          <cell r="L173" t="str">
            <v>_</v>
          </cell>
          <cell r="Q173" t="str">
            <v>_</v>
          </cell>
        </row>
        <row r="174">
          <cell r="A174">
            <v>281</v>
          </cell>
          <cell r="B174" t="str">
            <v>812</v>
          </cell>
          <cell r="C174" t="str">
            <v>Gasholder</v>
          </cell>
          <cell r="D174" t="str">
            <v>Tank, Telescoping Gasholder (Gasometer)</v>
          </cell>
          <cell r="E174" t="str">
            <v>AM070</v>
          </cell>
          <cell r="F174" t="str">
            <v>Storage Tank</v>
          </cell>
          <cell r="G174" t="str">
            <v>SSC_59</v>
          </cell>
          <cell r="H174" t="str">
            <v>SSC</v>
          </cell>
          <cell r="I174">
            <v>59</v>
          </cell>
          <cell r="J174" t="str">
            <v>Structure Shape</v>
          </cell>
          <cell r="K174" t="str">
            <v>Cylindrical with Framework</v>
          </cell>
          <cell r="L174" t="str">
            <v>_</v>
          </cell>
          <cell r="Q174" t="str">
            <v>_</v>
          </cell>
        </row>
        <row r="175">
          <cell r="A175">
            <v>488</v>
          </cell>
          <cell r="B175" t="str">
            <v>820</v>
          </cell>
          <cell r="C175" t="str">
            <v>Storage Structure</v>
          </cell>
          <cell r="D175" t="str">
            <v>Closed Storage Structure, General</v>
          </cell>
          <cell r="E175" t="str">
            <v>AL014</v>
          </cell>
          <cell r="F175" t="str">
            <v>Non-building Structure</v>
          </cell>
          <cell r="G175" t="str">
            <v>FFN_530</v>
          </cell>
          <cell r="H175" t="str">
            <v>FFN</v>
          </cell>
          <cell r="I175">
            <v>530</v>
          </cell>
          <cell r="J175" t="str">
            <v>Feature Function(s)</v>
          </cell>
          <cell r="K175" t="str">
            <v>Warehousing and Storage</v>
          </cell>
          <cell r="L175" t="str">
            <v>_</v>
          </cell>
          <cell r="Q175" t="str">
            <v>_</v>
          </cell>
          <cell r="V175" t="str">
            <v>[PVA]: "Agree that this just a building used for storage" and not a 'Storage Depot' as indicated in the current FACC mapping."</v>
          </cell>
        </row>
        <row r="176">
          <cell r="A176">
            <v>1708</v>
          </cell>
          <cell r="B176" t="str">
            <v>821</v>
          </cell>
          <cell r="C176" t="str">
            <v>Storage Structure</v>
          </cell>
          <cell r="D176" t="str">
            <v>Silo</v>
          </cell>
          <cell r="E176" t="str">
            <v>AM020</v>
          </cell>
          <cell r="F176" t="str">
            <v>Grain Storage Structure</v>
          </cell>
          <cell r="G176" t="str">
            <v>_</v>
          </cell>
          <cell r="L176" t="str">
            <v>_</v>
          </cell>
          <cell r="Q176" t="str">
            <v>_</v>
          </cell>
        </row>
        <row r="177">
          <cell r="A177">
            <v>2381</v>
          </cell>
          <cell r="B177" t="str">
            <v>822</v>
          </cell>
          <cell r="C177" t="str">
            <v>Storage Structure</v>
          </cell>
          <cell r="D177" t="str">
            <v>Grain Elevator</v>
          </cell>
          <cell r="E177" t="str">
            <v>AM030</v>
          </cell>
          <cell r="F177" t="str">
            <v>Grain Elevator</v>
          </cell>
          <cell r="G177" t="str">
            <v>_</v>
          </cell>
          <cell r="L177" t="str">
            <v>_</v>
          </cell>
          <cell r="Q177" t="str">
            <v>_</v>
          </cell>
        </row>
        <row r="178">
          <cell r="A178">
            <v>5672</v>
          </cell>
          <cell r="B178" t="str">
            <v>824</v>
          </cell>
          <cell r="C178" t="str">
            <v>Water Tower</v>
          </cell>
          <cell r="D178" t="str">
            <v>Water Tower Building, Masonry/Concrete</v>
          </cell>
          <cell r="E178" t="str">
            <v>AM080</v>
          </cell>
          <cell r="F178" t="str">
            <v>Water Tower</v>
          </cell>
          <cell r="G178" t="str">
            <v>_</v>
          </cell>
          <cell r="L178" t="str">
            <v>_</v>
          </cell>
          <cell r="Q178" t="str">
            <v>_</v>
          </cell>
          <cell r="V178" t="str">
            <v>[PVA]: "Most likely used to collect the Water Tower; field 'SurfaceMatCd' already collects the material so it can be ignored here."</v>
          </cell>
        </row>
        <row r="179">
          <cell r="A179">
            <v>20</v>
          </cell>
          <cell r="B179" t="str">
            <v>830</v>
          </cell>
          <cell r="C179" t="str">
            <v>Open Storage</v>
          </cell>
          <cell r="D179" t="str">
            <v>Open Storage, General</v>
          </cell>
          <cell r="E179" t="str">
            <v>AM010</v>
          </cell>
          <cell r="F179" t="str">
            <v>Storage Depot</v>
          </cell>
          <cell r="G179" t="str">
            <v>_</v>
          </cell>
          <cell r="L179" t="str">
            <v>_</v>
          </cell>
          <cell r="Q179" t="str">
            <v>_</v>
          </cell>
        </row>
        <row r="180">
          <cell r="A180">
            <v>112</v>
          </cell>
          <cell r="B180" t="str">
            <v>831</v>
          </cell>
          <cell r="C180" t="str">
            <v>Open Storage</v>
          </cell>
          <cell r="D180" t="str">
            <v>Open Storage, Mineral</v>
          </cell>
          <cell r="E180" t="str">
            <v>AM040</v>
          </cell>
          <cell r="F180" t="str">
            <v>Mineral Pile</v>
          </cell>
          <cell r="G180" t="str">
            <v>_</v>
          </cell>
          <cell r="L180" t="str">
            <v>_</v>
          </cell>
          <cell r="Q180" t="str">
            <v>_</v>
          </cell>
        </row>
        <row r="181">
          <cell r="A181">
            <v>335</v>
          </cell>
          <cell r="B181" t="str">
            <v>861</v>
          </cell>
          <cell r="C181" t="str">
            <v>Building</v>
          </cell>
          <cell r="D181" t="str">
            <v>Warehouse</v>
          </cell>
          <cell r="E181" t="str">
            <v>AL013</v>
          </cell>
          <cell r="F181" t="str">
            <v>Building</v>
          </cell>
          <cell r="G181" t="str">
            <v>FFN_530</v>
          </cell>
          <cell r="H181" t="str">
            <v>FFN</v>
          </cell>
          <cell r="I181">
            <v>530</v>
          </cell>
          <cell r="J181" t="str">
            <v>Feature Function(s)</v>
          </cell>
          <cell r="K181" t="str">
            <v>Warehousing and Storage</v>
          </cell>
          <cell r="L181" t="str">
            <v>_</v>
          </cell>
          <cell r="Q181" t="str">
            <v>_</v>
          </cell>
        </row>
        <row r="182">
          <cell r="A182">
            <v>7</v>
          </cell>
          <cell r="B182" t="str">
            <v>865</v>
          </cell>
          <cell r="C182" t="str">
            <v>Ship Storage</v>
          </cell>
          <cell r="D182" t="str">
            <v>Ship Storage (Semi-permanently moored ships)</v>
          </cell>
          <cell r="E182" t="str">
            <v>BB010</v>
          </cell>
          <cell r="F182" t="str">
            <v>Anchorage</v>
          </cell>
          <cell r="G182" t="str">
            <v>MAC_17</v>
          </cell>
          <cell r="H182" t="str">
            <v>MAC</v>
          </cell>
          <cell r="I182">
            <v>17</v>
          </cell>
          <cell r="J182" t="str">
            <v>Maritime Area Category</v>
          </cell>
          <cell r="K182" t="str">
            <v>Reserved Anchorage</v>
          </cell>
          <cell r="L182" t="str">
            <v>_</v>
          </cell>
          <cell r="Q182" t="str">
            <v>_</v>
          </cell>
          <cell r="V182" t="str">
            <v>[PVA]: "This most likely an off-shore moored collection of vessels, rather than tied up to the shore." [NCGIS]: Still need to capture the nature of the "reservation" at the anchorage.</v>
          </cell>
        </row>
        <row r="183">
          <cell r="A183">
            <v>24446</v>
          </cell>
          <cell r="B183" t="str">
            <v>900</v>
          </cell>
          <cell r="C183" t="str">
            <v>Aerial Cable</v>
          </cell>
          <cell r="D183" t="str">
            <v>Aerial Cable, Aerial Tramway, or Power Transmission Line (refers to the wire suspended over a valley body of water). -- (See CHUM code 540-544 for possible depiction of individual pylons)</v>
          </cell>
          <cell r="E183" t="str">
            <v>AT005</v>
          </cell>
          <cell r="F183" t="str">
            <v>Cable</v>
          </cell>
          <cell r="G183" t="str">
            <v>LOC_45</v>
          </cell>
          <cell r="H183" t="str">
            <v>LOC</v>
          </cell>
          <cell r="I183">
            <v>45</v>
          </cell>
          <cell r="J183" t="str">
            <v>Vertical Relative Location</v>
          </cell>
          <cell r="K183" t="str">
            <v>Above Surface</v>
          </cell>
          <cell r="L183" t="str">
            <v>_</v>
          </cell>
          <cell r="Q183" t="str">
            <v>_</v>
          </cell>
        </row>
        <row r="184">
          <cell r="A184">
            <v>1638</v>
          </cell>
          <cell r="B184" t="str">
            <v>925</v>
          </cell>
          <cell r="C184" t="str">
            <v>Dam</v>
          </cell>
          <cell r="D184" t="str">
            <v>Dam</v>
          </cell>
          <cell r="E184" t="str">
            <v>BI020</v>
          </cell>
          <cell r="F184" t="str">
            <v>Dam</v>
          </cell>
          <cell r="G184" t="str">
            <v>_</v>
          </cell>
          <cell r="L184" t="str">
            <v>_</v>
          </cell>
          <cell r="Q184" t="str">
            <v>_</v>
          </cell>
        </row>
        <row r="185">
          <cell r="A185">
            <v>264</v>
          </cell>
          <cell r="B185" t="str">
            <v>926</v>
          </cell>
          <cell r="C185" t="str">
            <v>Tower</v>
          </cell>
          <cell r="D185" t="str">
            <v>Water Intake Tower</v>
          </cell>
          <cell r="E185" t="str">
            <v>BI050</v>
          </cell>
          <cell r="F185" t="str">
            <v>Water Intake Tower</v>
          </cell>
          <cell r="G185" t="str">
            <v>_</v>
          </cell>
          <cell r="L185" t="str">
            <v>_</v>
          </cell>
          <cell r="Q185" t="str">
            <v>_</v>
          </cell>
        </row>
        <row r="186">
          <cell r="A186">
            <v>958</v>
          </cell>
          <cell r="B186" t="str">
            <v>954</v>
          </cell>
          <cell r="C186" t="str">
            <v>Air Obstruction (Natural )</v>
          </cell>
          <cell r="D186" t="str">
            <v>Miscellaneous Air Obstruction - Natural Growth (Tree)</v>
          </cell>
          <cell r="E186" t="str">
            <v>EC005</v>
          </cell>
          <cell r="F186" t="str">
            <v>Tree</v>
          </cell>
          <cell r="G186" t="str">
            <v>_</v>
          </cell>
          <cell r="L186" t="str">
            <v>_</v>
          </cell>
          <cell r="Q186" t="str">
            <v>_</v>
          </cell>
          <cell r="V186" t="str">
            <v>[PVA]: "These are collected as single trees, typically from an airfield survey, and only when directed to do so."</v>
          </cell>
        </row>
        <row r="187">
          <cell r="A187">
            <v>8636</v>
          </cell>
          <cell r="B187" t="str">
            <v>U</v>
          </cell>
          <cell r="C187" t="str">
            <v>Misc Man-made</v>
          </cell>
          <cell r="D187" t="str">
            <v>Miscellaneous Air Obstruction (Man-made)</v>
          </cell>
          <cell r="G187" t="str">
            <v>_</v>
          </cell>
          <cell r="L187" t="str">
            <v>_</v>
          </cell>
          <cell r="Q187" t="str">
            <v>_</v>
          </cell>
          <cell r="V187" t="str">
            <v>[PVA]: "Many of the feature instances collected here do not have their own DVOF Code (e.g., windsock). They are most often associated with an airfield.  When the specific feature type is known it many be collected in the remarks field." [NCGIS]: Need to c</v>
          </cell>
        </row>
      </sheetData>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nsgreg.nga.mil/genc" TargetMode="External"/><Relationship Id="rId1" Type="http://schemas.openxmlformats.org/officeDocument/2006/relationships/hyperlink" Target="http://www.gwg.nga.mil/ccwg.ph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0"/>
  <sheetViews>
    <sheetView tabSelected="1" zoomScale="85" zoomScaleNormal="85" workbookViewId="0">
      <pane ySplit="9" topLeftCell="A10" activePane="bottomLeft" state="frozen"/>
      <selection pane="bottomLeft" sqref="A1:D1"/>
    </sheetView>
  </sheetViews>
  <sheetFormatPr defaultRowHeight="12.75" x14ac:dyDescent="0.2"/>
  <cols>
    <col min="1" max="1" width="12.1640625" style="1" customWidth="1"/>
    <col min="2" max="2" width="21" style="1" customWidth="1"/>
    <col min="3" max="3" width="142.5" style="1" customWidth="1"/>
    <col min="4" max="4" width="65.5" style="1" customWidth="1"/>
    <col min="5" max="16384" width="9.33203125" style="1"/>
  </cols>
  <sheetData>
    <row r="1" spans="1:4" x14ac:dyDescent="0.2">
      <c r="A1" s="140"/>
      <c r="B1" s="141"/>
      <c r="C1" s="141"/>
      <c r="D1" s="142"/>
    </row>
    <row r="2" spans="1:4" ht="23.25" x14ac:dyDescent="0.2">
      <c r="A2" s="143" t="s">
        <v>79</v>
      </c>
      <c r="B2" s="144"/>
      <c r="C2" s="144"/>
      <c r="D2" s="19" t="s">
        <v>17441</v>
      </c>
    </row>
    <row r="3" spans="1:4" ht="12.75" customHeight="1" x14ac:dyDescent="0.2">
      <c r="A3" s="145" t="s">
        <v>4</v>
      </c>
      <c r="B3" s="146"/>
      <c r="C3" s="146"/>
      <c r="D3" s="147"/>
    </row>
    <row r="4" spans="1:4" ht="81" customHeight="1" thickBot="1" x14ac:dyDescent="0.25">
      <c r="A4" s="145"/>
      <c r="B4" s="20" t="s">
        <v>5</v>
      </c>
      <c r="C4" s="146" t="s">
        <v>80</v>
      </c>
      <c r="D4" s="147"/>
    </row>
    <row r="5" spans="1:4" s="2" customFormat="1" ht="16.5" customHeight="1" thickBot="1" x14ac:dyDescent="0.25">
      <c r="A5" s="145"/>
      <c r="B5" s="21" t="s">
        <v>11</v>
      </c>
      <c r="C5" s="6" t="s">
        <v>10</v>
      </c>
      <c r="D5" s="22"/>
    </row>
    <row r="6" spans="1:4" s="7" customFormat="1" ht="16.5" customHeight="1" thickBot="1" x14ac:dyDescent="0.25">
      <c r="A6" s="145"/>
      <c r="B6" s="21" t="s">
        <v>14</v>
      </c>
      <c r="C6" s="6" t="s">
        <v>44</v>
      </c>
      <c r="D6" s="22" t="s">
        <v>44</v>
      </c>
    </row>
    <row r="7" spans="1:4" s="7" customFormat="1" x14ac:dyDescent="0.2">
      <c r="A7" s="145"/>
      <c r="B7" s="23" t="s">
        <v>13</v>
      </c>
      <c r="C7" s="136"/>
      <c r="D7" s="137"/>
    </row>
    <row r="8" spans="1:4" ht="31.5" customHeight="1" x14ac:dyDescent="0.2">
      <c r="A8" s="145"/>
      <c r="B8" s="20" t="s">
        <v>6</v>
      </c>
      <c r="C8" s="146" t="s">
        <v>45</v>
      </c>
      <c r="D8" s="147"/>
    </row>
    <row r="9" spans="1:4" ht="16.5" thickBot="1" x14ac:dyDescent="0.25">
      <c r="A9" s="28"/>
      <c r="B9" s="3" t="s">
        <v>7</v>
      </c>
      <c r="C9" s="4" t="s">
        <v>8</v>
      </c>
      <c r="D9" s="24" t="s">
        <v>3</v>
      </c>
    </row>
    <row r="10" spans="1:4" ht="71.25" customHeight="1" x14ac:dyDescent="0.2">
      <c r="A10" s="138" t="s">
        <v>9</v>
      </c>
      <c r="B10" s="47" t="s">
        <v>12</v>
      </c>
      <c r="C10" s="47" t="s">
        <v>28</v>
      </c>
      <c r="D10" s="48" t="s">
        <v>27</v>
      </c>
    </row>
    <row r="11" spans="1:4" s="8" customFormat="1" ht="14.25" customHeight="1" x14ac:dyDescent="0.2">
      <c r="A11" s="130"/>
      <c r="B11" s="20" t="s">
        <v>16</v>
      </c>
      <c r="C11" s="25" t="s">
        <v>32</v>
      </c>
      <c r="D11" s="40" t="s">
        <v>22</v>
      </c>
    </row>
    <row r="12" spans="1:4" s="8" customFormat="1" ht="27.75" customHeight="1" x14ac:dyDescent="0.2">
      <c r="A12" s="130"/>
      <c r="B12" s="20" t="s">
        <v>15</v>
      </c>
      <c r="C12" s="25" t="s">
        <v>33</v>
      </c>
      <c r="D12" s="40" t="s">
        <v>21</v>
      </c>
    </row>
    <row r="13" spans="1:4" s="8" customFormat="1" ht="27.75" customHeight="1" x14ac:dyDescent="0.2">
      <c r="A13" s="130"/>
      <c r="B13" s="20" t="s">
        <v>17</v>
      </c>
      <c r="C13" s="25" t="s">
        <v>34</v>
      </c>
      <c r="D13" s="40" t="s">
        <v>23</v>
      </c>
    </row>
    <row r="14" spans="1:4" ht="14.25" customHeight="1" x14ac:dyDescent="0.2">
      <c r="A14" s="131"/>
      <c r="B14" s="20" t="s">
        <v>0</v>
      </c>
      <c r="C14" s="39" t="s">
        <v>43</v>
      </c>
      <c r="D14" s="40" t="s">
        <v>24</v>
      </c>
    </row>
    <row r="15" spans="1:4" ht="30" customHeight="1" x14ac:dyDescent="0.2">
      <c r="A15" s="131"/>
      <c r="B15" s="20" t="s">
        <v>1</v>
      </c>
      <c r="C15" s="39" t="s">
        <v>25</v>
      </c>
      <c r="D15" s="40" t="s">
        <v>37</v>
      </c>
    </row>
    <row r="16" spans="1:4" ht="27" customHeight="1" x14ac:dyDescent="0.2">
      <c r="A16" s="131"/>
      <c r="B16" s="20" t="s">
        <v>2</v>
      </c>
      <c r="C16" s="39" t="s">
        <v>31</v>
      </c>
      <c r="D16" s="40" t="s">
        <v>26</v>
      </c>
    </row>
    <row r="17" spans="1:4" s="8" customFormat="1" ht="38.25" x14ac:dyDescent="0.2">
      <c r="A17" s="131"/>
      <c r="B17" s="26" t="s">
        <v>53</v>
      </c>
      <c r="C17" s="39" t="s">
        <v>64</v>
      </c>
      <c r="D17" s="40" t="s">
        <v>54</v>
      </c>
    </row>
    <row r="18" spans="1:4" s="7" customFormat="1" ht="79.5" customHeight="1" x14ac:dyDescent="0.2">
      <c r="A18" s="131"/>
      <c r="B18" s="20" t="s">
        <v>18</v>
      </c>
      <c r="C18" s="39" t="s">
        <v>42</v>
      </c>
      <c r="D18" s="40" t="s">
        <v>41</v>
      </c>
    </row>
    <row r="19" spans="1:4" s="8" customFormat="1" ht="40.5" customHeight="1" x14ac:dyDescent="0.2">
      <c r="A19" s="131"/>
      <c r="B19" s="26" t="s">
        <v>19</v>
      </c>
      <c r="C19" s="39" t="s">
        <v>35</v>
      </c>
      <c r="D19" s="27" t="s">
        <v>77</v>
      </c>
    </row>
    <row r="20" spans="1:4" ht="39.75" customHeight="1" x14ac:dyDescent="0.2">
      <c r="A20" s="139"/>
      <c r="B20" s="45" t="s">
        <v>30</v>
      </c>
      <c r="C20" s="46" t="s">
        <v>36</v>
      </c>
      <c r="D20" s="49" t="s">
        <v>38</v>
      </c>
    </row>
    <row r="21" spans="1:4" s="39" customFormat="1" ht="12.75" customHeight="1" x14ac:dyDescent="0.2">
      <c r="A21" s="133"/>
      <c r="B21" s="134"/>
      <c r="C21" s="134"/>
      <c r="D21" s="135"/>
    </row>
    <row r="22" spans="1:4" s="8" customFormat="1" ht="71.25" customHeight="1" x14ac:dyDescent="0.2">
      <c r="A22" s="129" t="s">
        <v>55</v>
      </c>
      <c r="B22" s="44" t="s">
        <v>56</v>
      </c>
      <c r="C22" s="44" t="s">
        <v>57</v>
      </c>
      <c r="D22" s="50" t="s">
        <v>76</v>
      </c>
    </row>
    <row r="23" spans="1:4" s="8" customFormat="1" ht="26.25" customHeight="1" x14ac:dyDescent="0.2">
      <c r="A23" s="130"/>
      <c r="B23" s="20" t="s">
        <v>61</v>
      </c>
      <c r="C23" s="41" t="s">
        <v>63</v>
      </c>
      <c r="D23" s="40" t="s">
        <v>62</v>
      </c>
    </row>
    <row r="24" spans="1:4" s="8" customFormat="1" ht="14.25" customHeight="1" x14ac:dyDescent="0.2">
      <c r="A24" s="130"/>
      <c r="B24" s="20" t="s">
        <v>46</v>
      </c>
      <c r="C24" s="25" t="s">
        <v>58</v>
      </c>
      <c r="D24" s="40" t="s">
        <v>60</v>
      </c>
    </row>
    <row r="25" spans="1:4" s="8" customFormat="1" ht="26.25" customHeight="1" x14ac:dyDescent="0.2">
      <c r="A25" s="131"/>
      <c r="B25" s="20" t="s">
        <v>74</v>
      </c>
      <c r="C25" s="39" t="s">
        <v>75</v>
      </c>
      <c r="D25" s="40" t="s">
        <v>59</v>
      </c>
    </row>
    <row r="26" spans="1:4" s="8" customFormat="1" ht="39.75" customHeight="1" x14ac:dyDescent="0.2">
      <c r="A26" s="131"/>
      <c r="B26" s="20" t="s">
        <v>48</v>
      </c>
      <c r="C26" s="39" t="s">
        <v>65</v>
      </c>
      <c r="D26" s="40" t="s">
        <v>73</v>
      </c>
    </row>
    <row r="27" spans="1:4" s="8" customFormat="1" ht="41.25" customHeight="1" x14ac:dyDescent="0.2">
      <c r="A27" s="131"/>
      <c r="B27" s="20" t="s">
        <v>47</v>
      </c>
      <c r="C27" s="39" t="s">
        <v>66</v>
      </c>
      <c r="D27" s="40" t="s">
        <v>72</v>
      </c>
    </row>
    <row r="28" spans="1:4" s="8" customFormat="1" ht="79.5" customHeight="1" x14ac:dyDescent="0.2">
      <c r="A28" s="131"/>
      <c r="B28" s="20" t="s">
        <v>18</v>
      </c>
      <c r="C28" s="39" t="s">
        <v>67</v>
      </c>
      <c r="D28" s="40" t="s">
        <v>68</v>
      </c>
    </row>
    <row r="29" spans="1:4" s="8" customFormat="1" ht="40.5" customHeight="1" x14ac:dyDescent="0.2">
      <c r="A29" s="131"/>
      <c r="B29" s="26" t="s">
        <v>19</v>
      </c>
      <c r="C29" s="39" t="s">
        <v>69</v>
      </c>
      <c r="D29" s="27" t="s">
        <v>78</v>
      </c>
    </row>
    <row r="30" spans="1:4" s="8" customFormat="1" ht="39.75" customHeight="1" thickBot="1" x14ac:dyDescent="0.25">
      <c r="A30" s="132"/>
      <c r="B30" s="42" t="s">
        <v>30</v>
      </c>
      <c r="C30" s="5" t="s">
        <v>70</v>
      </c>
      <c r="D30" s="43" t="s">
        <v>71</v>
      </c>
    </row>
  </sheetData>
  <mergeCells count="10">
    <mergeCell ref="A22:A30"/>
    <mergeCell ref="A21:D21"/>
    <mergeCell ref="C7:D7"/>
    <mergeCell ref="A10:A20"/>
    <mergeCell ref="A1:D1"/>
    <mergeCell ref="A2:C2"/>
    <mergeCell ref="A3:A8"/>
    <mergeCell ref="B3:D3"/>
    <mergeCell ref="C4:D4"/>
    <mergeCell ref="C8:D8"/>
  </mergeCells>
  <hyperlinks>
    <hyperlink ref="C5" r:id="rId1"/>
    <hyperlink ref="C6" r:id="rId2"/>
  </hyperlinks>
  <printOptions horizontalCentered="1" verticalCentered="1"/>
  <pageMargins left="0.63" right="0.48" top="0.38" bottom="0.41" header="0.25" footer="0.25"/>
  <pageSetup scale="66" fitToHeight="10" orientation="landscape" verticalDpi="1200" r:id="rId3"/>
  <headerFooter alignWithMargins="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84"/>
  <sheetViews>
    <sheetView zoomScale="85" zoomScaleNormal="85" workbookViewId="0">
      <pane ySplit="3" topLeftCell="A4" activePane="bottomLeft" state="frozen"/>
      <selection pane="bottomLeft" sqref="A1:E2"/>
    </sheetView>
  </sheetViews>
  <sheetFormatPr defaultRowHeight="13.5" customHeight="1" x14ac:dyDescent="0.2"/>
  <cols>
    <col min="1" max="1" width="14.5" style="29" customWidth="1"/>
    <col min="2" max="2" width="14.6640625" style="29" customWidth="1"/>
    <col min="3" max="3" width="11.33203125" style="30" customWidth="1"/>
    <col min="4" max="4" width="65" style="29" customWidth="1"/>
    <col min="5" max="5" width="51.33203125" style="29" customWidth="1"/>
    <col min="6" max="6" width="53.33203125" style="29" customWidth="1"/>
    <col min="7" max="7" width="6.83203125" style="29" customWidth="1"/>
    <col min="8" max="8" width="33.83203125" style="31" customWidth="1"/>
    <col min="9" max="9" width="36.33203125" style="29" customWidth="1"/>
    <col min="10" max="10" width="23.83203125" style="29" bestFit="1" customWidth="1"/>
    <col min="11" max="16384" width="9.33203125" style="29"/>
  </cols>
  <sheetData>
    <row r="1" spans="1:10" ht="15" customHeight="1" x14ac:dyDescent="0.2">
      <c r="A1" s="150" t="s">
        <v>81</v>
      </c>
      <c r="B1" s="151"/>
      <c r="C1" s="151"/>
      <c r="D1" s="151"/>
      <c r="E1" s="151"/>
      <c r="F1" s="32"/>
      <c r="G1" s="32"/>
      <c r="H1" s="18" t="s">
        <v>39</v>
      </c>
      <c r="I1" s="154" t="s">
        <v>82</v>
      </c>
      <c r="J1" s="155"/>
    </row>
    <row r="2" spans="1:10" ht="15" customHeight="1" x14ac:dyDescent="0.2">
      <c r="A2" s="152"/>
      <c r="B2" s="153"/>
      <c r="C2" s="153"/>
      <c r="D2" s="153"/>
      <c r="E2" s="153"/>
      <c r="F2" s="9"/>
      <c r="G2" s="9"/>
      <c r="H2" s="10" t="s">
        <v>40</v>
      </c>
      <c r="I2" s="148" t="s">
        <v>83</v>
      </c>
      <c r="J2" s="149"/>
    </row>
    <row r="3" spans="1:10" s="33" customFormat="1" ht="27" customHeight="1" thickBot="1" x14ac:dyDescent="0.25">
      <c r="A3" s="11" t="s">
        <v>16</v>
      </c>
      <c r="B3" s="12" t="s">
        <v>15</v>
      </c>
      <c r="C3" s="13" t="s">
        <v>17</v>
      </c>
      <c r="D3" s="12" t="s">
        <v>0</v>
      </c>
      <c r="E3" s="12" t="s">
        <v>1</v>
      </c>
      <c r="F3" s="12" t="s">
        <v>2</v>
      </c>
      <c r="G3" s="38" t="s">
        <v>52</v>
      </c>
      <c r="H3" s="15" t="s">
        <v>29</v>
      </c>
      <c r="I3" s="16" t="s">
        <v>19</v>
      </c>
      <c r="J3" s="17" t="s">
        <v>20</v>
      </c>
    </row>
    <row r="4" spans="1:10" ht="13.5" customHeight="1" x14ac:dyDescent="0.2">
      <c r="A4" s="72" t="s">
        <v>84</v>
      </c>
      <c r="B4" s="73" t="s">
        <v>85</v>
      </c>
      <c r="C4" s="74" t="s">
        <v>86</v>
      </c>
      <c r="D4" s="75" t="s">
        <v>87</v>
      </c>
      <c r="E4" s="73" t="s">
        <v>88</v>
      </c>
      <c r="F4" s="73" t="s">
        <v>89</v>
      </c>
      <c r="G4" s="121" t="str">
        <f>HYPERLINK("[#]Administrative_Subdivisions!A4:H4","&lt;link&gt;")</f>
        <v>&lt;link&gt;</v>
      </c>
      <c r="H4" s="83" t="s">
        <v>90</v>
      </c>
      <c r="I4" s="84" t="str">
        <f>HYPERLINK("http://nsgreg.nga.mil/genc/view?v=204230&amp;end_month=3&amp;end_day=31&amp;end_year=2014","AFGHANISTAN")</f>
        <v>AFGHANISTAN</v>
      </c>
      <c r="J4" s="85" t="str">
        <f>HYPERLINK("http://api.nsgreg.nga.mil/geo-political/GENC/3/ed2/AFG","AFG")</f>
        <v>AFG</v>
      </c>
    </row>
    <row r="5" spans="1:10" ht="13.5" customHeight="1" x14ac:dyDescent="0.2">
      <c r="A5" s="76" t="s">
        <v>91</v>
      </c>
      <c r="B5" s="31" t="s">
        <v>92</v>
      </c>
      <c r="C5" s="55" t="s">
        <v>93</v>
      </c>
      <c r="D5" s="54" t="s">
        <v>94</v>
      </c>
      <c r="E5" s="31" t="s">
        <v>95</v>
      </c>
      <c r="F5" s="31" t="s">
        <v>95</v>
      </c>
      <c r="G5" s="122"/>
      <c r="H5" s="86" t="s">
        <v>96</v>
      </c>
      <c r="I5" s="64" t="str">
        <f>HYPERLINK("http://nsgreg.nga.mil/genc/view?v=204231&amp;end_month=3&amp;end_day=31&amp;end_year=2014","AKROTIRI")</f>
        <v>AKROTIRI</v>
      </c>
      <c r="J5" s="87" t="str">
        <f>HYPERLINK("http://api.nsgreg.nga.mil/geo-political/GENC/3/ed2/XQZ","XQZ")</f>
        <v>XQZ</v>
      </c>
    </row>
    <row r="6" spans="1:10" ht="13.5" customHeight="1" x14ac:dyDescent="0.2">
      <c r="A6" s="76" t="s">
        <v>97</v>
      </c>
      <c r="B6" s="31" t="s">
        <v>98</v>
      </c>
      <c r="C6" s="56" t="s">
        <v>99</v>
      </c>
      <c r="D6" s="54" t="s">
        <v>100</v>
      </c>
      <c r="E6" s="31" t="s">
        <v>101</v>
      </c>
      <c r="F6" s="31" t="s">
        <v>102</v>
      </c>
      <c r="G6" s="123" t="str">
        <f>HYPERLINK("[#]Administrative_Subdivisions!A38:H38","&lt;link&gt;")</f>
        <v>&lt;link&gt;</v>
      </c>
      <c r="H6" s="86" t="s">
        <v>103</v>
      </c>
      <c r="I6" s="64" t="str">
        <f>HYPERLINK("http://nsgreg.nga.mil/genc/view?v=204233&amp;end_month=3&amp;end_day=31&amp;end_year=2014","ALBANIA")</f>
        <v>ALBANIA</v>
      </c>
      <c r="J6" s="87" t="str">
        <f>HYPERLINK("http://api.nsgreg.nga.mil/geo-political/GENC/3/ed2/ALB","ALB")</f>
        <v>ALB</v>
      </c>
    </row>
    <row r="7" spans="1:10" ht="13.5" customHeight="1" x14ac:dyDescent="0.2">
      <c r="A7" s="76" t="s">
        <v>104</v>
      </c>
      <c r="B7" s="31" t="s">
        <v>105</v>
      </c>
      <c r="C7" s="56" t="s">
        <v>106</v>
      </c>
      <c r="D7" s="54" t="s">
        <v>107</v>
      </c>
      <c r="E7" s="31" t="s">
        <v>108</v>
      </c>
      <c r="F7" s="31" t="s">
        <v>109</v>
      </c>
      <c r="G7" s="123" t="str">
        <f>HYPERLINK("[#]Administrative_Subdivisions!A86:H86","&lt;link&gt;")</f>
        <v>&lt;link&gt;</v>
      </c>
      <c r="H7" s="86" t="s">
        <v>110</v>
      </c>
      <c r="I7" s="64" t="str">
        <f>HYPERLINK("http://nsgreg.nga.mil/genc/view?v=204234&amp;end_month=3&amp;end_day=31&amp;end_year=2014","ALGERIA")</f>
        <v>ALGERIA</v>
      </c>
      <c r="J7" s="87" t="str">
        <f>HYPERLINK("http://api.nsgreg.nga.mil/geo-political/GENC/3/ed2/DZA","DZA")</f>
        <v>DZA</v>
      </c>
    </row>
    <row r="8" spans="1:10" ht="13.5" customHeight="1" x14ac:dyDescent="0.2">
      <c r="A8" s="77" t="s">
        <v>111</v>
      </c>
      <c r="B8" s="58" t="s">
        <v>112</v>
      </c>
      <c r="C8" s="59" t="s">
        <v>113</v>
      </c>
      <c r="D8" s="57" t="s">
        <v>114</v>
      </c>
      <c r="E8" s="58" t="s">
        <v>115</v>
      </c>
      <c r="F8" s="58" t="s">
        <v>116</v>
      </c>
      <c r="G8" s="124"/>
      <c r="H8" s="88" t="s">
        <v>117</v>
      </c>
      <c r="I8" s="66" t="str">
        <f>HYPERLINK("http://nsgreg.nga.mil/genc/view?v=204235&amp;end_month=3&amp;end_day=31&amp;end_year=2014","AMERICAN SAMOA")</f>
        <v>AMERICAN SAMOA</v>
      </c>
      <c r="J8" s="89" t="str">
        <f>HYPERLINK("http://api.nsgreg.nga.mil/geo-political/GENC/3/ed2/ASM","ASM")</f>
        <v>ASM</v>
      </c>
    </row>
    <row r="9" spans="1:10" ht="13.5" customHeight="1" x14ac:dyDescent="0.2">
      <c r="A9" s="78" t="s">
        <v>118</v>
      </c>
      <c r="B9" s="52" t="s">
        <v>119</v>
      </c>
      <c r="C9" s="53" t="s">
        <v>120</v>
      </c>
      <c r="D9" s="51" t="s">
        <v>121</v>
      </c>
      <c r="E9" s="52" t="s">
        <v>122</v>
      </c>
      <c r="F9" s="52" t="s">
        <v>123</v>
      </c>
      <c r="G9" s="125" t="str">
        <f>HYPERLINK("[#]Administrative_Subdivisions!A134:H134","&lt;link&gt;")</f>
        <v>&lt;link&gt;</v>
      </c>
      <c r="H9" s="90" t="s">
        <v>124</v>
      </c>
      <c r="I9" s="63" t="str">
        <f>HYPERLINK("http://nsgreg.nga.mil/genc/view?v=204236&amp;end_month=3&amp;end_day=31&amp;end_year=2014","ANDORRA")</f>
        <v>ANDORRA</v>
      </c>
      <c r="J9" s="91" t="str">
        <f>HYPERLINK("http://api.nsgreg.nga.mil/geo-political/GENC/3/ed2/AND","AND")</f>
        <v>AND</v>
      </c>
    </row>
    <row r="10" spans="1:10" ht="13.5" customHeight="1" x14ac:dyDescent="0.2">
      <c r="A10" s="76" t="s">
        <v>125</v>
      </c>
      <c r="B10" s="31" t="s">
        <v>126</v>
      </c>
      <c r="C10" s="56" t="s">
        <v>127</v>
      </c>
      <c r="D10" s="54" t="s">
        <v>128</v>
      </c>
      <c r="E10" s="31" t="s">
        <v>129</v>
      </c>
      <c r="F10" s="31" t="s">
        <v>130</v>
      </c>
      <c r="G10" s="123" t="str">
        <f>HYPERLINK("[#]Administrative_Subdivisions!A141:H141","&lt;link&gt;")</f>
        <v>&lt;link&gt;</v>
      </c>
      <c r="H10" s="86" t="s">
        <v>131</v>
      </c>
      <c r="I10" s="64" t="str">
        <f>HYPERLINK("http://nsgreg.nga.mil/genc/view?v=204237&amp;end_month=3&amp;end_day=31&amp;end_year=2014","ANGOLA")</f>
        <v>ANGOLA</v>
      </c>
      <c r="J10" s="87" t="str">
        <f>HYPERLINK("http://api.nsgreg.nga.mil/geo-political/GENC/3/ed2/AGO","AGO")</f>
        <v>AGO</v>
      </c>
    </row>
    <row r="11" spans="1:10" ht="13.5" customHeight="1" x14ac:dyDescent="0.2">
      <c r="A11" s="76" t="s">
        <v>132</v>
      </c>
      <c r="B11" s="31" t="s">
        <v>133</v>
      </c>
      <c r="C11" s="56" t="s">
        <v>134</v>
      </c>
      <c r="D11" s="54" t="s">
        <v>135</v>
      </c>
      <c r="E11" s="31" t="s">
        <v>136</v>
      </c>
      <c r="F11" s="31" t="s">
        <v>136</v>
      </c>
      <c r="G11" s="122"/>
      <c r="H11" s="92" t="s">
        <v>137</v>
      </c>
      <c r="I11" s="64" t="str">
        <f>HYPERLINK("http://nsgreg.nga.mil/genc/view?v=111952&amp;gencs=T&amp;end_month=3&amp;end_day=31&amp;end_year=2014","ANGUILLA")</f>
        <v>ANGUILLA</v>
      </c>
      <c r="J11" s="87" t="str">
        <f>HYPERLINK("http://api.nsgreg.nga.mil/geo-political/ISO3166-1/3/VII-1/AIA","AIA")</f>
        <v>AIA</v>
      </c>
    </row>
    <row r="12" spans="1:10" ht="13.5" customHeight="1" x14ac:dyDescent="0.2">
      <c r="A12" s="76" t="s">
        <v>138</v>
      </c>
      <c r="B12" s="31" t="s">
        <v>139</v>
      </c>
      <c r="C12" s="56" t="s">
        <v>140</v>
      </c>
      <c r="D12" s="54" t="s">
        <v>141</v>
      </c>
      <c r="E12" s="31" t="s">
        <v>142</v>
      </c>
      <c r="F12" s="31" t="s">
        <v>142</v>
      </c>
      <c r="G12" s="122"/>
      <c r="H12" s="92" t="s">
        <v>143</v>
      </c>
      <c r="I12" s="64" t="str">
        <f>HYPERLINK("http://nsgreg.nga.mil/genc/view?v=111953&amp;gencs=T&amp;end_month=3&amp;end_day=31&amp;end_year=2014","ANTARCTICA")</f>
        <v>ANTARCTICA</v>
      </c>
      <c r="J12" s="87" t="str">
        <f>HYPERLINK("http://api.nsgreg.nga.mil/geo-political/ISO3166-1/3/VII-1/ATA","ATA")</f>
        <v>ATA</v>
      </c>
    </row>
    <row r="13" spans="1:10" ht="13.5" customHeight="1" x14ac:dyDescent="0.2">
      <c r="A13" s="77" t="s">
        <v>144</v>
      </c>
      <c r="B13" s="58" t="s">
        <v>145</v>
      </c>
      <c r="C13" s="59" t="s">
        <v>146</v>
      </c>
      <c r="D13" s="57" t="s">
        <v>147</v>
      </c>
      <c r="E13" s="58" t="s">
        <v>148</v>
      </c>
      <c r="F13" s="58" t="s">
        <v>148</v>
      </c>
      <c r="G13" s="126" t="str">
        <f>HYPERLINK("[#]Administrative_Subdivisions!A159:H159","&lt;link&gt;")</f>
        <v>&lt;link&gt;</v>
      </c>
      <c r="H13" s="88" t="s">
        <v>149</v>
      </c>
      <c r="I13" s="66" t="str">
        <f>HYPERLINK("http://nsgreg.nga.mil/genc/view?v=204238&amp;end_month=3&amp;end_day=31&amp;end_year=2014","ANTIGUA AND BARBUDA")</f>
        <v>ANTIGUA AND BARBUDA</v>
      </c>
      <c r="J13" s="89" t="str">
        <f>HYPERLINK("http://api.nsgreg.nga.mil/geo-political/GENC/3/ed2/ATG","ATG")</f>
        <v>ATG</v>
      </c>
    </row>
    <row r="14" spans="1:10" ht="13.5" customHeight="1" x14ac:dyDescent="0.2">
      <c r="A14" s="78" t="s">
        <v>150</v>
      </c>
      <c r="B14" s="52" t="s">
        <v>151</v>
      </c>
      <c r="C14" s="53" t="s">
        <v>152</v>
      </c>
      <c r="D14" s="51" t="s">
        <v>153</v>
      </c>
      <c r="E14" s="52" t="s">
        <v>154</v>
      </c>
      <c r="F14" s="52" t="s">
        <v>155</v>
      </c>
      <c r="G14" s="125" t="str">
        <f>HYPERLINK("[#]Administrative_Subdivisions!A167:H167","&lt;link&gt;")</f>
        <v>&lt;link&gt;</v>
      </c>
      <c r="H14" s="90" t="s">
        <v>156</v>
      </c>
      <c r="I14" s="63" t="str">
        <f>HYPERLINK("http://nsgreg.nga.mil/genc/view?v=204239&amp;end_month=3&amp;end_day=31&amp;end_year=2014","ARGENTINA")</f>
        <v>ARGENTINA</v>
      </c>
      <c r="J14" s="91" t="str">
        <f>HYPERLINK("http://api.nsgreg.nga.mil/geo-political/GENC/3/ed2/ARG","ARG")</f>
        <v>ARG</v>
      </c>
    </row>
    <row r="15" spans="1:10" ht="13.5" customHeight="1" x14ac:dyDescent="0.2">
      <c r="A15" s="76" t="s">
        <v>157</v>
      </c>
      <c r="B15" s="31" t="s">
        <v>158</v>
      </c>
      <c r="C15" s="56" t="s">
        <v>159</v>
      </c>
      <c r="D15" s="54" t="s">
        <v>160</v>
      </c>
      <c r="E15" s="31" t="s">
        <v>161</v>
      </c>
      <c r="F15" s="31" t="s">
        <v>162</v>
      </c>
      <c r="G15" s="123" t="str">
        <f>HYPERLINK("[#]Administrative_Subdivisions!A191:H191","&lt;link&gt;")</f>
        <v>&lt;link&gt;</v>
      </c>
      <c r="H15" s="86" t="s">
        <v>163</v>
      </c>
      <c r="I15" s="64" t="str">
        <f>HYPERLINK("http://nsgreg.nga.mil/genc/view?v=204240&amp;end_month=3&amp;end_day=31&amp;end_year=2014","ARMENIA")</f>
        <v>ARMENIA</v>
      </c>
      <c r="J15" s="87" t="str">
        <f>HYPERLINK("http://api.nsgreg.nga.mil/geo-political/GENC/3/ed2/ARM","ARM")</f>
        <v>ARM</v>
      </c>
    </row>
    <row r="16" spans="1:10" ht="13.5" customHeight="1" x14ac:dyDescent="0.2">
      <c r="A16" s="76" t="s">
        <v>164</v>
      </c>
      <c r="B16" s="31" t="s">
        <v>165</v>
      </c>
      <c r="C16" s="56" t="s">
        <v>166</v>
      </c>
      <c r="D16" s="54" t="s">
        <v>167</v>
      </c>
      <c r="E16" s="31" t="s">
        <v>168</v>
      </c>
      <c r="F16" s="31" t="s">
        <v>168</v>
      </c>
      <c r="G16" s="122"/>
      <c r="H16" s="86" t="s">
        <v>169</v>
      </c>
      <c r="I16" s="64" t="str">
        <f>HYPERLINK("http://nsgreg.nga.mil/genc/view?v=204241&amp;end_month=3&amp;end_day=31&amp;end_year=2014","ARUBA")</f>
        <v>ARUBA</v>
      </c>
      <c r="J16" s="87" t="str">
        <f>HYPERLINK("http://api.nsgreg.nga.mil/geo-political/GENC/3/ed2/ABW","ABW")</f>
        <v>ABW</v>
      </c>
    </row>
    <row r="17" spans="1:10" ht="13.5" customHeight="1" x14ac:dyDescent="0.2">
      <c r="A17" s="76" t="s">
        <v>170</v>
      </c>
      <c r="B17" s="31" t="s">
        <v>171</v>
      </c>
      <c r="C17" s="55" t="s">
        <v>93</v>
      </c>
      <c r="D17" s="54" t="s">
        <v>172</v>
      </c>
      <c r="E17" s="31" t="s">
        <v>173</v>
      </c>
      <c r="F17" s="31" t="s">
        <v>174</v>
      </c>
      <c r="G17" s="122"/>
      <c r="H17" s="86" t="s">
        <v>175</v>
      </c>
      <c r="I17" s="64" t="str">
        <f>HYPERLINK("http://nsgreg.nga.mil/genc/view?v=204242&amp;end_month=3&amp;end_day=31&amp;end_year=2014","ASHMORE AND CARTIER ISLANDS")</f>
        <v>ASHMORE AND CARTIER ISLANDS</v>
      </c>
      <c r="J17" s="87" t="str">
        <f>HYPERLINK("http://api.nsgreg.nga.mil/geo-political/GENC/3/ed2/XAC","XAC")</f>
        <v>XAC</v>
      </c>
    </row>
    <row r="18" spans="1:10" ht="13.5" customHeight="1" x14ac:dyDescent="0.2">
      <c r="A18" s="77" t="s">
        <v>176</v>
      </c>
      <c r="B18" s="58" t="s">
        <v>177</v>
      </c>
      <c r="C18" s="59" t="s">
        <v>178</v>
      </c>
      <c r="D18" s="57" t="s">
        <v>179</v>
      </c>
      <c r="E18" s="58" t="s">
        <v>180</v>
      </c>
      <c r="F18" s="58" t="s">
        <v>181</v>
      </c>
      <c r="G18" s="126" t="str">
        <f>HYPERLINK("[#]Administrative_Subdivisions!A202:H202","&lt;link&gt;")</f>
        <v>&lt;link&gt;</v>
      </c>
      <c r="H18" s="88" t="s">
        <v>182</v>
      </c>
      <c r="I18" s="66" t="str">
        <f>HYPERLINK("http://nsgreg.nga.mil/genc/view?v=204243&amp;end_month=3&amp;end_day=31&amp;end_year=2014","AUSTRALIA")</f>
        <v>AUSTRALIA</v>
      </c>
      <c r="J18" s="89" t="str">
        <f>HYPERLINK("http://api.nsgreg.nga.mil/geo-political/GENC/3/ed2/AUS","AUS")</f>
        <v>AUS</v>
      </c>
    </row>
    <row r="19" spans="1:10" ht="13.5" customHeight="1" x14ac:dyDescent="0.2">
      <c r="A19" s="78" t="s">
        <v>183</v>
      </c>
      <c r="B19" s="52" t="s">
        <v>184</v>
      </c>
      <c r="C19" s="53" t="s">
        <v>185</v>
      </c>
      <c r="D19" s="51" t="s">
        <v>186</v>
      </c>
      <c r="E19" s="52" t="s">
        <v>187</v>
      </c>
      <c r="F19" s="52" t="s">
        <v>188</v>
      </c>
      <c r="G19" s="125" t="str">
        <f>HYPERLINK("[#]Administrative_Subdivisions!A210:H210","&lt;link&gt;")</f>
        <v>&lt;link&gt;</v>
      </c>
      <c r="H19" s="90" t="s">
        <v>189</v>
      </c>
      <c r="I19" s="63" t="str">
        <f>HYPERLINK("http://nsgreg.nga.mil/genc/view?v=204244&amp;end_month=3&amp;end_day=31&amp;end_year=2014","AUSTRIA")</f>
        <v>AUSTRIA</v>
      </c>
      <c r="J19" s="91" t="str">
        <f>HYPERLINK("http://api.nsgreg.nga.mil/geo-political/GENC/3/ed2/AUT","AUT")</f>
        <v>AUT</v>
      </c>
    </row>
    <row r="20" spans="1:10" ht="13.5" customHeight="1" x14ac:dyDescent="0.2">
      <c r="A20" s="76" t="s">
        <v>190</v>
      </c>
      <c r="B20" s="31" t="s">
        <v>191</v>
      </c>
      <c r="C20" s="56" t="s">
        <v>192</v>
      </c>
      <c r="D20" s="54" t="s">
        <v>193</v>
      </c>
      <c r="E20" s="31" t="s">
        <v>194</v>
      </c>
      <c r="F20" s="31" t="s">
        <v>195</v>
      </c>
      <c r="G20" s="123" t="str">
        <f>HYPERLINK("[#]Administrative_Subdivisions!A219:H219","&lt;link&gt;")</f>
        <v>&lt;link&gt;</v>
      </c>
      <c r="H20" s="86" t="s">
        <v>196</v>
      </c>
      <c r="I20" s="64" t="str">
        <f>HYPERLINK("http://nsgreg.nga.mil/genc/view?v=204245&amp;end_month=3&amp;end_day=31&amp;end_year=2014","AZERBAIJAN")</f>
        <v>AZERBAIJAN</v>
      </c>
      <c r="J20" s="87" t="str">
        <f>HYPERLINK("http://api.nsgreg.nga.mil/geo-political/GENC/3/ed2/AZE","AZE")</f>
        <v>AZE</v>
      </c>
    </row>
    <row r="21" spans="1:10" ht="13.5" customHeight="1" x14ac:dyDescent="0.2">
      <c r="A21" s="76" t="s">
        <v>197</v>
      </c>
      <c r="B21" s="31" t="s">
        <v>198</v>
      </c>
      <c r="C21" s="56" t="s">
        <v>199</v>
      </c>
      <c r="D21" s="54" t="s">
        <v>200</v>
      </c>
      <c r="E21" s="31" t="s">
        <v>201</v>
      </c>
      <c r="F21" s="31" t="s">
        <v>202</v>
      </c>
      <c r="G21" s="123" t="str">
        <f>HYPERLINK("[#]Administrative_Subdivisions!A297:H297","&lt;link&gt;")</f>
        <v>&lt;link&gt;</v>
      </c>
      <c r="H21" s="86" t="s">
        <v>203</v>
      </c>
      <c r="I21" s="64" t="str">
        <f>HYPERLINK("http://nsgreg.nga.mil/genc/view?v=204246&amp;end_month=3&amp;end_day=31&amp;end_year=2014","BAHAMAS, THE")</f>
        <v>BAHAMAS, THE</v>
      </c>
      <c r="J21" s="87" t="str">
        <f>HYPERLINK("http://api.nsgreg.nga.mil/geo-political/GENC/3/ed2/BHS","BHS")</f>
        <v>BHS</v>
      </c>
    </row>
    <row r="22" spans="1:10" ht="13.5" customHeight="1" x14ac:dyDescent="0.2">
      <c r="A22" s="76" t="s">
        <v>204</v>
      </c>
      <c r="B22" s="31" t="s">
        <v>205</v>
      </c>
      <c r="C22" s="56" t="s">
        <v>206</v>
      </c>
      <c r="D22" s="54" t="s">
        <v>207</v>
      </c>
      <c r="E22" s="31" t="s">
        <v>208</v>
      </c>
      <c r="F22" s="31" t="s">
        <v>209</v>
      </c>
      <c r="G22" s="123" t="str">
        <f>HYPERLINK("[#]Administrative_Subdivisions!A328:H328","&lt;link&gt;")</f>
        <v>&lt;link&gt;</v>
      </c>
      <c r="H22" s="86" t="s">
        <v>210</v>
      </c>
      <c r="I22" s="64" t="str">
        <f>HYPERLINK("http://nsgreg.nga.mil/genc/view?v=204247&amp;end_month=3&amp;end_day=31&amp;end_year=2014","BAHRAIN")</f>
        <v>BAHRAIN</v>
      </c>
      <c r="J22" s="87" t="str">
        <f>HYPERLINK("http://api.nsgreg.nga.mil/geo-political/GENC/3/ed2/BHR","BHR")</f>
        <v>BHR</v>
      </c>
    </row>
    <row r="23" spans="1:10" ht="13.5" customHeight="1" x14ac:dyDescent="0.2">
      <c r="A23" s="77" t="s">
        <v>211</v>
      </c>
      <c r="B23" s="58" t="s">
        <v>212</v>
      </c>
      <c r="C23" s="67" t="s">
        <v>93</v>
      </c>
      <c r="D23" s="57" t="s">
        <v>213</v>
      </c>
      <c r="E23" s="58" t="s">
        <v>214</v>
      </c>
      <c r="F23" s="58" t="s">
        <v>214</v>
      </c>
      <c r="G23" s="124"/>
      <c r="H23" s="88" t="s">
        <v>215</v>
      </c>
      <c r="I23" s="66" t="str">
        <f>HYPERLINK("http://nsgreg.nga.mil/genc/view?v=204248&amp;end_month=3&amp;end_day=31&amp;end_year=2014","BAKER ISLAND")</f>
        <v>BAKER ISLAND</v>
      </c>
      <c r="J23" s="89" t="str">
        <f>HYPERLINK("http://api.nsgreg.nga.mil/geo-political/GENC/3/ed2/XBK","XBK")</f>
        <v>XBK</v>
      </c>
    </row>
    <row r="24" spans="1:10" ht="13.5" customHeight="1" x14ac:dyDescent="0.2">
      <c r="A24" s="78" t="s">
        <v>216</v>
      </c>
      <c r="B24" s="52" t="s">
        <v>217</v>
      </c>
      <c r="C24" s="53" t="s">
        <v>218</v>
      </c>
      <c r="D24" s="51" t="s">
        <v>219</v>
      </c>
      <c r="E24" s="52" t="s">
        <v>220</v>
      </c>
      <c r="F24" s="52" t="s">
        <v>221</v>
      </c>
      <c r="G24" s="125" t="str">
        <f>HYPERLINK("[#]Administrative_Subdivisions!A333:H333","&lt;link&gt;")</f>
        <v>&lt;link&gt;</v>
      </c>
      <c r="H24" s="90" t="s">
        <v>222</v>
      </c>
      <c r="I24" s="63" t="str">
        <f>HYPERLINK("http://nsgreg.nga.mil/genc/view?v=204249&amp;end_month=3&amp;end_day=31&amp;end_year=2014","BANGLADESH")</f>
        <v>BANGLADESH</v>
      </c>
      <c r="J24" s="91" t="str">
        <f>HYPERLINK("http://api.nsgreg.nga.mil/geo-political/GENC/3/ed2/BGD","BGD")</f>
        <v>BGD</v>
      </c>
    </row>
    <row r="25" spans="1:10" ht="13.5" customHeight="1" x14ac:dyDescent="0.2">
      <c r="A25" s="76" t="s">
        <v>223</v>
      </c>
      <c r="B25" s="31" t="s">
        <v>224</v>
      </c>
      <c r="C25" s="56" t="s">
        <v>225</v>
      </c>
      <c r="D25" s="54" t="s">
        <v>226</v>
      </c>
      <c r="E25" s="31" t="s">
        <v>227</v>
      </c>
      <c r="F25" s="31" t="s">
        <v>227</v>
      </c>
      <c r="G25" s="123" t="str">
        <f>HYPERLINK("[#]Administrative_Subdivisions!A404:H404","&lt;link&gt;")</f>
        <v>&lt;link&gt;</v>
      </c>
      <c r="H25" s="92" t="s">
        <v>228</v>
      </c>
      <c r="I25" s="64" t="str">
        <f>HYPERLINK("http://nsgreg.nga.mil/genc/view?v=117327&amp;gencs=T&amp;end_month=3&amp;end_day=31&amp;end_year=2014","BARBADOS")</f>
        <v>BARBADOS</v>
      </c>
      <c r="J25" s="87" t="str">
        <f>HYPERLINK("http://api.nsgreg.nga.mil/geo-political/ISO3166-1/3/VII-1/BRB","BRB")</f>
        <v>BRB</v>
      </c>
    </row>
    <row r="26" spans="1:10" ht="13.5" customHeight="1" x14ac:dyDescent="0.2">
      <c r="A26" s="76" t="s">
        <v>229</v>
      </c>
      <c r="B26" s="31" t="s">
        <v>230</v>
      </c>
      <c r="C26" s="55" t="s">
        <v>93</v>
      </c>
      <c r="D26" s="54" t="s">
        <v>231</v>
      </c>
      <c r="E26" s="31" t="s">
        <v>232</v>
      </c>
      <c r="F26" s="31" t="s">
        <v>232</v>
      </c>
      <c r="G26" s="122"/>
      <c r="H26" s="86" t="s">
        <v>233</v>
      </c>
      <c r="I26" s="64" t="str">
        <f>HYPERLINK("http://nsgreg.nga.mil/genc/view?v=204250&amp;end_month=3&amp;end_day=31&amp;end_year=2014","BASSAS DA INDIA")</f>
        <v>BASSAS DA INDIA</v>
      </c>
      <c r="J26" s="87" t="str">
        <f>HYPERLINK("http://api.nsgreg.nga.mil/geo-political/GENC/3/ed2/XBI","XBI")</f>
        <v>XBI</v>
      </c>
    </row>
    <row r="27" spans="1:10" ht="13.5" customHeight="1" x14ac:dyDescent="0.2">
      <c r="A27" s="76" t="s">
        <v>234</v>
      </c>
      <c r="B27" s="31" t="s">
        <v>235</v>
      </c>
      <c r="C27" s="56" t="s">
        <v>236</v>
      </c>
      <c r="D27" s="54" t="s">
        <v>237</v>
      </c>
      <c r="E27" s="31" t="s">
        <v>238</v>
      </c>
      <c r="F27" s="31" t="s">
        <v>239</v>
      </c>
      <c r="G27" s="123" t="str">
        <f>HYPERLINK("[#]Administrative_Subdivisions!A415:H415","&lt;link&gt;")</f>
        <v>&lt;link&gt;</v>
      </c>
      <c r="H27" s="86" t="s">
        <v>240</v>
      </c>
      <c r="I27" s="64" t="str">
        <f>HYPERLINK("http://nsgreg.nga.mil/genc/view?v=204251&amp;end_month=3&amp;end_day=31&amp;end_year=2014","BELARUS")</f>
        <v>BELARUS</v>
      </c>
      <c r="J27" s="87" t="str">
        <f>HYPERLINK("http://api.nsgreg.nga.mil/geo-political/GENC/3/ed2/BLR","BLR")</f>
        <v>BLR</v>
      </c>
    </row>
    <row r="28" spans="1:10" ht="13.5" customHeight="1" x14ac:dyDescent="0.2">
      <c r="A28" s="77" t="s">
        <v>241</v>
      </c>
      <c r="B28" s="58" t="s">
        <v>242</v>
      </c>
      <c r="C28" s="59" t="s">
        <v>243</v>
      </c>
      <c r="D28" s="57" t="s">
        <v>244</v>
      </c>
      <c r="E28" s="58" t="s">
        <v>245</v>
      </c>
      <c r="F28" s="58" t="s">
        <v>246</v>
      </c>
      <c r="G28" s="126" t="str">
        <f>HYPERLINK("[#]Administrative_Subdivisions!A422:H422","&lt;link&gt;")</f>
        <v>&lt;link&gt;</v>
      </c>
      <c r="H28" s="88" t="s">
        <v>247</v>
      </c>
      <c r="I28" s="66" t="str">
        <f>HYPERLINK("http://nsgreg.nga.mil/genc/view?v=204252&amp;end_month=3&amp;end_day=31&amp;end_year=2014","BELGIUM")</f>
        <v>BELGIUM</v>
      </c>
      <c r="J28" s="89" t="str">
        <f>HYPERLINK("http://api.nsgreg.nga.mil/geo-political/GENC/3/ed2/BEL","BEL")</f>
        <v>BEL</v>
      </c>
    </row>
    <row r="29" spans="1:10" ht="13.5" customHeight="1" x14ac:dyDescent="0.2">
      <c r="A29" s="78" t="s">
        <v>248</v>
      </c>
      <c r="B29" s="52" t="s">
        <v>249</v>
      </c>
      <c r="C29" s="53" t="s">
        <v>250</v>
      </c>
      <c r="D29" s="51" t="s">
        <v>251</v>
      </c>
      <c r="E29" s="52" t="s">
        <v>252</v>
      </c>
      <c r="F29" s="52" t="s">
        <v>252</v>
      </c>
      <c r="G29" s="125" t="str">
        <f>HYPERLINK("[#]Administrative_Subdivisions!A435:H435","&lt;link&gt;")</f>
        <v>&lt;link&gt;</v>
      </c>
      <c r="H29" s="93" t="s">
        <v>253</v>
      </c>
      <c r="I29" s="63" t="str">
        <f>HYPERLINK("http://nsgreg.nga.mil/genc/view?v=117330&amp;gencs=T&amp;end_month=3&amp;end_day=31&amp;end_year=2014","BELIZE")</f>
        <v>BELIZE</v>
      </c>
      <c r="J29" s="91" t="str">
        <f>HYPERLINK("http://api.nsgreg.nga.mil/geo-political/ISO3166-1/3/VII-1/BLZ","BLZ")</f>
        <v>BLZ</v>
      </c>
    </row>
    <row r="30" spans="1:10" ht="13.5" customHeight="1" x14ac:dyDescent="0.2">
      <c r="A30" s="76" t="s">
        <v>254</v>
      </c>
      <c r="B30" s="31" t="s">
        <v>255</v>
      </c>
      <c r="C30" s="56" t="s">
        <v>256</v>
      </c>
      <c r="D30" s="54" t="s">
        <v>257</v>
      </c>
      <c r="E30" s="31" t="s">
        <v>258</v>
      </c>
      <c r="F30" s="31" t="s">
        <v>259</v>
      </c>
      <c r="G30" s="123" t="str">
        <f>HYPERLINK("[#]Administrative_Subdivisions!A441:H441","&lt;link&gt;")</f>
        <v>&lt;link&gt;</v>
      </c>
      <c r="H30" s="86" t="s">
        <v>260</v>
      </c>
      <c r="I30" s="64" t="str">
        <f>HYPERLINK("http://nsgreg.nga.mil/genc/view?v=204253&amp;end_month=3&amp;end_day=31&amp;end_year=2014","BENIN")</f>
        <v>BENIN</v>
      </c>
      <c r="J30" s="87" t="str">
        <f>HYPERLINK("http://api.nsgreg.nga.mil/geo-political/GENC/3/ed2/BEN","BEN")</f>
        <v>BEN</v>
      </c>
    </row>
    <row r="31" spans="1:10" ht="13.5" customHeight="1" x14ac:dyDescent="0.2">
      <c r="A31" s="76" t="s">
        <v>261</v>
      </c>
      <c r="B31" s="31" t="s">
        <v>262</v>
      </c>
      <c r="C31" s="56" t="s">
        <v>263</v>
      </c>
      <c r="D31" s="54" t="s">
        <v>264</v>
      </c>
      <c r="E31" s="31" t="s">
        <v>265</v>
      </c>
      <c r="F31" s="31" t="s">
        <v>265</v>
      </c>
      <c r="G31" s="123" t="str">
        <f>HYPERLINK("[#]Administrative_Subdivisions!A453:H453","&lt;link&gt;")</f>
        <v>&lt;link&gt;</v>
      </c>
      <c r="H31" s="92" t="s">
        <v>266</v>
      </c>
      <c r="I31" s="64" t="str">
        <f>HYPERLINK("http://nsgreg.nga.mil/genc/view?v=117332&amp;gencs=T&amp;end_month=3&amp;end_day=31&amp;end_year=2014","BERMUDA")</f>
        <v>BERMUDA</v>
      </c>
      <c r="J31" s="87" t="str">
        <f>HYPERLINK("http://api.nsgreg.nga.mil/geo-political/ISO3166-1/3/VII-1/BMU","BMU")</f>
        <v>BMU</v>
      </c>
    </row>
    <row r="32" spans="1:10" ht="13.5" customHeight="1" x14ac:dyDescent="0.2">
      <c r="A32" s="76" t="s">
        <v>267</v>
      </c>
      <c r="B32" s="31" t="s">
        <v>268</v>
      </c>
      <c r="C32" s="56" t="s">
        <v>269</v>
      </c>
      <c r="D32" s="54" t="s">
        <v>270</v>
      </c>
      <c r="E32" s="31" t="s">
        <v>271</v>
      </c>
      <c r="F32" s="31" t="s">
        <v>272</v>
      </c>
      <c r="G32" s="123" t="str">
        <f>HYPERLINK("[#]Administrative_Subdivisions!A464:H464","&lt;link&gt;")</f>
        <v>&lt;link&gt;</v>
      </c>
      <c r="H32" s="86" t="s">
        <v>273</v>
      </c>
      <c r="I32" s="64" t="str">
        <f>HYPERLINK("http://nsgreg.nga.mil/genc/view?v=204254&amp;end_month=3&amp;end_day=31&amp;end_year=2014","BHUTAN")</f>
        <v>BHUTAN</v>
      </c>
      <c r="J32" s="87" t="str">
        <f>HYPERLINK("http://api.nsgreg.nga.mil/geo-political/GENC/3/ed2/BTN","BTN")</f>
        <v>BTN</v>
      </c>
    </row>
    <row r="33" spans="1:10" ht="13.5" customHeight="1" x14ac:dyDescent="0.2">
      <c r="A33" s="77" t="s">
        <v>274</v>
      </c>
      <c r="B33" s="58" t="s">
        <v>275</v>
      </c>
      <c r="C33" s="59" t="s">
        <v>276</v>
      </c>
      <c r="D33" s="57" t="s">
        <v>277</v>
      </c>
      <c r="E33" s="58" t="s">
        <v>278</v>
      </c>
      <c r="F33" s="58" t="s">
        <v>279</v>
      </c>
      <c r="G33" s="126" t="str">
        <f>HYPERLINK("[#]Administrative_Subdivisions!A484:H484","&lt;link&gt;")</f>
        <v>&lt;link&gt;</v>
      </c>
      <c r="H33" s="88" t="s">
        <v>280</v>
      </c>
      <c r="I33" s="66" t="str">
        <f>HYPERLINK("http://nsgreg.nga.mil/genc/view?v=204255&amp;end_month=3&amp;end_day=31&amp;end_year=2014","BOLIVIA")</f>
        <v>BOLIVIA</v>
      </c>
      <c r="J33" s="89" t="str">
        <f>HYPERLINK("http://api.nsgreg.nga.mil/geo-political/GENC/3/ed2/BOL","BOL")</f>
        <v>BOL</v>
      </c>
    </row>
    <row r="34" spans="1:10" ht="13.5" customHeight="1" x14ac:dyDescent="0.2">
      <c r="A34" s="78" t="s">
        <v>281</v>
      </c>
      <c r="B34" s="52" t="s">
        <v>282</v>
      </c>
      <c r="C34" s="53" t="s">
        <v>283</v>
      </c>
      <c r="D34" s="51" t="s">
        <v>284</v>
      </c>
      <c r="E34" s="52" t="s">
        <v>285</v>
      </c>
      <c r="F34" s="52" t="s">
        <v>285</v>
      </c>
      <c r="G34" s="125" t="str">
        <f>HYPERLINK("[#]Administrative_Subdivisions!A493:H493","&lt;link&gt;")</f>
        <v>&lt;link&gt;</v>
      </c>
      <c r="H34" s="90" t="s">
        <v>286</v>
      </c>
      <c r="I34" s="63" t="str">
        <f>HYPERLINK("http://nsgreg.nga.mil/genc/view?v=204256&amp;end_month=3&amp;end_day=31&amp;end_year=2014","BONAIRE, SINT EUSTATIUS, AND SABA")</f>
        <v>BONAIRE, SINT EUSTATIUS, AND SABA</v>
      </c>
      <c r="J34" s="91" t="str">
        <f>HYPERLINK("http://api.nsgreg.nga.mil/geo-political/GENC/3/ed2/BES","BES")</f>
        <v>BES</v>
      </c>
    </row>
    <row r="35" spans="1:10" ht="13.5" customHeight="1" x14ac:dyDescent="0.2">
      <c r="A35" s="76" t="s">
        <v>287</v>
      </c>
      <c r="B35" s="31" t="s">
        <v>288</v>
      </c>
      <c r="C35" s="56" t="s">
        <v>289</v>
      </c>
      <c r="D35" s="54" t="s">
        <v>290</v>
      </c>
      <c r="E35" s="31" t="s">
        <v>291</v>
      </c>
      <c r="F35" s="31" t="s">
        <v>291</v>
      </c>
      <c r="G35" s="123" t="str">
        <f>HYPERLINK("[#]Administrative_Subdivisions!A496:H496","&lt;link&gt;")</f>
        <v>&lt;link&gt;</v>
      </c>
      <c r="H35" s="92" t="s">
        <v>292</v>
      </c>
      <c r="I35" s="64" t="str">
        <f>HYPERLINK("http://nsgreg.nga.mil/genc/view?v=117336&amp;gencs=T&amp;end_month=3&amp;end_day=31&amp;end_year=2014","BOSNIA AND HERZEGOVINA")</f>
        <v>BOSNIA AND HERZEGOVINA</v>
      </c>
      <c r="J35" s="87" t="str">
        <f>HYPERLINK("http://api.nsgreg.nga.mil/geo-political/ISO3166-1/3/VII-1/BIH","BIH")</f>
        <v>BIH</v>
      </c>
    </row>
    <row r="36" spans="1:10" ht="13.5" customHeight="1" x14ac:dyDescent="0.2">
      <c r="A36" s="76" t="s">
        <v>293</v>
      </c>
      <c r="B36" s="31" t="s">
        <v>294</v>
      </c>
      <c r="C36" s="56" t="s">
        <v>295</v>
      </c>
      <c r="D36" s="54" t="s">
        <v>296</v>
      </c>
      <c r="E36" s="31" t="s">
        <v>297</v>
      </c>
      <c r="F36" s="31" t="s">
        <v>298</v>
      </c>
      <c r="G36" s="123" t="str">
        <f>HYPERLINK("[#]Administrative_Subdivisions!A509:H509","&lt;link&gt;")</f>
        <v>&lt;link&gt;</v>
      </c>
      <c r="H36" s="86" t="s">
        <v>299</v>
      </c>
      <c r="I36" s="64" t="str">
        <f>HYPERLINK("http://nsgreg.nga.mil/genc/view?v=204257&amp;end_month=3&amp;end_day=31&amp;end_year=2014","BOTSWANA")</f>
        <v>BOTSWANA</v>
      </c>
      <c r="J36" s="87" t="str">
        <f>HYPERLINK("http://api.nsgreg.nga.mil/geo-political/GENC/3/ed2/BWA","BWA")</f>
        <v>BWA</v>
      </c>
    </row>
    <row r="37" spans="1:10" ht="13.5" customHeight="1" x14ac:dyDescent="0.2">
      <c r="A37" s="76" t="s">
        <v>300</v>
      </c>
      <c r="B37" s="31" t="s">
        <v>301</v>
      </c>
      <c r="C37" s="56" t="s">
        <v>302</v>
      </c>
      <c r="D37" s="54" t="s">
        <v>303</v>
      </c>
      <c r="E37" s="31" t="s">
        <v>304</v>
      </c>
      <c r="F37" s="31" t="s">
        <v>304</v>
      </c>
      <c r="G37" s="122"/>
      <c r="H37" s="92" t="s">
        <v>305</v>
      </c>
      <c r="I37" s="64" t="str">
        <f>HYPERLINK("http://nsgreg.nga.mil/genc/view?v=117338&amp;gencs=T&amp;end_month=3&amp;end_day=31&amp;end_year=2014","BOUVET ISLAND")</f>
        <v>BOUVET ISLAND</v>
      </c>
      <c r="J37" s="87" t="str">
        <f>HYPERLINK("http://api.nsgreg.nga.mil/geo-political/ISO3166-1/3/VII-1/BVT","BVT")</f>
        <v>BVT</v>
      </c>
    </row>
    <row r="38" spans="1:10" ht="13.5" customHeight="1" x14ac:dyDescent="0.2">
      <c r="A38" s="77" t="s">
        <v>306</v>
      </c>
      <c r="B38" s="58" t="s">
        <v>307</v>
      </c>
      <c r="C38" s="59" t="s">
        <v>308</v>
      </c>
      <c r="D38" s="57" t="s">
        <v>309</v>
      </c>
      <c r="E38" s="58" t="s">
        <v>310</v>
      </c>
      <c r="F38" s="58" t="s">
        <v>311</v>
      </c>
      <c r="G38" s="126" t="str">
        <f>HYPERLINK("[#]Administrative_Subdivisions!A525:H525","&lt;link&gt;")</f>
        <v>&lt;link&gt;</v>
      </c>
      <c r="H38" s="88" t="s">
        <v>312</v>
      </c>
      <c r="I38" s="66" t="str">
        <f>HYPERLINK("http://nsgreg.nga.mil/genc/view?v=204258&amp;end_month=3&amp;end_day=31&amp;end_year=2014","BRAZIL")</f>
        <v>BRAZIL</v>
      </c>
      <c r="J38" s="89" t="str">
        <f>HYPERLINK("http://api.nsgreg.nga.mil/geo-political/GENC/3/ed2/BRA","BRA")</f>
        <v>BRA</v>
      </c>
    </row>
    <row r="39" spans="1:10" ht="13.5" customHeight="1" x14ac:dyDescent="0.2">
      <c r="A39" s="78" t="s">
        <v>313</v>
      </c>
      <c r="B39" s="52" t="s">
        <v>314</v>
      </c>
      <c r="C39" s="53" t="s">
        <v>315</v>
      </c>
      <c r="D39" s="51" t="s">
        <v>316</v>
      </c>
      <c r="E39" s="52" t="s">
        <v>317</v>
      </c>
      <c r="F39" s="52" t="s">
        <v>317</v>
      </c>
      <c r="G39" s="127"/>
      <c r="H39" s="90" t="s">
        <v>318</v>
      </c>
      <c r="I39" s="63" t="str">
        <f>HYPERLINK("http://nsgreg.nga.mil/genc/view?v=204259&amp;end_month=3&amp;end_day=31&amp;end_year=2014","BRITISH INDIAN OCEAN TERRITORY")</f>
        <v>BRITISH INDIAN OCEAN TERRITORY</v>
      </c>
      <c r="J39" s="91" t="str">
        <f>HYPERLINK("http://api.nsgreg.nga.mil/geo-political/GENC/3/ed2/IOT","IOT")</f>
        <v>IOT</v>
      </c>
    </row>
    <row r="40" spans="1:10" ht="13.5" customHeight="1" x14ac:dyDescent="0.2">
      <c r="A40" s="76" t="s">
        <v>319</v>
      </c>
      <c r="B40" s="31" t="s">
        <v>320</v>
      </c>
      <c r="C40" s="56" t="s">
        <v>321</v>
      </c>
      <c r="D40" s="54" t="s">
        <v>322</v>
      </c>
      <c r="E40" s="31" t="s">
        <v>323</v>
      </c>
      <c r="F40" s="31" t="s">
        <v>324</v>
      </c>
      <c r="G40" s="123" t="str">
        <f>HYPERLINK("[#]Administrative_Subdivisions!A552:H552","&lt;link&gt;")</f>
        <v>&lt;link&gt;</v>
      </c>
      <c r="H40" s="86" t="s">
        <v>325</v>
      </c>
      <c r="I40" s="64" t="str">
        <f>HYPERLINK("http://nsgreg.nga.mil/genc/view?v=204260&amp;end_month=3&amp;end_day=31&amp;end_year=2014","BRUNEI")</f>
        <v>BRUNEI</v>
      </c>
      <c r="J40" s="87" t="str">
        <f>HYPERLINK("http://api.nsgreg.nga.mil/geo-political/GENC/3/ed2/BRN","BRN")</f>
        <v>BRN</v>
      </c>
    </row>
    <row r="41" spans="1:10" ht="13.5" customHeight="1" x14ac:dyDescent="0.2">
      <c r="A41" s="76" t="s">
        <v>326</v>
      </c>
      <c r="B41" s="31" t="s">
        <v>327</v>
      </c>
      <c r="C41" s="56" t="s">
        <v>328</v>
      </c>
      <c r="D41" s="54" t="s">
        <v>329</v>
      </c>
      <c r="E41" s="31" t="s">
        <v>330</v>
      </c>
      <c r="F41" s="31" t="s">
        <v>331</v>
      </c>
      <c r="G41" s="123" t="str">
        <f>HYPERLINK("[#]Administrative_Subdivisions!A556:H556","&lt;link&gt;")</f>
        <v>&lt;link&gt;</v>
      </c>
      <c r="H41" s="86" t="s">
        <v>332</v>
      </c>
      <c r="I41" s="64" t="str">
        <f>HYPERLINK("http://nsgreg.nga.mil/genc/view?v=204261&amp;end_month=3&amp;end_day=31&amp;end_year=2014","BULGARIA")</f>
        <v>BULGARIA</v>
      </c>
      <c r="J41" s="87" t="str">
        <f>HYPERLINK("http://api.nsgreg.nga.mil/geo-political/GENC/3/ed2/BGR","BGR")</f>
        <v>BGR</v>
      </c>
    </row>
    <row r="42" spans="1:10" ht="13.5" customHeight="1" x14ac:dyDescent="0.2">
      <c r="A42" s="76" t="s">
        <v>333</v>
      </c>
      <c r="B42" s="31" t="s">
        <v>334</v>
      </c>
      <c r="C42" s="56" t="s">
        <v>335</v>
      </c>
      <c r="D42" s="54" t="s">
        <v>336</v>
      </c>
      <c r="E42" s="31" t="s">
        <v>337</v>
      </c>
      <c r="F42" s="31" t="s">
        <v>337</v>
      </c>
      <c r="G42" s="123" t="str">
        <f>HYPERLINK("[#]Administrative_Subdivisions!A584:H584","&lt;link&gt;")</f>
        <v>&lt;link&gt;</v>
      </c>
      <c r="H42" s="86" t="s">
        <v>338</v>
      </c>
      <c r="I42" s="64" t="str">
        <f>HYPERLINK("http://nsgreg.nga.mil/genc/view?v=204262&amp;end_month=3&amp;end_day=31&amp;end_year=2014","BURKINA FASO")</f>
        <v>BURKINA FASO</v>
      </c>
      <c r="J42" s="87" t="str">
        <f>HYPERLINK("http://api.nsgreg.nga.mil/geo-political/GENC/3/ed2/BFA","BFA")</f>
        <v>BFA</v>
      </c>
    </row>
    <row r="43" spans="1:10" ht="13.5" customHeight="1" x14ac:dyDescent="0.2">
      <c r="A43" s="77" t="s">
        <v>339</v>
      </c>
      <c r="B43" s="58" t="s">
        <v>340</v>
      </c>
      <c r="C43" s="59" t="s">
        <v>341</v>
      </c>
      <c r="D43" s="57" t="s">
        <v>342</v>
      </c>
      <c r="E43" s="58" t="s">
        <v>343</v>
      </c>
      <c r="F43" s="58" t="s">
        <v>344</v>
      </c>
      <c r="G43" s="126" t="str">
        <f>HYPERLINK("[#]Administrative_Subdivisions!A642:H642","&lt;link&gt;")</f>
        <v>&lt;link&gt;</v>
      </c>
      <c r="H43" s="88" t="s">
        <v>345</v>
      </c>
      <c r="I43" s="66" t="str">
        <f>HYPERLINK("http://nsgreg.nga.mil/genc/view?v=204263&amp;end_month=3&amp;end_day=31&amp;end_year=2014","BURMA")</f>
        <v>BURMA</v>
      </c>
      <c r="J43" s="89" t="str">
        <f>HYPERLINK("http://api.nsgreg.nga.mil/geo-political/GENC/3/ed2/MMR","MMR")</f>
        <v>MMR</v>
      </c>
    </row>
    <row r="44" spans="1:10" ht="13.5" customHeight="1" x14ac:dyDescent="0.2">
      <c r="A44" s="78" t="s">
        <v>346</v>
      </c>
      <c r="B44" s="52" t="s">
        <v>347</v>
      </c>
      <c r="C44" s="53" t="s">
        <v>348</v>
      </c>
      <c r="D44" s="51" t="s">
        <v>349</v>
      </c>
      <c r="E44" s="52" t="s">
        <v>350</v>
      </c>
      <c r="F44" s="52" t="s">
        <v>351</v>
      </c>
      <c r="G44" s="125" t="str">
        <f>HYPERLINK("[#]Administrative_Subdivisions!A657:H657","&lt;link&gt;")</f>
        <v>&lt;link&gt;</v>
      </c>
      <c r="H44" s="90" t="s">
        <v>352</v>
      </c>
      <c r="I44" s="63" t="str">
        <f>HYPERLINK("http://nsgreg.nga.mil/genc/view?v=204264&amp;end_month=3&amp;end_day=31&amp;end_year=2014","BURUNDI")</f>
        <v>BURUNDI</v>
      </c>
      <c r="J44" s="91" t="str">
        <f>HYPERLINK("http://api.nsgreg.nga.mil/geo-political/GENC/3/ed2/BDI","BDI")</f>
        <v>BDI</v>
      </c>
    </row>
    <row r="45" spans="1:10" ht="13.5" customHeight="1" x14ac:dyDescent="0.2">
      <c r="A45" s="76" t="s">
        <v>353</v>
      </c>
      <c r="B45" s="31" t="s">
        <v>354</v>
      </c>
      <c r="C45" s="56" t="s">
        <v>355</v>
      </c>
      <c r="D45" s="54" t="s">
        <v>356</v>
      </c>
      <c r="E45" s="31" t="s">
        <v>357</v>
      </c>
      <c r="F45" s="31" t="s">
        <v>358</v>
      </c>
      <c r="G45" s="123" t="str">
        <f>HYPERLINK("[#]Administrative_Subdivisions!A674:H674","&lt;link&gt;")</f>
        <v>&lt;link&gt;</v>
      </c>
      <c r="H45" s="86" t="s">
        <v>359</v>
      </c>
      <c r="I45" s="64" t="str">
        <f>HYPERLINK("http://nsgreg.nga.mil/genc/view?v=204268&amp;end_month=3&amp;end_day=31&amp;end_year=2014","CABO VERDE")</f>
        <v>CABO VERDE</v>
      </c>
      <c r="J45" s="87" t="str">
        <f>HYPERLINK("http://api.nsgreg.nga.mil/geo-political/GENC/3/ed2/CPV","CPV")</f>
        <v>CPV</v>
      </c>
    </row>
    <row r="46" spans="1:10" ht="13.5" customHeight="1" x14ac:dyDescent="0.2">
      <c r="A46" s="76" t="s">
        <v>360</v>
      </c>
      <c r="B46" s="31" t="s">
        <v>361</v>
      </c>
      <c r="C46" s="56" t="s">
        <v>362</v>
      </c>
      <c r="D46" s="54" t="s">
        <v>363</v>
      </c>
      <c r="E46" s="31" t="s">
        <v>364</v>
      </c>
      <c r="F46" s="31" t="s">
        <v>365</v>
      </c>
      <c r="G46" s="123" t="str">
        <f>HYPERLINK("[#]Administrative_Subdivisions!A698:H698","&lt;link&gt;")</f>
        <v>&lt;link&gt;</v>
      </c>
      <c r="H46" s="86" t="s">
        <v>366</v>
      </c>
      <c r="I46" s="64" t="str">
        <f>HYPERLINK("http://nsgreg.nga.mil/genc/view?v=204265&amp;end_month=3&amp;end_day=31&amp;end_year=2014","CAMBODIA")</f>
        <v>CAMBODIA</v>
      </c>
      <c r="J46" s="87" t="str">
        <f>HYPERLINK("http://api.nsgreg.nga.mil/geo-political/GENC/3/ed2/KHM","KHM")</f>
        <v>KHM</v>
      </c>
    </row>
    <row r="47" spans="1:10" ht="13.5" customHeight="1" x14ac:dyDescent="0.2">
      <c r="A47" s="76" t="s">
        <v>367</v>
      </c>
      <c r="B47" s="31" t="s">
        <v>368</v>
      </c>
      <c r="C47" s="56" t="s">
        <v>369</v>
      </c>
      <c r="D47" s="54" t="s">
        <v>370</v>
      </c>
      <c r="E47" s="31" t="s">
        <v>371</v>
      </c>
      <c r="F47" s="31" t="s">
        <v>372</v>
      </c>
      <c r="G47" s="123" t="str">
        <f>HYPERLINK("[#]Administrative_Subdivisions!A722:H722","&lt;link&gt;")</f>
        <v>&lt;link&gt;</v>
      </c>
      <c r="H47" s="86" t="s">
        <v>373</v>
      </c>
      <c r="I47" s="64" t="str">
        <f>HYPERLINK("http://nsgreg.nga.mil/genc/view?v=204266&amp;end_month=3&amp;end_day=31&amp;end_year=2014","CAMEROON")</f>
        <v>CAMEROON</v>
      </c>
      <c r="J47" s="87" t="str">
        <f>HYPERLINK("http://api.nsgreg.nga.mil/geo-political/GENC/3/ed2/CMR","CMR")</f>
        <v>CMR</v>
      </c>
    </row>
    <row r="48" spans="1:10" ht="13.5" customHeight="1" x14ac:dyDescent="0.2">
      <c r="A48" s="77" t="s">
        <v>374</v>
      </c>
      <c r="B48" s="58" t="s">
        <v>375</v>
      </c>
      <c r="C48" s="59" t="s">
        <v>376</v>
      </c>
      <c r="D48" s="57" t="s">
        <v>377</v>
      </c>
      <c r="E48" s="58" t="s">
        <v>378</v>
      </c>
      <c r="F48" s="58" t="s">
        <v>378</v>
      </c>
      <c r="G48" s="126" t="str">
        <f>HYPERLINK("[#]Administrative_Subdivisions!A732:H732","&lt;link&gt;")</f>
        <v>&lt;link&gt;</v>
      </c>
      <c r="H48" s="88" t="s">
        <v>379</v>
      </c>
      <c r="I48" s="66" t="str">
        <f>HYPERLINK("http://nsgreg.nga.mil/genc/view?v=204267&amp;end_month=3&amp;end_day=31&amp;end_year=2014","CANADA")</f>
        <v>CANADA</v>
      </c>
      <c r="J48" s="89" t="str">
        <f>HYPERLINK("http://api.nsgreg.nga.mil/geo-political/GENC/3/ed2/CAN","CAN")</f>
        <v>CAN</v>
      </c>
    </row>
    <row r="49" spans="1:10" ht="13.5" customHeight="1" x14ac:dyDescent="0.2">
      <c r="A49" s="78" t="s">
        <v>380</v>
      </c>
      <c r="B49" s="52" t="s">
        <v>381</v>
      </c>
      <c r="C49" s="53" t="s">
        <v>382</v>
      </c>
      <c r="D49" s="51" t="s">
        <v>383</v>
      </c>
      <c r="E49" s="52" t="s">
        <v>384</v>
      </c>
      <c r="F49" s="52" t="s">
        <v>384</v>
      </c>
      <c r="G49" s="127"/>
      <c r="H49" s="90" t="s">
        <v>385</v>
      </c>
      <c r="I49" s="63" t="str">
        <f>HYPERLINK("http://nsgreg.nga.mil/genc/view?v=204269&amp;end_month=3&amp;end_day=31&amp;end_year=2014","CAYMAN ISLANDS")</f>
        <v>CAYMAN ISLANDS</v>
      </c>
      <c r="J49" s="91" t="str">
        <f>HYPERLINK("http://api.nsgreg.nga.mil/geo-political/GENC/3/ed2/CYM","CYM")</f>
        <v>CYM</v>
      </c>
    </row>
    <row r="50" spans="1:10" ht="13.5" customHeight="1" x14ac:dyDescent="0.2">
      <c r="A50" s="76" t="s">
        <v>386</v>
      </c>
      <c r="B50" s="31" t="s">
        <v>387</v>
      </c>
      <c r="C50" s="56" t="s">
        <v>388</v>
      </c>
      <c r="D50" s="54" t="s">
        <v>389</v>
      </c>
      <c r="E50" s="31" t="s">
        <v>390</v>
      </c>
      <c r="F50" s="31" t="s">
        <v>390</v>
      </c>
      <c r="G50" s="123" t="str">
        <f>HYPERLINK("[#]Administrative_Subdivisions!A745:H745","&lt;link&gt;")</f>
        <v>&lt;link&gt;</v>
      </c>
      <c r="H50" s="86" t="s">
        <v>391</v>
      </c>
      <c r="I50" s="64" t="str">
        <f>HYPERLINK("http://nsgreg.nga.mil/genc/view?v=204270&amp;end_month=3&amp;end_day=31&amp;end_year=2014","CENTRAL AFRICAN REPUBLIC")</f>
        <v>CENTRAL AFRICAN REPUBLIC</v>
      </c>
      <c r="J50" s="87" t="str">
        <f>HYPERLINK("http://api.nsgreg.nga.mil/geo-political/GENC/3/ed2/CAF","CAF")</f>
        <v>CAF</v>
      </c>
    </row>
    <row r="51" spans="1:10" ht="13.5" customHeight="1" x14ac:dyDescent="0.2">
      <c r="A51" s="76" t="s">
        <v>392</v>
      </c>
      <c r="B51" s="31" t="s">
        <v>393</v>
      </c>
      <c r="C51" s="56" t="s">
        <v>394</v>
      </c>
      <c r="D51" s="54" t="s">
        <v>395</v>
      </c>
      <c r="E51" s="31" t="s">
        <v>396</v>
      </c>
      <c r="F51" s="31" t="s">
        <v>397</v>
      </c>
      <c r="G51" s="123" t="str">
        <f>HYPERLINK("[#]Administrative_Subdivisions!A762:H762","&lt;link&gt;")</f>
        <v>&lt;link&gt;</v>
      </c>
      <c r="H51" s="86" t="s">
        <v>398</v>
      </c>
      <c r="I51" s="64" t="str">
        <f>HYPERLINK("http://nsgreg.nga.mil/genc/view?v=204271&amp;end_month=3&amp;end_day=31&amp;end_year=2014","CHAD")</f>
        <v>CHAD</v>
      </c>
      <c r="J51" s="87" t="str">
        <f>HYPERLINK("http://api.nsgreg.nga.mil/geo-political/GENC/3/ed2/TCD","TCD")</f>
        <v>TCD</v>
      </c>
    </row>
    <row r="52" spans="1:10" ht="13.5" customHeight="1" x14ac:dyDescent="0.2">
      <c r="A52" s="76" t="s">
        <v>399</v>
      </c>
      <c r="B52" s="31" t="s">
        <v>400</v>
      </c>
      <c r="C52" s="56" t="s">
        <v>401</v>
      </c>
      <c r="D52" s="54" t="s">
        <v>402</v>
      </c>
      <c r="E52" s="31" t="s">
        <v>403</v>
      </c>
      <c r="F52" s="31" t="s">
        <v>404</v>
      </c>
      <c r="G52" s="123" t="str">
        <f>HYPERLINK("[#]Administrative_Subdivisions!A786:H786","&lt;link&gt;")</f>
        <v>&lt;link&gt;</v>
      </c>
      <c r="H52" s="86" t="s">
        <v>405</v>
      </c>
      <c r="I52" s="64" t="str">
        <f>HYPERLINK("http://nsgreg.nga.mil/genc/view?v=204272&amp;end_month=3&amp;end_day=31&amp;end_year=2014","CHILE")</f>
        <v>CHILE</v>
      </c>
      <c r="J52" s="87" t="str">
        <f>HYPERLINK("http://api.nsgreg.nga.mil/geo-political/GENC/3/ed2/CHL","CHL")</f>
        <v>CHL</v>
      </c>
    </row>
    <row r="53" spans="1:10" ht="13.5" customHeight="1" x14ac:dyDescent="0.2">
      <c r="A53" s="77" t="s">
        <v>406</v>
      </c>
      <c r="B53" s="58" t="s">
        <v>407</v>
      </c>
      <c r="C53" s="59" t="s">
        <v>408</v>
      </c>
      <c r="D53" s="57" t="s">
        <v>409</v>
      </c>
      <c r="E53" s="58" t="s">
        <v>410</v>
      </c>
      <c r="F53" s="58" t="s">
        <v>411</v>
      </c>
      <c r="G53" s="126" t="str">
        <f>HYPERLINK("[#]Administrative_Subdivisions!A801:H801","&lt;link&gt;")</f>
        <v>&lt;link&gt;</v>
      </c>
      <c r="H53" s="88" t="s">
        <v>412</v>
      </c>
      <c r="I53" s="66" t="str">
        <f>HYPERLINK("http://nsgreg.nga.mil/genc/view?v=204273&amp;end_month=3&amp;end_day=31&amp;end_year=2014","CHINA")</f>
        <v>CHINA</v>
      </c>
      <c r="J53" s="89" t="str">
        <f>HYPERLINK("http://api.nsgreg.nga.mil/geo-political/GENC/3/ed2/CHN","CHN")</f>
        <v>CHN</v>
      </c>
    </row>
    <row r="54" spans="1:10" ht="13.5" customHeight="1" x14ac:dyDescent="0.2">
      <c r="A54" s="78" t="s">
        <v>413</v>
      </c>
      <c r="B54" s="52" t="s">
        <v>414</v>
      </c>
      <c r="C54" s="53" t="s">
        <v>415</v>
      </c>
      <c r="D54" s="51" t="s">
        <v>416</v>
      </c>
      <c r="E54" s="52" t="s">
        <v>417</v>
      </c>
      <c r="F54" s="52" t="s">
        <v>418</v>
      </c>
      <c r="G54" s="127"/>
      <c r="H54" s="90" t="s">
        <v>419</v>
      </c>
      <c r="I54" s="63" t="str">
        <f>HYPERLINK("http://nsgreg.nga.mil/genc/view?v=204274&amp;end_month=3&amp;end_day=31&amp;end_year=2014","CHRISTMAS ISLAND")</f>
        <v>CHRISTMAS ISLAND</v>
      </c>
      <c r="J54" s="91" t="str">
        <f>HYPERLINK("http://api.nsgreg.nga.mil/geo-political/GENC/3/ed2/CXR","CXR")</f>
        <v>CXR</v>
      </c>
    </row>
    <row r="55" spans="1:10" ht="13.5" customHeight="1" x14ac:dyDescent="0.2">
      <c r="A55" s="76" t="s">
        <v>420</v>
      </c>
      <c r="B55" s="31" t="s">
        <v>421</v>
      </c>
      <c r="C55" s="55" t="s">
        <v>93</v>
      </c>
      <c r="D55" s="54" t="s">
        <v>422</v>
      </c>
      <c r="E55" s="31" t="s">
        <v>423</v>
      </c>
      <c r="F55" s="31" t="s">
        <v>423</v>
      </c>
      <c r="G55" s="122"/>
      <c r="H55" s="86" t="s">
        <v>424</v>
      </c>
      <c r="I55" s="64" t="str">
        <f>HYPERLINK("http://nsgreg.nga.mil/genc/view?v=204275&amp;end_month=3&amp;end_day=31&amp;end_year=2014","CLIPPERTON ISLAND")</f>
        <v>CLIPPERTON ISLAND</v>
      </c>
      <c r="J55" s="87" t="str">
        <f>HYPERLINK("http://api.nsgreg.nga.mil/geo-political/GENC/3/ed2/CPT","CPT")</f>
        <v>CPT</v>
      </c>
    </row>
    <row r="56" spans="1:10" ht="13.5" customHeight="1" x14ac:dyDescent="0.2">
      <c r="A56" s="76" t="s">
        <v>425</v>
      </c>
      <c r="B56" s="31" t="s">
        <v>426</v>
      </c>
      <c r="C56" s="56" t="s">
        <v>427</v>
      </c>
      <c r="D56" s="54" t="s">
        <v>428</v>
      </c>
      <c r="E56" s="31" t="s">
        <v>429</v>
      </c>
      <c r="F56" s="31" t="s">
        <v>430</v>
      </c>
      <c r="G56" s="122"/>
      <c r="H56" s="86" t="s">
        <v>431</v>
      </c>
      <c r="I56" s="64" t="str">
        <f>HYPERLINK("http://nsgreg.nga.mil/genc/view?v=204276&amp;end_month=3&amp;end_day=31&amp;end_year=2014","COCOS (KEELING) ISLANDS")</f>
        <v>COCOS (KEELING) ISLANDS</v>
      </c>
      <c r="J56" s="87" t="str">
        <f>HYPERLINK("http://api.nsgreg.nga.mil/geo-political/GENC/3/ed2/CCK","CCK")</f>
        <v>CCK</v>
      </c>
    </row>
    <row r="57" spans="1:10" ht="13.5" customHeight="1" x14ac:dyDescent="0.2">
      <c r="A57" s="76" t="s">
        <v>432</v>
      </c>
      <c r="B57" s="31" t="s">
        <v>433</v>
      </c>
      <c r="C57" s="56" t="s">
        <v>434</v>
      </c>
      <c r="D57" s="54" t="s">
        <v>435</v>
      </c>
      <c r="E57" s="31" t="s">
        <v>436</v>
      </c>
      <c r="F57" s="31" t="s">
        <v>437</v>
      </c>
      <c r="G57" s="123" t="str">
        <f>HYPERLINK("[#]Administrative_Subdivisions!A835:H835","&lt;link&gt;")</f>
        <v>&lt;link&gt;</v>
      </c>
      <c r="H57" s="86" t="s">
        <v>438</v>
      </c>
      <c r="I57" s="64" t="str">
        <f>HYPERLINK("http://nsgreg.nga.mil/genc/view?v=204277&amp;end_month=3&amp;end_day=31&amp;end_year=2014","COLOMBIA")</f>
        <v>COLOMBIA</v>
      </c>
      <c r="J57" s="87" t="str">
        <f>HYPERLINK("http://api.nsgreg.nga.mil/geo-political/GENC/3/ed2/COL","COL")</f>
        <v>COL</v>
      </c>
    </row>
    <row r="58" spans="1:10" ht="13.5" customHeight="1" x14ac:dyDescent="0.2">
      <c r="A58" s="77" t="s">
        <v>439</v>
      </c>
      <c r="B58" s="58" t="s">
        <v>440</v>
      </c>
      <c r="C58" s="59" t="s">
        <v>441</v>
      </c>
      <c r="D58" s="57" t="s">
        <v>442</v>
      </c>
      <c r="E58" s="58" t="s">
        <v>443</v>
      </c>
      <c r="F58" s="58" t="s">
        <v>444</v>
      </c>
      <c r="G58" s="126" t="str">
        <f>HYPERLINK("[#]Administrative_Subdivisions!A868:H868","&lt;link&gt;")</f>
        <v>&lt;link&gt;</v>
      </c>
      <c r="H58" s="88" t="s">
        <v>445</v>
      </c>
      <c r="I58" s="66" t="str">
        <f>HYPERLINK("http://nsgreg.nga.mil/genc/view?v=204278&amp;end_month=3&amp;end_day=31&amp;end_year=2014","COMOROS")</f>
        <v>COMOROS</v>
      </c>
      <c r="J58" s="89" t="str">
        <f>HYPERLINK("http://api.nsgreg.nga.mil/geo-political/GENC/3/ed2/COM","COM")</f>
        <v>COM</v>
      </c>
    </row>
    <row r="59" spans="1:10" ht="13.5" customHeight="1" x14ac:dyDescent="0.2">
      <c r="A59" s="78" t="s">
        <v>446</v>
      </c>
      <c r="B59" s="52" t="s">
        <v>447</v>
      </c>
      <c r="C59" s="53" t="s">
        <v>448</v>
      </c>
      <c r="D59" s="51" t="s">
        <v>449</v>
      </c>
      <c r="E59" s="52" t="s">
        <v>450</v>
      </c>
      <c r="F59" s="52" t="s">
        <v>451</v>
      </c>
      <c r="G59" s="125" t="str">
        <f>HYPERLINK("[#]Administrative_Subdivisions!A871:H871","&lt;link&gt;")</f>
        <v>&lt;link&gt;</v>
      </c>
      <c r="H59" s="90" t="s">
        <v>452</v>
      </c>
      <c r="I59" s="63" t="str">
        <f>HYPERLINK("http://nsgreg.nga.mil/genc/view?v=204279&amp;end_month=3&amp;end_day=31&amp;end_year=2014","CONGO (BRAZZAVILLE)")</f>
        <v>CONGO (BRAZZAVILLE)</v>
      </c>
      <c r="J59" s="91" t="str">
        <f>HYPERLINK("http://api.nsgreg.nga.mil/geo-political/GENC/3/ed2/COG","COG")</f>
        <v>COG</v>
      </c>
    </row>
    <row r="60" spans="1:10" ht="13.5" customHeight="1" x14ac:dyDescent="0.2">
      <c r="A60" s="76" t="s">
        <v>453</v>
      </c>
      <c r="B60" s="31" t="s">
        <v>454</v>
      </c>
      <c r="C60" s="56" t="s">
        <v>455</v>
      </c>
      <c r="D60" s="54" t="s">
        <v>456</v>
      </c>
      <c r="E60" s="31" t="s">
        <v>457</v>
      </c>
      <c r="F60" s="31" t="s">
        <v>458</v>
      </c>
      <c r="G60" s="123" t="str">
        <f>HYPERLINK("[#]Administrative_Subdivisions!A883:H883","&lt;link&gt;")</f>
        <v>&lt;link&gt;</v>
      </c>
      <c r="H60" s="86" t="s">
        <v>459</v>
      </c>
      <c r="I60" s="64" t="str">
        <f>HYPERLINK("http://nsgreg.nga.mil/genc/view?v=204280&amp;end_month=3&amp;end_day=31&amp;end_year=2014","CONGO (KINSHASA)")</f>
        <v>CONGO (KINSHASA)</v>
      </c>
      <c r="J60" s="87" t="str">
        <f>HYPERLINK("http://api.nsgreg.nga.mil/geo-political/GENC/3/ed2/COD","COD")</f>
        <v>COD</v>
      </c>
    </row>
    <row r="61" spans="1:10" ht="13.5" customHeight="1" x14ac:dyDescent="0.2">
      <c r="A61" s="76" t="s">
        <v>460</v>
      </c>
      <c r="B61" s="31" t="s">
        <v>461</v>
      </c>
      <c r="C61" s="56" t="s">
        <v>462</v>
      </c>
      <c r="D61" s="54" t="s">
        <v>463</v>
      </c>
      <c r="E61" s="31" t="s">
        <v>464</v>
      </c>
      <c r="F61" s="31" t="s">
        <v>464</v>
      </c>
      <c r="G61" s="122"/>
      <c r="H61" s="86" t="s">
        <v>465</v>
      </c>
      <c r="I61" s="64" t="str">
        <f>HYPERLINK("http://nsgreg.nga.mil/genc/view?v=204281&amp;end_month=3&amp;end_day=31&amp;end_year=2014","COOK ISLANDS")</f>
        <v>COOK ISLANDS</v>
      </c>
      <c r="J61" s="87" t="str">
        <f>HYPERLINK("http://api.nsgreg.nga.mil/geo-political/GENC/3/ed2/COK","COK")</f>
        <v>COK</v>
      </c>
    </row>
    <row r="62" spans="1:10" ht="13.5" customHeight="1" x14ac:dyDescent="0.2">
      <c r="A62" s="76" t="s">
        <v>466</v>
      </c>
      <c r="B62" s="31" t="s">
        <v>467</v>
      </c>
      <c r="C62" s="55" t="s">
        <v>93</v>
      </c>
      <c r="D62" s="54" t="s">
        <v>468</v>
      </c>
      <c r="E62" s="31" t="s">
        <v>469</v>
      </c>
      <c r="F62" s="31" t="s">
        <v>470</v>
      </c>
      <c r="G62" s="122"/>
      <c r="H62" s="86" t="s">
        <v>471</v>
      </c>
      <c r="I62" s="64" t="str">
        <f>HYPERLINK("http://nsgreg.nga.mil/genc/view?v=204282&amp;end_month=3&amp;end_day=31&amp;end_year=2014","CORAL SEA ISLANDS")</f>
        <v>CORAL SEA ISLANDS</v>
      </c>
      <c r="J62" s="87" t="str">
        <f>HYPERLINK("http://api.nsgreg.nga.mil/geo-political/GENC/3/ed2/XCS","XCS")</f>
        <v>XCS</v>
      </c>
    </row>
    <row r="63" spans="1:10" ht="13.5" customHeight="1" x14ac:dyDescent="0.2">
      <c r="A63" s="77" t="s">
        <v>472</v>
      </c>
      <c r="B63" s="58" t="s">
        <v>473</v>
      </c>
      <c r="C63" s="59" t="s">
        <v>474</v>
      </c>
      <c r="D63" s="57" t="s">
        <v>475</v>
      </c>
      <c r="E63" s="58" t="s">
        <v>476</v>
      </c>
      <c r="F63" s="58" t="s">
        <v>477</v>
      </c>
      <c r="G63" s="126" t="str">
        <f>HYPERLINK("[#]Administrative_Subdivisions!A894:H894","&lt;link&gt;")</f>
        <v>&lt;link&gt;</v>
      </c>
      <c r="H63" s="88" t="s">
        <v>478</v>
      </c>
      <c r="I63" s="66" t="str">
        <f>HYPERLINK("http://nsgreg.nga.mil/genc/view?v=204283&amp;end_month=3&amp;end_day=31&amp;end_year=2014","COSTA RICA")</f>
        <v>COSTA RICA</v>
      </c>
      <c r="J63" s="89" t="str">
        <f>HYPERLINK("http://api.nsgreg.nga.mil/geo-political/GENC/3/ed2/CRI","CRI")</f>
        <v>CRI</v>
      </c>
    </row>
    <row r="64" spans="1:10" ht="13.5" customHeight="1" x14ac:dyDescent="0.2">
      <c r="A64" s="78" t="s">
        <v>479</v>
      </c>
      <c r="B64" s="52" t="s">
        <v>480</v>
      </c>
      <c r="C64" s="53" t="s">
        <v>481</v>
      </c>
      <c r="D64" s="51" t="s">
        <v>482</v>
      </c>
      <c r="E64" s="52" t="s">
        <v>483</v>
      </c>
      <c r="F64" s="52" t="s">
        <v>484</v>
      </c>
      <c r="G64" s="125" t="str">
        <f>HYPERLINK("[#]Administrative_Subdivisions!A901:H901","&lt;link&gt;")</f>
        <v>&lt;link&gt;</v>
      </c>
      <c r="H64" s="90" t="s">
        <v>485</v>
      </c>
      <c r="I64" s="63" t="str">
        <f>HYPERLINK("http://nsgreg.nga.mil/genc/view?v=204284&amp;end_month=3&amp;end_day=31&amp;end_year=2014","CÔTE D’IVOIRE")</f>
        <v>CÔTE D’IVOIRE</v>
      </c>
      <c r="J64" s="91" t="str">
        <f>HYPERLINK("http://api.nsgreg.nga.mil/geo-political/GENC/3/ed2/CIV","CIV")</f>
        <v>CIV</v>
      </c>
    </row>
    <row r="65" spans="1:10" ht="13.5" customHeight="1" x14ac:dyDescent="0.2">
      <c r="A65" s="76" t="s">
        <v>486</v>
      </c>
      <c r="B65" s="31" t="s">
        <v>487</v>
      </c>
      <c r="C65" s="56" t="s">
        <v>488</v>
      </c>
      <c r="D65" s="54" t="s">
        <v>489</v>
      </c>
      <c r="E65" s="31" t="s">
        <v>490</v>
      </c>
      <c r="F65" s="31" t="s">
        <v>491</v>
      </c>
      <c r="G65" s="123" t="str">
        <f>HYPERLINK("[#]Administrative_Subdivisions!A926:H926","&lt;link&gt;")</f>
        <v>&lt;link&gt;</v>
      </c>
      <c r="H65" s="86" t="s">
        <v>492</v>
      </c>
      <c r="I65" s="64" t="str">
        <f>HYPERLINK("http://nsgreg.nga.mil/genc/view?v=204285&amp;end_month=3&amp;end_day=31&amp;end_year=2014","CROATIA")</f>
        <v>CROATIA</v>
      </c>
      <c r="J65" s="87" t="str">
        <f>HYPERLINK("http://api.nsgreg.nga.mil/geo-political/GENC/3/ed2/HRV","HRV")</f>
        <v>HRV</v>
      </c>
    </row>
    <row r="66" spans="1:10" ht="13.5" customHeight="1" x14ac:dyDescent="0.2">
      <c r="A66" s="76" t="s">
        <v>493</v>
      </c>
      <c r="B66" s="31" t="s">
        <v>494</v>
      </c>
      <c r="C66" s="56" t="s">
        <v>495</v>
      </c>
      <c r="D66" s="54" t="s">
        <v>496</v>
      </c>
      <c r="E66" s="31" t="s">
        <v>497</v>
      </c>
      <c r="F66" s="31" t="s">
        <v>498</v>
      </c>
      <c r="G66" s="123" t="str">
        <f>HYPERLINK("[#]Administrative_Subdivisions!A947:H947","&lt;link&gt;")</f>
        <v>&lt;link&gt;</v>
      </c>
      <c r="H66" s="86" t="s">
        <v>499</v>
      </c>
      <c r="I66" s="64" t="str">
        <f>HYPERLINK("http://nsgreg.nga.mil/genc/view?v=204286&amp;end_month=3&amp;end_day=31&amp;end_year=2014","CUBA")</f>
        <v>CUBA</v>
      </c>
      <c r="J66" s="87" t="str">
        <f>HYPERLINK("http://api.nsgreg.nga.mil/geo-political/GENC/3/ed2/CUB","CUB")</f>
        <v>CUB</v>
      </c>
    </row>
    <row r="67" spans="1:10" ht="13.5" customHeight="1" x14ac:dyDescent="0.2">
      <c r="A67" s="76" t="s">
        <v>500</v>
      </c>
      <c r="B67" s="31" t="s">
        <v>501</v>
      </c>
      <c r="C67" s="56" t="s">
        <v>502</v>
      </c>
      <c r="D67" s="54" t="s">
        <v>503</v>
      </c>
      <c r="E67" s="31" t="s">
        <v>504</v>
      </c>
      <c r="F67" s="31" t="s">
        <v>504</v>
      </c>
      <c r="G67" s="122"/>
      <c r="H67" s="86" t="s">
        <v>505</v>
      </c>
      <c r="I67" s="64" t="str">
        <f>HYPERLINK("http://nsgreg.nga.mil/genc/view?v=204287&amp;end_month=3&amp;end_day=31&amp;end_year=2014","CURAÇAO")</f>
        <v>CURAÇAO</v>
      </c>
      <c r="J67" s="87" t="str">
        <f>HYPERLINK("http://api.nsgreg.nga.mil/geo-political/GENC/3/ed2/CUW","CUW")</f>
        <v>CUW</v>
      </c>
    </row>
    <row r="68" spans="1:10" ht="13.5" customHeight="1" x14ac:dyDescent="0.2">
      <c r="A68" s="77" t="s">
        <v>506</v>
      </c>
      <c r="B68" s="58" t="s">
        <v>507</v>
      </c>
      <c r="C68" s="59" t="s">
        <v>508</v>
      </c>
      <c r="D68" s="57" t="s">
        <v>509</v>
      </c>
      <c r="E68" s="58" t="s">
        <v>510</v>
      </c>
      <c r="F68" s="58" t="s">
        <v>511</v>
      </c>
      <c r="G68" s="126" t="str">
        <f>HYPERLINK("[#]Administrative_Subdivisions!A964:H964","&lt;link&gt;")</f>
        <v>&lt;link&gt;</v>
      </c>
      <c r="H68" s="88" t="s">
        <v>512</v>
      </c>
      <c r="I68" s="66" t="str">
        <f>HYPERLINK("http://nsgreg.nga.mil/genc/view?v=204288&amp;end_month=3&amp;end_day=31&amp;end_year=2014","CYPRUS")</f>
        <v>CYPRUS</v>
      </c>
      <c r="J68" s="89" t="str">
        <f>HYPERLINK("http://api.nsgreg.nga.mil/geo-political/GENC/3/ed2/CYP","CYP")</f>
        <v>CYP</v>
      </c>
    </row>
    <row r="69" spans="1:10" ht="13.5" customHeight="1" x14ac:dyDescent="0.2">
      <c r="A69" s="78" t="s">
        <v>513</v>
      </c>
      <c r="B69" s="52" t="s">
        <v>514</v>
      </c>
      <c r="C69" s="53" t="s">
        <v>515</v>
      </c>
      <c r="D69" s="51" t="s">
        <v>516</v>
      </c>
      <c r="E69" s="52" t="s">
        <v>517</v>
      </c>
      <c r="F69" s="52" t="s">
        <v>517</v>
      </c>
      <c r="G69" s="125" t="str">
        <f>HYPERLINK("[#]Administrative_Subdivisions!A970:H970","&lt;link&gt;")</f>
        <v>&lt;link&gt;</v>
      </c>
      <c r="H69" s="90" t="s">
        <v>518</v>
      </c>
      <c r="I69" s="63" t="str">
        <f>HYPERLINK("http://nsgreg.nga.mil/genc/view?v=204289&amp;end_month=3&amp;end_day=31&amp;end_year=2014","CZECH REPUBLIC")</f>
        <v>CZECH REPUBLIC</v>
      </c>
      <c r="J69" s="91" t="str">
        <f>HYPERLINK("http://api.nsgreg.nga.mil/geo-political/GENC/3/ed2/CZE","CZE")</f>
        <v>CZE</v>
      </c>
    </row>
    <row r="70" spans="1:10" ht="13.5" customHeight="1" x14ac:dyDescent="0.2">
      <c r="A70" s="76" t="s">
        <v>519</v>
      </c>
      <c r="B70" s="31" t="s">
        <v>520</v>
      </c>
      <c r="C70" s="56" t="s">
        <v>521</v>
      </c>
      <c r="D70" s="54" t="s">
        <v>522</v>
      </c>
      <c r="E70" s="31" t="s">
        <v>523</v>
      </c>
      <c r="F70" s="31" t="s">
        <v>524</v>
      </c>
      <c r="G70" s="123" t="str">
        <f>HYPERLINK("[#]Administrative_Subdivisions!A1075:H1075","&lt;link&gt;")</f>
        <v>&lt;link&gt;</v>
      </c>
      <c r="H70" s="86" t="s">
        <v>525</v>
      </c>
      <c r="I70" s="64" t="str">
        <f>HYPERLINK("http://nsgreg.nga.mil/genc/view?v=204290&amp;end_month=3&amp;end_day=31&amp;end_year=2014","DENMARK")</f>
        <v>DENMARK</v>
      </c>
      <c r="J70" s="87" t="str">
        <f>HYPERLINK("http://api.nsgreg.nga.mil/geo-political/GENC/3/ed2/DNK","DNK")</f>
        <v>DNK</v>
      </c>
    </row>
    <row r="71" spans="1:10" ht="13.5" customHeight="1" x14ac:dyDescent="0.2">
      <c r="A71" s="76" t="s">
        <v>526</v>
      </c>
      <c r="B71" s="31" t="s">
        <v>527</v>
      </c>
      <c r="C71" s="55" t="s">
        <v>93</v>
      </c>
      <c r="D71" s="54" t="s">
        <v>528</v>
      </c>
      <c r="E71" s="31" t="s">
        <v>529</v>
      </c>
      <c r="F71" s="31" t="s">
        <v>529</v>
      </c>
      <c r="G71" s="122"/>
      <c r="H71" s="86" t="s">
        <v>530</v>
      </c>
      <c r="I71" s="64" t="str">
        <f>HYPERLINK("http://nsgreg.nga.mil/genc/view?v=204291&amp;end_month=3&amp;end_day=31&amp;end_year=2014","DHEKELIA")</f>
        <v>DHEKELIA</v>
      </c>
      <c r="J71" s="87" t="str">
        <f>HYPERLINK("http://api.nsgreg.nga.mil/geo-political/GENC/3/ed2/XXD","XXD")</f>
        <v>XXD</v>
      </c>
    </row>
    <row r="72" spans="1:10" ht="13.5" customHeight="1" x14ac:dyDescent="0.2">
      <c r="A72" s="76" t="s">
        <v>531</v>
      </c>
      <c r="B72" s="31" t="s">
        <v>532</v>
      </c>
      <c r="C72" s="55" t="s">
        <v>93</v>
      </c>
      <c r="D72" s="54" t="s">
        <v>533</v>
      </c>
      <c r="E72" s="31" t="s">
        <v>534</v>
      </c>
      <c r="F72" s="31" t="s">
        <v>534</v>
      </c>
      <c r="G72" s="122"/>
      <c r="H72" s="86" t="s">
        <v>535</v>
      </c>
      <c r="I72" s="64" t="str">
        <f>HYPERLINK("http://nsgreg.nga.mil/genc/view?v=204292&amp;end_month=3&amp;end_day=31&amp;end_year=2014","DIEGO GARCIA")</f>
        <v>DIEGO GARCIA</v>
      </c>
      <c r="J72" s="87" t="str">
        <f>HYPERLINK("http://api.nsgreg.nga.mil/geo-political/GENC/3/ed2/DGA","DGA")</f>
        <v>DGA</v>
      </c>
    </row>
    <row r="73" spans="1:10" ht="13.5" customHeight="1" x14ac:dyDescent="0.2">
      <c r="A73" s="77" t="s">
        <v>536</v>
      </c>
      <c r="B73" s="58" t="s">
        <v>537</v>
      </c>
      <c r="C73" s="59" t="s">
        <v>538</v>
      </c>
      <c r="D73" s="57" t="s">
        <v>539</v>
      </c>
      <c r="E73" s="58" t="s">
        <v>540</v>
      </c>
      <c r="F73" s="58" t="s">
        <v>541</v>
      </c>
      <c r="G73" s="126" t="str">
        <f>HYPERLINK("[#]Administrative_Subdivisions!A1080:H1080","&lt;link&gt;")</f>
        <v>&lt;link&gt;</v>
      </c>
      <c r="H73" s="88" t="s">
        <v>542</v>
      </c>
      <c r="I73" s="66" t="str">
        <f>HYPERLINK("http://nsgreg.nga.mil/genc/view?v=204293&amp;end_month=3&amp;end_day=31&amp;end_year=2014","DJIBOUTI")</f>
        <v>DJIBOUTI</v>
      </c>
      <c r="J73" s="89" t="str">
        <f>HYPERLINK("http://api.nsgreg.nga.mil/geo-political/GENC/3/ed2/DJI","DJI")</f>
        <v>DJI</v>
      </c>
    </row>
    <row r="74" spans="1:10" ht="13.5" customHeight="1" x14ac:dyDescent="0.2">
      <c r="A74" s="78" t="s">
        <v>543</v>
      </c>
      <c r="B74" s="52" t="s">
        <v>544</v>
      </c>
      <c r="C74" s="53" t="s">
        <v>545</v>
      </c>
      <c r="D74" s="51" t="s">
        <v>546</v>
      </c>
      <c r="E74" s="52" t="s">
        <v>547</v>
      </c>
      <c r="F74" s="52" t="s">
        <v>548</v>
      </c>
      <c r="G74" s="125" t="str">
        <f>HYPERLINK("[#]Administrative_Subdivisions!A1086:H1086","&lt;link&gt;")</f>
        <v>&lt;link&gt;</v>
      </c>
      <c r="H74" s="90" t="s">
        <v>549</v>
      </c>
      <c r="I74" s="63" t="str">
        <f>HYPERLINK("http://nsgreg.nga.mil/genc/view?v=204294&amp;end_month=3&amp;end_day=31&amp;end_year=2014","DOMINICA")</f>
        <v>DOMINICA</v>
      </c>
      <c r="J74" s="91" t="str">
        <f>HYPERLINK("http://api.nsgreg.nga.mil/geo-political/GENC/3/ed2/DMA","DMA")</f>
        <v>DMA</v>
      </c>
    </row>
    <row r="75" spans="1:10" ht="13.5" customHeight="1" x14ac:dyDescent="0.2">
      <c r="A75" s="76" t="s">
        <v>550</v>
      </c>
      <c r="B75" s="31" t="s">
        <v>551</v>
      </c>
      <c r="C75" s="56" t="s">
        <v>552</v>
      </c>
      <c r="D75" s="54" t="s">
        <v>553</v>
      </c>
      <c r="E75" s="31" t="s">
        <v>554</v>
      </c>
      <c r="F75" s="31" t="s">
        <v>554</v>
      </c>
      <c r="G75" s="123" t="str">
        <f>HYPERLINK("[#]Administrative_Subdivisions!A1096:H1096","&lt;link&gt;")</f>
        <v>&lt;link&gt;</v>
      </c>
      <c r="H75" s="86" t="s">
        <v>555</v>
      </c>
      <c r="I75" s="64" t="str">
        <f>HYPERLINK("http://nsgreg.nga.mil/genc/view?v=204295&amp;end_month=3&amp;end_day=31&amp;end_year=2014","DOMINICAN REPUBLIC")</f>
        <v>DOMINICAN REPUBLIC</v>
      </c>
      <c r="J75" s="87" t="str">
        <f>HYPERLINK("http://api.nsgreg.nga.mil/geo-political/GENC/3/ed2/DOM","DOM")</f>
        <v>DOM</v>
      </c>
    </row>
    <row r="76" spans="1:10" ht="13.5" customHeight="1" x14ac:dyDescent="0.2">
      <c r="A76" s="76" t="s">
        <v>556</v>
      </c>
      <c r="B76" s="31" t="s">
        <v>557</v>
      </c>
      <c r="C76" s="56" t="s">
        <v>558</v>
      </c>
      <c r="D76" s="54" t="s">
        <v>559</v>
      </c>
      <c r="E76" s="31" t="s">
        <v>560</v>
      </c>
      <c r="F76" s="31" t="s">
        <v>561</v>
      </c>
      <c r="G76" s="123" t="str">
        <f>HYPERLINK("[#]Administrative_Subdivisions!A1138:H1138","&lt;link&gt;")</f>
        <v>&lt;link&gt;</v>
      </c>
      <c r="H76" s="86" t="s">
        <v>562</v>
      </c>
      <c r="I76" s="64" t="str">
        <f>HYPERLINK("http://nsgreg.nga.mil/genc/view?v=204296&amp;end_month=3&amp;end_day=31&amp;end_year=2014","ECUADOR")</f>
        <v>ECUADOR</v>
      </c>
      <c r="J76" s="87" t="str">
        <f>HYPERLINK("http://api.nsgreg.nga.mil/geo-political/GENC/3/ed2/ECU","ECU")</f>
        <v>ECU</v>
      </c>
    </row>
    <row r="77" spans="1:10" ht="13.5" customHeight="1" x14ac:dyDescent="0.2">
      <c r="A77" s="76" t="s">
        <v>563</v>
      </c>
      <c r="B77" s="31" t="s">
        <v>564</v>
      </c>
      <c r="C77" s="56" t="s">
        <v>565</v>
      </c>
      <c r="D77" s="54" t="s">
        <v>566</v>
      </c>
      <c r="E77" s="31" t="s">
        <v>567</v>
      </c>
      <c r="F77" s="31" t="s">
        <v>568</v>
      </c>
      <c r="G77" s="123" t="str">
        <f>HYPERLINK("[#]Administrative_Subdivisions!A1162:H1162","&lt;link&gt;")</f>
        <v>&lt;link&gt;</v>
      </c>
      <c r="H77" s="86" t="s">
        <v>569</v>
      </c>
      <c r="I77" s="64" t="str">
        <f>HYPERLINK("http://nsgreg.nga.mil/genc/view?v=204297&amp;end_month=3&amp;end_day=31&amp;end_year=2014","EGYPT")</f>
        <v>EGYPT</v>
      </c>
      <c r="J77" s="87" t="str">
        <f>HYPERLINK("http://api.nsgreg.nga.mil/geo-political/GENC/3/ed2/EGY","EGY")</f>
        <v>EGY</v>
      </c>
    </row>
    <row r="78" spans="1:10" ht="13.5" customHeight="1" x14ac:dyDescent="0.2">
      <c r="A78" s="77" t="s">
        <v>570</v>
      </c>
      <c r="B78" s="58" t="s">
        <v>571</v>
      </c>
      <c r="C78" s="59" t="s">
        <v>572</v>
      </c>
      <c r="D78" s="57" t="s">
        <v>573</v>
      </c>
      <c r="E78" s="58" t="s">
        <v>574</v>
      </c>
      <c r="F78" s="58" t="s">
        <v>575</v>
      </c>
      <c r="G78" s="126" t="str">
        <f>HYPERLINK("[#]Administrative_Subdivisions!A1191:H1191","&lt;link&gt;")</f>
        <v>&lt;link&gt;</v>
      </c>
      <c r="H78" s="88" t="s">
        <v>576</v>
      </c>
      <c r="I78" s="66" t="str">
        <f>HYPERLINK("http://nsgreg.nga.mil/genc/view?v=204298&amp;end_month=3&amp;end_day=31&amp;end_year=2014","EL SALVADOR")</f>
        <v>EL SALVADOR</v>
      </c>
      <c r="J78" s="89" t="str">
        <f>HYPERLINK("http://api.nsgreg.nga.mil/geo-political/GENC/3/ed2/SLV","SLV")</f>
        <v>SLV</v>
      </c>
    </row>
    <row r="79" spans="1:10" ht="13.5" customHeight="1" x14ac:dyDescent="0.2">
      <c r="A79" s="78" t="s">
        <v>577</v>
      </c>
      <c r="B79" s="68" t="s">
        <v>93</v>
      </c>
      <c r="C79" s="69" t="s">
        <v>93</v>
      </c>
      <c r="D79" s="51" t="s">
        <v>578</v>
      </c>
      <c r="E79" s="52" t="s">
        <v>579</v>
      </c>
      <c r="F79" s="52" t="s">
        <v>579</v>
      </c>
      <c r="G79" s="127"/>
      <c r="H79" s="90" t="s">
        <v>580</v>
      </c>
      <c r="I79" s="63" t="str">
        <f>HYPERLINK("http://nsgreg.nga.mil/genc/view?v=204299&amp;end_month=3&amp;end_day=31&amp;end_year=2014","ENTITY 1")</f>
        <v>ENTITY 1</v>
      </c>
      <c r="J79" s="91" t="str">
        <f>HYPERLINK("http://api.nsgreg.nga.mil/geo-political/GENC/3/ed2/XAZ","XAZ")</f>
        <v>XAZ</v>
      </c>
    </row>
    <row r="80" spans="1:10" ht="13.5" customHeight="1" x14ac:dyDescent="0.2">
      <c r="A80" s="76" t="s">
        <v>581</v>
      </c>
      <c r="B80" s="70" t="s">
        <v>93</v>
      </c>
      <c r="C80" s="55" t="s">
        <v>93</v>
      </c>
      <c r="D80" s="54" t="s">
        <v>582</v>
      </c>
      <c r="E80" s="31" t="s">
        <v>583</v>
      </c>
      <c r="F80" s="31" t="s">
        <v>583</v>
      </c>
      <c r="G80" s="122"/>
      <c r="H80" s="86" t="s">
        <v>584</v>
      </c>
      <c r="I80" s="64" t="str">
        <f>HYPERLINK("http://nsgreg.nga.mil/genc/view?v=204300&amp;end_month=3&amp;end_day=31&amp;end_year=2014","ENTITY 2")</f>
        <v>ENTITY 2</v>
      </c>
      <c r="J80" s="87" t="str">
        <f>HYPERLINK("http://api.nsgreg.nga.mil/geo-political/GENC/3/ed2/XCR","XCR")</f>
        <v>XCR</v>
      </c>
    </row>
    <row r="81" spans="1:10" ht="13.5" customHeight="1" x14ac:dyDescent="0.2">
      <c r="A81" s="76" t="s">
        <v>585</v>
      </c>
      <c r="B81" s="70" t="s">
        <v>93</v>
      </c>
      <c r="C81" s="55" t="s">
        <v>93</v>
      </c>
      <c r="D81" s="54" t="s">
        <v>586</v>
      </c>
      <c r="E81" s="31" t="s">
        <v>587</v>
      </c>
      <c r="F81" s="31" t="s">
        <v>587</v>
      </c>
      <c r="G81" s="122"/>
      <c r="H81" s="86" t="s">
        <v>588</v>
      </c>
      <c r="I81" s="64" t="str">
        <f>HYPERLINK("http://nsgreg.nga.mil/genc/view?v=204301&amp;end_month=3&amp;end_day=31&amp;end_year=2014","ENTITY 3")</f>
        <v>ENTITY 3</v>
      </c>
      <c r="J81" s="87" t="str">
        <f>HYPERLINK("http://api.nsgreg.nga.mil/geo-political/GENC/3/ed2/XCY","XCY")</f>
        <v>XCY</v>
      </c>
    </row>
    <row r="82" spans="1:10" ht="13.5" customHeight="1" x14ac:dyDescent="0.2">
      <c r="A82" s="76" t="s">
        <v>589</v>
      </c>
      <c r="B82" s="70" t="s">
        <v>93</v>
      </c>
      <c r="C82" s="55" t="s">
        <v>93</v>
      </c>
      <c r="D82" s="54" t="s">
        <v>590</v>
      </c>
      <c r="E82" s="31" t="s">
        <v>591</v>
      </c>
      <c r="F82" s="31" t="s">
        <v>591</v>
      </c>
      <c r="G82" s="122"/>
      <c r="H82" s="86" t="s">
        <v>592</v>
      </c>
      <c r="I82" s="64" t="str">
        <f>HYPERLINK("http://nsgreg.nga.mil/genc/view?v=204302&amp;end_month=3&amp;end_day=31&amp;end_year=2014","ENTITY 4")</f>
        <v>ENTITY 4</v>
      </c>
      <c r="J82" s="87" t="str">
        <f>HYPERLINK("http://api.nsgreg.nga.mil/geo-political/GENC/3/ed2/XKM","XKM")</f>
        <v>XKM</v>
      </c>
    </row>
    <row r="83" spans="1:10" ht="13.5" customHeight="1" x14ac:dyDescent="0.2">
      <c r="A83" s="77" t="s">
        <v>593</v>
      </c>
      <c r="B83" s="71" t="s">
        <v>93</v>
      </c>
      <c r="C83" s="67" t="s">
        <v>93</v>
      </c>
      <c r="D83" s="57" t="s">
        <v>594</v>
      </c>
      <c r="E83" s="58" t="s">
        <v>595</v>
      </c>
      <c r="F83" s="58" t="s">
        <v>595</v>
      </c>
      <c r="G83" s="124"/>
      <c r="H83" s="88" t="s">
        <v>596</v>
      </c>
      <c r="I83" s="66" t="str">
        <f>HYPERLINK("http://nsgreg.nga.mil/genc/view?v=204303&amp;end_month=3&amp;end_day=31&amp;end_year=2014","ENTITY 5")</f>
        <v>ENTITY 5</v>
      </c>
      <c r="J83" s="89" t="str">
        <f>HYPERLINK("http://api.nsgreg.nga.mil/geo-political/GENC/3/ed2/XKN","XKN")</f>
        <v>XKN</v>
      </c>
    </row>
    <row r="84" spans="1:10" ht="13.5" customHeight="1" x14ac:dyDescent="0.2">
      <c r="A84" s="78" t="s">
        <v>597</v>
      </c>
      <c r="B84" s="52" t="s">
        <v>598</v>
      </c>
      <c r="C84" s="69" t="s">
        <v>93</v>
      </c>
      <c r="D84" s="51" t="s">
        <v>599</v>
      </c>
      <c r="E84" s="52" t="s">
        <v>600</v>
      </c>
      <c r="F84" s="52" t="s">
        <v>600</v>
      </c>
      <c r="G84" s="127"/>
      <c r="H84" s="90" t="s">
        <v>601</v>
      </c>
      <c r="I84" s="63" t="str">
        <f>HYPERLINK("http://nsgreg.nga.mil/genc/view?v=204501&amp;end_month=3&amp;end_day=31&amp;end_year=2014","ENTITY 6")</f>
        <v>ENTITY 6</v>
      </c>
      <c r="J84" s="91" t="str">
        <f>HYPERLINK("http://api.nsgreg.nga.mil/geo-political/GENC/3/ed2/AX3","AX3")</f>
        <v>AX3</v>
      </c>
    </row>
    <row r="85" spans="1:10" ht="13.5" customHeight="1" x14ac:dyDescent="0.2">
      <c r="A85" s="76" t="s">
        <v>602</v>
      </c>
      <c r="B85" s="31" t="s">
        <v>603</v>
      </c>
      <c r="C85" s="56" t="s">
        <v>604</v>
      </c>
      <c r="D85" s="54" t="s">
        <v>605</v>
      </c>
      <c r="E85" s="31" t="s">
        <v>606</v>
      </c>
      <c r="F85" s="31" t="s">
        <v>607</v>
      </c>
      <c r="G85" s="123" t="str">
        <f>HYPERLINK("[#]Administrative_Subdivisions!A1205:H1205","&lt;link&gt;")</f>
        <v>&lt;link&gt;</v>
      </c>
      <c r="H85" s="86" t="s">
        <v>608</v>
      </c>
      <c r="I85" s="64" t="str">
        <f>HYPERLINK("http://nsgreg.nga.mil/genc/view?v=204304&amp;end_month=3&amp;end_day=31&amp;end_year=2014","EQUATORIAL GUINEA")</f>
        <v>EQUATORIAL GUINEA</v>
      </c>
      <c r="J85" s="87" t="str">
        <f>HYPERLINK("http://api.nsgreg.nga.mil/geo-political/GENC/3/ed2/GNQ","GNQ")</f>
        <v>GNQ</v>
      </c>
    </row>
    <row r="86" spans="1:10" ht="13.5" customHeight="1" x14ac:dyDescent="0.2">
      <c r="A86" s="76" t="s">
        <v>609</v>
      </c>
      <c r="B86" s="31" t="s">
        <v>610</v>
      </c>
      <c r="C86" s="56" t="s">
        <v>611</v>
      </c>
      <c r="D86" s="54" t="s">
        <v>612</v>
      </c>
      <c r="E86" s="31" t="s">
        <v>613</v>
      </c>
      <c r="F86" s="31" t="s">
        <v>614</v>
      </c>
      <c r="G86" s="123" t="str">
        <f>HYPERLINK("[#]Administrative_Subdivisions!A1214:H1214","&lt;link&gt;")</f>
        <v>&lt;link&gt;</v>
      </c>
      <c r="H86" s="86" t="s">
        <v>615</v>
      </c>
      <c r="I86" s="64" t="str">
        <f>HYPERLINK("http://nsgreg.nga.mil/genc/view?v=204305&amp;end_month=3&amp;end_day=31&amp;end_year=2014","ERITREA")</f>
        <v>ERITREA</v>
      </c>
      <c r="J86" s="87" t="str">
        <f>HYPERLINK("http://api.nsgreg.nga.mil/geo-political/GENC/3/ed2/ERI","ERI")</f>
        <v>ERI</v>
      </c>
    </row>
    <row r="87" spans="1:10" ht="13.5" customHeight="1" x14ac:dyDescent="0.2">
      <c r="A87" s="76" t="s">
        <v>616</v>
      </c>
      <c r="B87" s="31" t="s">
        <v>617</v>
      </c>
      <c r="C87" s="56" t="s">
        <v>618</v>
      </c>
      <c r="D87" s="54" t="s">
        <v>619</v>
      </c>
      <c r="E87" s="31" t="s">
        <v>620</v>
      </c>
      <c r="F87" s="31" t="s">
        <v>621</v>
      </c>
      <c r="G87" s="123" t="str">
        <f>HYPERLINK("[#]Administrative_Subdivisions!A1220:H1220","&lt;link&gt;")</f>
        <v>&lt;link&gt;</v>
      </c>
      <c r="H87" s="86" t="s">
        <v>622</v>
      </c>
      <c r="I87" s="64" t="str">
        <f>HYPERLINK("http://nsgreg.nga.mil/genc/view?v=204306&amp;end_month=3&amp;end_day=31&amp;end_year=2014","ESTONIA")</f>
        <v>ESTONIA</v>
      </c>
      <c r="J87" s="87" t="str">
        <f>HYPERLINK("http://api.nsgreg.nga.mil/geo-political/GENC/3/ed2/EST","EST")</f>
        <v>EST</v>
      </c>
    </row>
    <row r="88" spans="1:10" ht="13.5" customHeight="1" x14ac:dyDescent="0.2">
      <c r="A88" s="77" t="s">
        <v>623</v>
      </c>
      <c r="B88" s="58" t="s">
        <v>624</v>
      </c>
      <c r="C88" s="59" t="s">
        <v>625</v>
      </c>
      <c r="D88" s="57" t="s">
        <v>626</v>
      </c>
      <c r="E88" s="58" t="s">
        <v>627</v>
      </c>
      <c r="F88" s="58" t="s">
        <v>628</v>
      </c>
      <c r="G88" s="126" t="str">
        <f>HYPERLINK("[#]Administrative_Subdivisions!A1235:H1235","&lt;link&gt;")</f>
        <v>&lt;link&gt;</v>
      </c>
      <c r="H88" s="88" t="s">
        <v>629</v>
      </c>
      <c r="I88" s="66" t="str">
        <f>HYPERLINK("http://nsgreg.nga.mil/genc/view?v=204307&amp;end_month=3&amp;end_day=31&amp;end_year=2014","ETHIOPIA")</f>
        <v>ETHIOPIA</v>
      </c>
      <c r="J88" s="89" t="str">
        <f>HYPERLINK("http://api.nsgreg.nga.mil/geo-political/GENC/3/ed2/ETH","ETH")</f>
        <v>ETH</v>
      </c>
    </row>
    <row r="89" spans="1:10" ht="13.5" customHeight="1" x14ac:dyDescent="0.2">
      <c r="A89" s="78" t="s">
        <v>630</v>
      </c>
      <c r="B89" s="52" t="s">
        <v>631</v>
      </c>
      <c r="C89" s="69" t="s">
        <v>93</v>
      </c>
      <c r="D89" s="51" t="s">
        <v>632</v>
      </c>
      <c r="E89" s="52" t="s">
        <v>633</v>
      </c>
      <c r="F89" s="52" t="s">
        <v>633</v>
      </c>
      <c r="G89" s="127"/>
      <c r="H89" s="90" t="s">
        <v>634</v>
      </c>
      <c r="I89" s="63" t="str">
        <f>HYPERLINK("http://nsgreg.nga.mil/genc/view?v=204308&amp;end_month=3&amp;end_day=31&amp;end_year=2014","EUROPA ISLAND")</f>
        <v>EUROPA ISLAND</v>
      </c>
      <c r="J89" s="91" t="str">
        <f>HYPERLINK("http://api.nsgreg.nga.mil/geo-political/GENC/3/ed2/XEU","XEU")</f>
        <v>XEU</v>
      </c>
    </row>
    <row r="90" spans="1:10" ht="13.5" customHeight="1" x14ac:dyDescent="0.2">
      <c r="A90" s="76" t="s">
        <v>635</v>
      </c>
      <c r="B90" s="31" t="s">
        <v>636</v>
      </c>
      <c r="C90" s="56" t="s">
        <v>637</v>
      </c>
      <c r="D90" s="54" t="s">
        <v>638</v>
      </c>
      <c r="E90" s="31" t="s">
        <v>639</v>
      </c>
      <c r="F90" s="31" t="s">
        <v>639</v>
      </c>
      <c r="G90" s="122"/>
      <c r="H90" s="86" t="s">
        <v>640</v>
      </c>
      <c r="I90" s="64" t="str">
        <f>HYPERLINK("http://nsgreg.nga.mil/genc/view?v=204309&amp;end_month=3&amp;end_day=31&amp;end_year=2014","FALKLAND ISLANDS (ISLAS MALVINAS)")</f>
        <v>FALKLAND ISLANDS (ISLAS MALVINAS)</v>
      </c>
      <c r="J90" s="87" t="str">
        <f>HYPERLINK("http://api.nsgreg.nga.mil/geo-political/GENC/3/ed2/FLK","FLK")</f>
        <v>FLK</v>
      </c>
    </row>
    <row r="91" spans="1:10" ht="13.5" customHeight="1" x14ac:dyDescent="0.2">
      <c r="A91" s="76" t="s">
        <v>641</v>
      </c>
      <c r="B91" s="31" t="s">
        <v>642</v>
      </c>
      <c r="C91" s="56" t="s">
        <v>643</v>
      </c>
      <c r="D91" s="54" t="s">
        <v>644</v>
      </c>
      <c r="E91" s="31" t="s">
        <v>645</v>
      </c>
      <c r="F91" s="31" t="s">
        <v>645</v>
      </c>
      <c r="G91" s="122"/>
      <c r="H91" s="86" t="s">
        <v>646</v>
      </c>
      <c r="I91" s="64" t="str">
        <f>HYPERLINK("http://nsgreg.nga.mil/genc/view?v=204310&amp;end_month=3&amp;end_day=31&amp;end_year=2014","FAROE ISLANDS")</f>
        <v>FAROE ISLANDS</v>
      </c>
      <c r="J91" s="87" t="str">
        <f>HYPERLINK("http://api.nsgreg.nga.mil/geo-political/GENC/3/ed2/FRO","FRO")</f>
        <v>FRO</v>
      </c>
    </row>
    <row r="92" spans="1:10" ht="13.5" customHeight="1" x14ac:dyDescent="0.2">
      <c r="A92" s="76" t="s">
        <v>647</v>
      </c>
      <c r="B92" s="31" t="s">
        <v>648</v>
      </c>
      <c r="C92" s="56" t="s">
        <v>649</v>
      </c>
      <c r="D92" s="54" t="s">
        <v>650</v>
      </c>
      <c r="E92" s="31" t="s">
        <v>651</v>
      </c>
      <c r="F92" s="31" t="s">
        <v>652</v>
      </c>
      <c r="G92" s="123" t="str">
        <f>HYPERLINK("[#]Administrative_Subdivisions!A1246:H1246","&lt;link&gt;")</f>
        <v>&lt;link&gt;</v>
      </c>
      <c r="H92" s="86" t="s">
        <v>653</v>
      </c>
      <c r="I92" s="64" t="str">
        <f>HYPERLINK("http://nsgreg.nga.mil/genc/view?v=204311&amp;end_month=3&amp;end_day=31&amp;end_year=2014","FIJI")</f>
        <v>FIJI</v>
      </c>
      <c r="J92" s="87" t="str">
        <f>HYPERLINK("http://api.nsgreg.nga.mil/geo-political/GENC/3/ed2/FJI","FJI")</f>
        <v>FJI</v>
      </c>
    </row>
    <row r="93" spans="1:10" ht="13.5" customHeight="1" x14ac:dyDescent="0.2">
      <c r="A93" s="77" t="s">
        <v>654</v>
      </c>
      <c r="B93" s="58" t="s">
        <v>655</v>
      </c>
      <c r="C93" s="59" t="s">
        <v>656</v>
      </c>
      <c r="D93" s="57" t="s">
        <v>657</v>
      </c>
      <c r="E93" s="58" t="s">
        <v>658</v>
      </c>
      <c r="F93" s="58" t="s">
        <v>659</v>
      </c>
      <c r="G93" s="126" t="str">
        <f>HYPERLINK("[#]Administrative_Subdivisions!A1251:H1251","&lt;link&gt;")</f>
        <v>&lt;link&gt;</v>
      </c>
      <c r="H93" s="88" t="s">
        <v>660</v>
      </c>
      <c r="I93" s="66" t="str">
        <f>HYPERLINK("http://nsgreg.nga.mil/genc/view?v=204312&amp;end_month=3&amp;end_day=31&amp;end_year=2014","FINLAND")</f>
        <v>FINLAND</v>
      </c>
      <c r="J93" s="89" t="str">
        <f>HYPERLINK("http://api.nsgreg.nga.mil/geo-political/GENC/3/ed2/FIN","FIN")</f>
        <v>FIN</v>
      </c>
    </row>
    <row r="94" spans="1:10" ht="13.5" customHeight="1" x14ac:dyDescent="0.2">
      <c r="A94" s="78" t="s">
        <v>661</v>
      </c>
      <c r="B94" s="52" t="s">
        <v>662</v>
      </c>
      <c r="C94" s="53" t="s">
        <v>663</v>
      </c>
      <c r="D94" s="51" t="s">
        <v>664</v>
      </c>
      <c r="E94" s="52" t="s">
        <v>665</v>
      </c>
      <c r="F94" s="52" t="s">
        <v>666</v>
      </c>
      <c r="G94" s="125" t="str">
        <f>HYPERLINK("[#]Administrative_Subdivisions!A1270:H1270","&lt;link&gt;")</f>
        <v>&lt;link&gt;</v>
      </c>
      <c r="H94" s="90" t="s">
        <v>667</v>
      </c>
      <c r="I94" s="63" t="str">
        <f>HYPERLINK("http://nsgreg.nga.mil/genc/view?v=204313&amp;end_month=3&amp;end_day=31&amp;end_year=2014","FRANCE")</f>
        <v>FRANCE</v>
      </c>
      <c r="J94" s="91" t="str">
        <f>HYPERLINK("http://api.nsgreg.nga.mil/geo-political/GENC/3/ed2/FRA","FRA")</f>
        <v>FRA</v>
      </c>
    </row>
    <row r="95" spans="1:10" ht="13.5" customHeight="1" x14ac:dyDescent="0.2">
      <c r="A95" s="76" t="s">
        <v>668</v>
      </c>
      <c r="B95" s="31" t="s">
        <v>669</v>
      </c>
      <c r="C95" s="56" t="s">
        <v>670</v>
      </c>
      <c r="D95" s="54" t="s">
        <v>671</v>
      </c>
      <c r="E95" s="31" t="s">
        <v>672</v>
      </c>
      <c r="F95" s="31" t="s">
        <v>673</v>
      </c>
      <c r="G95" s="122"/>
      <c r="H95" s="86" t="s">
        <v>674</v>
      </c>
      <c r="I95" s="64" t="str">
        <f>HYPERLINK("http://nsgreg.nga.mil/genc/view?v=204314&amp;end_month=3&amp;end_day=31&amp;end_year=2014","FRENCH GUIANA")</f>
        <v>FRENCH GUIANA</v>
      </c>
      <c r="J95" s="87" t="str">
        <f>HYPERLINK("http://api.nsgreg.nga.mil/geo-political/GENC/3/ed2/GUF","GUF")</f>
        <v>GUF</v>
      </c>
    </row>
    <row r="96" spans="1:10" ht="13.5" customHeight="1" x14ac:dyDescent="0.2">
      <c r="A96" s="76" t="s">
        <v>675</v>
      </c>
      <c r="B96" s="31" t="s">
        <v>676</v>
      </c>
      <c r="C96" s="56" t="s">
        <v>677</v>
      </c>
      <c r="D96" s="54" t="s">
        <v>678</v>
      </c>
      <c r="E96" s="31" t="s">
        <v>679</v>
      </c>
      <c r="F96" s="31" t="s">
        <v>679</v>
      </c>
      <c r="G96" s="122"/>
      <c r="H96" s="86" t="s">
        <v>680</v>
      </c>
      <c r="I96" s="64" t="str">
        <f>HYPERLINK("http://nsgreg.nga.mil/genc/view?v=204315&amp;end_month=3&amp;end_day=31&amp;end_year=2014","FRENCH POLYNESIA")</f>
        <v>FRENCH POLYNESIA</v>
      </c>
      <c r="J96" s="87" t="str">
        <f>HYPERLINK("http://api.nsgreg.nga.mil/geo-political/GENC/3/ed2/PYF","PYF")</f>
        <v>PYF</v>
      </c>
    </row>
    <row r="97" spans="1:10" ht="13.5" customHeight="1" x14ac:dyDescent="0.2">
      <c r="A97" s="76" t="s">
        <v>681</v>
      </c>
      <c r="B97" s="31" t="s">
        <v>682</v>
      </c>
      <c r="C97" s="56" t="s">
        <v>683</v>
      </c>
      <c r="D97" s="54" t="s">
        <v>684</v>
      </c>
      <c r="E97" s="31" t="s">
        <v>685</v>
      </c>
      <c r="F97" s="31" t="s">
        <v>685</v>
      </c>
      <c r="G97" s="122"/>
      <c r="H97" s="86" t="s">
        <v>686</v>
      </c>
      <c r="I97" s="64" t="str">
        <f>HYPERLINK("http://nsgreg.nga.mil/genc/view?v=204316&amp;end_month=3&amp;end_day=31&amp;end_year=2014","FRENCH SOUTHERN AND ANTARCTIC LANDS")</f>
        <v>FRENCH SOUTHERN AND ANTARCTIC LANDS</v>
      </c>
      <c r="J97" s="87" t="str">
        <f>HYPERLINK("http://api.nsgreg.nga.mil/geo-political/GENC/3/ed2/ATF","ATF")</f>
        <v>ATF</v>
      </c>
    </row>
    <row r="98" spans="1:10" ht="13.5" customHeight="1" x14ac:dyDescent="0.2">
      <c r="A98" s="77" t="s">
        <v>687</v>
      </c>
      <c r="B98" s="58" t="s">
        <v>688</v>
      </c>
      <c r="C98" s="59" t="s">
        <v>689</v>
      </c>
      <c r="D98" s="57" t="s">
        <v>690</v>
      </c>
      <c r="E98" s="58" t="s">
        <v>691</v>
      </c>
      <c r="F98" s="58" t="s">
        <v>692</v>
      </c>
      <c r="G98" s="126" t="str">
        <f>HYPERLINK("[#]Administrative_Subdivisions!A1401:H1401","&lt;link&gt;")</f>
        <v>&lt;link&gt;</v>
      </c>
      <c r="H98" s="88" t="s">
        <v>693</v>
      </c>
      <c r="I98" s="66" t="str">
        <f>HYPERLINK("http://nsgreg.nga.mil/genc/view?v=204317&amp;end_month=3&amp;end_day=31&amp;end_year=2014","GABON")</f>
        <v>GABON</v>
      </c>
      <c r="J98" s="89" t="str">
        <f>HYPERLINK("http://api.nsgreg.nga.mil/geo-political/GENC/3/ed2/GAB","GAB")</f>
        <v>GAB</v>
      </c>
    </row>
    <row r="99" spans="1:10" ht="13.5" customHeight="1" x14ac:dyDescent="0.2">
      <c r="A99" s="78" t="s">
        <v>694</v>
      </c>
      <c r="B99" s="52" t="s">
        <v>695</v>
      </c>
      <c r="C99" s="53" t="s">
        <v>696</v>
      </c>
      <c r="D99" s="51" t="s">
        <v>697</v>
      </c>
      <c r="E99" s="52" t="s">
        <v>698</v>
      </c>
      <c r="F99" s="52" t="s">
        <v>699</v>
      </c>
      <c r="G99" s="125" t="str">
        <f>HYPERLINK("[#]Administrative_Subdivisions!A1410:H1410","&lt;link&gt;")</f>
        <v>&lt;link&gt;</v>
      </c>
      <c r="H99" s="90" t="s">
        <v>700</v>
      </c>
      <c r="I99" s="63" t="str">
        <f>HYPERLINK("http://nsgreg.nga.mil/genc/view?v=204318&amp;end_month=3&amp;end_day=31&amp;end_year=2014","GAMBIA, THE")</f>
        <v>GAMBIA, THE</v>
      </c>
      <c r="J99" s="91" t="str">
        <f>HYPERLINK("http://api.nsgreg.nga.mil/geo-political/GENC/3/ed2/GMB","GMB")</f>
        <v>GMB</v>
      </c>
    </row>
    <row r="100" spans="1:10" ht="13.5" customHeight="1" x14ac:dyDescent="0.2">
      <c r="A100" s="76" t="s">
        <v>701</v>
      </c>
      <c r="B100" s="31" t="s">
        <v>702</v>
      </c>
      <c r="C100" s="55" t="s">
        <v>93</v>
      </c>
      <c r="D100" s="54" t="s">
        <v>703</v>
      </c>
      <c r="E100" s="31" t="s">
        <v>704</v>
      </c>
      <c r="F100" s="31" t="s">
        <v>704</v>
      </c>
      <c r="G100" s="122"/>
      <c r="H100" s="86" t="s">
        <v>705</v>
      </c>
      <c r="I100" s="64" t="str">
        <f>HYPERLINK("http://nsgreg.nga.mil/genc/view?v=204319&amp;end_month=3&amp;end_day=31&amp;end_year=2014","GAZA STRIP")</f>
        <v>GAZA STRIP</v>
      </c>
      <c r="J100" s="87" t="str">
        <f>HYPERLINK("http://api.nsgreg.nga.mil/geo-political/GENC/3/ed2/XGZ","XGZ")</f>
        <v>XGZ</v>
      </c>
    </row>
    <row r="101" spans="1:10" ht="13.5" customHeight="1" x14ac:dyDescent="0.2">
      <c r="A101" s="76" t="s">
        <v>706</v>
      </c>
      <c r="B101" s="31" t="s">
        <v>707</v>
      </c>
      <c r="C101" s="56" t="s">
        <v>708</v>
      </c>
      <c r="D101" s="54" t="s">
        <v>709</v>
      </c>
      <c r="E101" s="31" t="s">
        <v>710</v>
      </c>
      <c r="F101" s="31" t="s">
        <v>710</v>
      </c>
      <c r="G101" s="123" t="str">
        <f>HYPERLINK("[#]Administrative_Subdivisions!A1416:H1416","&lt;link&gt;")</f>
        <v>&lt;link&gt;</v>
      </c>
      <c r="H101" s="92" t="s">
        <v>711</v>
      </c>
      <c r="I101" s="64" t="str">
        <f>HYPERLINK("http://nsgreg.nga.mil/genc/view?v=117389&amp;gencs=T&amp;end_month=3&amp;end_day=31&amp;end_year=2014","GEORGIA")</f>
        <v>GEORGIA</v>
      </c>
      <c r="J101" s="87" t="str">
        <f>HYPERLINK("http://api.nsgreg.nga.mil/geo-political/ISO3166-1/3/VII-1/GEO","GEO")</f>
        <v>GEO</v>
      </c>
    </row>
    <row r="102" spans="1:10" ht="13.5" customHeight="1" x14ac:dyDescent="0.2">
      <c r="A102" s="76" t="s">
        <v>712</v>
      </c>
      <c r="B102" s="31" t="s">
        <v>713</v>
      </c>
      <c r="C102" s="56" t="s">
        <v>714</v>
      </c>
      <c r="D102" s="54" t="s">
        <v>715</v>
      </c>
      <c r="E102" s="31" t="s">
        <v>716</v>
      </c>
      <c r="F102" s="31" t="s">
        <v>717</v>
      </c>
      <c r="G102" s="123" t="str">
        <f>HYPERLINK("[#]Administrative_Subdivisions!A1428:H1428","&lt;link&gt;")</f>
        <v>&lt;link&gt;</v>
      </c>
      <c r="H102" s="86" t="s">
        <v>718</v>
      </c>
      <c r="I102" s="64" t="str">
        <f>HYPERLINK("http://nsgreg.nga.mil/genc/view?v=204320&amp;end_month=3&amp;end_day=31&amp;end_year=2014","GERMANY")</f>
        <v>GERMANY</v>
      </c>
      <c r="J102" s="87" t="str">
        <f>HYPERLINK("http://api.nsgreg.nga.mil/geo-political/GENC/3/ed2/DEU","DEU")</f>
        <v>DEU</v>
      </c>
    </row>
    <row r="103" spans="1:10" ht="13.5" customHeight="1" x14ac:dyDescent="0.2">
      <c r="A103" s="77" t="s">
        <v>719</v>
      </c>
      <c r="B103" s="58" t="s">
        <v>720</v>
      </c>
      <c r="C103" s="59" t="s">
        <v>721</v>
      </c>
      <c r="D103" s="57" t="s">
        <v>722</v>
      </c>
      <c r="E103" s="58" t="s">
        <v>723</v>
      </c>
      <c r="F103" s="58" t="s">
        <v>724</v>
      </c>
      <c r="G103" s="126" t="str">
        <f>HYPERLINK("[#]Administrative_Subdivisions!A1444:H1444","&lt;link&gt;")</f>
        <v>&lt;link&gt;</v>
      </c>
      <c r="H103" s="88" t="s">
        <v>725</v>
      </c>
      <c r="I103" s="66" t="str">
        <f>HYPERLINK("http://nsgreg.nga.mil/genc/view?v=204321&amp;end_month=3&amp;end_day=31&amp;end_year=2014","GHANA")</f>
        <v>GHANA</v>
      </c>
      <c r="J103" s="89" t="str">
        <f>HYPERLINK("http://api.nsgreg.nga.mil/geo-political/GENC/3/ed2/GHA","GHA")</f>
        <v>GHA</v>
      </c>
    </row>
    <row r="104" spans="1:10" ht="13.5" customHeight="1" x14ac:dyDescent="0.2">
      <c r="A104" s="78" t="s">
        <v>726</v>
      </c>
      <c r="B104" s="52" t="s">
        <v>727</v>
      </c>
      <c r="C104" s="53" t="s">
        <v>728</v>
      </c>
      <c r="D104" s="51" t="s">
        <v>729</v>
      </c>
      <c r="E104" s="52" t="s">
        <v>730</v>
      </c>
      <c r="F104" s="52" t="s">
        <v>730</v>
      </c>
      <c r="G104" s="127"/>
      <c r="H104" s="93" t="s">
        <v>731</v>
      </c>
      <c r="I104" s="63" t="str">
        <f>HYPERLINK("http://nsgreg.nga.mil/genc/view?v=117392&amp;gencs=T&amp;end_month=3&amp;end_day=31&amp;end_year=2014","GIBRALTAR")</f>
        <v>GIBRALTAR</v>
      </c>
      <c r="J104" s="91" t="str">
        <f>HYPERLINK("http://api.nsgreg.nga.mil/geo-political/ISO3166-1/3/VII-1/GIB","GIB")</f>
        <v>GIB</v>
      </c>
    </row>
    <row r="105" spans="1:10" ht="13.5" customHeight="1" x14ac:dyDescent="0.2">
      <c r="A105" s="76" t="s">
        <v>732</v>
      </c>
      <c r="B105" s="31" t="s">
        <v>733</v>
      </c>
      <c r="C105" s="55" t="s">
        <v>93</v>
      </c>
      <c r="D105" s="54" t="s">
        <v>734</v>
      </c>
      <c r="E105" s="31" t="s">
        <v>735</v>
      </c>
      <c r="F105" s="31" t="s">
        <v>735</v>
      </c>
      <c r="G105" s="122"/>
      <c r="H105" s="86" t="s">
        <v>736</v>
      </c>
      <c r="I105" s="64" t="str">
        <f>HYPERLINK("http://nsgreg.nga.mil/genc/view?v=204322&amp;end_month=3&amp;end_day=31&amp;end_year=2014","GLORIOSO ISLANDS")</f>
        <v>GLORIOSO ISLANDS</v>
      </c>
      <c r="J105" s="87" t="str">
        <f>HYPERLINK("http://api.nsgreg.nga.mil/geo-political/GENC/3/ed2/XGL","XGL")</f>
        <v>XGL</v>
      </c>
    </row>
    <row r="106" spans="1:10" ht="13.5" customHeight="1" x14ac:dyDescent="0.2">
      <c r="A106" s="76" t="s">
        <v>737</v>
      </c>
      <c r="B106" s="31" t="s">
        <v>738</v>
      </c>
      <c r="C106" s="56" t="s">
        <v>739</v>
      </c>
      <c r="D106" s="54" t="s">
        <v>740</v>
      </c>
      <c r="E106" s="31" t="s">
        <v>741</v>
      </c>
      <c r="F106" s="31" t="s">
        <v>742</v>
      </c>
      <c r="G106" s="123" t="str">
        <f>HYPERLINK("[#]Administrative_Subdivisions!A1454:H1454","&lt;link&gt;")</f>
        <v>&lt;link&gt;</v>
      </c>
      <c r="H106" s="86" t="s">
        <v>743</v>
      </c>
      <c r="I106" s="64" t="str">
        <f>HYPERLINK("http://nsgreg.nga.mil/genc/view?v=204323&amp;end_month=3&amp;end_day=31&amp;end_year=2014","GREECE")</f>
        <v>GREECE</v>
      </c>
      <c r="J106" s="87" t="str">
        <f>HYPERLINK("http://api.nsgreg.nga.mil/geo-political/GENC/3/ed2/GRC","GRC")</f>
        <v>GRC</v>
      </c>
    </row>
    <row r="107" spans="1:10" ht="13.5" customHeight="1" x14ac:dyDescent="0.2">
      <c r="A107" s="76" t="s">
        <v>744</v>
      </c>
      <c r="B107" s="31" t="s">
        <v>745</v>
      </c>
      <c r="C107" s="56" t="s">
        <v>746</v>
      </c>
      <c r="D107" s="54" t="s">
        <v>747</v>
      </c>
      <c r="E107" s="31" t="s">
        <v>748</v>
      </c>
      <c r="F107" s="31" t="s">
        <v>748</v>
      </c>
      <c r="G107" s="123" t="str">
        <f>HYPERLINK("[#]Administrative_Subdivisions!A1519:H1519","&lt;link&gt;")</f>
        <v>&lt;link&gt;</v>
      </c>
      <c r="H107" s="86" t="s">
        <v>749</v>
      </c>
      <c r="I107" s="64" t="str">
        <f>HYPERLINK("http://nsgreg.nga.mil/genc/view?v=204497&amp;end_month=3&amp;end_day=31&amp;end_year=2014","GREENLAND")</f>
        <v>GREENLAND</v>
      </c>
      <c r="J107" s="87" t="str">
        <f>HYPERLINK("http://api.nsgreg.nga.mil/geo-political/GENC/3/ed2/GRL","GRL")</f>
        <v>GRL</v>
      </c>
    </row>
    <row r="108" spans="1:10" ht="13.5" customHeight="1" x14ac:dyDescent="0.2">
      <c r="A108" s="77" t="s">
        <v>750</v>
      </c>
      <c r="B108" s="58" t="s">
        <v>751</v>
      </c>
      <c r="C108" s="59" t="s">
        <v>752</v>
      </c>
      <c r="D108" s="57" t="s">
        <v>753</v>
      </c>
      <c r="E108" s="58" t="s">
        <v>754</v>
      </c>
      <c r="F108" s="58" t="s">
        <v>754</v>
      </c>
      <c r="G108" s="126" t="str">
        <f>HYPERLINK("[#]Administrative_Subdivisions!A1523:H1523","&lt;link&gt;")</f>
        <v>&lt;link&gt;</v>
      </c>
      <c r="H108" s="94" t="s">
        <v>755</v>
      </c>
      <c r="I108" s="66" t="str">
        <f>HYPERLINK("http://nsgreg.nga.mil/genc/view?v=117395&amp;gencs=T&amp;end_month=3&amp;end_day=31&amp;end_year=2014","GRENADA")</f>
        <v>GRENADA</v>
      </c>
      <c r="J108" s="89" t="str">
        <f>HYPERLINK("http://api.nsgreg.nga.mil/geo-political/ISO3166-1/3/VII-1/GRD","GRD")</f>
        <v>GRD</v>
      </c>
    </row>
    <row r="109" spans="1:10" ht="13.5" customHeight="1" x14ac:dyDescent="0.2">
      <c r="A109" s="78" t="s">
        <v>756</v>
      </c>
      <c r="B109" s="52" t="s">
        <v>757</v>
      </c>
      <c r="C109" s="53" t="s">
        <v>758</v>
      </c>
      <c r="D109" s="51" t="s">
        <v>759</v>
      </c>
      <c r="E109" s="52" t="s">
        <v>760</v>
      </c>
      <c r="F109" s="52" t="s">
        <v>761</v>
      </c>
      <c r="G109" s="127"/>
      <c r="H109" s="90" t="s">
        <v>762</v>
      </c>
      <c r="I109" s="63" t="str">
        <f>HYPERLINK("http://nsgreg.nga.mil/genc/view?v=204324&amp;end_month=3&amp;end_day=31&amp;end_year=2014","GUADELOUPE")</f>
        <v>GUADELOUPE</v>
      </c>
      <c r="J109" s="91" t="str">
        <f>HYPERLINK("http://api.nsgreg.nga.mil/geo-political/GENC/3/ed2/GLP","GLP")</f>
        <v>GLP</v>
      </c>
    </row>
    <row r="110" spans="1:10" ht="13.5" customHeight="1" x14ac:dyDescent="0.2">
      <c r="A110" s="76" t="s">
        <v>763</v>
      </c>
      <c r="B110" s="31" t="s">
        <v>764</v>
      </c>
      <c r="C110" s="56" t="s">
        <v>765</v>
      </c>
      <c r="D110" s="54" t="s">
        <v>766</v>
      </c>
      <c r="E110" s="31" t="s">
        <v>767</v>
      </c>
      <c r="F110" s="31" t="s">
        <v>768</v>
      </c>
      <c r="G110" s="122"/>
      <c r="H110" s="86" t="s">
        <v>769</v>
      </c>
      <c r="I110" s="64" t="str">
        <f>HYPERLINK("http://nsgreg.nga.mil/genc/view?v=204325&amp;end_month=3&amp;end_day=31&amp;end_year=2014","GUAM")</f>
        <v>GUAM</v>
      </c>
      <c r="J110" s="87" t="str">
        <f>HYPERLINK("http://api.nsgreg.nga.mil/geo-political/GENC/3/ed2/GUM","GUM")</f>
        <v>GUM</v>
      </c>
    </row>
    <row r="111" spans="1:10" ht="13.5" customHeight="1" x14ac:dyDescent="0.2">
      <c r="A111" s="76" t="s">
        <v>770</v>
      </c>
      <c r="B111" s="31" t="s">
        <v>771</v>
      </c>
      <c r="C111" s="55" t="s">
        <v>93</v>
      </c>
      <c r="D111" s="54" t="s">
        <v>772</v>
      </c>
      <c r="E111" s="31" t="s">
        <v>773</v>
      </c>
      <c r="F111" s="31" t="s">
        <v>773</v>
      </c>
      <c r="G111" s="122"/>
      <c r="H111" s="86" t="s">
        <v>774</v>
      </c>
      <c r="I111" s="64" t="str">
        <f>HYPERLINK("http://nsgreg.nga.mil/genc/view?v=204326&amp;end_month=3&amp;end_day=31&amp;end_year=2014","GUANTANAMO BAY NAVAL BASE")</f>
        <v>GUANTANAMO BAY NAVAL BASE</v>
      </c>
      <c r="J111" s="87" t="str">
        <f>HYPERLINK("http://api.nsgreg.nga.mil/geo-political/GENC/3/ed2/AX2","AX2")</f>
        <v>AX2</v>
      </c>
    </row>
    <row r="112" spans="1:10" ht="13.5" customHeight="1" x14ac:dyDescent="0.2">
      <c r="A112" s="76" t="s">
        <v>775</v>
      </c>
      <c r="B112" s="31" t="s">
        <v>776</v>
      </c>
      <c r="C112" s="56" t="s">
        <v>777</v>
      </c>
      <c r="D112" s="54" t="s">
        <v>778</v>
      </c>
      <c r="E112" s="31" t="s">
        <v>779</v>
      </c>
      <c r="F112" s="31" t="s">
        <v>780</v>
      </c>
      <c r="G112" s="123" t="str">
        <f>HYPERLINK("[#]Administrative_Subdivisions!A1530:H1530","&lt;link&gt;")</f>
        <v>&lt;link&gt;</v>
      </c>
      <c r="H112" s="86" t="s">
        <v>781</v>
      </c>
      <c r="I112" s="64" t="str">
        <f>HYPERLINK("http://nsgreg.nga.mil/genc/view?v=204327&amp;end_month=3&amp;end_day=31&amp;end_year=2014","GUATEMALA")</f>
        <v>GUATEMALA</v>
      </c>
      <c r="J112" s="87" t="str">
        <f>HYPERLINK("http://api.nsgreg.nga.mil/geo-political/GENC/3/ed2/GTM","GTM")</f>
        <v>GTM</v>
      </c>
    </row>
    <row r="113" spans="1:10" ht="13.5" customHeight="1" x14ac:dyDescent="0.2">
      <c r="A113" s="77" t="s">
        <v>782</v>
      </c>
      <c r="B113" s="58" t="s">
        <v>783</v>
      </c>
      <c r="C113" s="59" t="s">
        <v>784</v>
      </c>
      <c r="D113" s="57" t="s">
        <v>785</v>
      </c>
      <c r="E113" s="58" t="s">
        <v>786</v>
      </c>
      <c r="F113" s="58" t="s">
        <v>787</v>
      </c>
      <c r="G113" s="124"/>
      <c r="H113" s="88" t="s">
        <v>788</v>
      </c>
      <c r="I113" s="66" t="str">
        <f>HYPERLINK("http://nsgreg.nga.mil/genc/view?v=204328&amp;end_month=3&amp;end_day=31&amp;end_year=2014","GUERNSEY")</f>
        <v>GUERNSEY</v>
      </c>
      <c r="J113" s="89" t="str">
        <f>HYPERLINK("http://api.nsgreg.nga.mil/geo-political/GENC/3/ed2/GGY","GGY")</f>
        <v>GGY</v>
      </c>
    </row>
    <row r="114" spans="1:10" ht="13.5" customHeight="1" x14ac:dyDescent="0.2">
      <c r="A114" s="78" t="s">
        <v>789</v>
      </c>
      <c r="B114" s="52" t="s">
        <v>790</v>
      </c>
      <c r="C114" s="53" t="s">
        <v>791</v>
      </c>
      <c r="D114" s="51" t="s">
        <v>792</v>
      </c>
      <c r="E114" s="52" t="s">
        <v>793</v>
      </c>
      <c r="F114" s="52" t="s">
        <v>794</v>
      </c>
      <c r="G114" s="125" t="str">
        <f>HYPERLINK("[#]Administrative_Subdivisions!A1552:H1552","&lt;link&gt;")</f>
        <v>&lt;link&gt;</v>
      </c>
      <c r="H114" s="90" t="s">
        <v>795</v>
      </c>
      <c r="I114" s="63" t="str">
        <f>HYPERLINK("http://nsgreg.nga.mil/genc/view?v=204329&amp;end_month=3&amp;end_day=31&amp;end_year=2014","GUINEA")</f>
        <v>GUINEA</v>
      </c>
      <c r="J114" s="91" t="str">
        <f>HYPERLINK("http://api.nsgreg.nga.mil/geo-political/GENC/3/ed2/GIN","GIN")</f>
        <v>GIN</v>
      </c>
    </row>
    <row r="115" spans="1:10" ht="13.5" customHeight="1" x14ac:dyDescent="0.2">
      <c r="A115" s="76" t="s">
        <v>796</v>
      </c>
      <c r="B115" s="31" t="s">
        <v>797</v>
      </c>
      <c r="C115" s="56" t="s">
        <v>798</v>
      </c>
      <c r="D115" s="54" t="s">
        <v>799</v>
      </c>
      <c r="E115" s="31" t="s">
        <v>800</v>
      </c>
      <c r="F115" s="31" t="s">
        <v>801</v>
      </c>
      <c r="G115" s="123" t="str">
        <f>HYPERLINK("[#]Administrative_Subdivisions!A1593:H1593","&lt;link&gt;")</f>
        <v>&lt;link&gt;</v>
      </c>
      <c r="H115" s="86" t="s">
        <v>802</v>
      </c>
      <c r="I115" s="64" t="str">
        <f>HYPERLINK("http://nsgreg.nga.mil/genc/view?v=204330&amp;end_month=3&amp;end_day=31&amp;end_year=2014","GUINEA-BISSAU")</f>
        <v>GUINEA-BISSAU</v>
      </c>
      <c r="J115" s="87" t="str">
        <f>HYPERLINK("http://api.nsgreg.nga.mil/geo-political/GENC/3/ed2/GNB","GNB")</f>
        <v>GNB</v>
      </c>
    </row>
    <row r="116" spans="1:10" ht="13.5" customHeight="1" x14ac:dyDescent="0.2">
      <c r="A116" s="76" t="s">
        <v>803</v>
      </c>
      <c r="B116" s="31" t="s">
        <v>804</v>
      </c>
      <c r="C116" s="56" t="s">
        <v>805</v>
      </c>
      <c r="D116" s="54" t="s">
        <v>806</v>
      </c>
      <c r="E116" s="31" t="s">
        <v>807</v>
      </c>
      <c r="F116" s="31" t="s">
        <v>808</v>
      </c>
      <c r="G116" s="123" t="str">
        <f>HYPERLINK("[#]Administrative_Subdivisions!A1605:H1605","&lt;link&gt;")</f>
        <v>&lt;link&gt;</v>
      </c>
      <c r="H116" s="86" t="s">
        <v>809</v>
      </c>
      <c r="I116" s="64" t="str">
        <f>HYPERLINK("http://nsgreg.nga.mil/genc/view?v=204331&amp;end_month=3&amp;end_day=31&amp;end_year=2014","GUYANA")</f>
        <v>GUYANA</v>
      </c>
      <c r="J116" s="87" t="str">
        <f>HYPERLINK("http://api.nsgreg.nga.mil/geo-political/GENC/3/ed2/GUY","GUY")</f>
        <v>GUY</v>
      </c>
    </row>
    <row r="117" spans="1:10" ht="13.5" customHeight="1" x14ac:dyDescent="0.2">
      <c r="A117" s="76" t="s">
        <v>810</v>
      </c>
      <c r="B117" s="31" t="s">
        <v>811</v>
      </c>
      <c r="C117" s="56" t="s">
        <v>812</v>
      </c>
      <c r="D117" s="54" t="s">
        <v>813</v>
      </c>
      <c r="E117" s="31" t="s">
        <v>814</v>
      </c>
      <c r="F117" s="31" t="s">
        <v>815</v>
      </c>
      <c r="G117" s="123" t="str">
        <f>HYPERLINK("[#]Administrative_Subdivisions!A1615:H1615","&lt;link&gt;")</f>
        <v>&lt;link&gt;</v>
      </c>
      <c r="H117" s="86" t="s">
        <v>816</v>
      </c>
      <c r="I117" s="64" t="str">
        <f>HYPERLINK("http://nsgreg.nga.mil/genc/view?v=204332&amp;end_month=3&amp;end_day=31&amp;end_year=2014","HAITI")</f>
        <v>HAITI</v>
      </c>
      <c r="J117" s="87" t="str">
        <f>HYPERLINK("http://api.nsgreg.nga.mil/geo-political/GENC/3/ed2/HTI","HTI")</f>
        <v>HTI</v>
      </c>
    </row>
    <row r="118" spans="1:10" ht="13.5" customHeight="1" x14ac:dyDescent="0.2">
      <c r="A118" s="77" t="s">
        <v>817</v>
      </c>
      <c r="B118" s="58" t="s">
        <v>818</v>
      </c>
      <c r="C118" s="59" t="s">
        <v>819</v>
      </c>
      <c r="D118" s="57" t="s">
        <v>820</v>
      </c>
      <c r="E118" s="58" t="s">
        <v>821</v>
      </c>
      <c r="F118" s="58" t="s">
        <v>822</v>
      </c>
      <c r="G118" s="124"/>
      <c r="H118" s="88" t="s">
        <v>823</v>
      </c>
      <c r="I118" s="66" t="str">
        <f>HYPERLINK("http://nsgreg.nga.mil/genc/view?v=204333&amp;end_month=3&amp;end_day=31&amp;end_year=2014","HEARD ISLAND AND MCDONALD ISLANDS")</f>
        <v>HEARD ISLAND AND MCDONALD ISLANDS</v>
      </c>
      <c r="J118" s="89" t="str">
        <f>HYPERLINK("http://api.nsgreg.nga.mil/geo-political/GENC/3/ed2/HMD","HMD")</f>
        <v>HMD</v>
      </c>
    </row>
    <row r="119" spans="1:10" ht="13.5" customHeight="1" x14ac:dyDescent="0.2">
      <c r="A119" s="78" t="s">
        <v>824</v>
      </c>
      <c r="B119" s="52" t="s">
        <v>825</v>
      </c>
      <c r="C119" s="53" t="s">
        <v>826</v>
      </c>
      <c r="D119" s="51" t="s">
        <v>827</v>
      </c>
      <c r="E119" s="52" t="s">
        <v>828</v>
      </c>
      <c r="F119" s="52" t="s">
        <v>829</v>
      </c>
      <c r="G119" s="125" t="str">
        <f>HYPERLINK("[#]Administrative_Subdivisions!A1625:H1625","&lt;link&gt;")</f>
        <v>&lt;link&gt;</v>
      </c>
      <c r="H119" s="90" t="s">
        <v>830</v>
      </c>
      <c r="I119" s="63" t="str">
        <f>HYPERLINK("http://nsgreg.nga.mil/genc/view?v=204334&amp;end_month=3&amp;end_day=31&amp;end_year=2014","HONDURAS")</f>
        <v>HONDURAS</v>
      </c>
      <c r="J119" s="91" t="str">
        <f>HYPERLINK("http://api.nsgreg.nga.mil/geo-political/GENC/3/ed2/HND","HND")</f>
        <v>HND</v>
      </c>
    </row>
    <row r="120" spans="1:10" ht="13.5" customHeight="1" x14ac:dyDescent="0.2">
      <c r="A120" s="76" t="s">
        <v>831</v>
      </c>
      <c r="B120" s="31" t="s">
        <v>832</v>
      </c>
      <c r="C120" s="56" t="s">
        <v>833</v>
      </c>
      <c r="D120" s="54" t="s">
        <v>834</v>
      </c>
      <c r="E120" s="31" t="s">
        <v>835</v>
      </c>
      <c r="F120" s="31" t="s">
        <v>836</v>
      </c>
      <c r="G120" s="122"/>
      <c r="H120" s="86" t="s">
        <v>837</v>
      </c>
      <c r="I120" s="64" t="str">
        <f>HYPERLINK("http://nsgreg.nga.mil/genc/view?v=204335&amp;end_month=3&amp;end_day=31&amp;end_year=2014","HONG KONG")</f>
        <v>HONG KONG</v>
      </c>
      <c r="J120" s="87" t="str">
        <f>HYPERLINK("http://api.nsgreg.nga.mil/geo-political/GENC/3/ed2/HKG","HKG")</f>
        <v>HKG</v>
      </c>
    </row>
    <row r="121" spans="1:10" ht="13.5" customHeight="1" x14ac:dyDescent="0.2">
      <c r="A121" s="76" t="s">
        <v>838</v>
      </c>
      <c r="B121" s="31" t="s">
        <v>839</v>
      </c>
      <c r="C121" s="55" t="s">
        <v>93</v>
      </c>
      <c r="D121" s="54" t="s">
        <v>840</v>
      </c>
      <c r="E121" s="31" t="s">
        <v>841</v>
      </c>
      <c r="F121" s="31" t="s">
        <v>841</v>
      </c>
      <c r="G121" s="122"/>
      <c r="H121" s="86" t="s">
        <v>842</v>
      </c>
      <c r="I121" s="64" t="str">
        <f>HYPERLINK("http://nsgreg.nga.mil/genc/view?v=204336&amp;end_month=3&amp;end_day=31&amp;end_year=2014","HOWLAND ISLAND")</f>
        <v>HOWLAND ISLAND</v>
      </c>
      <c r="J121" s="87" t="str">
        <f>HYPERLINK("http://api.nsgreg.nga.mil/geo-political/GENC/3/ed2/XHO","XHO")</f>
        <v>XHO</v>
      </c>
    </row>
    <row r="122" spans="1:10" ht="13.5" customHeight="1" x14ac:dyDescent="0.2">
      <c r="A122" s="76" t="s">
        <v>843</v>
      </c>
      <c r="B122" s="31" t="s">
        <v>844</v>
      </c>
      <c r="C122" s="56" t="s">
        <v>845</v>
      </c>
      <c r="D122" s="54" t="s">
        <v>846</v>
      </c>
      <c r="E122" s="31" t="s">
        <v>847</v>
      </c>
      <c r="F122" s="31" t="s">
        <v>847</v>
      </c>
      <c r="G122" s="123" t="str">
        <f>HYPERLINK("[#]Administrative_Subdivisions!A1643:H1643","&lt;link&gt;")</f>
        <v>&lt;link&gt;</v>
      </c>
      <c r="H122" s="92" t="s">
        <v>848</v>
      </c>
      <c r="I122" s="64" t="str">
        <f>HYPERLINK("http://nsgreg.nga.mil/genc/view?v=117408&amp;gencs=T&amp;end_month=3&amp;end_day=31&amp;end_year=2014","HUNGARY")</f>
        <v>HUNGARY</v>
      </c>
      <c r="J122" s="87" t="str">
        <f>HYPERLINK("http://api.nsgreg.nga.mil/geo-political/ISO3166-1/3/VII-1/HUN","HUN")</f>
        <v>HUN</v>
      </c>
    </row>
    <row r="123" spans="1:10" ht="13.5" customHeight="1" x14ac:dyDescent="0.2">
      <c r="A123" s="77" t="s">
        <v>849</v>
      </c>
      <c r="B123" s="58" t="s">
        <v>850</v>
      </c>
      <c r="C123" s="59" t="s">
        <v>851</v>
      </c>
      <c r="D123" s="57" t="s">
        <v>852</v>
      </c>
      <c r="E123" s="58" t="s">
        <v>853</v>
      </c>
      <c r="F123" s="58" t="s">
        <v>854</v>
      </c>
      <c r="G123" s="126" t="str">
        <f>HYPERLINK("[#]Administrative_Subdivisions!A1686:H1686","&lt;link&gt;")</f>
        <v>&lt;link&gt;</v>
      </c>
      <c r="H123" s="88" t="s">
        <v>855</v>
      </c>
      <c r="I123" s="66" t="str">
        <f>HYPERLINK("http://nsgreg.nga.mil/genc/view?v=204337&amp;end_month=3&amp;end_day=31&amp;end_year=2014","ICELAND")</f>
        <v>ICELAND</v>
      </c>
      <c r="J123" s="89" t="str">
        <f>HYPERLINK("http://api.nsgreg.nga.mil/geo-political/GENC/3/ed2/ISL","ISL")</f>
        <v>ISL</v>
      </c>
    </row>
    <row r="124" spans="1:10" ht="13.5" customHeight="1" x14ac:dyDescent="0.2">
      <c r="A124" s="78" t="s">
        <v>856</v>
      </c>
      <c r="B124" s="52" t="s">
        <v>857</v>
      </c>
      <c r="C124" s="53" t="s">
        <v>858</v>
      </c>
      <c r="D124" s="51" t="s">
        <v>859</v>
      </c>
      <c r="E124" s="52" t="s">
        <v>860</v>
      </c>
      <c r="F124" s="52" t="s">
        <v>861</v>
      </c>
      <c r="G124" s="125" t="str">
        <f>HYPERLINK("[#]Administrative_Subdivisions!A1695:H1695","&lt;link&gt;")</f>
        <v>&lt;link&gt;</v>
      </c>
      <c r="H124" s="90" t="s">
        <v>862</v>
      </c>
      <c r="I124" s="63" t="str">
        <f>HYPERLINK("http://nsgreg.nga.mil/genc/view?v=204338&amp;end_month=3&amp;end_day=31&amp;end_year=2014","INDIA")</f>
        <v>INDIA</v>
      </c>
      <c r="J124" s="91" t="str">
        <f>HYPERLINK("http://api.nsgreg.nga.mil/geo-political/GENC/3/ed2/IND","IND")</f>
        <v>IND</v>
      </c>
    </row>
    <row r="125" spans="1:10" ht="13.5" customHeight="1" x14ac:dyDescent="0.2">
      <c r="A125" s="76" t="s">
        <v>863</v>
      </c>
      <c r="B125" s="31" t="s">
        <v>864</v>
      </c>
      <c r="C125" s="56" t="s">
        <v>865</v>
      </c>
      <c r="D125" s="54" t="s">
        <v>866</v>
      </c>
      <c r="E125" s="31" t="s">
        <v>867</v>
      </c>
      <c r="F125" s="31" t="s">
        <v>868</v>
      </c>
      <c r="G125" s="123" t="str">
        <f>HYPERLINK("[#]Administrative_Subdivisions!A1730:H1730","&lt;link&gt;")</f>
        <v>&lt;link&gt;</v>
      </c>
      <c r="H125" s="86" t="s">
        <v>869</v>
      </c>
      <c r="I125" s="64" t="str">
        <f>HYPERLINK("http://nsgreg.nga.mil/genc/view?v=204339&amp;end_month=3&amp;end_day=31&amp;end_year=2014","INDONESIA")</f>
        <v>INDONESIA</v>
      </c>
      <c r="J125" s="87" t="str">
        <f>HYPERLINK("http://api.nsgreg.nga.mil/geo-political/GENC/3/ed2/IDN","IDN")</f>
        <v>IDN</v>
      </c>
    </row>
    <row r="126" spans="1:10" ht="13.5" customHeight="1" x14ac:dyDescent="0.2">
      <c r="A126" s="76" t="s">
        <v>870</v>
      </c>
      <c r="B126" s="31" t="s">
        <v>871</v>
      </c>
      <c r="C126" s="56" t="s">
        <v>872</v>
      </c>
      <c r="D126" s="54" t="s">
        <v>873</v>
      </c>
      <c r="E126" s="31" t="s">
        <v>874</v>
      </c>
      <c r="F126" s="31" t="s">
        <v>875</v>
      </c>
      <c r="G126" s="123" t="str">
        <f>HYPERLINK("[#]Administrative_Subdivisions!A1771:H1771","&lt;link&gt;")</f>
        <v>&lt;link&gt;</v>
      </c>
      <c r="H126" s="86" t="s">
        <v>876</v>
      </c>
      <c r="I126" s="64" t="str">
        <f>HYPERLINK("http://nsgreg.nga.mil/genc/view?v=204340&amp;end_month=3&amp;end_day=31&amp;end_year=2014","IRAN")</f>
        <v>IRAN</v>
      </c>
      <c r="J126" s="87" t="str">
        <f>HYPERLINK("http://api.nsgreg.nga.mil/geo-political/GENC/3/ed2/IRN","IRN")</f>
        <v>IRN</v>
      </c>
    </row>
    <row r="127" spans="1:10" ht="13.5" customHeight="1" x14ac:dyDescent="0.2">
      <c r="A127" s="76" t="s">
        <v>877</v>
      </c>
      <c r="B127" s="31" t="s">
        <v>878</v>
      </c>
      <c r="C127" s="56" t="s">
        <v>879</v>
      </c>
      <c r="D127" s="54" t="s">
        <v>880</v>
      </c>
      <c r="E127" s="31" t="s">
        <v>881</v>
      </c>
      <c r="F127" s="31" t="s">
        <v>882</v>
      </c>
      <c r="G127" s="123" t="str">
        <f>HYPERLINK("[#]Administrative_Subdivisions!A1802:H1802","&lt;link&gt;")</f>
        <v>&lt;link&gt;</v>
      </c>
      <c r="H127" s="86" t="s">
        <v>883</v>
      </c>
      <c r="I127" s="64" t="str">
        <f>HYPERLINK("http://nsgreg.nga.mil/genc/view?v=204341&amp;end_month=3&amp;end_day=31&amp;end_year=2014","IRAQ")</f>
        <v>IRAQ</v>
      </c>
      <c r="J127" s="87" t="str">
        <f>HYPERLINK("http://api.nsgreg.nga.mil/geo-political/GENC/3/ed2/IRQ","IRQ")</f>
        <v>IRQ</v>
      </c>
    </row>
    <row r="128" spans="1:10" ht="13.5" customHeight="1" x14ac:dyDescent="0.2">
      <c r="A128" s="77" t="s">
        <v>884</v>
      </c>
      <c r="B128" s="58" t="s">
        <v>885</v>
      </c>
      <c r="C128" s="59" t="s">
        <v>886</v>
      </c>
      <c r="D128" s="57" t="s">
        <v>887</v>
      </c>
      <c r="E128" s="58" t="s">
        <v>888</v>
      </c>
      <c r="F128" s="58" t="s">
        <v>888</v>
      </c>
      <c r="G128" s="126" t="str">
        <f>HYPERLINK("[#]Administrative_Subdivisions!A1820:H1820","&lt;link&gt;")</f>
        <v>&lt;link&gt;</v>
      </c>
      <c r="H128" s="94" t="s">
        <v>889</v>
      </c>
      <c r="I128" s="66" t="str">
        <f>HYPERLINK("http://nsgreg.nga.mil/genc/view?v=117414&amp;gencs=T&amp;end_month=3&amp;end_day=31&amp;end_year=2014","IRELAND")</f>
        <v>IRELAND</v>
      </c>
      <c r="J128" s="89" t="str">
        <f>HYPERLINK("http://api.nsgreg.nga.mil/geo-political/ISO3166-1/3/VII-1/IRL","IRL")</f>
        <v>IRL</v>
      </c>
    </row>
    <row r="129" spans="1:10" ht="13.5" customHeight="1" x14ac:dyDescent="0.2">
      <c r="A129" s="78" t="s">
        <v>890</v>
      </c>
      <c r="B129" s="52" t="s">
        <v>891</v>
      </c>
      <c r="C129" s="53" t="s">
        <v>892</v>
      </c>
      <c r="D129" s="51" t="s">
        <v>893</v>
      </c>
      <c r="E129" s="52" t="s">
        <v>894</v>
      </c>
      <c r="F129" s="52" t="s">
        <v>894</v>
      </c>
      <c r="G129" s="127"/>
      <c r="H129" s="93" t="s">
        <v>895</v>
      </c>
      <c r="I129" s="63" t="str">
        <f>HYPERLINK("http://nsgreg.nga.mil/genc/view?v=117415&amp;gencs=T&amp;end_month=3&amp;end_day=31&amp;end_year=2014","ISLE OF MAN")</f>
        <v>ISLE OF MAN</v>
      </c>
      <c r="J129" s="91" t="str">
        <f>HYPERLINK("http://api.nsgreg.nga.mil/geo-political/ISO3166-1/3/VII-1/IMN","IMN")</f>
        <v>IMN</v>
      </c>
    </row>
    <row r="130" spans="1:10" ht="13.5" customHeight="1" x14ac:dyDescent="0.2">
      <c r="A130" s="76" t="s">
        <v>896</v>
      </c>
      <c r="B130" s="31" t="s">
        <v>897</v>
      </c>
      <c r="C130" s="56" t="s">
        <v>898</v>
      </c>
      <c r="D130" s="54" t="s">
        <v>899</v>
      </c>
      <c r="E130" s="31" t="s">
        <v>900</v>
      </c>
      <c r="F130" s="31" t="s">
        <v>901</v>
      </c>
      <c r="G130" s="123" t="str">
        <f>HYPERLINK("[#]Administrative_Subdivisions!A1860:H1860","&lt;link&gt;")</f>
        <v>&lt;link&gt;</v>
      </c>
      <c r="H130" s="86" t="s">
        <v>902</v>
      </c>
      <c r="I130" s="64" t="str">
        <f>HYPERLINK("http://nsgreg.nga.mil/genc/view?v=204342&amp;end_month=3&amp;end_day=31&amp;end_year=2014","ISRAEL")</f>
        <v>ISRAEL</v>
      </c>
      <c r="J130" s="87" t="str">
        <f>HYPERLINK("http://api.nsgreg.nga.mil/geo-political/GENC/3/ed2/ISR","ISR")</f>
        <v>ISR</v>
      </c>
    </row>
    <row r="131" spans="1:10" ht="13.5" customHeight="1" x14ac:dyDescent="0.2">
      <c r="A131" s="76" t="s">
        <v>903</v>
      </c>
      <c r="B131" s="31" t="s">
        <v>904</v>
      </c>
      <c r="C131" s="56" t="s">
        <v>905</v>
      </c>
      <c r="D131" s="54" t="s">
        <v>906</v>
      </c>
      <c r="E131" s="31" t="s">
        <v>907</v>
      </c>
      <c r="F131" s="31" t="s">
        <v>908</v>
      </c>
      <c r="G131" s="123" t="str">
        <f>HYPERLINK("[#]Administrative_Subdivisions!A1866:H1866","&lt;link&gt;")</f>
        <v>&lt;link&gt;</v>
      </c>
      <c r="H131" s="86" t="s">
        <v>909</v>
      </c>
      <c r="I131" s="64" t="str">
        <f>HYPERLINK("http://nsgreg.nga.mil/genc/view?v=204343&amp;end_month=3&amp;end_day=31&amp;end_year=2014","ITALY")</f>
        <v>ITALY</v>
      </c>
      <c r="J131" s="87" t="str">
        <f>HYPERLINK("http://api.nsgreg.nga.mil/geo-political/GENC/3/ed2/ITA","ITA")</f>
        <v>ITA</v>
      </c>
    </row>
    <row r="132" spans="1:10" ht="13.5" customHeight="1" x14ac:dyDescent="0.2">
      <c r="A132" s="76" t="s">
        <v>910</v>
      </c>
      <c r="B132" s="31" t="s">
        <v>911</v>
      </c>
      <c r="C132" s="56" t="s">
        <v>912</v>
      </c>
      <c r="D132" s="54" t="s">
        <v>913</v>
      </c>
      <c r="E132" s="31" t="s">
        <v>914</v>
      </c>
      <c r="F132" s="31" t="s">
        <v>914</v>
      </c>
      <c r="G132" s="123" t="str">
        <f>HYPERLINK("[#]Administrative_Subdivisions!A1996:H1996","&lt;link&gt;")</f>
        <v>&lt;link&gt;</v>
      </c>
      <c r="H132" s="92" t="s">
        <v>915</v>
      </c>
      <c r="I132" s="64" t="str">
        <f>HYPERLINK("http://nsgreg.nga.mil/genc/view?v=117418&amp;gencs=T&amp;end_month=3&amp;end_day=31&amp;end_year=2014","JAMAICA")</f>
        <v>JAMAICA</v>
      </c>
      <c r="J132" s="87" t="str">
        <f>HYPERLINK("http://api.nsgreg.nga.mil/geo-political/ISO3166-1/3/VII-1/JAM","JAM")</f>
        <v>JAM</v>
      </c>
    </row>
    <row r="133" spans="1:10" ht="13.5" customHeight="1" x14ac:dyDescent="0.2">
      <c r="A133" s="77" t="s">
        <v>916</v>
      </c>
      <c r="B133" s="58" t="s">
        <v>917</v>
      </c>
      <c r="C133" s="67" t="s">
        <v>93</v>
      </c>
      <c r="D133" s="57" t="s">
        <v>918</v>
      </c>
      <c r="E133" s="58" t="s">
        <v>919</v>
      </c>
      <c r="F133" s="58" t="s">
        <v>919</v>
      </c>
      <c r="G133" s="124"/>
      <c r="H133" s="88" t="s">
        <v>920</v>
      </c>
      <c r="I133" s="66" t="str">
        <f>HYPERLINK("http://nsgreg.nga.mil/genc/view?v=204344&amp;end_month=3&amp;end_day=31&amp;end_year=2014","JAN MAYEN")</f>
        <v>JAN MAYEN</v>
      </c>
      <c r="J133" s="89" t="str">
        <f>HYPERLINK("http://api.nsgreg.nga.mil/geo-political/GENC/3/ed2/XJM","XJM")</f>
        <v>XJM</v>
      </c>
    </row>
    <row r="134" spans="1:10" ht="13.5" customHeight="1" x14ac:dyDescent="0.2">
      <c r="A134" s="78" t="s">
        <v>921</v>
      </c>
      <c r="B134" s="52" t="s">
        <v>922</v>
      </c>
      <c r="C134" s="53" t="s">
        <v>923</v>
      </c>
      <c r="D134" s="51" t="s">
        <v>924</v>
      </c>
      <c r="E134" s="52" t="s">
        <v>925</v>
      </c>
      <c r="F134" s="52" t="s">
        <v>925</v>
      </c>
      <c r="G134" s="125" t="str">
        <f>HYPERLINK("[#]Administrative_Subdivisions!A2010:H2010","&lt;link&gt;")</f>
        <v>&lt;link&gt;</v>
      </c>
      <c r="H134" s="93" t="s">
        <v>926</v>
      </c>
      <c r="I134" s="63" t="str">
        <f>HYPERLINK("http://nsgreg.nga.mil/genc/view?v=117419&amp;gencs=T&amp;end_month=3&amp;end_day=31&amp;end_year=2014","JAPAN")</f>
        <v>JAPAN</v>
      </c>
      <c r="J134" s="91" t="str">
        <f>HYPERLINK("http://api.nsgreg.nga.mil/geo-political/ISO3166-1/3/VII-1/JPN","JPN")</f>
        <v>JPN</v>
      </c>
    </row>
    <row r="135" spans="1:10" ht="13.5" customHeight="1" x14ac:dyDescent="0.2">
      <c r="A135" s="76" t="s">
        <v>927</v>
      </c>
      <c r="B135" s="31" t="s">
        <v>928</v>
      </c>
      <c r="C135" s="55" t="s">
        <v>93</v>
      </c>
      <c r="D135" s="54" t="s">
        <v>929</v>
      </c>
      <c r="E135" s="31" t="s">
        <v>930</v>
      </c>
      <c r="F135" s="31" t="s">
        <v>930</v>
      </c>
      <c r="G135" s="122"/>
      <c r="H135" s="86" t="s">
        <v>931</v>
      </c>
      <c r="I135" s="64" t="str">
        <f>HYPERLINK("http://nsgreg.nga.mil/genc/view?v=204345&amp;end_month=3&amp;end_day=31&amp;end_year=2014","JARVIS ISLAND")</f>
        <v>JARVIS ISLAND</v>
      </c>
      <c r="J135" s="87" t="str">
        <f>HYPERLINK("http://api.nsgreg.nga.mil/geo-political/GENC/3/ed2/XJV","XJV")</f>
        <v>XJV</v>
      </c>
    </row>
    <row r="136" spans="1:10" ht="13.5" customHeight="1" x14ac:dyDescent="0.2">
      <c r="A136" s="76" t="s">
        <v>932</v>
      </c>
      <c r="B136" s="31" t="s">
        <v>933</v>
      </c>
      <c r="C136" s="56" t="s">
        <v>934</v>
      </c>
      <c r="D136" s="54" t="s">
        <v>935</v>
      </c>
      <c r="E136" s="31" t="s">
        <v>936</v>
      </c>
      <c r="F136" s="31" t="s">
        <v>937</v>
      </c>
      <c r="G136" s="122"/>
      <c r="H136" s="86" t="s">
        <v>938</v>
      </c>
      <c r="I136" s="64" t="str">
        <f>HYPERLINK("http://nsgreg.nga.mil/genc/view?v=204346&amp;end_month=3&amp;end_day=31&amp;end_year=2014","JERSEY")</f>
        <v>JERSEY</v>
      </c>
      <c r="J136" s="87" t="str">
        <f>HYPERLINK("http://api.nsgreg.nga.mil/geo-political/GENC/3/ed2/JEY","JEY")</f>
        <v>JEY</v>
      </c>
    </row>
    <row r="137" spans="1:10" ht="13.5" customHeight="1" x14ac:dyDescent="0.2">
      <c r="A137" s="76" t="s">
        <v>939</v>
      </c>
      <c r="B137" s="31" t="s">
        <v>940</v>
      </c>
      <c r="C137" s="55" t="s">
        <v>93</v>
      </c>
      <c r="D137" s="54" t="s">
        <v>941</v>
      </c>
      <c r="E137" s="31" t="s">
        <v>942</v>
      </c>
      <c r="F137" s="31" t="s">
        <v>942</v>
      </c>
      <c r="G137" s="122"/>
      <c r="H137" s="86" t="s">
        <v>943</v>
      </c>
      <c r="I137" s="64" t="str">
        <f>HYPERLINK("http://nsgreg.nga.mil/genc/view?v=204347&amp;end_month=3&amp;end_day=31&amp;end_year=2014","JOHNSTON ATOLL")</f>
        <v>JOHNSTON ATOLL</v>
      </c>
      <c r="J137" s="87" t="str">
        <f>HYPERLINK("http://api.nsgreg.nga.mil/geo-political/GENC/3/ed2/XJA","XJA")</f>
        <v>XJA</v>
      </c>
    </row>
    <row r="138" spans="1:10" ht="13.5" customHeight="1" x14ac:dyDescent="0.2">
      <c r="A138" s="77" t="s">
        <v>944</v>
      </c>
      <c r="B138" s="58" t="s">
        <v>945</v>
      </c>
      <c r="C138" s="59" t="s">
        <v>946</v>
      </c>
      <c r="D138" s="57" t="s">
        <v>947</v>
      </c>
      <c r="E138" s="58" t="s">
        <v>948</v>
      </c>
      <c r="F138" s="58" t="s">
        <v>949</v>
      </c>
      <c r="G138" s="126" t="str">
        <f>HYPERLINK("[#]Administrative_Subdivisions!A2057:H2057","&lt;link&gt;")</f>
        <v>&lt;link&gt;</v>
      </c>
      <c r="H138" s="88" t="s">
        <v>950</v>
      </c>
      <c r="I138" s="66" t="str">
        <f>HYPERLINK("http://nsgreg.nga.mil/genc/view?v=204348&amp;end_month=3&amp;end_day=31&amp;end_year=2014","JORDAN")</f>
        <v>JORDAN</v>
      </c>
      <c r="J138" s="89" t="str">
        <f>HYPERLINK("http://api.nsgreg.nga.mil/geo-political/GENC/3/ed2/JOR","JOR")</f>
        <v>JOR</v>
      </c>
    </row>
    <row r="139" spans="1:10" ht="13.5" customHeight="1" x14ac:dyDescent="0.2">
      <c r="A139" s="78" t="s">
        <v>951</v>
      </c>
      <c r="B139" s="52" t="s">
        <v>952</v>
      </c>
      <c r="C139" s="69" t="s">
        <v>93</v>
      </c>
      <c r="D139" s="51" t="s">
        <v>953</v>
      </c>
      <c r="E139" s="52" t="s">
        <v>954</v>
      </c>
      <c r="F139" s="52" t="s">
        <v>954</v>
      </c>
      <c r="G139" s="127"/>
      <c r="H139" s="90" t="s">
        <v>955</v>
      </c>
      <c r="I139" s="63" t="str">
        <f>HYPERLINK("http://nsgreg.nga.mil/genc/view?v=204349&amp;end_month=3&amp;end_day=31&amp;end_year=2014","JUAN DE NOVA ISLAND")</f>
        <v>JUAN DE NOVA ISLAND</v>
      </c>
      <c r="J139" s="91" t="str">
        <f>HYPERLINK("http://api.nsgreg.nga.mil/geo-political/GENC/3/ed2/XJN","XJN")</f>
        <v>XJN</v>
      </c>
    </row>
    <row r="140" spans="1:10" ht="13.5" customHeight="1" x14ac:dyDescent="0.2">
      <c r="A140" s="76" t="s">
        <v>956</v>
      </c>
      <c r="B140" s="31" t="s">
        <v>957</v>
      </c>
      <c r="C140" s="56" t="s">
        <v>958</v>
      </c>
      <c r="D140" s="54" t="s">
        <v>959</v>
      </c>
      <c r="E140" s="31" t="s">
        <v>960</v>
      </c>
      <c r="F140" s="31" t="s">
        <v>961</v>
      </c>
      <c r="G140" s="123" t="str">
        <f>HYPERLINK("[#]Administrative_Subdivisions!A2069:H2069","&lt;link&gt;")</f>
        <v>&lt;link&gt;</v>
      </c>
      <c r="H140" s="86" t="s">
        <v>962</v>
      </c>
      <c r="I140" s="64" t="str">
        <f>HYPERLINK("http://nsgreg.nga.mil/genc/view?v=204350&amp;end_month=3&amp;end_day=31&amp;end_year=2014","KAZAKHSTAN")</f>
        <v>KAZAKHSTAN</v>
      </c>
      <c r="J140" s="87" t="str">
        <f>HYPERLINK("http://api.nsgreg.nga.mil/geo-political/GENC/3/ed2/KAZ","KAZ")</f>
        <v>KAZ</v>
      </c>
    </row>
    <row r="141" spans="1:10" ht="13.5" customHeight="1" x14ac:dyDescent="0.2">
      <c r="A141" s="76" t="s">
        <v>963</v>
      </c>
      <c r="B141" s="31" t="s">
        <v>964</v>
      </c>
      <c r="C141" s="56" t="s">
        <v>965</v>
      </c>
      <c r="D141" s="54" t="s">
        <v>966</v>
      </c>
      <c r="E141" s="31" t="s">
        <v>967</v>
      </c>
      <c r="F141" s="31" t="s">
        <v>968</v>
      </c>
      <c r="G141" s="123" t="str">
        <f>HYPERLINK("[#]Administrative_Subdivisions!A2086:H2086","&lt;link&gt;")</f>
        <v>&lt;link&gt;</v>
      </c>
      <c r="H141" s="86" t="s">
        <v>969</v>
      </c>
      <c r="I141" s="64" t="str">
        <f>HYPERLINK("http://nsgreg.nga.mil/genc/view?v=204351&amp;end_month=3&amp;end_day=31&amp;end_year=2014","KENYA")</f>
        <v>KENYA</v>
      </c>
      <c r="J141" s="87" t="str">
        <f>HYPERLINK("http://api.nsgreg.nga.mil/geo-political/GENC/3/ed2/KEN","KEN")</f>
        <v>KEN</v>
      </c>
    </row>
    <row r="142" spans="1:10" ht="13.5" customHeight="1" x14ac:dyDescent="0.2">
      <c r="A142" s="76" t="s">
        <v>970</v>
      </c>
      <c r="B142" s="31" t="s">
        <v>971</v>
      </c>
      <c r="C142" s="55" t="s">
        <v>93</v>
      </c>
      <c r="D142" s="54" t="s">
        <v>972</v>
      </c>
      <c r="E142" s="31" t="s">
        <v>973</v>
      </c>
      <c r="F142" s="31" t="s">
        <v>973</v>
      </c>
      <c r="G142" s="122"/>
      <c r="H142" s="86" t="s">
        <v>974</v>
      </c>
      <c r="I142" s="64" t="str">
        <f>HYPERLINK("http://nsgreg.nga.mil/genc/view?v=204352&amp;end_month=3&amp;end_day=31&amp;end_year=2014","KINGMAN REEF")</f>
        <v>KINGMAN REEF</v>
      </c>
      <c r="J142" s="87" t="str">
        <f>HYPERLINK("http://api.nsgreg.nga.mil/geo-political/GENC/3/ed2/XKR","XKR")</f>
        <v>XKR</v>
      </c>
    </row>
    <row r="143" spans="1:10" ht="13.5" customHeight="1" x14ac:dyDescent="0.2">
      <c r="A143" s="77" t="s">
        <v>975</v>
      </c>
      <c r="B143" s="58" t="s">
        <v>976</v>
      </c>
      <c r="C143" s="59" t="s">
        <v>977</v>
      </c>
      <c r="D143" s="57" t="s">
        <v>978</v>
      </c>
      <c r="E143" s="58" t="s">
        <v>979</v>
      </c>
      <c r="F143" s="58" t="s">
        <v>980</v>
      </c>
      <c r="G143" s="126" t="str">
        <f>HYPERLINK("[#]Administrative_Subdivisions!A2141:H2141","&lt;link&gt;")</f>
        <v>&lt;link&gt;</v>
      </c>
      <c r="H143" s="88" t="s">
        <v>981</v>
      </c>
      <c r="I143" s="66" t="str">
        <f>HYPERLINK("http://nsgreg.nga.mil/genc/view?v=204353&amp;end_month=3&amp;end_day=31&amp;end_year=2014","KIRIBATI")</f>
        <v>KIRIBATI</v>
      </c>
      <c r="J143" s="89" t="str">
        <f>HYPERLINK("http://api.nsgreg.nga.mil/geo-political/GENC/3/ed2/KIR","KIR")</f>
        <v>KIR</v>
      </c>
    </row>
    <row r="144" spans="1:10" ht="13.5" customHeight="1" x14ac:dyDescent="0.2">
      <c r="A144" s="78" t="s">
        <v>982</v>
      </c>
      <c r="B144" s="52" t="s">
        <v>983</v>
      </c>
      <c r="C144" s="53" t="s">
        <v>984</v>
      </c>
      <c r="D144" s="51" t="s">
        <v>985</v>
      </c>
      <c r="E144" s="52" t="s">
        <v>986</v>
      </c>
      <c r="F144" s="52" t="s">
        <v>987</v>
      </c>
      <c r="G144" s="125" t="str">
        <f>HYPERLINK("[#]Administrative_Subdivisions!A2144:H2144","&lt;link&gt;")</f>
        <v>&lt;link&gt;</v>
      </c>
      <c r="H144" s="90" t="s">
        <v>988</v>
      </c>
      <c r="I144" s="63" t="str">
        <f>HYPERLINK("http://nsgreg.nga.mil/genc/view?v=204354&amp;end_month=3&amp;end_day=31&amp;end_year=2014","KOREA, NORTH")</f>
        <v>KOREA, NORTH</v>
      </c>
      <c r="J144" s="91" t="str">
        <f>HYPERLINK("http://api.nsgreg.nga.mil/geo-political/GENC/3/ed2/PRK","PRK")</f>
        <v>PRK</v>
      </c>
    </row>
    <row r="145" spans="1:10" ht="13.5" customHeight="1" x14ac:dyDescent="0.2">
      <c r="A145" s="76" t="s">
        <v>989</v>
      </c>
      <c r="B145" s="31" t="s">
        <v>990</v>
      </c>
      <c r="C145" s="56" t="s">
        <v>991</v>
      </c>
      <c r="D145" s="54" t="s">
        <v>992</v>
      </c>
      <c r="E145" s="31" t="s">
        <v>993</v>
      </c>
      <c r="F145" s="31" t="s">
        <v>994</v>
      </c>
      <c r="G145" s="123" t="str">
        <f>HYPERLINK("[#]Administrative_Subdivisions!A2155:H2155","&lt;link&gt;")</f>
        <v>&lt;link&gt;</v>
      </c>
      <c r="H145" s="86" t="s">
        <v>995</v>
      </c>
      <c r="I145" s="64" t="str">
        <f>HYPERLINK("http://nsgreg.nga.mil/genc/view?v=204355&amp;end_month=3&amp;end_day=31&amp;end_year=2014","KOREA, SOUTH")</f>
        <v>KOREA, SOUTH</v>
      </c>
      <c r="J145" s="87" t="str">
        <f>HYPERLINK("http://api.nsgreg.nga.mil/geo-political/GENC/3/ed2/KOR","KOR")</f>
        <v>KOR</v>
      </c>
    </row>
    <row r="146" spans="1:10" ht="13.5" customHeight="1" x14ac:dyDescent="0.2">
      <c r="A146" s="76" t="s">
        <v>996</v>
      </c>
      <c r="B146" s="31" t="s">
        <v>997</v>
      </c>
      <c r="C146" s="55" t="s">
        <v>93</v>
      </c>
      <c r="D146" s="54" t="s">
        <v>998</v>
      </c>
      <c r="E146" s="31" t="s">
        <v>999</v>
      </c>
      <c r="F146" s="31" t="s">
        <v>1000</v>
      </c>
      <c r="G146" s="123" t="str">
        <f>HYPERLINK("[#]Administrative_Subdivisions!A2172:H2172","&lt;link&gt;")</f>
        <v>&lt;link&gt;</v>
      </c>
      <c r="H146" s="86" t="s">
        <v>1001</v>
      </c>
      <c r="I146" s="64" t="str">
        <f>HYPERLINK("http://nsgreg.nga.mil/genc/view?v=204356&amp;end_month=3&amp;end_day=31&amp;end_year=2014","KOSOVO")</f>
        <v>KOSOVO</v>
      </c>
      <c r="J146" s="87" t="str">
        <f>HYPERLINK("http://api.nsgreg.nga.mil/geo-political/GENC/3/ed2/XKS","XKS")</f>
        <v>XKS</v>
      </c>
    </row>
    <row r="147" spans="1:10" ht="13.5" customHeight="1" x14ac:dyDescent="0.2">
      <c r="A147" s="76" t="s">
        <v>1002</v>
      </c>
      <c r="B147" s="31" t="s">
        <v>1003</v>
      </c>
      <c r="C147" s="56" t="s">
        <v>1004</v>
      </c>
      <c r="D147" s="54" t="s">
        <v>1005</v>
      </c>
      <c r="E147" s="31" t="s">
        <v>1006</v>
      </c>
      <c r="F147" s="31" t="s">
        <v>1007</v>
      </c>
      <c r="G147" s="123" t="str">
        <f>HYPERLINK("[#]Administrative_Subdivisions!A2209:H2209","&lt;link&gt;")</f>
        <v>&lt;link&gt;</v>
      </c>
      <c r="H147" s="86" t="s">
        <v>1008</v>
      </c>
      <c r="I147" s="64" t="str">
        <f>HYPERLINK("http://nsgreg.nga.mil/genc/view?v=204357&amp;end_month=3&amp;end_day=31&amp;end_year=2014","KUWAIT")</f>
        <v>KUWAIT</v>
      </c>
      <c r="J147" s="87" t="str">
        <f>HYPERLINK("http://api.nsgreg.nga.mil/geo-political/GENC/3/ed2/KWT","KWT")</f>
        <v>KWT</v>
      </c>
    </row>
    <row r="148" spans="1:10" ht="13.5" customHeight="1" x14ac:dyDescent="0.2">
      <c r="A148" s="77" t="s">
        <v>1009</v>
      </c>
      <c r="B148" s="58" t="s">
        <v>1010</v>
      </c>
      <c r="C148" s="59" t="s">
        <v>1011</v>
      </c>
      <c r="D148" s="57" t="s">
        <v>1012</v>
      </c>
      <c r="E148" s="58" t="s">
        <v>1013</v>
      </c>
      <c r="F148" s="58" t="s">
        <v>1014</v>
      </c>
      <c r="G148" s="126" t="str">
        <f>HYPERLINK("[#]Administrative_Subdivisions!A2215:H2215","&lt;link&gt;")</f>
        <v>&lt;link&gt;</v>
      </c>
      <c r="H148" s="88" t="s">
        <v>1015</v>
      </c>
      <c r="I148" s="66" t="str">
        <f>HYPERLINK("http://nsgreg.nga.mil/genc/view?v=204358&amp;end_month=3&amp;end_day=31&amp;end_year=2014","KYRGYZSTAN")</f>
        <v>KYRGYZSTAN</v>
      </c>
      <c r="J148" s="89" t="str">
        <f>HYPERLINK("http://api.nsgreg.nga.mil/geo-political/GENC/3/ed2/KGZ","KGZ")</f>
        <v>KGZ</v>
      </c>
    </row>
    <row r="149" spans="1:10" ht="13.5" customHeight="1" x14ac:dyDescent="0.2">
      <c r="A149" s="78" t="s">
        <v>1016</v>
      </c>
      <c r="B149" s="52" t="s">
        <v>1017</v>
      </c>
      <c r="C149" s="53" t="s">
        <v>1018</v>
      </c>
      <c r="D149" s="51" t="s">
        <v>1019</v>
      </c>
      <c r="E149" s="52" t="s">
        <v>1020</v>
      </c>
      <c r="F149" s="52" t="s">
        <v>1021</v>
      </c>
      <c r="G149" s="125" t="str">
        <f>HYPERLINK("[#]Administrative_Subdivisions!A2224:H2224","&lt;link&gt;")</f>
        <v>&lt;link&gt;</v>
      </c>
      <c r="H149" s="90" t="s">
        <v>1022</v>
      </c>
      <c r="I149" s="63" t="str">
        <f>HYPERLINK("http://nsgreg.nga.mil/genc/view?v=204359&amp;end_month=3&amp;end_day=31&amp;end_year=2014","LAOS")</f>
        <v>LAOS</v>
      </c>
      <c r="J149" s="91" t="str">
        <f>HYPERLINK("http://api.nsgreg.nga.mil/geo-political/GENC/3/ed2/LAO","LAO")</f>
        <v>LAO</v>
      </c>
    </row>
    <row r="150" spans="1:10" ht="13.5" customHeight="1" x14ac:dyDescent="0.2">
      <c r="A150" s="76" t="s">
        <v>1023</v>
      </c>
      <c r="B150" s="31" t="s">
        <v>1024</v>
      </c>
      <c r="C150" s="56" t="s">
        <v>1025</v>
      </c>
      <c r="D150" s="54" t="s">
        <v>1026</v>
      </c>
      <c r="E150" s="31" t="s">
        <v>1027</v>
      </c>
      <c r="F150" s="31" t="s">
        <v>1028</v>
      </c>
      <c r="G150" s="123" t="str">
        <f>HYPERLINK("[#]Administrative_Subdivisions!A2242:H2242","&lt;link&gt;")</f>
        <v>&lt;link&gt;</v>
      </c>
      <c r="H150" s="86" t="s">
        <v>1029</v>
      </c>
      <c r="I150" s="64" t="str">
        <f>HYPERLINK("http://nsgreg.nga.mil/genc/view?v=204360&amp;end_month=3&amp;end_day=31&amp;end_year=2014","LATVIA")</f>
        <v>LATVIA</v>
      </c>
      <c r="J150" s="87" t="str">
        <f>HYPERLINK("http://api.nsgreg.nga.mil/geo-political/GENC/3/ed2/LVA","LVA")</f>
        <v>LVA</v>
      </c>
    </row>
    <row r="151" spans="1:10" ht="13.5" customHeight="1" x14ac:dyDescent="0.2">
      <c r="A151" s="76" t="s">
        <v>1030</v>
      </c>
      <c r="B151" s="31" t="s">
        <v>1031</v>
      </c>
      <c r="C151" s="56" t="s">
        <v>1032</v>
      </c>
      <c r="D151" s="54" t="s">
        <v>1033</v>
      </c>
      <c r="E151" s="31" t="s">
        <v>1034</v>
      </c>
      <c r="F151" s="31" t="s">
        <v>1035</v>
      </c>
      <c r="G151" s="123" t="str">
        <f>HYPERLINK("[#]Administrative_Subdivisions!A2361:H2361","&lt;link&gt;")</f>
        <v>&lt;link&gt;</v>
      </c>
      <c r="H151" s="86" t="s">
        <v>1036</v>
      </c>
      <c r="I151" s="64" t="str">
        <f>HYPERLINK("http://nsgreg.nga.mil/genc/view?v=204361&amp;end_month=3&amp;end_day=31&amp;end_year=2014","LEBANON")</f>
        <v>LEBANON</v>
      </c>
      <c r="J151" s="87" t="str">
        <f>HYPERLINK("http://api.nsgreg.nga.mil/geo-political/GENC/3/ed2/LBN","LBN")</f>
        <v>LBN</v>
      </c>
    </row>
    <row r="152" spans="1:10" ht="13.5" customHeight="1" x14ac:dyDescent="0.2">
      <c r="A152" s="76" t="s">
        <v>1037</v>
      </c>
      <c r="B152" s="31" t="s">
        <v>1038</v>
      </c>
      <c r="C152" s="56" t="s">
        <v>1039</v>
      </c>
      <c r="D152" s="54" t="s">
        <v>1040</v>
      </c>
      <c r="E152" s="31" t="s">
        <v>1041</v>
      </c>
      <c r="F152" s="31" t="s">
        <v>1042</v>
      </c>
      <c r="G152" s="123" t="str">
        <f>HYPERLINK("[#]Administrative_Subdivisions!A2369:H2369","&lt;link&gt;")</f>
        <v>&lt;link&gt;</v>
      </c>
      <c r="H152" s="86" t="s">
        <v>1043</v>
      </c>
      <c r="I152" s="64" t="str">
        <f>HYPERLINK("http://nsgreg.nga.mil/genc/view?v=204362&amp;end_month=3&amp;end_day=31&amp;end_year=2014","LESOTHO")</f>
        <v>LESOTHO</v>
      </c>
      <c r="J152" s="87" t="str">
        <f>HYPERLINK("http://api.nsgreg.nga.mil/geo-political/GENC/3/ed2/LSO","LSO")</f>
        <v>LSO</v>
      </c>
    </row>
    <row r="153" spans="1:10" ht="13.5" customHeight="1" x14ac:dyDescent="0.2">
      <c r="A153" s="77" t="s">
        <v>1044</v>
      </c>
      <c r="B153" s="58" t="s">
        <v>1045</v>
      </c>
      <c r="C153" s="59" t="s">
        <v>1046</v>
      </c>
      <c r="D153" s="57" t="s">
        <v>1047</v>
      </c>
      <c r="E153" s="58" t="s">
        <v>1048</v>
      </c>
      <c r="F153" s="58" t="s">
        <v>1049</v>
      </c>
      <c r="G153" s="126" t="str">
        <f>HYPERLINK("[#]Administrative_Subdivisions!A2379:H2379","&lt;link&gt;")</f>
        <v>&lt;link&gt;</v>
      </c>
      <c r="H153" s="88" t="s">
        <v>1050</v>
      </c>
      <c r="I153" s="66" t="str">
        <f>HYPERLINK("http://nsgreg.nga.mil/genc/view?v=204363&amp;end_month=3&amp;end_day=31&amp;end_year=2014","LIBERIA")</f>
        <v>LIBERIA</v>
      </c>
      <c r="J153" s="89" t="str">
        <f>HYPERLINK("http://api.nsgreg.nga.mil/geo-political/GENC/3/ed2/LBR","LBR")</f>
        <v>LBR</v>
      </c>
    </row>
    <row r="154" spans="1:10" ht="13.5" customHeight="1" x14ac:dyDescent="0.2">
      <c r="A154" s="78" t="s">
        <v>1051</v>
      </c>
      <c r="B154" s="52" t="s">
        <v>1052</v>
      </c>
      <c r="C154" s="53" t="s">
        <v>1053</v>
      </c>
      <c r="D154" s="51" t="s">
        <v>1054</v>
      </c>
      <c r="E154" s="52" t="s">
        <v>1055</v>
      </c>
      <c r="F154" s="52" t="s">
        <v>1055</v>
      </c>
      <c r="G154" s="125" t="str">
        <f>HYPERLINK("[#]Administrative_Subdivisions!A2394:H2394","&lt;link&gt;")</f>
        <v>&lt;link&gt;</v>
      </c>
      <c r="H154" s="93" t="s">
        <v>1056</v>
      </c>
      <c r="I154" s="63" t="str">
        <f>HYPERLINK("http://nsgreg.nga.mil/genc/view?v=117434&amp;gencs=T&amp;end_month=3&amp;end_day=31&amp;end_year=2014","LIBYA")</f>
        <v>LIBYA</v>
      </c>
      <c r="J154" s="91" t="str">
        <f>HYPERLINK("http://api.nsgreg.nga.mil/geo-political/ISO3166-1/3/VII-1/LBY","LBY")</f>
        <v>LBY</v>
      </c>
    </row>
    <row r="155" spans="1:10" ht="13.5" customHeight="1" x14ac:dyDescent="0.2">
      <c r="A155" s="76" t="s">
        <v>1057</v>
      </c>
      <c r="B155" s="31" t="s">
        <v>1058</v>
      </c>
      <c r="C155" s="56" t="s">
        <v>1059</v>
      </c>
      <c r="D155" s="54" t="s">
        <v>1060</v>
      </c>
      <c r="E155" s="31" t="s">
        <v>1061</v>
      </c>
      <c r="F155" s="31" t="s">
        <v>1062</v>
      </c>
      <c r="G155" s="123" t="str">
        <f>HYPERLINK("[#]Administrative_Subdivisions!A2416:H2416","&lt;link&gt;")</f>
        <v>&lt;link&gt;</v>
      </c>
      <c r="H155" s="86" t="s">
        <v>1063</v>
      </c>
      <c r="I155" s="64" t="str">
        <f>HYPERLINK("http://nsgreg.nga.mil/genc/view?v=204364&amp;end_month=3&amp;end_day=31&amp;end_year=2014","LIECHTENSTEIN")</f>
        <v>LIECHTENSTEIN</v>
      </c>
      <c r="J155" s="87" t="str">
        <f>HYPERLINK("http://api.nsgreg.nga.mil/geo-political/GENC/3/ed2/LIE","LIE")</f>
        <v>LIE</v>
      </c>
    </row>
    <row r="156" spans="1:10" ht="13.5" customHeight="1" x14ac:dyDescent="0.2">
      <c r="A156" s="76" t="s">
        <v>1064</v>
      </c>
      <c r="B156" s="31" t="s">
        <v>1065</v>
      </c>
      <c r="C156" s="56" t="s">
        <v>1066</v>
      </c>
      <c r="D156" s="54" t="s">
        <v>1067</v>
      </c>
      <c r="E156" s="31" t="s">
        <v>1068</v>
      </c>
      <c r="F156" s="31" t="s">
        <v>1069</v>
      </c>
      <c r="G156" s="123" t="str">
        <f>HYPERLINK("[#]Administrative_Subdivisions!A2427:H2427","&lt;link&gt;")</f>
        <v>&lt;link&gt;</v>
      </c>
      <c r="H156" s="86" t="s">
        <v>1070</v>
      </c>
      <c r="I156" s="64" t="str">
        <f>HYPERLINK("http://nsgreg.nga.mil/genc/view?v=204365&amp;end_month=3&amp;end_day=31&amp;end_year=2014","LITHUANIA")</f>
        <v>LITHUANIA</v>
      </c>
      <c r="J156" s="87" t="str">
        <f>HYPERLINK("http://api.nsgreg.nga.mil/geo-political/GENC/3/ed2/LTU","LTU")</f>
        <v>LTU</v>
      </c>
    </row>
    <row r="157" spans="1:10" ht="13.5" customHeight="1" x14ac:dyDescent="0.2">
      <c r="A157" s="76" t="s">
        <v>1071</v>
      </c>
      <c r="B157" s="31" t="s">
        <v>1072</v>
      </c>
      <c r="C157" s="56" t="s">
        <v>1073</v>
      </c>
      <c r="D157" s="54" t="s">
        <v>1074</v>
      </c>
      <c r="E157" s="31" t="s">
        <v>1075</v>
      </c>
      <c r="F157" s="31" t="s">
        <v>1076</v>
      </c>
      <c r="G157" s="123" t="str">
        <f>HYPERLINK("[#]Administrative_Subdivisions!A2437:H2437","&lt;link&gt;")</f>
        <v>&lt;link&gt;</v>
      </c>
      <c r="H157" s="86" t="s">
        <v>1077</v>
      </c>
      <c r="I157" s="64" t="str">
        <f>HYPERLINK("http://nsgreg.nga.mil/genc/view?v=204366&amp;end_month=3&amp;end_day=31&amp;end_year=2014","LUXEMBOURG")</f>
        <v>LUXEMBOURG</v>
      </c>
      <c r="J157" s="87" t="str">
        <f>HYPERLINK("http://api.nsgreg.nga.mil/geo-political/GENC/3/ed2/LUX","LUX")</f>
        <v>LUX</v>
      </c>
    </row>
    <row r="158" spans="1:10" ht="13.5" customHeight="1" x14ac:dyDescent="0.2">
      <c r="A158" s="77" t="s">
        <v>1078</v>
      </c>
      <c r="B158" s="58" t="s">
        <v>1079</v>
      </c>
      <c r="C158" s="59" t="s">
        <v>1080</v>
      </c>
      <c r="D158" s="57" t="s">
        <v>1081</v>
      </c>
      <c r="E158" s="58" t="s">
        <v>1082</v>
      </c>
      <c r="F158" s="58" t="s">
        <v>1083</v>
      </c>
      <c r="G158" s="124"/>
      <c r="H158" s="88" t="s">
        <v>1084</v>
      </c>
      <c r="I158" s="66" t="str">
        <f>HYPERLINK("http://nsgreg.nga.mil/genc/view?v=204367&amp;end_month=3&amp;end_day=31&amp;end_year=2014","MACAU")</f>
        <v>MACAU</v>
      </c>
      <c r="J158" s="89" t="str">
        <f>HYPERLINK("http://api.nsgreg.nga.mil/geo-political/GENC/3/ed2/MAC","MAC")</f>
        <v>MAC</v>
      </c>
    </row>
    <row r="159" spans="1:10" ht="13.5" customHeight="1" x14ac:dyDescent="0.2">
      <c r="A159" s="78" t="s">
        <v>1085</v>
      </c>
      <c r="B159" s="52" t="s">
        <v>1086</v>
      </c>
      <c r="C159" s="53" t="s">
        <v>1087</v>
      </c>
      <c r="D159" s="51" t="s">
        <v>1088</v>
      </c>
      <c r="E159" s="52" t="s">
        <v>1089</v>
      </c>
      <c r="F159" s="52" t="s">
        <v>1090</v>
      </c>
      <c r="G159" s="125" t="str">
        <f>HYPERLINK("[#]Administrative_Subdivisions!A2440:H2440","&lt;link&gt;")</f>
        <v>&lt;link&gt;</v>
      </c>
      <c r="H159" s="90" t="s">
        <v>1091</v>
      </c>
      <c r="I159" s="63" t="str">
        <f>HYPERLINK("http://nsgreg.nga.mil/genc/view?v=204368&amp;end_month=3&amp;end_day=31&amp;end_year=2014","MACEDONIA")</f>
        <v>MACEDONIA</v>
      </c>
      <c r="J159" s="91" t="str">
        <f>HYPERLINK("http://api.nsgreg.nga.mil/geo-political/GENC/3/ed2/MKD","MKD")</f>
        <v>MKD</v>
      </c>
    </row>
    <row r="160" spans="1:10" ht="13.5" customHeight="1" x14ac:dyDescent="0.2">
      <c r="A160" s="76" t="s">
        <v>1092</v>
      </c>
      <c r="B160" s="31" t="s">
        <v>1093</v>
      </c>
      <c r="C160" s="56" t="s">
        <v>1094</v>
      </c>
      <c r="D160" s="54" t="s">
        <v>1095</v>
      </c>
      <c r="E160" s="31" t="s">
        <v>1096</v>
      </c>
      <c r="F160" s="31" t="s">
        <v>1097</v>
      </c>
      <c r="G160" s="123" t="str">
        <f>HYPERLINK("[#]Administrative_Subdivisions!A2525:H2525","&lt;link&gt;")</f>
        <v>&lt;link&gt;</v>
      </c>
      <c r="H160" s="86" t="s">
        <v>1098</v>
      </c>
      <c r="I160" s="64" t="str">
        <f>HYPERLINK("http://nsgreg.nga.mil/genc/view?v=204369&amp;end_month=3&amp;end_day=31&amp;end_year=2014","MADAGASCAR")</f>
        <v>MADAGASCAR</v>
      </c>
      <c r="J160" s="87" t="str">
        <f>HYPERLINK("http://api.nsgreg.nga.mil/geo-political/GENC/3/ed2/MDG","MDG")</f>
        <v>MDG</v>
      </c>
    </row>
    <row r="161" spans="1:10" ht="13.5" customHeight="1" x14ac:dyDescent="0.2">
      <c r="A161" s="76" t="s">
        <v>1099</v>
      </c>
      <c r="B161" s="31" t="s">
        <v>1100</v>
      </c>
      <c r="C161" s="56" t="s">
        <v>1101</v>
      </c>
      <c r="D161" s="54" t="s">
        <v>1102</v>
      </c>
      <c r="E161" s="31" t="s">
        <v>1103</v>
      </c>
      <c r="F161" s="31" t="s">
        <v>1104</v>
      </c>
      <c r="G161" s="123" t="str">
        <f>HYPERLINK("[#]Administrative_Subdivisions!A2531:H2531","&lt;link&gt;")</f>
        <v>&lt;link&gt;</v>
      </c>
      <c r="H161" s="86" t="s">
        <v>1105</v>
      </c>
      <c r="I161" s="64" t="str">
        <f>HYPERLINK("http://nsgreg.nga.mil/genc/view?v=204370&amp;end_month=3&amp;end_day=31&amp;end_year=2014","MALAWI")</f>
        <v>MALAWI</v>
      </c>
      <c r="J161" s="87" t="str">
        <f>HYPERLINK("http://api.nsgreg.nga.mil/geo-political/GENC/3/ed2/MWI","MWI")</f>
        <v>MWI</v>
      </c>
    </row>
    <row r="162" spans="1:10" ht="13.5" customHeight="1" x14ac:dyDescent="0.2">
      <c r="A162" s="76" t="s">
        <v>1106</v>
      </c>
      <c r="B162" s="31" t="s">
        <v>1107</v>
      </c>
      <c r="C162" s="56" t="s">
        <v>1108</v>
      </c>
      <c r="D162" s="54" t="s">
        <v>1109</v>
      </c>
      <c r="E162" s="31" t="s">
        <v>1110</v>
      </c>
      <c r="F162" s="31" t="s">
        <v>1110</v>
      </c>
      <c r="G162" s="123" t="str">
        <f>HYPERLINK("[#]Administrative_Subdivisions!A2562:H2562","&lt;link&gt;")</f>
        <v>&lt;link&gt;</v>
      </c>
      <c r="H162" s="86" t="s">
        <v>1111</v>
      </c>
      <c r="I162" s="64" t="str">
        <f>HYPERLINK("http://nsgreg.nga.mil/genc/view?v=204371&amp;end_month=3&amp;end_day=31&amp;end_year=2014","MALAYSIA")</f>
        <v>MALAYSIA</v>
      </c>
      <c r="J162" s="87" t="str">
        <f>HYPERLINK("http://api.nsgreg.nga.mil/geo-political/GENC/3/ed2/MYS","MYS")</f>
        <v>MYS</v>
      </c>
    </row>
    <row r="163" spans="1:10" ht="13.5" customHeight="1" x14ac:dyDescent="0.2">
      <c r="A163" s="77" t="s">
        <v>1112</v>
      </c>
      <c r="B163" s="58" t="s">
        <v>1113</v>
      </c>
      <c r="C163" s="59" t="s">
        <v>1114</v>
      </c>
      <c r="D163" s="57" t="s">
        <v>1115</v>
      </c>
      <c r="E163" s="58" t="s">
        <v>1116</v>
      </c>
      <c r="F163" s="58" t="s">
        <v>1117</v>
      </c>
      <c r="G163" s="126" t="str">
        <f>HYPERLINK("[#]Administrative_Subdivisions!A2578:H2578","&lt;link&gt;")</f>
        <v>&lt;link&gt;</v>
      </c>
      <c r="H163" s="88" t="s">
        <v>1118</v>
      </c>
      <c r="I163" s="66" t="str">
        <f>HYPERLINK("http://nsgreg.nga.mil/genc/view?v=204372&amp;end_month=3&amp;end_day=31&amp;end_year=2014","MALDIVES")</f>
        <v>MALDIVES</v>
      </c>
      <c r="J163" s="89" t="str">
        <f>HYPERLINK("http://api.nsgreg.nga.mil/geo-political/GENC/3/ed2/MDV","MDV")</f>
        <v>MDV</v>
      </c>
    </row>
    <row r="164" spans="1:10" ht="13.5" customHeight="1" x14ac:dyDescent="0.2">
      <c r="A164" s="78" t="s">
        <v>1119</v>
      </c>
      <c r="B164" s="52" t="s">
        <v>1120</v>
      </c>
      <c r="C164" s="53" t="s">
        <v>1121</v>
      </c>
      <c r="D164" s="51" t="s">
        <v>1122</v>
      </c>
      <c r="E164" s="52" t="s">
        <v>1123</v>
      </c>
      <c r="F164" s="52" t="s">
        <v>1124</v>
      </c>
      <c r="G164" s="125" t="str">
        <f>HYPERLINK("[#]Administrative_Subdivisions!A2606:H2606","&lt;link&gt;")</f>
        <v>&lt;link&gt;</v>
      </c>
      <c r="H164" s="90" t="s">
        <v>1125</v>
      </c>
      <c r="I164" s="63" t="str">
        <f>HYPERLINK("http://nsgreg.nga.mil/genc/view?v=204373&amp;end_month=3&amp;end_day=31&amp;end_year=2014","MALI")</f>
        <v>MALI</v>
      </c>
      <c r="J164" s="91" t="str">
        <f>HYPERLINK("http://api.nsgreg.nga.mil/geo-political/GENC/3/ed2/MLI","MLI")</f>
        <v>MLI</v>
      </c>
    </row>
    <row r="165" spans="1:10" ht="13.5" customHeight="1" x14ac:dyDescent="0.2">
      <c r="A165" s="76" t="s">
        <v>1126</v>
      </c>
      <c r="B165" s="31" t="s">
        <v>1127</v>
      </c>
      <c r="C165" s="56" t="s">
        <v>1128</v>
      </c>
      <c r="D165" s="54" t="s">
        <v>1129</v>
      </c>
      <c r="E165" s="31" t="s">
        <v>1130</v>
      </c>
      <c r="F165" s="31" t="s">
        <v>1131</v>
      </c>
      <c r="G165" s="123" t="str">
        <f>HYPERLINK("[#]Administrative_Subdivisions!A2615:H2615","&lt;link&gt;")</f>
        <v>&lt;link&gt;</v>
      </c>
      <c r="H165" s="86" t="s">
        <v>1132</v>
      </c>
      <c r="I165" s="64" t="str">
        <f>HYPERLINK("http://nsgreg.nga.mil/genc/view?v=204374&amp;end_month=3&amp;end_day=31&amp;end_year=2014","MALTA")</f>
        <v>MALTA</v>
      </c>
      <c r="J165" s="87" t="str">
        <f>HYPERLINK("http://api.nsgreg.nga.mil/geo-political/GENC/3/ed2/MLT","MLT")</f>
        <v>MLT</v>
      </c>
    </row>
    <row r="166" spans="1:10" ht="13.5" customHeight="1" x14ac:dyDescent="0.2">
      <c r="A166" s="76" t="s">
        <v>1133</v>
      </c>
      <c r="B166" s="31" t="s">
        <v>1134</v>
      </c>
      <c r="C166" s="56" t="s">
        <v>1135</v>
      </c>
      <c r="D166" s="54" t="s">
        <v>1136</v>
      </c>
      <c r="E166" s="31" t="s">
        <v>1137</v>
      </c>
      <c r="F166" s="31" t="s">
        <v>1138</v>
      </c>
      <c r="G166" s="123" t="str">
        <f>HYPERLINK("[#]Administrative_Subdivisions!A2683:H2683","&lt;link&gt;")</f>
        <v>&lt;link&gt;</v>
      </c>
      <c r="H166" s="86" t="s">
        <v>1139</v>
      </c>
      <c r="I166" s="64" t="str">
        <f>HYPERLINK("http://nsgreg.nga.mil/genc/view?v=204375&amp;end_month=3&amp;end_day=31&amp;end_year=2014","MARSHALL ISLANDS")</f>
        <v>MARSHALL ISLANDS</v>
      </c>
      <c r="J166" s="87" t="str">
        <f>HYPERLINK("http://api.nsgreg.nga.mil/geo-political/GENC/3/ed2/MHL","MHL")</f>
        <v>MHL</v>
      </c>
    </row>
    <row r="167" spans="1:10" ht="13.5" customHeight="1" x14ac:dyDescent="0.2">
      <c r="A167" s="76" t="s">
        <v>1140</v>
      </c>
      <c r="B167" s="31" t="s">
        <v>1141</v>
      </c>
      <c r="C167" s="56" t="s">
        <v>1142</v>
      </c>
      <c r="D167" s="54" t="s">
        <v>1143</v>
      </c>
      <c r="E167" s="31" t="s">
        <v>1144</v>
      </c>
      <c r="F167" s="31" t="s">
        <v>1145</v>
      </c>
      <c r="G167" s="122"/>
      <c r="H167" s="86" t="s">
        <v>1146</v>
      </c>
      <c r="I167" s="64" t="str">
        <f>HYPERLINK("http://nsgreg.nga.mil/genc/view?v=204376&amp;end_month=3&amp;end_day=31&amp;end_year=2014","MARTINIQUE")</f>
        <v>MARTINIQUE</v>
      </c>
      <c r="J167" s="87" t="str">
        <f>HYPERLINK("http://api.nsgreg.nga.mil/geo-political/GENC/3/ed2/MTQ","MTQ")</f>
        <v>MTQ</v>
      </c>
    </row>
    <row r="168" spans="1:10" ht="13.5" customHeight="1" x14ac:dyDescent="0.2">
      <c r="A168" s="77" t="s">
        <v>1147</v>
      </c>
      <c r="B168" s="58" t="s">
        <v>1148</v>
      </c>
      <c r="C168" s="59" t="s">
        <v>1149</v>
      </c>
      <c r="D168" s="57" t="s">
        <v>1150</v>
      </c>
      <c r="E168" s="58" t="s">
        <v>1151</v>
      </c>
      <c r="F168" s="58" t="s">
        <v>1152</v>
      </c>
      <c r="G168" s="126" t="str">
        <f>HYPERLINK("[#]Administrative_Subdivisions!A2709:H2709","&lt;link&gt;")</f>
        <v>&lt;link&gt;</v>
      </c>
      <c r="H168" s="88" t="s">
        <v>1153</v>
      </c>
      <c r="I168" s="66" t="str">
        <f>HYPERLINK("http://nsgreg.nga.mil/genc/view?v=204377&amp;end_month=3&amp;end_day=31&amp;end_year=2014","MAURITANIA")</f>
        <v>MAURITANIA</v>
      </c>
      <c r="J168" s="89" t="str">
        <f>HYPERLINK("http://api.nsgreg.nga.mil/geo-political/GENC/3/ed2/MRT","MRT")</f>
        <v>MRT</v>
      </c>
    </row>
    <row r="169" spans="1:10" ht="13.5" customHeight="1" x14ac:dyDescent="0.2">
      <c r="A169" s="78" t="s">
        <v>1154</v>
      </c>
      <c r="B169" s="52" t="s">
        <v>1155</v>
      </c>
      <c r="C169" s="53" t="s">
        <v>1156</v>
      </c>
      <c r="D169" s="51" t="s">
        <v>1157</v>
      </c>
      <c r="E169" s="52" t="s">
        <v>1158</v>
      </c>
      <c r="F169" s="52" t="s">
        <v>1159</v>
      </c>
      <c r="G169" s="125" t="str">
        <f>HYPERLINK("[#]Administrative_Subdivisions!A2722:H2722","&lt;link&gt;")</f>
        <v>&lt;link&gt;</v>
      </c>
      <c r="H169" s="90" t="s">
        <v>1160</v>
      </c>
      <c r="I169" s="63" t="str">
        <f>HYPERLINK("http://nsgreg.nga.mil/genc/view?v=204378&amp;end_month=3&amp;end_day=31&amp;end_year=2014","MAURITIUS")</f>
        <v>MAURITIUS</v>
      </c>
      <c r="J169" s="91" t="str">
        <f>HYPERLINK("http://api.nsgreg.nga.mil/geo-political/GENC/3/ed2/MUS","MUS")</f>
        <v>MUS</v>
      </c>
    </row>
    <row r="170" spans="1:10" ht="13.5" customHeight="1" x14ac:dyDescent="0.2">
      <c r="A170" s="76" t="s">
        <v>1161</v>
      </c>
      <c r="B170" s="31" t="s">
        <v>1162</v>
      </c>
      <c r="C170" s="56" t="s">
        <v>1163</v>
      </c>
      <c r="D170" s="54" t="s">
        <v>1164</v>
      </c>
      <c r="E170" s="31" t="s">
        <v>1165</v>
      </c>
      <c r="F170" s="31" t="s">
        <v>1166</v>
      </c>
      <c r="G170" s="122"/>
      <c r="H170" s="86" t="s">
        <v>1167</v>
      </c>
      <c r="I170" s="64" t="str">
        <f>HYPERLINK("http://nsgreg.nga.mil/genc/view?v=204379&amp;end_month=3&amp;end_day=31&amp;end_year=2014","MAYOTTE")</f>
        <v>MAYOTTE</v>
      </c>
      <c r="J170" s="87" t="str">
        <f>HYPERLINK("http://api.nsgreg.nga.mil/geo-political/GENC/3/ed2/MYT","MYT")</f>
        <v>MYT</v>
      </c>
    </row>
    <row r="171" spans="1:10" ht="13.5" customHeight="1" x14ac:dyDescent="0.2">
      <c r="A171" s="76" t="s">
        <v>1168</v>
      </c>
      <c r="B171" s="31" t="s">
        <v>1169</v>
      </c>
      <c r="C171" s="56" t="s">
        <v>1170</v>
      </c>
      <c r="D171" s="54" t="s">
        <v>1171</v>
      </c>
      <c r="E171" s="31" t="s">
        <v>1172</v>
      </c>
      <c r="F171" s="31" t="s">
        <v>1173</v>
      </c>
      <c r="G171" s="123" t="str">
        <f>HYPERLINK("[#]Administrative_Subdivisions!A2739:H2739","&lt;link&gt;")</f>
        <v>&lt;link&gt;</v>
      </c>
      <c r="H171" s="86" t="s">
        <v>1174</v>
      </c>
      <c r="I171" s="64" t="str">
        <f>HYPERLINK("http://nsgreg.nga.mil/genc/view?v=204380&amp;end_month=3&amp;end_day=31&amp;end_year=2014","MEXICO")</f>
        <v>MEXICO</v>
      </c>
      <c r="J171" s="87" t="str">
        <f>HYPERLINK("http://api.nsgreg.nga.mil/geo-political/GENC/3/ed2/MEX","MEX")</f>
        <v>MEX</v>
      </c>
    </row>
    <row r="172" spans="1:10" ht="13.5" customHeight="1" x14ac:dyDescent="0.2">
      <c r="A172" s="76" t="s">
        <v>1175</v>
      </c>
      <c r="B172" s="31" t="s">
        <v>1176</v>
      </c>
      <c r="C172" s="56" t="s">
        <v>1177</v>
      </c>
      <c r="D172" s="54" t="s">
        <v>1178</v>
      </c>
      <c r="E172" s="31" t="s">
        <v>1179</v>
      </c>
      <c r="F172" s="31" t="s">
        <v>1180</v>
      </c>
      <c r="G172" s="123" t="str">
        <f>HYPERLINK("[#]Administrative_Subdivisions!A2771:H2771","&lt;link&gt;")</f>
        <v>&lt;link&gt;</v>
      </c>
      <c r="H172" s="86" t="s">
        <v>1181</v>
      </c>
      <c r="I172" s="64" t="str">
        <f>HYPERLINK("http://nsgreg.nga.mil/genc/view?v=204381&amp;end_month=3&amp;end_day=31&amp;end_year=2014","MICRONESIA, FEDERATED STATES OF")</f>
        <v>MICRONESIA, FEDERATED STATES OF</v>
      </c>
      <c r="J172" s="87" t="str">
        <f>HYPERLINK("http://api.nsgreg.nga.mil/geo-political/GENC/3/ed2/FSM","FSM")</f>
        <v>FSM</v>
      </c>
    </row>
    <row r="173" spans="1:10" ht="13.5" customHeight="1" x14ac:dyDescent="0.2">
      <c r="A173" s="77" t="s">
        <v>1182</v>
      </c>
      <c r="B173" s="58" t="s">
        <v>1183</v>
      </c>
      <c r="C173" s="67" t="s">
        <v>93</v>
      </c>
      <c r="D173" s="57" t="s">
        <v>1184</v>
      </c>
      <c r="E173" s="58" t="s">
        <v>1185</v>
      </c>
      <c r="F173" s="58" t="s">
        <v>1185</v>
      </c>
      <c r="G173" s="124"/>
      <c r="H173" s="88" t="s">
        <v>1186</v>
      </c>
      <c r="I173" s="66" t="str">
        <f>HYPERLINK("http://nsgreg.nga.mil/genc/view?v=204382&amp;end_month=3&amp;end_day=31&amp;end_year=2014","MIDWAY ISLANDS")</f>
        <v>MIDWAY ISLANDS</v>
      </c>
      <c r="J173" s="89" t="str">
        <f>HYPERLINK("http://api.nsgreg.nga.mil/geo-political/GENC/3/ed2/XMW","XMW")</f>
        <v>XMW</v>
      </c>
    </row>
    <row r="174" spans="1:10" ht="13.5" customHeight="1" x14ac:dyDescent="0.2">
      <c r="A174" s="78" t="s">
        <v>1187</v>
      </c>
      <c r="B174" s="52" t="s">
        <v>1188</v>
      </c>
      <c r="C174" s="53" t="s">
        <v>1189</v>
      </c>
      <c r="D174" s="51" t="s">
        <v>1190</v>
      </c>
      <c r="E174" s="52" t="s">
        <v>1191</v>
      </c>
      <c r="F174" s="52" t="s">
        <v>1192</v>
      </c>
      <c r="G174" s="125" t="str">
        <f>HYPERLINK("[#]Administrative_Subdivisions!A2775:H2775","&lt;link&gt;")</f>
        <v>&lt;link&gt;</v>
      </c>
      <c r="H174" s="90" t="s">
        <v>1193</v>
      </c>
      <c r="I174" s="63" t="str">
        <f>HYPERLINK("http://nsgreg.nga.mil/genc/view?v=204383&amp;end_month=3&amp;end_day=31&amp;end_year=2014","MOLDOVA")</f>
        <v>MOLDOVA</v>
      </c>
      <c r="J174" s="91" t="str">
        <f>HYPERLINK("http://api.nsgreg.nga.mil/geo-political/GENC/3/ed2/MDA","MDA")</f>
        <v>MDA</v>
      </c>
    </row>
    <row r="175" spans="1:10" ht="13.5" customHeight="1" x14ac:dyDescent="0.2">
      <c r="A175" s="76" t="s">
        <v>1194</v>
      </c>
      <c r="B175" s="31" t="s">
        <v>1195</v>
      </c>
      <c r="C175" s="56" t="s">
        <v>1196</v>
      </c>
      <c r="D175" s="54" t="s">
        <v>1197</v>
      </c>
      <c r="E175" s="31" t="s">
        <v>1198</v>
      </c>
      <c r="F175" s="31" t="s">
        <v>1199</v>
      </c>
      <c r="G175" s="123" t="str">
        <f>HYPERLINK("[#]Administrative_Subdivisions!A2812:H2812","&lt;link&gt;")</f>
        <v>&lt;link&gt;</v>
      </c>
      <c r="H175" s="86" t="s">
        <v>1200</v>
      </c>
      <c r="I175" s="64" t="str">
        <f>HYPERLINK("http://nsgreg.nga.mil/genc/view?v=204384&amp;end_month=3&amp;end_day=31&amp;end_year=2014","MONACO")</f>
        <v>MONACO</v>
      </c>
      <c r="J175" s="87" t="str">
        <f>HYPERLINK("http://api.nsgreg.nga.mil/geo-political/GENC/3/ed2/MCO","MCO")</f>
        <v>MCO</v>
      </c>
    </row>
    <row r="176" spans="1:10" ht="13.5" customHeight="1" x14ac:dyDescent="0.2">
      <c r="A176" s="76" t="s">
        <v>1201</v>
      </c>
      <c r="B176" s="31" t="s">
        <v>1202</v>
      </c>
      <c r="C176" s="56" t="s">
        <v>1203</v>
      </c>
      <c r="D176" s="54" t="s">
        <v>1204</v>
      </c>
      <c r="E176" s="31" t="s">
        <v>1205</v>
      </c>
      <c r="F176" s="31" t="s">
        <v>1205</v>
      </c>
      <c r="G176" s="123" t="str">
        <f>HYPERLINK("[#]Administrative_Subdivisions!A2829:H2829","&lt;link&gt;")</f>
        <v>&lt;link&gt;</v>
      </c>
      <c r="H176" s="86" t="s">
        <v>1206</v>
      </c>
      <c r="I176" s="64" t="str">
        <f>HYPERLINK("http://nsgreg.nga.mil/genc/view?v=204385&amp;end_month=3&amp;end_day=31&amp;end_year=2014","MONGOLIA")</f>
        <v>MONGOLIA</v>
      </c>
      <c r="J176" s="87" t="str">
        <f>HYPERLINK("http://api.nsgreg.nga.mil/geo-political/GENC/3/ed2/MNG","MNG")</f>
        <v>MNG</v>
      </c>
    </row>
    <row r="177" spans="1:10" ht="13.5" customHeight="1" x14ac:dyDescent="0.2">
      <c r="A177" s="76" t="s">
        <v>1207</v>
      </c>
      <c r="B177" s="31" t="s">
        <v>1208</v>
      </c>
      <c r="C177" s="56" t="s">
        <v>1209</v>
      </c>
      <c r="D177" s="54" t="s">
        <v>1210</v>
      </c>
      <c r="E177" s="31" t="s">
        <v>1211</v>
      </c>
      <c r="F177" s="31" t="s">
        <v>1211</v>
      </c>
      <c r="G177" s="123" t="str">
        <f>HYPERLINK("[#]Administrative_Subdivisions!A2851:H2851","&lt;link&gt;")</f>
        <v>&lt;link&gt;</v>
      </c>
      <c r="H177" s="92" t="s">
        <v>1212</v>
      </c>
      <c r="I177" s="64" t="str">
        <f>HYPERLINK("http://nsgreg.nga.mil/genc/view?v=117456&amp;gencs=T&amp;end_month=3&amp;end_day=31&amp;end_year=2014","MONTENEGRO")</f>
        <v>MONTENEGRO</v>
      </c>
      <c r="J177" s="87" t="str">
        <f>HYPERLINK("http://api.nsgreg.nga.mil/geo-political/ISO3166-1/3/VII-1/MNE","MNE")</f>
        <v>MNE</v>
      </c>
    </row>
    <row r="178" spans="1:10" ht="13.5" customHeight="1" x14ac:dyDescent="0.2">
      <c r="A178" s="77" t="s">
        <v>1213</v>
      </c>
      <c r="B178" s="58" t="s">
        <v>1214</v>
      </c>
      <c r="C178" s="59" t="s">
        <v>1215</v>
      </c>
      <c r="D178" s="57" t="s">
        <v>1216</v>
      </c>
      <c r="E178" s="58" t="s">
        <v>1217</v>
      </c>
      <c r="F178" s="58" t="s">
        <v>1217</v>
      </c>
      <c r="G178" s="126" t="str">
        <f>HYPERLINK("[#]Administrative_Subdivisions!A2872:H2872","&lt;link&gt;")</f>
        <v>&lt;link&gt;</v>
      </c>
      <c r="H178" s="94" t="s">
        <v>1218</v>
      </c>
      <c r="I178" s="66" t="str">
        <f>HYPERLINK("http://nsgreg.nga.mil/genc/view?v=117457&amp;gencs=T&amp;end_month=3&amp;end_day=31&amp;end_year=2014","MONTSERRAT")</f>
        <v>MONTSERRAT</v>
      </c>
      <c r="J178" s="89" t="str">
        <f>HYPERLINK("http://api.nsgreg.nga.mil/geo-political/ISO3166-1/3/VII-1/MSR","MSR")</f>
        <v>MSR</v>
      </c>
    </row>
    <row r="179" spans="1:10" ht="13.5" customHeight="1" x14ac:dyDescent="0.2">
      <c r="A179" s="78" t="s">
        <v>1219</v>
      </c>
      <c r="B179" s="52" t="s">
        <v>1220</v>
      </c>
      <c r="C179" s="53" t="s">
        <v>1221</v>
      </c>
      <c r="D179" s="51" t="s">
        <v>1222</v>
      </c>
      <c r="E179" s="52" t="s">
        <v>1223</v>
      </c>
      <c r="F179" s="52" t="s">
        <v>1224</v>
      </c>
      <c r="G179" s="125" t="str">
        <f>HYPERLINK("[#]Administrative_Subdivisions!A2875:H2875","&lt;link&gt;")</f>
        <v>&lt;link&gt;</v>
      </c>
      <c r="H179" s="90" t="s">
        <v>1225</v>
      </c>
      <c r="I179" s="63" t="str">
        <f>HYPERLINK("http://nsgreg.nga.mil/genc/view?v=204386&amp;end_month=3&amp;end_day=31&amp;end_year=2014","MOROCCO")</f>
        <v>MOROCCO</v>
      </c>
      <c r="J179" s="91" t="str">
        <f>HYPERLINK("http://api.nsgreg.nga.mil/geo-political/GENC/3/ed2/MAR","MAR")</f>
        <v>MAR</v>
      </c>
    </row>
    <row r="180" spans="1:10" ht="13.5" customHeight="1" x14ac:dyDescent="0.2">
      <c r="A180" s="76" t="s">
        <v>1226</v>
      </c>
      <c r="B180" s="31" t="s">
        <v>1227</v>
      </c>
      <c r="C180" s="56" t="s">
        <v>1228</v>
      </c>
      <c r="D180" s="54" t="s">
        <v>1229</v>
      </c>
      <c r="E180" s="31" t="s">
        <v>1230</v>
      </c>
      <c r="F180" s="31" t="s">
        <v>1231</v>
      </c>
      <c r="G180" s="123" t="str">
        <f>HYPERLINK("[#]Administrative_Subdivisions!A2954:H2954","&lt;link&gt;")</f>
        <v>&lt;link&gt;</v>
      </c>
      <c r="H180" s="86" t="s">
        <v>1232</v>
      </c>
      <c r="I180" s="64" t="str">
        <f>HYPERLINK("http://nsgreg.nga.mil/genc/view?v=204387&amp;end_month=3&amp;end_day=31&amp;end_year=2014","MOZAMBIQUE")</f>
        <v>MOZAMBIQUE</v>
      </c>
      <c r="J180" s="87" t="str">
        <f>HYPERLINK("http://api.nsgreg.nga.mil/geo-political/GENC/3/ed2/MOZ","MOZ")</f>
        <v>MOZ</v>
      </c>
    </row>
    <row r="181" spans="1:10" ht="13.5" customHeight="1" x14ac:dyDescent="0.2">
      <c r="A181" s="76" t="s">
        <v>1233</v>
      </c>
      <c r="B181" s="31" t="s">
        <v>1234</v>
      </c>
      <c r="C181" s="56" t="s">
        <v>1235</v>
      </c>
      <c r="D181" s="54" t="s">
        <v>1236</v>
      </c>
      <c r="E181" s="31" t="s">
        <v>1237</v>
      </c>
      <c r="F181" s="31" t="s">
        <v>1238</v>
      </c>
      <c r="G181" s="123" t="str">
        <f>HYPERLINK("[#]Administrative_Subdivisions!A2965:H2965","&lt;link&gt;")</f>
        <v>&lt;link&gt;</v>
      </c>
      <c r="H181" s="86" t="s">
        <v>1239</v>
      </c>
      <c r="I181" s="64" t="str">
        <f>HYPERLINK("http://nsgreg.nga.mil/genc/view?v=204388&amp;end_month=3&amp;end_day=31&amp;end_year=2014","NAMIBIA")</f>
        <v>NAMIBIA</v>
      </c>
      <c r="J181" s="87" t="str">
        <f>HYPERLINK("http://api.nsgreg.nga.mil/geo-political/GENC/3/ed2/NAM","NAM")</f>
        <v>NAM</v>
      </c>
    </row>
    <row r="182" spans="1:10" ht="13.5" customHeight="1" x14ac:dyDescent="0.2">
      <c r="A182" s="76" t="s">
        <v>1240</v>
      </c>
      <c r="B182" s="31" t="s">
        <v>1241</v>
      </c>
      <c r="C182" s="56" t="s">
        <v>1242</v>
      </c>
      <c r="D182" s="54" t="s">
        <v>1243</v>
      </c>
      <c r="E182" s="31" t="s">
        <v>1244</v>
      </c>
      <c r="F182" s="31" t="s">
        <v>1245</v>
      </c>
      <c r="G182" s="123" t="str">
        <f>HYPERLINK("[#]Administrative_Subdivisions!A2980:H2980","&lt;link&gt;")</f>
        <v>&lt;link&gt;</v>
      </c>
      <c r="H182" s="86" t="s">
        <v>1246</v>
      </c>
      <c r="I182" s="64" t="str">
        <f>HYPERLINK("http://nsgreg.nga.mil/genc/view?v=204389&amp;end_month=3&amp;end_day=31&amp;end_year=2014","NAURU")</f>
        <v>NAURU</v>
      </c>
      <c r="J182" s="87" t="str">
        <f>HYPERLINK("http://api.nsgreg.nga.mil/geo-political/GENC/3/ed2/NRU","NRU")</f>
        <v>NRU</v>
      </c>
    </row>
    <row r="183" spans="1:10" ht="13.5" customHeight="1" x14ac:dyDescent="0.2">
      <c r="A183" s="77" t="s">
        <v>1247</v>
      </c>
      <c r="B183" s="58" t="s">
        <v>1248</v>
      </c>
      <c r="C183" s="67" t="s">
        <v>93</v>
      </c>
      <c r="D183" s="57" t="s">
        <v>1249</v>
      </c>
      <c r="E183" s="58" t="s">
        <v>1250</v>
      </c>
      <c r="F183" s="58" t="s">
        <v>1250</v>
      </c>
      <c r="G183" s="124"/>
      <c r="H183" s="88" t="s">
        <v>1251</v>
      </c>
      <c r="I183" s="66" t="str">
        <f>HYPERLINK("http://nsgreg.nga.mil/genc/view?v=204390&amp;end_month=3&amp;end_day=31&amp;end_year=2014","NAVASSA ISLAND")</f>
        <v>NAVASSA ISLAND</v>
      </c>
      <c r="J183" s="89" t="str">
        <f>HYPERLINK("http://api.nsgreg.nga.mil/geo-political/GENC/3/ed2/XNV","XNV")</f>
        <v>XNV</v>
      </c>
    </row>
    <row r="184" spans="1:10" ht="13.5" customHeight="1" x14ac:dyDescent="0.2">
      <c r="A184" s="78" t="s">
        <v>1252</v>
      </c>
      <c r="B184" s="52" t="s">
        <v>1253</v>
      </c>
      <c r="C184" s="53" t="s">
        <v>1254</v>
      </c>
      <c r="D184" s="51" t="s">
        <v>1255</v>
      </c>
      <c r="E184" s="52" t="s">
        <v>1256</v>
      </c>
      <c r="F184" s="52" t="s">
        <v>1257</v>
      </c>
      <c r="G184" s="125" t="str">
        <f>HYPERLINK("[#]Administrative_Subdivisions!A2994:H2994","&lt;link&gt;")</f>
        <v>&lt;link&gt;</v>
      </c>
      <c r="H184" s="90" t="s">
        <v>1258</v>
      </c>
      <c r="I184" s="63" t="str">
        <f>HYPERLINK("http://nsgreg.nga.mil/genc/view?v=204391&amp;end_month=3&amp;end_day=31&amp;end_year=2014","NEPAL")</f>
        <v>NEPAL</v>
      </c>
      <c r="J184" s="91" t="str">
        <f>HYPERLINK("http://api.nsgreg.nga.mil/geo-political/GENC/3/ed2/NPL","NPL")</f>
        <v>NPL</v>
      </c>
    </row>
    <row r="185" spans="1:10" ht="13.5" customHeight="1" x14ac:dyDescent="0.2">
      <c r="A185" s="76" t="s">
        <v>1259</v>
      </c>
      <c r="B185" s="31" t="s">
        <v>1260</v>
      </c>
      <c r="C185" s="56" t="s">
        <v>1261</v>
      </c>
      <c r="D185" s="54" t="s">
        <v>1262</v>
      </c>
      <c r="E185" s="31" t="s">
        <v>1263</v>
      </c>
      <c r="F185" s="31" t="s">
        <v>1264</v>
      </c>
      <c r="G185" s="123" t="str">
        <f>HYPERLINK("[#]Administrative_Subdivisions!A3013:H3013","&lt;link&gt;")</f>
        <v>&lt;link&gt;</v>
      </c>
      <c r="H185" s="86" t="s">
        <v>1265</v>
      </c>
      <c r="I185" s="64" t="str">
        <f>HYPERLINK("http://nsgreg.nga.mil/genc/view?v=204392&amp;end_month=3&amp;end_day=31&amp;end_year=2014","NETHERLANDS")</f>
        <v>NETHERLANDS</v>
      </c>
      <c r="J185" s="87" t="str">
        <f>HYPERLINK("http://api.nsgreg.nga.mil/geo-political/GENC/3/ed2/NLD","NLD")</f>
        <v>NLD</v>
      </c>
    </row>
    <row r="186" spans="1:10" ht="13.5" customHeight="1" x14ac:dyDescent="0.2">
      <c r="A186" s="76" t="s">
        <v>1266</v>
      </c>
      <c r="B186" s="31" t="s">
        <v>1267</v>
      </c>
      <c r="C186" s="56" t="s">
        <v>1268</v>
      </c>
      <c r="D186" s="54" t="s">
        <v>1269</v>
      </c>
      <c r="E186" s="31" t="s">
        <v>1270</v>
      </c>
      <c r="F186" s="31" t="s">
        <v>1270</v>
      </c>
      <c r="G186" s="122"/>
      <c r="H186" s="86" t="s">
        <v>1271</v>
      </c>
      <c r="I186" s="64" t="str">
        <f>HYPERLINK("http://nsgreg.nga.mil/genc/view?v=204393&amp;end_month=3&amp;end_day=31&amp;end_year=2014","NEW CALEDONIA")</f>
        <v>NEW CALEDONIA</v>
      </c>
      <c r="J186" s="87" t="str">
        <f>HYPERLINK("http://api.nsgreg.nga.mil/geo-political/GENC/3/ed2/NCL","NCL")</f>
        <v>NCL</v>
      </c>
    </row>
    <row r="187" spans="1:10" ht="13.5" customHeight="1" x14ac:dyDescent="0.2">
      <c r="A187" s="76" t="s">
        <v>1272</v>
      </c>
      <c r="B187" s="31" t="s">
        <v>1273</v>
      </c>
      <c r="C187" s="56" t="s">
        <v>1274</v>
      </c>
      <c r="D187" s="54" t="s">
        <v>1275</v>
      </c>
      <c r="E187" s="31" t="s">
        <v>1276</v>
      </c>
      <c r="F187" s="31" t="s">
        <v>1276</v>
      </c>
      <c r="G187" s="123" t="str">
        <f>HYPERLINK("[#]Administrative_Subdivisions!A3031:H3031","&lt;link&gt;")</f>
        <v>&lt;link&gt;</v>
      </c>
      <c r="H187" s="86" t="s">
        <v>1277</v>
      </c>
      <c r="I187" s="64" t="str">
        <f>HYPERLINK("http://nsgreg.nga.mil/genc/view?v=204394&amp;end_month=3&amp;end_day=31&amp;end_year=2014","NEW ZEALAND")</f>
        <v>NEW ZEALAND</v>
      </c>
      <c r="J187" s="87" t="str">
        <f>HYPERLINK("http://api.nsgreg.nga.mil/geo-political/GENC/3/ed2/NZL","NZL")</f>
        <v>NZL</v>
      </c>
    </row>
    <row r="188" spans="1:10" ht="13.5" customHeight="1" x14ac:dyDescent="0.2">
      <c r="A188" s="77" t="s">
        <v>1278</v>
      </c>
      <c r="B188" s="58" t="s">
        <v>1279</v>
      </c>
      <c r="C188" s="59" t="s">
        <v>1280</v>
      </c>
      <c r="D188" s="57" t="s">
        <v>1281</v>
      </c>
      <c r="E188" s="58" t="s">
        <v>1282</v>
      </c>
      <c r="F188" s="58" t="s">
        <v>1283</v>
      </c>
      <c r="G188" s="126" t="str">
        <f>HYPERLINK("[#]Administrative_Subdivisions!A3050:H3050","&lt;link&gt;")</f>
        <v>&lt;link&gt;</v>
      </c>
      <c r="H188" s="88" t="s">
        <v>1284</v>
      </c>
      <c r="I188" s="66" t="str">
        <f>HYPERLINK("http://nsgreg.nga.mil/genc/view?v=204395&amp;end_month=3&amp;end_day=31&amp;end_year=2014","NICARAGUA")</f>
        <v>NICARAGUA</v>
      </c>
      <c r="J188" s="89" t="str">
        <f>HYPERLINK("http://api.nsgreg.nga.mil/geo-political/GENC/3/ed2/NIC","NIC")</f>
        <v>NIC</v>
      </c>
    </row>
    <row r="189" spans="1:10" ht="13.5" customHeight="1" x14ac:dyDescent="0.2">
      <c r="A189" s="78" t="s">
        <v>1285</v>
      </c>
      <c r="B189" s="52" t="s">
        <v>1286</v>
      </c>
      <c r="C189" s="53" t="s">
        <v>1287</v>
      </c>
      <c r="D189" s="51" t="s">
        <v>1288</v>
      </c>
      <c r="E189" s="52" t="s">
        <v>1289</v>
      </c>
      <c r="F189" s="52" t="s">
        <v>1290</v>
      </c>
      <c r="G189" s="125" t="str">
        <f>HYPERLINK("[#]Administrative_Subdivisions!A3067:H3067","&lt;link&gt;")</f>
        <v>&lt;link&gt;</v>
      </c>
      <c r="H189" s="90" t="s">
        <v>1291</v>
      </c>
      <c r="I189" s="63" t="str">
        <f>HYPERLINK("http://nsgreg.nga.mil/genc/view?v=204396&amp;end_month=3&amp;end_day=31&amp;end_year=2014","NIGER")</f>
        <v>NIGER</v>
      </c>
      <c r="J189" s="91" t="str">
        <f>HYPERLINK("http://api.nsgreg.nga.mil/geo-political/GENC/3/ed2/NER","NER")</f>
        <v>NER</v>
      </c>
    </row>
    <row r="190" spans="1:10" ht="13.5" customHeight="1" x14ac:dyDescent="0.2">
      <c r="A190" s="76" t="s">
        <v>1292</v>
      </c>
      <c r="B190" s="31" t="s">
        <v>1293</v>
      </c>
      <c r="C190" s="56" t="s">
        <v>1294</v>
      </c>
      <c r="D190" s="54" t="s">
        <v>1295</v>
      </c>
      <c r="E190" s="31" t="s">
        <v>1296</v>
      </c>
      <c r="F190" s="31" t="s">
        <v>1297</v>
      </c>
      <c r="G190" s="123" t="str">
        <f>HYPERLINK("[#]Administrative_Subdivisions!A3075:H3075","&lt;link&gt;")</f>
        <v>&lt;link&gt;</v>
      </c>
      <c r="H190" s="86" t="s">
        <v>1298</v>
      </c>
      <c r="I190" s="64" t="str">
        <f>HYPERLINK("http://nsgreg.nga.mil/genc/view?v=204397&amp;end_month=3&amp;end_day=31&amp;end_year=2014","NIGERIA")</f>
        <v>NIGERIA</v>
      </c>
      <c r="J190" s="87" t="str">
        <f>HYPERLINK("http://api.nsgreg.nga.mil/geo-political/GENC/3/ed2/NGA","NGA")</f>
        <v>NGA</v>
      </c>
    </row>
    <row r="191" spans="1:10" ht="13.5" customHeight="1" x14ac:dyDescent="0.2">
      <c r="A191" s="76" t="s">
        <v>1299</v>
      </c>
      <c r="B191" s="31" t="s">
        <v>1300</v>
      </c>
      <c r="C191" s="56" t="s">
        <v>1301</v>
      </c>
      <c r="D191" s="54" t="s">
        <v>1302</v>
      </c>
      <c r="E191" s="31" t="s">
        <v>1303</v>
      </c>
      <c r="F191" s="31" t="s">
        <v>1303</v>
      </c>
      <c r="G191" s="122"/>
      <c r="H191" s="92" t="s">
        <v>1304</v>
      </c>
      <c r="I191" s="64" t="str">
        <f>HYPERLINK("http://nsgreg.nga.mil/genc/view?v=117470&amp;gencs=T&amp;end_month=3&amp;end_day=31&amp;end_year=2014","NIUE")</f>
        <v>NIUE</v>
      </c>
      <c r="J191" s="87" t="str">
        <f>HYPERLINK("http://api.nsgreg.nga.mil/geo-political/ISO3166-1/3/VII-1/NIU","NIU")</f>
        <v>NIU</v>
      </c>
    </row>
    <row r="192" spans="1:10" ht="13.5" customHeight="1" x14ac:dyDescent="0.2">
      <c r="A192" s="76" t="s">
        <v>1305</v>
      </c>
      <c r="B192" s="31" t="s">
        <v>1306</v>
      </c>
      <c r="C192" s="56" t="s">
        <v>1307</v>
      </c>
      <c r="D192" s="54" t="s">
        <v>1308</v>
      </c>
      <c r="E192" s="31" t="s">
        <v>1309</v>
      </c>
      <c r="F192" s="31" t="s">
        <v>1310</v>
      </c>
      <c r="G192" s="122"/>
      <c r="H192" s="86" t="s">
        <v>1311</v>
      </c>
      <c r="I192" s="64" t="str">
        <f>HYPERLINK("http://nsgreg.nga.mil/genc/view?v=204399&amp;end_month=3&amp;end_day=31&amp;end_year=2014","NORFOLK ISLAND")</f>
        <v>NORFOLK ISLAND</v>
      </c>
      <c r="J192" s="87" t="str">
        <f>HYPERLINK("http://api.nsgreg.nga.mil/geo-political/GENC/3/ed2/NFK","NFK")</f>
        <v>NFK</v>
      </c>
    </row>
    <row r="193" spans="1:10" ht="13.5" customHeight="1" x14ac:dyDescent="0.2">
      <c r="A193" s="77" t="s">
        <v>1312</v>
      </c>
      <c r="B193" s="58" t="s">
        <v>1313</v>
      </c>
      <c r="C193" s="59" t="s">
        <v>1314</v>
      </c>
      <c r="D193" s="57" t="s">
        <v>1315</v>
      </c>
      <c r="E193" s="58" t="s">
        <v>1316</v>
      </c>
      <c r="F193" s="58" t="s">
        <v>1317</v>
      </c>
      <c r="G193" s="124"/>
      <c r="H193" s="88" t="s">
        <v>1318</v>
      </c>
      <c r="I193" s="66" t="str">
        <f>HYPERLINK("http://nsgreg.nga.mil/genc/view?v=204400&amp;end_month=3&amp;end_day=31&amp;end_year=2014","NORTHERN MARIANA ISLANDS")</f>
        <v>NORTHERN MARIANA ISLANDS</v>
      </c>
      <c r="J193" s="89" t="str">
        <f>HYPERLINK("http://api.nsgreg.nga.mil/geo-political/GENC/3/ed2/MNP","MNP")</f>
        <v>MNP</v>
      </c>
    </row>
    <row r="194" spans="1:10" ht="13.5" customHeight="1" x14ac:dyDescent="0.2">
      <c r="A194" s="78" t="s">
        <v>1319</v>
      </c>
      <c r="B194" s="52" t="s">
        <v>1320</v>
      </c>
      <c r="C194" s="53" t="s">
        <v>1321</v>
      </c>
      <c r="D194" s="51" t="s">
        <v>1322</v>
      </c>
      <c r="E194" s="52" t="s">
        <v>1323</v>
      </c>
      <c r="F194" s="52" t="s">
        <v>1324</v>
      </c>
      <c r="G194" s="125" t="str">
        <f>HYPERLINK("[#]Administrative_Subdivisions!A3112:H3112","&lt;link&gt;")</f>
        <v>&lt;link&gt;</v>
      </c>
      <c r="H194" s="90" t="s">
        <v>1325</v>
      </c>
      <c r="I194" s="63" t="str">
        <f>HYPERLINK("http://nsgreg.nga.mil/genc/view?v=204401&amp;end_month=3&amp;end_day=31&amp;end_year=2014","NORWAY")</f>
        <v>NORWAY</v>
      </c>
      <c r="J194" s="91" t="str">
        <f>HYPERLINK("http://api.nsgreg.nga.mil/geo-political/GENC/3/ed2/NOR","NOR")</f>
        <v>NOR</v>
      </c>
    </row>
    <row r="195" spans="1:10" ht="13.5" customHeight="1" x14ac:dyDescent="0.2">
      <c r="A195" s="76" t="s">
        <v>1326</v>
      </c>
      <c r="B195" s="31" t="s">
        <v>1327</v>
      </c>
      <c r="C195" s="56" t="s">
        <v>1328</v>
      </c>
      <c r="D195" s="54" t="s">
        <v>1329</v>
      </c>
      <c r="E195" s="31" t="s">
        <v>1330</v>
      </c>
      <c r="F195" s="31" t="s">
        <v>1331</v>
      </c>
      <c r="G195" s="123" t="str">
        <f>HYPERLINK("[#]Administrative_Subdivisions!A3133:H3133","&lt;link&gt;")</f>
        <v>&lt;link&gt;</v>
      </c>
      <c r="H195" s="86" t="s">
        <v>1332</v>
      </c>
      <c r="I195" s="64" t="str">
        <f>HYPERLINK("http://nsgreg.nga.mil/genc/view?v=204402&amp;end_month=3&amp;end_day=31&amp;end_year=2014","OMAN")</f>
        <v>OMAN</v>
      </c>
      <c r="J195" s="87" t="str">
        <f>HYPERLINK("http://api.nsgreg.nga.mil/geo-political/GENC/3/ed2/OMN","OMN")</f>
        <v>OMN</v>
      </c>
    </row>
    <row r="196" spans="1:10" ht="13.5" customHeight="1" x14ac:dyDescent="0.2">
      <c r="A196" s="76" t="s">
        <v>1333</v>
      </c>
      <c r="B196" s="31" t="s">
        <v>1334</v>
      </c>
      <c r="C196" s="56" t="s">
        <v>1335</v>
      </c>
      <c r="D196" s="54" t="s">
        <v>1336</v>
      </c>
      <c r="E196" s="31" t="s">
        <v>1337</v>
      </c>
      <c r="F196" s="31" t="s">
        <v>1338</v>
      </c>
      <c r="G196" s="123" t="str">
        <f>HYPERLINK("[#]Administrative_Subdivisions!A3146:H3146","&lt;link&gt;")</f>
        <v>&lt;link&gt;</v>
      </c>
      <c r="H196" s="86" t="s">
        <v>1339</v>
      </c>
      <c r="I196" s="64" t="str">
        <f>HYPERLINK("http://nsgreg.nga.mil/genc/view?v=204403&amp;end_month=3&amp;end_day=31&amp;end_year=2014","PAKISTAN")</f>
        <v>PAKISTAN</v>
      </c>
      <c r="J196" s="87" t="str">
        <f>HYPERLINK("http://api.nsgreg.nga.mil/geo-political/GENC/3/ed2/PAK","PAK")</f>
        <v>PAK</v>
      </c>
    </row>
    <row r="197" spans="1:10" ht="13.5" customHeight="1" x14ac:dyDescent="0.2">
      <c r="A197" s="76" t="s">
        <v>1340</v>
      </c>
      <c r="B197" s="31" t="s">
        <v>1341</v>
      </c>
      <c r="C197" s="56" t="s">
        <v>1342</v>
      </c>
      <c r="D197" s="54" t="s">
        <v>1343</v>
      </c>
      <c r="E197" s="31" t="s">
        <v>1344</v>
      </c>
      <c r="F197" s="31" t="s">
        <v>1345</v>
      </c>
      <c r="G197" s="123" t="str">
        <f>HYPERLINK("[#]Administrative_Subdivisions!A3154:H3154","&lt;link&gt;")</f>
        <v>&lt;link&gt;</v>
      </c>
      <c r="H197" s="86" t="s">
        <v>1346</v>
      </c>
      <c r="I197" s="64" t="str">
        <f>HYPERLINK("http://nsgreg.nga.mil/genc/view?v=204404&amp;end_month=3&amp;end_day=31&amp;end_year=2014","PALAU")</f>
        <v>PALAU</v>
      </c>
      <c r="J197" s="87" t="str">
        <f>HYPERLINK("http://api.nsgreg.nga.mil/geo-political/GENC/3/ed2/PLW","PLW")</f>
        <v>PLW</v>
      </c>
    </row>
    <row r="198" spans="1:10" ht="13.5" customHeight="1" x14ac:dyDescent="0.2">
      <c r="A198" s="77" t="s">
        <v>1347</v>
      </c>
      <c r="B198" s="58" t="s">
        <v>1348</v>
      </c>
      <c r="C198" s="67" t="s">
        <v>93</v>
      </c>
      <c r="D198" s="57" t="s">
        <v>1349</v>
      </c>
      <c r="E198" s="58" t="s">
        <v>1350</v>
      </c>
      <c r="F198" s="58" t="s">
        <v>1350</v>
      </c>
      <c r="G198" s="124"/>
      <c r="H198" s="88" t="s">
        <v>1351</v>
      </c>
      <c r="I198" s="66" t="str">
        <f>HYPERLINK("http://nsgreg.nga.mil/genc/view?v=204406&amp;end_month=3&amp;end_day=31&amp;end_year=2014","PALMYRA ATOLL")</f>
        <v>PALMYRA ATOLL</v>
      </c>
      <c r="J198" s="89" t="str">
        <f>HYPERLINK("http://api.nsgreg.nga.mil/geo-political/GENC/3/ed2/XPL","XPL")</f>
        <v>XPL</v>
      </c>
    </row>
    <row r="199" spans="1:10" ht="13.5" customHeight="1" x14ac:dyDescent="0.2">
      <c r="A199" s="78" t="s">
        <v>1352</v>
      </c>
      <c r="B199" s="52" t="s">
        <v>1353</v>
      </c>
      <c r="C199" s="53" t="s">
        <v>1354</v>
      </c>
      <c r="D199" s="51" t="s">
        <v>1355</v>
      </c>
      <c r="E199" s="52" t="s">
        <v>1356</v>
      </c>
      <c r="F199" s="52" t="s">
        <v>1357</v>
      </c>
      <c r="G199" s="125" t="str">
        <f>HYPERLINK("[#]Administrative_Subdivisions!A3170:H3170","&lt;link&gt;")</f>
        <v>&lt;link&gt;</v>
      </c>
      <c r="H199" s="90" t="s">
        <v>1358</v>
      </c>
      <c r="I199" s="63" t="str">
        <f>HYPERLINK("http://nsgreg.nga.mil/genc/view?v=204407&amp;end_month=3&amp;end_day=31&amp;end_year=2014","PANAMA")</f>
        <v>PANAMA</v>
      </c>
      <c r="J199" s="91" t="str">
        <f>HYPERLINK("http://api.nsgreg.nga.mil/geo-political/GENC/3/ed2/PAN","PAN")</f>
        <v>PAN</v>
      </c>
    </row>
    <row r="200" spans="1:10" ht="13.5" customHeight="1" x14ac:dyDescent="0.2">
      <c r="A200" s="76" t="s">
        <v>1359</v>
      </c>
      <c r="B200" s="31" t="s">
        <v>1360</v>
      </c>
      <c r="C200" s="56" t="s">
        <v>1361</v>
      </c>
      <c r="D200" s="54" t="s">
        <v>1362</v>
      </c>
      <c r="E200" s="31" t="s">
        <v>1363</v>
      </c>
      <c r="F200" s="31" t="s">
        <v>1364</v>
      </c>
      <c r="G200" s="123" t="str">
        <f>HYPERLINK("[#]Administrative_Subdivisions!A3182:H3182","&lt;link&gt;")</f>
        <v>&lt;link&gt;</v>
      </c>
      <c r="H200" s="86" t="s">
        <v>1365</v>
      </c>
      <c r="I200" s="64" t="str">
        <f>HYPERLINK("http://nsgreg.nga.mil/genc/view?v=204498&amp;end_month=3&amp;end_day=31&amp;end_year=2014","PAPUA NEW GUINEA")</f>
        <v>PAPUA NEW GUINEA</v>
      </c>
      <c r="J200" s="87" t="str">
        <f>HYPERLINK("http://api.nsgreg.nga.mil/geo-political/GENC/3/ed2/PNG","PNG")</f>
        <v>PNG</v>
      </c>
    </row>
    <row r="201" spans="1:10" ht="13.5" customHeight="1" x14ac:dyDescent="0.2">
      <c r="A201" s="76" t="s">
        <v>1366</v>
      </c>
      <c r="B201" s="31" t="s">
        <v>1367</v>
      </c>
      <c r="C201" s="55" t="s">
        <v>93</v>
      </c>
      <c r="D201" s="54" t="s">
        <v>1368</v>
      </c>
      <c r="E201" s="31" t="s">
        <v>1369</v>
      </c>
      <c r="F201" s="31" t="s">
        <v>1369</v>
      </c>
      <c r="G201" s="122"/>
      <c r="H201" s="86" t="s">
        <v>1370</v>
      </c>
      <c r="I201" s="64" t="str">
        <f>HYPERLINK("http://nsgreg.nga.mil/genc/view?v=204408&amp;end_month=3&amp;end_day=31&amp;end_year=2014","PARACEL ISLANDS")</f>
        <v>PARACEL ISLANDS</v>
      </c>
      <c r="J201" s="87" t="str">
        <f>HYPERLINK("http://api.nsgreg.nga.mil/geo-political/GENC/3/ed2/XPR","XPR")</f>
        <v>XPR</v>
      </c>
    </row>
    <row r="202" spans="1:10" ht="13.5" customHeight="1" x14ac:dyDescent="0.2">
      <c r="A202" s="76" t="s">
        <v>1371</v>
      </c>
      <c r="B202" s="31" t="s">
        <v>1372</v>
      </c>
      <c r="C202" s="56" t="s">
        <v>1373</v>
      </c>
      <c r="D202" s="54" t="s">
        <v>1374</v>
      </c>
      <c r="E202" s="31" t="s">
        <v>1375</v>
      </c>
      <c r="F202" s="31" t="s">
        <v>1376</v>
      </c>
      <c r="G202" s="123" t="str">
        <f>HYPERLINK("[#]Administrative_Subdivisions!A3204:H3204","&lt;link&gt;")</f>
        <v>&lt;link&gt;</v>
      </c>
      <c r="H202" s="86" t="s">
        <v>1377</v>
      </c>
      <c r="I202" s="64" t="str">
        <f>HYPERLINK("http://nsgreg.nga.mil/genc/view?v=204409&amp;end_month=3&amp;end_day=31&amp;end_year=2014","PARAGUAY")</f>
        <v>PARAGUAY</v>
      </c>
      <c r="J202" s="87" t="str">
        <f>HYPERLINK("http://api.nsgreg.nga.mil/geo-political/GENC/3/ed2/PRY","PRY")</f>
        <v>PRY</v>
      </c>
    </row>
    <row r="203" spans="1:10" ht="13.5" customHeight="1" x14ac:dyDescent="0.2">
      <c r="A203" s="77" t="s">
        <v>1378</v>
      </c>
      <c r="B203" s="58" t="s">
        <v>1379</v>
      </c>
      <c r="C203" s="59" t="s">
        <v>1380</v>
      </c>
      <c r="D203" s="57" t="s">
        <v>1381</v>
      </c>
      <c r="E203" s="58" t="s">
        <v>1382</v>
      </c>
      <c r="F203" s="58" t="s">
        <v>1383</v>
      </c>
      <c r="G203" s="126" t="str">
        <f>HYPERLINK("[#]Administrative_Subdivisions!A3222:H3222","&lt;link&gt;")</f>
        <v>&lt;link&gt;</v>
      </c>
      <c r="H203" s="88" t="s">
        <v>1384</v>
      </c>
      <c r="I203" s="66" t="str">
        <f>HYPERLINK("http://nsgreg.nga.mil/genc/view?v=204410&amp;end_month=3&amp;end_day=31&amp;end_year=2014","PERU")</f>
        <v>PERU</v>
      </c>
      <c r="J203" s="89" t="str">
        <f>HYPERLINK("http://api.nsgreg.nga.mil/geo-political/GENC/3/ed2/PER","PER")</f>
        <v>PER</v>
      </c>
    </row>
    <row r="204" spans="1:10" ht="13.5" customHeight="1" x14ac:dyDescent="0.2">
      <c r="A204" s="78" t="s">
        <v>1385</v>
      </c>
      <c r="B204" s="52" t="s">
        <v>1386</v>
      </c>
      <c r="C204" s="53" t="s">
        <v>1387</v>
      </c>
      <c r="D204" s="51" t="s">
        <v>1388</v>
      </c>
      <c r="E204" s="52" t="s">
        <v>1389</v>
      </c>
      <c r="F204" s="52" t="s">
        <v>1390</v>
      </c>
      <c r="G204" s="125" t="str">
        <f>HYPERLINK("[#]Administrative_Subdivisions!A3248:H3248","&lt;link&gt;")</f>
        <v>&lt;link&gt;</v>
      </c>
      <c r="H204" s="90" t="s">
        <v>1391</v>
      </c>
      <c r="I204" s="63" t="str">
        <f>HYPERLINK("http://nsgreg.nga.mil/genc/view?v=204411&amp;end_month=3&amp;end_day=31&amp;end_year=2014","PHILIPPINES")</f>
        <v>PHILIPPINES</v>
      </c>
      <c r="J204" s="91" t="str">
        <f>HYPERLINK("http://api.nsgreg.nga.mil/geo-political/GENC/3/ed2/PHL","PHL")</f>
        <v>PHL</v>
      </c>
    </row>
    <row r="205" spans="1:10" ht="13.5" customHeight="1" x14ac:dyDescent="0.2">
      <c r="A205" s="76" t="s">
        <v>1392</v>
      </c>
      <c r="B205" s="31" t="s">
        <v>1393</v>
      </c>
      <c r="C205" s="56" t="s">
        <v>1394</v>
      </c>
      <c r="D205" s="54" t="s">
        <v>1395</v>
      </c>
      <c r="E205" s="31" t="s">
        <v>1396</v>
      </c>
      <c r="F205" s="31" t="s">
        <v>1397</v>
      </c>
      <c r="G205" s="122"/>
      <c r="H205" s="86" t="s">
        <v>1398</v>
      </c>
      <c r="I205" s="64" t="str">
        <f>HYPERLINK("http://nsgreg.nga.mil/genc/view?v=204412&amp;end_month=3&amp;end_day=31&amp;end_year=2014","PITCAIRN ISLANDS")</f>
        <v>PITCAIRN ISLANDS</v>
      </c>
      <c r="J205" s="87" t="str">
        <f>HYPERLINK("http://api.nsgreg.nga.mil/geo-political/GENC/3/ed2/PCN","PCN")</f>
        <v>PCN</v>
      </c>
    </row>
    <row r="206" spans="1:10" ht="13.5" customHeight="1" x14ac:dyDescent="0.2">
      <c r="A206" s="76" t="s">
        <v>1399</v>
      </c>
      <c r="B206" s="31" t="s">
        <v>1400</v>
      </c>
      <c r="C206" s="56" t="s">
        <v>1401</v>
      </c>
      <c r="D206" s="54" t="s">
        <v>1402</v>
      </c>
      <c r="E206" s="31" t="s">
        <v>1403</v>
      </c>
      <c r="F206" s="31" t="s">
        <v>1404</v>
      </c>
      <c r="G206" s="123" t="str">
        <f>HYPERLINK("[#]Administrative_Subdivisions!A3384:H3384","&lt;link&gt;")</f>
        <v>&lt;link&gt;</v>
      </c>
      <c r="H206" s="86" t="s">
        <v>1405</v>
      </c>
      <c r="I206" s="64" t="str">
        <f>HYPERLINK("http://nsgreg.nga.mil/genc/view?v=204413&amp;end_month=3&amp;end_day=31&amp;end_year=2014","POLAND")</f>
        <v>POLAND</v>
      </c>
      <c r="J206" s="87" t="str">
        <f>HYPERLINK("http://api.nsgreg.nga.mil/geo-political/GENC/3/ed2/POL","POL")</f>
        <v>POL</v>
      </c>
    </row>
    <row r="207" spans="1:10" ht="13.5" customHeight="1" x14ac:dyDescent="0.2">
      <c r="A207" s="76" t="s">
        <v>1406</v>
      </c>
      <c r="B207" s="31" t="s">
        <v>1407</v>
      </c>
      <c r="C207" s="56" t="s">
        <v>1408</v>
      </c>
      <c r="D207" s="54" t="s">
        <v>1409</v>
      </c>
      <c r="E207" s="31" t="s">
        <v>1410</v>
      </c>
      <c r="F207" s="31" t="s">
        <v>1411</v>
      </c>
      <c r="G207" s="123" t="str">
        <f>HYPERLINK("[#]Administrative_Subdivisions!A3400:H3400","&lt;link&gt;")</f>
        <v>&lt;link&gt;</v>
      </c>
      <c r="H207" s="86" t="s">
        <v>1412</v>
      </c>
      <c r="I207" s="64" t="str">
        <f>HYPERLINK("http://nsgreg.nga.mil/genc/view?v=204414&amp;end_month=3&amp;end_day=31&amp;end_year=2014","PORTUGAL")</f>
        <v>PORTUGAL</v>
      </c>
      <c r="J207" s="87" t="str">
        <f>HYPERLINK("http://api.nsgreg.nga.mil/geo-political/GENC/3/ed2/PRT","PRT")</f>
        <v>PRT</v>
      </c>
    </row>
    <row r="208" spans="1:10" ht="13.5" customHeight="1" x14ac:dyDescent="0.2">
      <c r="A208" s="77" t="s">
        <v>1413</v>
      </c>
      <c r="B208" s="58" t="s">
        <v>1414</v>
      </c>
      <c r="C208" s="59" t="s">
        <v>1415</v>
      </c>
      <c r="D208" s="57" t="s">
        <v>1416</v>
      </c>
      <c r="E208" s="58" t="s">
        <v>1417</v>
      </c>
      <c r="F208" s="58" t="s">
        <v>1418</v>
      </c>
      <c r="G208" s="124"/>
      <c r="H208" s="88" t="s">
        <v>1419</v>
      </c>
      <c r="I208" s="66" t="str">
        <f>HYPERLINK("http://nsgreg.nga.mil/genc/view?v=204415&amp;end_month=3&amp;end_day=31&amp;end_year=2014","PUERTO RICO")</f>
        <v>PUERTO RICO</v>
      </c>
      <c r="J208" s="89" t="str">
        <f>HYPERLINK("http://api.nsgreg.nga.mil/geo-political/GENC/3/ed2/PRI","PRI")</f>
        <v>PRI</v>
      </c>
    </row>
    <row r="209" spans="1:10" ht="13.5" customHeight="1" x14ac:dyDescent="0.2">
      <c r="A209" s="78" t="s">
        <v>1420</v>
      </c>
      <c r="B209" s="52" t="s">
        <v>1421</v>
      </c>
      <c r="C209" s="53" t="s">
        <v>1422</v>
      </c>
      <c r="D209" s="51" t="s">
        <v>1423</v>
      </c>
      <c r="E209" s="52" t="s">
        <v>1424</v>
      </c>
      <c r="F209" s="52" t="s">
        <v>1425</v>
      </c>
      <c r="G209" s="125" t="str">
        <f>HYPERLINK("[#]Administrative_Subdivisions!A3420:H3420","&lt;link&gt;")</f>
        <v>&lt;link&gt;</v>
      </c>
      <c r="H209" s="90" t="s">
        <v>1426</v>
      </c>
      <c r="I209" s="63" t="str">
        <f>HYPERLINK("http://nsgreg.nga.mil/genc/view?v=204416&amp;end_month=3&amp;end_day=31&amp;end_year=2014","QATAR")</f>
        <v>QATAR</v>
      </c>
      <c r="J209" s="91" t="str">
        <f>HYPERLINK("http://api.nsgreg.nga.mil/geo-political/GENC/3/ed2/QAT","QAT")</f>
        <v>QAT</v>
      </c>
    </row>
    <row r="210" spans="1:10" ht="13.5" customHeight="1" x14ac:dyDescent="0.2">
      <c r="A210" s="76" t="s">
        <v>1427</v>
      </c>
      <c r="B210" s="31" t="s">
        <v>1428</v>
      </c>
      <c r="C210" s="56" t="s">
        <v>1429</v>
      </c>
      <c r="D210" s="54" t="s">
        <v>1430</v>
      </c>
      <c r="E210" s="31" t="s">
        <v>1431</v>
      </c>
      <c r="F210" s="31" t="s">
        <v>1432</v>
      </c>
      <c r="G210" s="122"/>
      <c r="H210" s="86" t="s">
        <v>1433</v>
      </c>
      <c r="I210" s="64" t="str">
        <f>HYPERLINK("http://nsgreg.nga.mil/genc/view?v=204417&amp;end_month=3&amp;end_day=31&amp;end_year=2014","REUNION")</f>
        <v>REUNION</v>
      </c>
      <c r="J210" s="87" t="str">
        <f>HYPERLINK("http://api.nsgreg.nga.mil/geo-political/GENC/3/ed2/REU","REU")</f>
        <v>REU</v>
      </c>
    </row>
    <row r="211" spans="1:10" ht="13.5" customHeight="1" x14ac:dyDescent="0.2">
      <c r="A211" s="76" t="s">
        <v>1434</v>
      </c>
      <c r="B211" s="31" t="s">
        <v>1435</v>
      </c>
      <c r="C211" s="56" t="s">
        <v>1436</v>
      </c>
      <c r="D211" s="54" t="s">
        <v>1437</v>
      </c>
      <c r="E211" s="31" t="s">
        <v>1438</v>
      </c>
      <c r="F211" s="31" t="s">
        <v>1438</v>
      </c>
      <c r="G211" s="123" t="str">
        <f>HYPERLINK("[#]Administrative_Subdivisions!A3427:H3427","&lt;link&gt;")</f>
        <v>&lt;link&gt;</v>
      </c>
      <c r="H211" s="92" t="s">
        <v>1439</v>
      </c>
      <c r="I211" s="64" t="str">
        <f>HYPERLINK("http://nsgreg.nga.mil/genc/view?v=117489&amp;gencs=T&amp;end_month=3&amp;end_day=31&amp;end_year=2014","ROMANIA")</f>
        <v>ROMANIA</v>
      </c>
      <c r="J211" s="87" t="str">
        <f>HYPERLINK("http://api.nsgreg.nga.mil/geo-political/ISO3166-1/3/VII-1/ROU","ROU")</f>
        <v>ROU</v>
      </c>
    </row>
    <row r="212" spans="1:10" ht="13.5" customHeight="1" x14ac:dyDescent="0.2">
      <c r="A212" s="76" t="s">
        <v>1440</v>
      </c>
      <c r="B212" s="31" t="s">
        <v>1441</v>
      </c>
      <c r="C212" s="56" t="s">
        <v>1442</v>
      </c>
      <c r="D212" s="54" t="s">
        <v>1443</v>
      </c>
      <c r="E212" s="31" t="s">
        <v>1444</v>
      </c>
      <c r="F212" s="31" t="s">
        <v>1445</v>
      </c>
      <c r="G212" s="123" t="str">
        <f>HYPERLINK("[#]Administrative_Subdivisions!A3469:H3469","&lt;link&gt;")</f>
        <v>&lt;link&gt;</v>
      </c>
      <c r="H212" s="86" t="s">
        <v>1446</v>
      </c>
      <c r="I212" s="64" t="str">
        <f>HYPERLINK("http://nsgreg.nga.mil/genc/view?v=204418&amp;end_month=3&amp;end_day=31&amp;end_year=2014","RUSSIA")</f>
        <v>RUSSIA</v>
      </c>
      <c r="J212" s="87" t="str">
        <f>HYPERLINK("http://api.nsgreg.nga.mil/geo-political/GENC/3/ed2/RUS","RUS")</f>
        <v>RUS</v>
      </c>
    </row>
    <row r="213" spans="1:10" ht="13.5" customHeight="1" x14ac:dyDescent="0.2">
      <c r="A213" s="77" t="s">
        <v>1447</v>
      </c>
      <c r="B213" s="58" t="s">
        <v>1448</v>
      </c>
      <c r="C213" s="59" t="s">
        <v>1449</v>
      </c>
      <c r="D213" s="57" t="s">
        <v>1450</v>
      </c>
      <c r="E213" s="58" t="s">
        <v>1451</v>
      </c>
      <c r="F213" s="58" t="s">
        <v>1452</v>
      </c>
      <c r="G213" s="126" t="str">
        <f>HYPERLINK("[#]Administrative_Subdivisions!A3552:H3552","&lt;link&gt;")</f>
        <v>&lt;link&gt;</v>
      </c>
      <c r="H213" s="88" t="s">
        <v>1453</v>
      </c>
      <c r="I213" s="66" t="str">
        <f>HYPERLINK("http://nsgreg.nga.mil/genc/view?v=204419&amp;end_month=3&amp;end_day=31&amp;end_year=2014","RWANDA")</f>
        <v>RWANDA</v>
      </c>
      <c r="J213" s="89" t="str">
        <f>HYPERLINK("http://api.nsgreg.nga.mil/geo-political/GENC/3/ed2/RWA","RWA")</f>
        <v>RWA</v>
      </c>
    </row>
    <row r="214" spans="1:10" ht="13.5" customHeight="1" x14ac:dyDescent="0.2">
      <c r="A214" s="78" t="s">
        <v>1454</v>
      </c>
      <c r="B214" s="52" t="s">
        <v>1455</v>
      </c>
      <c r="C214" s="53" t="s">
        <v>1456</v>
      </c>
      <c r="D214" s="51" t="s">
        <v>1457</v>
      </c>
      <c r="E214" s="52" t="s">
        <v>1458</v>
      </c>
      <c r="F214" s="52" t="s">
        <v>1458</v>
      </c>
      <c r="G214" s="127"/>
      <c r="H214" s="90" t="s">
        <v>1459</v>
      </c>
      <c r="I214" s="63" t="str">
        <f>HYPERLINK("http://nsgreg.nga.mil/genc/view?v=204420&amp;end_month=3&amp;end_day=31&amp;end_year=2014","SAINT BARTHELEMY")</f>
        <v>SAINT BARTHELEMY</v>
      </c>
      <c r="J214" s="91" t="str">
        <f>HYPERLINK("http://api.nsgreg.nga.mil/geo-political/GENC/3/ed2/BLM","BLM")</f>
        <v>BLM</v>
      </c>
    </row>
    <row r="215" spans="1:10" ht="13.5" customHeight="1" x14ac:dyDescent="0.2">
      <c r="A215" s="76" t="s">
        <v>1460</v>
      </c>
      <c r="B215" s="31" t="s">
        <v>1461</v>
      </c>
      <c r="C215" s="56" t="s">
        <v>1462</v>
      </c>
      <c r="D215" s="54" t="s">
        <v>1463</v>
      </c>
      <c r="E215" s="31" t="s">
        <v>1464</v>
      </c>
      <c r="F215" s="31" t="s">
        <v>1464</v>
      </c>
      <c r="G215" s="123" t="str">
        <f>HYPERLINK("[#]Administrative_Subdivisions!A3557:H3557","&lt;link&gt;")</f>
        <v>&lt;link&gt;</v>
      </c>
      <c r="H215" s="86" t="s">
        <v>1465</v>
      </c>
      <c r="I215" s="64" t="str">
        <f>HYPERLINK("http://nsgreg.nga.mil/genc/view?v=204421&amp;end_month=3&amp;end_day=31&amp;end_year=2014","SAINT HELENA, ASCENSION, AND TRISTAN DA CUNHA")</f>
        <v>SAINT HELENA, ASCENSION, AND TRISTAN DA CUNHA</v>
      </c>
      <c r="J215" s="87" t="str">
        <f>HYPERLINK("http://api.nsgreg.nga.mil/geo-political/GENC/3/ed2/SHN","SHN")</f>
        <v>SHN</v>
      </c>
    </row>
    <row r="216" spans="1:10" ht="13.5" customHeight="1" x14ac:dyDescent="0.2">
      <c r="A216" s="76" t="s">
        <v>1466</v>
      </c>
      <c r="B216" s="31" t="s">
        <v>1467</v>
      </c>
      <c r="C216" s="56" t="s">
        <v>1468</v>
      </c>
      <c r="D216" s="54" t="s">
        <v>1469</v>
      </c>
      <c r="E216" s="31" t="s">
        <v>1470</v>
      </c>
      <c r="F216" s="31" t="s">
        <v>1471</v>
      </c>
      <c r="G216" s="123" t="str">
        <f>HYPERLINK("[#]Administrative_Subdivisions!A3560:H3560","&lt;link&gt;")</f>
        <v>&lt;link&gt;</v>
      </c>
      <c r="H216" s="86" t="s">
        <v>1472</v>
      </c>
      <c r="I216" s="64" t="str">
        <f>HYPERLINK("http://nsgreg.nga.mil/genc/view?v=204422&amp;end_month=3&amp;end_day=31&amp;end_year=2014","SAINT KITTS AND NEVIS")</f>
        <v>SAINT KITTS AND NEVIS</v>
      </c>
      <c r="J216" s="87" t="str">
        <f>HYPERLINK("http://api.nsgreg.nga.mil/geo-political/GENC/3/ed2/KNA","KNA")</f>
        <v>KNA</v>
      </c>
    </row>
    <row r="217" spans="1:10" ht="13.5" customHeight="1" x14ac:dyDescent="0.2">
      <c r="A217" s="76" t="s">
        <v>1473</v>
      </c>
      <c r="B217" s="31" t="s">
        <v>1474</v>
      </c>
      <c r="C217" s="56" t="s">
        <v>1475</v>
      </c>
      <c r="D217" s="54" t="s">
        <v>1476</v>
      </c>
      <c r="E217" s="31" t="s">
        <v>1477</v>
      </c>
      <c r="F217" s="31" t="s">
        <v>1477</v>
      </c>
      <c r="G217" s="123" t="str">
        <f>HYPERLINK("[#]Administrative_Subdivisions!A3576:H3576","&lt;link&gt;")</f>
        <v>&lt;link&gt;</v>
      </c>
      <c r="H217" s="92" t="s">
        <v>1478</v>
      </c>
      <c r="I217" s="64" t="str">
        <f>HYPERLINK("http://nsgreg.nga.mil/genc/view?v=117495&amp;gencs=T&amp;end_month=3&amp;end_day=31&amp;end_year=2014","SAINT LUCIA")</f>
        <v>SAINT LUCIA</v>
      </c>
      <c r="J217" s="87" t="str">
        <f>HYPERLINK("http://api.nsgreg.nga.mil/geo-political/ISO3166-1/3/VII-1/LCA","LCA")</f>
        <v>LCA</v>
      </c>
    </row>
    <row r="218" spans="1:10" ht="13.5" customHeight="1" x14ac:dyDescent="0.2">
      <c r="A218" s="77" t="s">
        <v>1479</v>
      </c>
      <c r="B218" s="58" t="s">
        <v>1480</v>
      </c>
      <c r="C218" s="59" t="s">
        <v>1481</v>
      </c>
      <c r="D218" s="57" t="s">
        <v>1482</v>
      </c>
      <c r="E218" s="58" t="s">
        <v>1483</v>
      </c>
      <c r="F218" s="58" t="s">
        <v>1483</v>
      </c>
      <c r="G218" s="124"/>
      <c r="H218" s="88" t="s">
        <v>1484</v>
      </c>
      <c r="I218" s="66" t="str">
        <f>HYPERLINK("http://nsgreg.nga.mil/genc/view?v=204423&amp;end_month=3&amp;end_day=31&amp;end_year=2014","SAINT MARTIN")</f>
        <v>SAINT MARTIN</v>
      </c>
      <c r="J218" s="89" t="str">
        <f>HYPERLINK("http://api.nsgreg.nga.mil/geo-political/GENC/3/ed2/MAF","MAF")</f>
        <v>MAF</v>
      </c>
    </row>
    <row r="219" spans="1:10" ht="13.5" customHeight="1" x14ac:dyDescent="0.2">
      <c r="A219" s="78" t="s">
        <v>1485</v>
      </c>
      <c r="B219" s="52" t="s">
        <v>1486</v>
      </c>
      <c r="C219" s="53" t="s">
        <v>1487</v>
      </c>
      <c r="D219" s="51" t="s">
        <v>1488</v>
      </c>
      <c r="E219" s="52" t="s">
        <v>1489</v>
      </c>
      <c r="F219" s="52" t="s">
        <v>1490</v>
      </c>
      <c r="G219" s="127"/>
      <c r="H219" s="90" t="s">
        <v>1491</v>
      </c>
      <c r="I219" s="63" t="str">
        <f>HYPERLINK("http://nsgreg.nga.mil/genc/view?v=204424&amp;end_month=3&amp;end_day=31&amp;end_year=2014","SAINT PIERRE AND MIQUELON")</f>
        <v>SAINT PIERRE AND MIQUELON</v>
      </c>
      <c r="J219" s="91" t="str">
        <f>HYPERLINK("http://api.nsgreg.nga.mil/geo-political/GENC/3/ed2/SPM","SPM")</f>
        <v>SPM</v>
      </c>
    </row>
    <row r="220" spans="1:10" ht="13.5" customHeight="1" x14ac:dyDescent="0.2">
      <c r="A220" s="76" t="s">
        <v>1492</v>
      </c>
      <c r="B220" s="31" t="s">
        <v>1493</v>
      </c>
      <c r="C220" s="56" t="s">
        <v>1494</v>
      </c>
      <c r="D220" s="54" t="s">
        <v>1495</v>
      </c>
      <c r="E220" s="31" t="s">
        <v>1496</v>
      </c>
      <c r="F220" s="31" t="s">
        <v>1496</v>
      </c>
      <c r="G220" s="123" t="str">
        <f>HYPERLINK("[#]Administrative_Subdivisions!A3588:H3588","&lt;link&gt;")</f>
        <v>&lt;link&gt;</v>
      </c>
      <c r="H220" s="86" t="s">
        <v>1497</v>
      </c>
      <c r="I220" s="64" t="str">
        <f>HYPERLINK("http://nsgreg.nga.mil/genc/view?v=204425&amp;end_month=3&amp;end_day=31&amp;end_year=2014","SAINT VINCENT AND THE GRENADINES")</f>
        <v>SAINT VINCENT AND THE GRENADINES</v>
      </c>
      <c r="J220" s="87" t="str">
        <f>HYPERLINK("http://api.nsgreg.nga.mil/geo-political/GENC/3/ed2/VCT","VCT")</f>
        <v>VCT</v>
      </c>
    </row>
    <row r="221" spans="1:10" ht="13.5" customHeight="1" x14ac:dyDescent="0.2">
      <c r="A221" s="76" t="s">
        <v>1498</v>
      </c>
      <c r="B221" s="31" t="s">
        <v>1499</v>
      </c>
      <c r="C221" s="56" t="s">
        <v>1500</v>
      </c>
      <c r="D221" s="54" t="s">
        <v>1501</v>
      </c>
      <c r="E221" s="31" t="s">
        <v>1502</v>
      </c>
      <c r="F221" s="31" t="s">
        <v>1503</v>
      </c>
      <c r="G221" s="123" t="str">
        <f>HYPERLINK("[#]Administrative_Subdivisions!A3594:H3594","&lt;link&gt;")</f>
        <v>&lt;link&gt;</v>
      </c>
      <c r="H221" s="86" t="s">
        <v>1504</v>
      </c>
      <c r="I221" s="64" t="str">
        <f>HYPERLINK("http://nsgreg.nga.mil/genc/view?v=204426&amp;end_month=3&amp;end_day=31&amp;end_year=2014","SAMOA")</f>
        <v>SAMOA</v>
      </c>
      <c r="J221" s="87" t="str">
        <f>HYPERLINK("http://api.nsgreg.nga.mil/geo-political/GENC/3/ed2/WSM","WSM")</f>
        <v>WSM</v>
      </c>
    </row>
    <row r="222" spans="1:10" ht="13.5" customHeight="1" x14ac:dyDescent="0.2">
      <c r="A222" s="76" t="s">
        <v>1505</v>
      </c>
      <c r="B222" s="31" t="s">
        <v>1506</v>
      </c>
      <c r="C222" s="56" t="s">
        <v>1507</v>
      </c>
      <c r="D222" s="54" t="s">
        <v>1508</v>
      </c>
      <c r="E222" s="31" t="s">
        <v>1509</v>
      </c>
      <c r="F222" s="31" t="s">
        <v>1510</v>
      </c>
      <c r="G222" s="123" t="str">
        <f>HYPERLINK("[#]Administrative_Subdivisions!A3605:H3605","&lt;link&gt;")</f>
        <v>&lt;link&gt;</v>
      </c>
      <c r="H222" s="86" t="s">
        <v>1511</v>
      </c>
      <c r="I222" s="64" t="str">
        <f>HYPERLINK("http://nsgreg.nga.mil/genc/view?v=204427&amp;end_month=3&amp;end_day=31&amp;end_year=2014","SAN MARINO")</f>
        <v>SAN MARINO</v>
      </c>
      <c r="J222" s="87" t="str">
        <f>HYPERLINK("http://api.nsgreg.nga.mil/geo-political/GENC/3/ed2/SMR","SMR")</f>
        <v>SMR</v>
      </c>
    </row>
    <row r="223" spans="1:10" ht="13.5" customHeight="1" x14ac:dyDescent="0.2">
      <c r="A223" s="77" t="s">
        <v>1512</v>
      </c>
      <c r="B223" s="58" t="s">
        <v>1513</v>
      </c>
      <c r="C223" s="59" t="s">
        <v>1514</v>
      </c>
      <c r="D223" s="57" t="s">
        <v>1515</v>
      </c>
      <c r="E223" s="58" t="s">
        <v>1516</v>
      </c>
      <c r="F223" s="58" t="s">
        <v>1517</v>
      </c>
      <c r="G223" s="126" t="str">
        <f>HYPERLINK("[#]Administrative_Subdivisions!A3614:H3614","&lt;link&gt;")</f>
        <v>&lt;link&gt;</v>
      </c>
      <c r="H223" s="88" t="s">
        <v>1518</v>
      </c>
      <c r="I223" s="66" t="str">
        <f>HYPERLINK("http://nsgreg.nga.mil/genc/view?v=204428&amp;end_month=3&amp;end_day=31&amp;end_year=2014","SAO TOME AND PRINCIPE")</f>
        <v>SAO TOME AND PRINCIPE</v>
      </c>
      <c r="J223" s="89" t="str">
        <f>HYPERLINK("http://api.nsgreg.nga.mil/geo-political/GENC/3/ed2/STP","STP")</f>
        <v>STP</v>
      </c>
    </row>
    <row r="224" spans="1:10" ht="13.5" customHeight="1" x14ac:dyDescent="0.2">
      <c r="A224" s="78" t="s">
        <v>1519</v>
      </c>
      <c r="B224" s="52" t="s">
        <v>1520</v>
      </c>
      <c r="C224" s="53" t="s">
        <v>1521</v>
      </c>
      <c r="D224" s="51" t="s">
        <v>1522</v>
      </c>
      <c r="E224" s="52" t="s">
        <v>1523</v>
      </c>
      <c r="F224" s="52" t="s">
        <v>1524</v>
      </c>
      <c r="G224" s="125" t="str">
        <f>HYPERLINK("[#]Administrative_Subdivisions!A3616:H3616","&lt;link&gt;")</f>
        <v>&lt;link&gt;</v>
      </c>
      <c r="H224" s="90" t="s">
        <v>1525</v>
      </c>
      <c r="I224" s="63" t="str">
        <f>HYPERLINK("http://nsgreg.nga.mil/genc/view?v=204429&amp;end_month=3&amp;end_day=31&amp;end_year=2014","SAUDI ARABIA")</f>
        <v>SAUDI ARABIA</v>
      </c>
      <c r="J224" s="91" t="str">
        <f>HYPERLINK("http://api.nsgreg.nga.mil/geo-political/GENC/3/ed2/SAU","SAU")</f>
        <v>SAU</v>
      </c>
    </row>
    <row r="225" spans="1:10" ht="13.5" customHeight="1" x14ac:dyDescent="0.2">
      <c r="A225" s="76" t="s">
        <v>1526</v>
      </c>
      <c r="B225" s="31" t="s">
        <v>1527</v>
      </c>
      <c r="C225" s="56" t="s">
        <v>1528</v>
      </c>
      <c r="D225" s="54" t="s">
        <v>1529</v>
      </c>
      <c r="E225" s="31" t="s">
        <v>1530</v>
      </c>
      <c r="F225" s="31" t="s">
        <v>1531</v>
      </c>
      <c r="G225" s="123" t="str">
        <f>HYPERLINK("[#]Administrative_Subdivisions!A3629:H3629","&lt;link&gt;")</f>
        <v>&lt;link&gt;</v>
      </c>
      <c r="H225" s="86" t="s">
        <v>1532</v>
      </c>
      <c r="I225" s="64" t="str">
        <f>HYPERLINK("http://nsgreg.nga.mil/genc/view?v=204430&amp;end_month=3&amp;end_day=31&amp;end_year=2014","SENEGAL")</f>
        <v>SENEGAL</v>
      </c>
      <c r="J225" s="87" t="str">
        <f>HYPERLINK("http://api.nsgreg.nga.mil/geo-political/GENC/3/ed2/SEN","SEN")</f>
        <v>SEN</v>
      </c>
    </row>
    <row r="226" spans="1:10" ht="13.5" customHeight="1" x14ac:dyDescent="0.2">
      <c r="A226" s="76" t="s">
        <v>1533</v>
      </c>
      <c r="B226" s="31" t="s">
        <v>1534</v>
      </c>
      <c r="C226" s="56" t="s">
        <v>1535</v>
      </c>
      <c r="D226" s="54" t="s">
        <v>1536</v>
      </c>
      <c r="E226" s="31" t="s">
        <v>1537</v>
      </c>
      <c r="F226" s="31" t="s">
        <v>1538</v>
      </c>
      <c r="G226" s="123" t="str">
        <f>HYPERLINK("[#]Administrative_Subdivisions!A3643:H3643","&lt;link&gt;")</f>
        <v>&lt;link&gt;</v>
      </c>
      <c r="H226" s="86" t="s">
        <v>1539</v>
      </c>
      <c r="I226" s="64" t="str">
        <f>HYPERLINK("http://nsgreg.nga.mil/genc/view?v=204431&amp;end_month=3&amp;end_day=31&amp;end_year=2014","SERBIA")</f>
        <v>SERBIA</v>
      </c>
      <c r="J226" s="87" t="str">
        <f>HYPERLINK("http://api.nsgreg.nga.mil/geo-political/GENC/3/ed2/SRB","SRB")</f>
        <v>SRB</v>
      </c>
    </row>
    <row r="227" spans="1:10" ht="13.5" customHeight="1" x14ac:dyDescent="0.2">
      <c r="A227" s="76" t="s">
        <v>1540</v>
      </c>
      <c r="B227" s="31" t="s">
        <v>1541</v>
      </c>
      <c r="C227" s="56" t="s">
        <v>1542</v>
      </c>
      <c r="D227" s="54" t="s">
        <v>1543</v>
      </c>
      <c r="E227" s="31" t="s">
        <v>1544</v>
      </c>
      <c r="F227" s="31" t="s">
        <v>1545</v>
      </c>
      <c r="G227" s="123" t="str">
        <f>HYPERLINK("[#]Administrative_Subdivisions!A3819:H3819","&lt;link&gt;")</f>
        <v>&lt;link&gt;</v>
      </c>
      <c r="H227" s="86" t="s">
        <v>1546</v>
      </c>
      <c r="I227" s="64" t="str">
        <f>HYPERLINK("http://nsgreg.nga.mil/genc/view?v=204432&amp;end_month=3&amp;end_day=31&amp;end_year=2014","SEYCHELLES")</f>
        <v>SEYCHELLES</v>
      </c>
      <c r="J227" s="87" t="str">
        <f>HYPERLINK("http://api.nsgreg.nga.mil/geo-political/GENC/3/ed2/SYC","SYC")</f>
        <v>SYC</v>
      </c>
    </row>
    <row r="228" spans="1:10" ht="13.5" customHeight="1" x14ac:dyDescent="0.2">
      <c r="A228" s="77" t="s">
        <v>1547</v>
      </c>
      <c r="B228" s="58" t="s">
        <v>1548</v>
      </c>
      <c r="C228" s="59" t="s">
        <v>1549</v>
      </c>
      <c r="D228" s="57" t="s">
        <v>1550</v>
      </c>
      <c r="E228" s="58" t="s">
        <v>1551</v>
      </c>
      <c r="F228" s="58" t="s">
        <v>1552</v>
      </c>
      <c r="G228" s="126" t="str">
        <f>HYPERLINK("[#]Administrative_Subdivisions!A3844:H3844","&lt;link&gt;")</f>
        <v>&lt;link&gt;</v>
      </c>
      <c r="H228" s="88" t="s">
        <v>1553</v>
      </c>
      <c r="I228" s="66" t="str">
        <f>HYPERLINK("http://nsgreg.nga.mil/genc/view?v=204433&amp;end_month=3&amp;end_day=31&amp;end_year=2014","SIERRA LEONE")</f>
        <v>SIERRA LEONE</v>
      </c>
      <c r="J228" s="89" t="str">
        <f>HYPERLINK("http://api.nsgreg.nga.mil/geo-political/GENC/3/ed2/SLE","SLE")</f>
        <v>SLE</v>
      </c>
    </row>
    <row r="229" spans="1:10" ht="13.5" customHeight="1" x14ac:dyDescent="0.2">
      <c r="A229" s="78" t="s">
        <v>1554</v>
      </c>
      <c r="B229" s="52" t="s">
        <v>1555</v>
      </c>
      <c r="C229" s="53" t="s">
        <v>1556</v>
      </c>
      <c r="D229" s="51" t="s">
        <v>1557</v>
      </c>
      <c r="E229" s="52" t="s">
        <v>1558</v>
      </c>
      <c r="F229" s="52" t="s">
        <v>1559</v>
      </c>
      <c r="G229" s="125" t="str">
        <f>HYPERLINK("[#]Administrative_Subdivisions!A3848:H3848","&lt;link&gt;")</f>
        <v>&lt;link&gt;</v>
      </c>
      <c r="H229" s="90" t="s">
        <v>1560</v>
      </c>
      <c r="I229" s="63" t="str">
        <f>HYPERLINK("http://nsgreg.nga.mil/genc/view?v=204434&amp;end_month=3&amp;end_day=31&amp;end_year=2014","SINGAPORE")</f>
        <v>SINGAPORE</v>
      </c>
      <c r="J229" s="91" t="str">
        <f>HYPERLINK("http://api.nsgreg.nga.mil/geo-political/GENC/3/ed2/SGP","SGP")</f>
        <v>SGP</v>
      </c>
    </row>
    <row r="230" spans="1:10" ht="13.5" customHeight="1" x14ac:dyDescent="0.2">
      <c r="A230" s="76" t="s">
        <v>1561</v>
      </c>
      <c r="B230" s="31" t="s">
        <v>1562</v>
      </c>
      <c r="C230" s="56" t="s">
        <v>1563</v>
      </c>
      <c r="D230" s="54" t="s">
        <v>1564</v>
      </c>
      <c r="E230" s="31" t="s">
        <v>1565</v>
      </c>
      <c r="F230" s="31" t="s">
        <v>1565</v>
      </c>
      <c r="G230" s="122"/>
      <c r="H230" s="86" t="s">
        <v>1566</v>
      </c>
      <c r="I230" s="64" t="str">
        <f>HYPERLINK("http://nsgreg.nga.mil/genc/view?v=204435&amp;end_month=3&amp;end_day=31&amp;end_year=2014","SINT MAARTEN")</f>
        <v>SINT MAARTEN</v>
      </c>
      <c r="J230" s="87" t="str">
        <f>HYPERLINK("http://api.nsgreg.nga.mil/geo-political/GENC/3/ed2/SXM","SXM")</f>
        <v>SXM</v>
      </c>
    </row>
    <row r="231" spans="1:10" ht="13.5" customHeight="1" x14ac:dyDescent="0.2">
      <c r="A231" s="76" t="s">
        <v>1567</v>
      </c>
      <c r="B231" s="31" t="s">
        <v>1568</v>
      </c>
      <c r="C231" s="56" t="s">
        <v>1569</v>
      </c>
      <c r="D231" s="54" t="s">
        <v>1570</v>
      </c>
      <c r="E231" s="31" t="s">
        <v>1571</v>
      </c>
      <c r="F231" s="31" t="s">
        <v>1572</v>
      </c>
      <c r="G231" s="123" t="str">
        <f>HYPERLINK("[#]Administrative_Subdivisions!A3853:H3853","&lt;link&gt;")</f>
        <v>&lt;link&gt;</v>
      </c>
      <c r="H231" s="86" t="s">
        <v>1573</v>
      </c>
      <c r="I231" s="64" t="str">
        <f>HYPERLINK("http://nsgreg.nga.mil/genc/view?v=204436&amp;end_month=3&amp;end_day=31&amp;end_year=2014","SLOVAKIA")</f>
        <v>SLOVAKIA</v>
      </c>
      <c r="J231" s="87" t="str">
        <f>HYPERLINK("http://api.nsgreg.nga.mil/geo-political/GENC/3/ed2/SVK","SVK")</f>
        <v>SVK</v>
      </c>
    </row>
    <row r="232" spans="1:10" ht="13.5" customHeight="1" x14ac:dyDescent="0.2">
      <c r="A232" s="76" t="s">
        <v>1574</v>
      </c>
      <c r="B232" s="31" t="s">
        <v>1575</v>
      </c>
      <c r="C232" s="56" t="s">
        <v>1576</v>
      </c>
      <c r="D232" s="54" t="s">
        <v>1577</v>
      </c>
      <c r="E232" s="31" t="s">
        <v>1578</v>
      </c>
      <c r="F232" s="31" t="s">
        <v>1579</v>
      </c>
      <c r="G232" s="123" t="str">
        <f>HYPERLINK("[#]Administrative_Subdivisions!A3861:H3861","&lt;link&gt;")</f>
        <v>&lt;link&gt;</v>
      </c>
      <c r="H232" s="86" t="s">
        <v>1580</v>
      </c>
      <c r="I232" s="64" t="str">
        <f>HYPERLINK("http://nsgreg.nga.mil/genc/view?v=204437&amp;end_month=3&amp;end_day=31&amp;end_year=2014","SLOVENIA")</f>
        <v>SLOVENIA</v>
      </c>
      <c r="J232" s="87" t="str">
        <f>HYPERLINK("http://api.nsgreg.nga.mil/geo-political/GENC/3/ed2/SVN","SVN")</f>
        <v>SVN</v>
      </c>
    </row>
    <row r="233" spans="1:10" ht="13.5" customHeight="1" x14ac:dyDescent="0.2">
      <c r="A233" s="77" t="s">
        <v>1581</v>
      </c>
      <c r="B233" s="58" t="s">
        <v>1582</v>
      </c>
      <c r="C233" s="59" t="s">
        <v>1583</v>
      </c>
      <c r="D233" s="57" t="s">
        <v>1584</v>
      </c>
      <c r="E233" s="58" t="s">
        <v>1585</v>
      </c>
      <c r="F233" s="58" t="s">
        <v>1585</v>
      </c>
      <c r="G233" s="126" t="str">
        <f>HYPERLINK("[#]Administrative_Subdivisions!A4072:H4072","&lt;link&gt;")</f>
        <v>&lt;link&gt;</v>
      </c>
      <c r="H233" s="88" t="s">
        <v>1586</v>
      </c>
      <c r="I233" s="66" t="str">
        <f>HYPERLINK("http://nsgreg.nga.mil/genc/view?v=204438&amp;end_month=3&amp;end_day=31&amp;end_year=2014","SOLOMON ISLANDS")</f>
        <v>SOLOMON ISLANDS</v>
      </c>
      <c r="J233" s="89" t="str">
        <f>HYPERLINK("http://api.nsgreg.nga.mil/geo-political/GENC/3/ed2/SLB","SLB")</f>
        <v>SLB</v>
      </c>
    </row>
    <row r="234" spans="1:10" ht="13.5" customHeight="1" x14ac:dyDescent="0.2">
      <c r="A234" s="78" t="s">
        <v>1587</v>
      </c>
      <c r="B234" s="52" t="s">
        <v>1588</v>
      </c>
      <c r="C234" s="53" t="s">
        <v>1589</v>
      </c>
      <c r="D234" s="51" t="s">
        <v>1590</v>
      </c>
      <c r="E234" s="52" t="s">
        <v>1591</v>
      </c>
      <c r="F234" s="52" t="s">
        <v>1592</v>
      </c>
      <c r="G234" s="125" t="str">
        <f>HYPERLINK("[#]Administrative_Subdivisions!A4082:H4082","&lt;link&gt;")</f>
        <v>&lt;link&gt;</v>
      </c>
      <c r="H234" s="90" t="s">
        <v>1593</v>
      </c>
      <c r="I234" s="63" t="str">
        <f>HYPERLINK("http://nsgreg.nga.mil/genc/view?v=204499&amp;end_month=3&amp;end_day=31&amp;end_year=2014","SOMALIA")</f>
        <v>SOMALIA</v>
      </c>
      <c r="J234" s="91" t="str">
        <f>HYPERLINK("http://api.nsgreg.nga.mil/geo-political/GENC/3/ed2/SOM","SOM")</f>
        <v>SOM</v>
      </c>
    </row>
    <row r="235" spans="1:10" ht="13.5" customHeight="1" x14ac:dyDescent="0.2">
      <c r="A235" s="76" t="s">
        <v>1594</v>
      </c>
      <c r="B235" s="31" t="s">
        <v>1595</v>
      </c>
      <c r="C235" s="56" t="s">
        <v>1596</v>
      </c>
      <c r="D235" s="54" t="s">
        <v>1597</v>
      </c>
      <c r="E235" s="31" t="s">
        <v>1598</v>
      </c>
      <c r="F235" s="31" t="s">
        <v>1599</v>
      </c>
      <c r="G235" s="123" t="str">
        <f>HYPERLINK("[#]Administrative_Subdivisions!A4100:H4100","&lt;link&gt;")</f>
        <v>&lt;link&gt;</v>
      </c>
      <c r="H235" s="86" t="s">
        <v>1600</v>
      </c>
      <c r="I235" s="64" t="str">
        <f>HYPERLINK("http://nsgreg.nga.mil/genc/view?v=204439&amp;end_month=3&amp;end_day=31&amp;end_year=2014","SOUTH AFRICA")</f>
        <v>SOUTH AFRICA</v>
      </c>
      <c r="J235" s="87" t="str">
        <f>HYPERLINK("http://api.nsgreg.nga.mil/geo-political/GENC/3/ed2/ZAF","ZAF")</f>
        <v>ZAF</v>
      </c>
    </row>
    <row r="236" spans="1:10" ht="13.5" customHeight="1" x14ac:dyDescent="0.2">
      <c r="A236" s="76" t="s">
        <v>1601</v>
      </c>
      <c r="B236" s="31" t="s">
        <v>1602</v>
      </c>
      <c r="C236" s="56" t="s">
        <v>1603</v>
      </c>
      <c r="D236" s="54" t="s">
        <v>1604</v>
      </c>
      <c r="E236" s="31" t="s">
        <v>1605</v>
      </c>
      <c r="F236" s="31" t="s">
        <v>1606</v>
      </c>
      <c r="G236" s="122"/>
      <c r="H236" s="86" t="s">
        <v>1607</v>
      </c>
      <c r="I236" s="64" t="str">
        <f>HYPERLINK("http://nsgreg.nga.mil/genc/view?v=204440&amp;end_month=3&amp;end_day=31&amp;end_year=2014","SOUTH GEORGIA AND SOUTH SANDWICH ISLANDS")</f>
        <v>SOUTH GEORGIA AND SOUTH SANDWICH ISLANDS</v>
      </c>
      <c r="J236" s="87" t="str">
        <f>HYPERLINK("http://api.nsgreg.nga.mil/geo-political/GENC/3/ed2/SGS","SGS")</f>
        <v>SGS</v>
      </c>
    </row>
    <row r="237" spans="1:10" ht="13.5" customHeight="1" x14ac:dyDescent="0.2">
      <c r="A237" s="76" t="s">
        <v>1608</v>
      </c>
      <c r="B237" s="31" t="s">
        <v>1609</v>
      </c>
      <c r="C237" s="56" t="s">
        <v>1610</v>
      </c>
      <c r="D237" s="54" t="s">
        <v>1611</v>
      </c>
      <c r="E237" s="31" t="s">
        <v>1612</v>
      </c>
      <c r="F237" s="31" t="s">
        <v>1613</v>
      </c>
      <c r="G237" s="123" t="str">
        <f>HYPERLINK("[#]Administrative_Subdivisions!A4109:H4109","&lt;link&gt;")</f>
        <v>&lt;link&gt;</v>
      </c>
      <c r="H237" s="86" t="s">
        <v>1614</v>
      </c>
      <c r="I237" s="64" t="str">
        <f>HYPERLINK("http://nsgreg.nga.mil/genc/view?v=204441&amp;end_month=3&amp;end_day=31&amp;end_year=2014","SOUTH SUDAN")</f>
        <v>SOUTH SUDAN</v>
      </c>
      <c r="J237" s="87" t="str">
        <f>HYPERLINK("http://api.nsgreg.nga.mil/geo-political/GENC/3/ed2/SSD","SSD")</f>
        <v>SSD</v>
      </c>
    </row>
    <row r="238" spans="1:10" ht="13.5" customHeight="1" x14ac:dyDescent="0.2">
      <c r="A238" s="77" t="s">
        <v>1615</v>
      </c>
      <c r="B238" s="58" t="s">
        <v>1616</v>
      </c>
      <c r="C238" s="59" t="s">
        <v>1617</v>
      </c>
      <c r="D238" s="57" t="s">
        <v>1618</v>
      </c>
      <c r="E238" s="58" t="s">
        <v>1619</v>
      </c>
      <c r="F238" s="58" t="s">
        <v>1620</v>
      </c>
      <c r="G238" s="126" t="str">
        <f>HYPERLINK("[#]Administrative_Subdivisions!A4119:H4119","&lt;link&gt;")</f>
        <v>&lt;link&gt;</v>
      </c>
      <c r="H238" s="88" t="s">
        <v>1621</v>
      </c>
      <c r="I238" s="66" t="str">
        <f>HYPERLINK("http://nsgreg.nga.mil/genc/view?v=204442&amp;end_month=3&amp;end_day=31&amp;end_year=2014","SPAIN")</f>
        <v>SPAIN</v>
      </c>
      <c r="J238" s="89" t="str">
        <f>HYPERLINK("http://api.nsgreg.nga.mil/geo-political/GENC/3/ed2/ESP","ESP")</f>
        <v>ESP</v>
      </c>
    </row>
    <row r="239" spans="1:10" ht="13.5" customHeight="1" x14ac:dyDescent="0.2">
      <c r="A239" s="78" t="s">
        <v>1622</v>
      </c>
      <c r="B239" s="52" t="s">
        <v>1623</v>
      </c>
      <c r="C239" s="69" t="s">
        <v>93</v>
      </c>
      <c r="D239" s="51" t="s">
        <v>1624</v>
      </c>
      <c r="E239" s="52" t="s">
        <v>1625</v>
      </c>
      <c r="F239" s="52" t="s">
        <v>1625</v>
      </c>
      <c r="G239" s="127"/>
      <c r="H239" s="90" t="s">
        <v>1626</v>
      </c>
      <c r="I239" s="63" t="str">
        <f>HYPERLINK("http://nsgreg.nga.mil/genc/view?v=204443&amp;end_month=3&amp;end_day=31&amp;end_year=2014","SPRATLY ISLANDS")</f>
        <v>SPRATLY ISLANDS</v>
      </c>
      <c r="J239" s="91" t="str">
        <f>HYPERLINK("http://api.nsgreg.nga.mil/geo-political/GENC/3/ed2/XSP","XSP")</f>
        <v>XSP</v>
      </c>
    </row>
    <row r="240" spans="1:10" ht="13.5" customHeight="1" x14ac:dyDescent="0.2">
      <c r="A240" s="76" t="s">
        <v>1627</v>
      </c>
      <c r="B240" s="31" t="s">
        <v>1628</v>
      </c>
      <c r="C240" s="56" t="s">
        <v>1629</v>
      </c>
      <c r="D240" s="54" t="s">
        <v>1630</v>
      </c>
      <c r="E240" s="31" t="s">
        <v>1631</v>
      </c>
      <c r="F240" s="31" t="s">
        <v>1632</v>
      </c>
      <c r="G240" s="123" t="str">
        <f>HYPERLINK("[#]Administrative_Subdivisions!A4188:H4188","&lt;link&gt;")</f>
        <v>&lt;link&gt;</v>
      </c>
      <c r="H240" s="86" t="s">
        <v>1633</v>
      </c>
      <c r="I240" s="64" t="str">
        <f>HYPERLINK("http://nsgreg.nga.mil/genc/view?v=204444&amp;end_month=3&amp;end_day=31&amp;end_year=2014","SRI LANKA")</f>
        <v>SRI LANKA</v>
      </c>
      <c r="J240" s="87" t="str">
        <f>HYPERLINK("http://api.nsgreg.nga.mil/geo-political/GENC/3/ed2/LKA","LKA")</f>
        <v>LKA</v>
      </c>
    </row>
    <row r="241" spans="1:10" ht="13.5" customHeight="1" x14ac:dyDescent="0.2">
      <c r="A241" s="76" t="s">
        <v>1634</v>
      </c>
      <c r="B241" s="31" t="s">
        <v>1635</v>
      </c>
      <c r="C241" s="56" t="s">
        <v>1636</v>
      </c>
      <c r="D241" s="54" t="s">
        <v>1637</v>
      </c>
      <c r="E241" s="31" t="s">
        <v>1638</v>
      </c>
      <c r="F241" s="31" t="s">
        <v>1639</v>
      </c>
      <c r="G241" s="123" t="str">
        <f>HYPERLINK("[#]Administrative_Subdivisions!A4222:H4222","&lt;link&gt;")</f>
        <v>&lt;link&gt;</v>
      </c>
      <c r="H241" s="86" t="s">
        <v>1640</v>
      </c>
      <c r="I241" s="64" t="str">
        <f>HYPERLINK("http://nsgreg.nga.mil/genc/view?v=204445&amp;end_month=3&amp;end_day=31&amp;end_year=2014","SUDAN")</f>
        <v>SUDAN</v>
      </c>
      <c r="J241" s="87" t="str">
        <f>HYPERLINK("http://api.nsgreg.nga.mil/geo-political/GENC/3/ed2/SDN","SDN")</f>
        <v>SDN</v>
      </c>
    </row>
    <row r="242" spans="1:10" ht="13.5" customHeight="1" x14ac:dyDescent="0.2">
      <c r="A242" s="76" t="s">
        <v>1641</v>
      </c>
      <c r="B242" s="31" t="s">
        <v>1642</v>
      </c>
      <c r="C242" s="56" t="s">
        <v>1643</v>
      </c>
      <c r="D242" s="54" t="s">
        <v>1644</v>
      </c>
      <c r="E242" s="31" t="s">
        <v>1645</v>
      </c>
      <c r="F242" s="31" t="s">
        <v>1646</v>
      </c>
      <c r="G242" s="123" t="str">
        <f>HYPERLINK("[#]Administrative_Subdivisions!A4239:H4239","&lt;link&gt;")</f>
        <v>&lt;link&gt;</v>
      </c>
      <c r="H242" s="86" t="s">
        <v>1647</v>
      </c>
      <c r="I242" s="64" t="str">
        <f>HYPERLINK("http://nsgreg.nga.mil/genc/view?v=204446&amp;end_month=3&amp;end_day=31&amp;end_year=2014","SURINAME")</f>
        <v>SURINAME</v>
      </c>
      <c r="J242" s="87" t="str">
        <f>HYPERLINK("http://api.nsgreg.nga.mil/geo-political/GENC/3/ed2/SUR","SUR")</f>
        <v>SUR</v>
      </c>
    </row>
    <row r="243" spans="1:10" ht="13.5" customHeight="1" x14ac:dyDescent="0.2">
      <c r="A243" s="77" t="s">
        <v>1648</v>
      </c>
      <c r="B243" s="58" t="s">
        <v>1649</v>
      </c>
      <c r="C243" s="67" t="s">
        <v>93</v>
      </c>
      <c r="D243" s="57" t="s">
        <v>1650</v>
      </c>
      <c r="E243" s="58" t="s">
        <v>1651</v>
      </c>
      <c r="F243" s="58" t="s">
        <v>1651</v>
      </c>
      <c r="G243" s="124"/>
      <c r="H243" s="88" t="s">
        <v>1652</v>
      </c>
      <c r="I243" s="66" t="str">
        <f>HYPERLINK("http://nsgreg.nga.mil/genc/view?v=204447&amp;end_month=3&amp;end_day=31&amp;end_year=2014","SVALBARD")</f>
        <v>SVALBARD</v>
      </c>
      <c r="J243" s="89" t="str">
        <f>HYPERLINK("http://api.nsgreg.nga.mil/geo-political/GENC/3/ed2/XSV","XSV")</f>
        <v>XSV</v>
      </c>
    </row>
    <row r="244" spans="1:10" ht="13.5" customHeight="1" x14ac:dyDescent="0.2">
      <c r="A244" s="78" t="s">
        <v>1653</v>
      </c>
      <c r="B244" s="52" t="s">
        <v>1654</v>
      </c>
      <c r="C244" s="53" t="s">
        <v>1655</v>
      </c>
      <c r="D244" s="51" t="s">
        <v>1656</v>
      </c>
      <c r="E244" s="52" t="s">
        <v>1657</v>
      </c>
      <c r="F244" s="52" t="s">
        <v>1658</v>
      </c>
      <c r="G244" s="125" t="str">
        <f>HYPERLINK("[#]Administrative_Subdivisions!A4249:H4249","&lt;link&gt;")</f>
        <v>&lt;link&gt;</v>
      </c>
      <c r="H244" s="90" t="s">
        <v>1659</v>
      </c>
      <c r="I244" s="63" t="str">
        <f>HYPERLINK("http://nsgreg.nga.mil/genc/view?v=204449&amp;end_month=3&amp;end_day=31&amp;end_year=2014","SWAZILAND")</f>
        <v>SWAZILAND</v>
      </c>
      <c r="J244" s="91" t="str">
        <f>HYPERLINK("http://api.nsgreg.nga.mil/geo-political/GENC/3/ed2/SWZ","SWZ")</f>
        <v>SWZ</v>
      </c>
    </row>
    <row r="245" spans="1:10" ht="13.5" customHeight="1" x14ac:dyDescent="0.2">
      <c r="A245" s="76" t="s">
        <v>1660</v>
      </c>
      <c r="B245" s="31" t="s">
        <v>1661</v>
      </c>
      <c r="C245" s="56" t="s">
        <v>1662</v>
      </c>
      <c r="D245" s="54" t="s">
        <v>1663</v>
      </c>
      <c r="E245" s="31" t="s">
        <v>1664</v>
      </c>
      <c r="F245" s="31" t="s">
        <v>1665</v>
      </c>
      <c r="G245" s="123" t="str">
        <f>HYPERLINK("[#]Administrative_Subdivisions!A4253:H4253","&lt;link&gt;")</f>
        <v>&lt;link&gt;</v>
      </c>
      <c r="H245" s="86" t="s">
        <v>1666</v>
      </c>
      <c r="I245" s="64" t="str">
        <f>HYPERLINK("http://nsgreg.nga.mil/genc/view?v=204450&amp;end_month=3&amp;end_day=31&amp;end_year=2014","SWEDEN")</f>
        <v>SWEDEN</v>
      </c>
      <c r="J245" s="87" t="str">
        <f>HYPERLINK("http://api.nsgreg.nga.mil/geo-political/GENC/3/ed2/SWE","SWE")</f>
        <v>SWE</v>
      </c>
    </row>
    <row r="246" spans="1:10" ht="13.5" customHeight="1" x14ac:dyDescent="0.2">
      <c r="A246" s="76" t="s">
        <v>1667</v>
      </c>
      <c r="B246" s="31" t="s">
        <v>1668</v>
      </c>
      <c r="C246" s="56" t="s">
        <v>1669</v>
      </c>
      <c r="D246" s="54" t="s">
        <v>1670</v>
      </c>
      <c r="E246" s="31" t="s">
        <v>1671</v>
      </c>
      <c r="F246" s="31" t="s">
        <v>1672</v>
      </c>
      <c r="G246" s="123" t="str">
        <f>HYPERLINK("[#]Administrative_Subdivisions!A4274:H4274","&lt;link&gt;")</f>
        <v>&lt;link&gt;</v>
      </c>
      <c r="H246" s="86" t="s">
        <v>1673</v>
      </c>
      <c r="I246" s="64" t="str">
        <f>HYPERLINK("http://nsgreg.nga.mil/genc/view?v=204451&amp;end_month=3&amp;end_day=31&amp;end_year=2014","SWITZERLAND")</f>
        <v>SWITZERLAND</v>
      </c>
      <c r="J246" s="87" t="str">
        <f>HYPERLINK("http://api.nsgreg.nga.mil/geo-political/GENC/3/ed2/CHE","CHE")</f>
        <v>CHE</v>
      </c>
    </row>
    <row r="247" spans="1:10" ht="13.5" customHeight="1" x14ac:dyDescent="0.2">
      <c r="A247" s="76" t="s">
        <v>1674</v>
      </c>
      <c r="B247" s="31" t="s">
        <v>1675</v>
      </c>
      <c r="C247" s="56" t="s">
        <v>1676</v>
      </c>
      <c r="D247" s="54" t="s">
        <v>1677</v>
      </c>
      <c r="E247" s="31" t="s">
        <v>1678</v>
      </c>
      <c r="F247" s="31" t="s">
        <v>1679</v>
      </c>
      <c r="G247" s="123" t="str">
        <f>HYPERLINK("[#]Administrative_Subdivisions!A4300:H4300","&lt;link&gt;")</f>
        <v>&lt;link&gt;</v>
      </c>
      <c r="H247" s="86" t="s">
        <v>1680</v>
      </c>
      <c r="I247" s="64" t="str">
        <f>HYPERLINK("http://nsgreg.nga.mil/genc/view?v=204452&amp;end_month=3&amp;end_day=31&amp;end_year=2014","SYRIA")</f>
        <v>SYRIA</v>
      </c>
      <c r="J247" s="87" t="str">
        <f>HYPERLINK("http://api.nsgreg.nga.mil/geo-political/GENC/3/ed2/SYR","SYR")</f>
        <v>SYR</v>
      </c>
    </row>
    <row r="248" spans="1:10" ht="13.5" customHeight="1" x14ac:dyDescent="0.2">
      <c r="A248" s="77" t="s">
        <v>1681</v>
      </c>
      <c r="B248" s="58" t="s">
        <v>1682</v>
      </c>
      <c r="C248" s="59" t="s">
        <v>1683</v>
      </c>
      <c r="D248" s="57" t="s">
        <v>1684</v>
      </c>
      <c r="E248" s="58" t="s">
        <v>1685</v>
      </c>
      <c r="F248" s="58" t="s">
        <v>1685</v>
      </c>
      <c r="G248" s="126" t="str">
        <f>HYPERLINK("[#]Administrative_Subdivisions!A4314:H4314","&lt;link&gt;")</f>
        <v>&lt;link&gt;</v>
      </c>
      <c r="H248" s="88" t="s">
        <v>1686</v>
      </c>
      <c r="I248" s="66" t="str">
        <f>HYPERLINK("http://nsgreg.nga.mil/genc/view?v=204453&amp;end_month=3&amp;end_day=31&amp;end_year=2014","TAIWAN")</f>
        <v>TAIWAN</v>
      </c>
      <c r="J248" s="89" t="str">
        <f>HYPERLINK("http://api.nsgreg.nga.mil/geo-political/GENC/3/ed2/TWN","TWN")</f>
        <v>TWN</v>
      </c>
    </row>
    <row r="249" spans="1:10" ht="13.5" customHeight="1" x14ac:dyDescent="0.2">
      <c r="A249" s="78" t="s">
        <v>1687</v>
      </c>
      <c r="B249" s="52" t="s">
        <v>1688</v>
      </c>
      <c r="C249" s="53" t="s">
        <v>1689</v>
      </c>
      <c r="D249" s="51" t="s">
        <v>1690</v>
      </c>
      <c r="E249" s="52" t="s">
        <v>1691</v>
      </c>
      <c r="F249" s="52" t="s">
        <v>1692</v>
      </c>
      <c r="G249" s="125" t="str">
        <f>HYPERLINK("[#]Administrative_Subdivisions!A4339:H4339","&lt;link&gt;")</f>
        <v>&lt;link&gt;</v>
      </c>
      <c r="H249" s="90" t="s">
        <v>1693</v>
      </c>
      <c r="I249" s="63" t="str">
        <f>HYPERLINK("http://nsgreg.nga.mil/genc/view?v=204454&amp;end_month=3&amp;end_day=31&amp;end_year=2014","TAJIKISTAN")</f>
        <v>TAJIKISTAN</v>
      </c>
      <c r="J249" s="91" t="str">
        <f>HYPERLINK("http://api.nsgreg.nga.mil/geo-political/GENC/3/ed2/TJK","TJK")</f>
        <v>TJK</v>
      </c>
    </row>
    <row r="250" spans="1:10" ht="13.5" customHeight="1" x14ac:dyDescent="0.2">
      <c r="A250" s="76" t="s">
        <v>1694</v>
      </c>
      <c r="B250" s="31" t="s">
        <v>1695</v>
      </c>
      <c r="C250" s="56" t="s">
        <v>1696</v>
      </c>
      <c r="D250" s="54" t="s">
        <v>1697</v>
      </c>
      <c r="E250" s="31" t="s">
        <v>1698</v>
      </c>
      <c r="F250" s="31" t="s">
        <v>1699</v>
      </c>
      <c r="G250" s="123" t="str">
        <f>HYPERLINK("[#]Administrative_Subdivisions!A4344:H4344","&lt;link&gt;")</f>
        <v>&lt;link&gt;</v>
      </c>
      <c r="H250" s="86" t="s">
        <v>1700</v>
      </c>
      <c r="I250" s="64" t="str">
        <f>HYPERLINK("http://nsgreg.nga.mil/genc/view?v=204455&amp;end_month=3&amp;end_day=31&amp;end_year=2014","TANZANIA")</f>
        <v>TANZANIA</v>
      </c>
      <c r="J250" s="87" t="str">
        <f>HYPERLINK("http://api.nsgreg.nga.mil/geo-political/GENC/3/ed2/TZA","TZA")</f>
        <v>TZA</v>
      </c>
    </row>
    <row r="251" spans="1:10" ht="13.5" customHeight="1" x14ac:dyDescent="0.2">
      <c r="A251" s="76" t="s">
        <v>1701</v>
      </c>
      <c r="B251" s="31" t="s">
        <v>1702</v>
      </c>
      <c r="C251" s="56" t="s">
        <v>1703</v>
      </c>
      <c r="D251" s="54" t="s">
        <v>1704</v>
      </c>
      <c r="E251" s="31" t="s">
        <v>1705</v>
      </c>
      <c r="F251" s="31" t="s">
        <v>1706</v>
      </c>
      <c r="G251" s="123" t="str">
        <f>HYPERLINK("[#]Administrative_Subdivisions!A4374:H4374","&lt;link&gt;")</f>
        <v>&lt;link&gt;</v>
      </c>
      <c r="H251" s="86" t="s">
        <v>1707</v>
      </c>
      <c r="I251" s="64" t="str">
        <f>HYPERLINK("http://nsgreg.nga.mil/genc/view?v=204456&amp;end_month=3&amp;end_day=31&amp;end_year=2014","THAILAND")</f>
        <v>THAILAND</v>
      </c>
      <c r="J251" s="87" t="str">
        <f>HYPERLINK("http://api.nsgreg.nga.mil/geo-political/GENC/3/ed2/THA","THA")</f>
        <v>THA</v>
      </c>
    </row>
    <row r="252" spans="1:10" ht="13.5" customHeight="1" x14ac:dyDescent="0.2">
      <c r="A252" s="76" t="s">
        <v>1708</v>
      </c>
      <c r="B252" s="31" t="s">
        <v>1709</v>
      </c>
      <c r="C252" s="56" t="s">
        <v>1710</v>
      </c>
      <c r="D252" s="54" t="s">
        <v>1711</v>
      </c>
      <c r="E252" s="31" t="s">
        <v>1712</v>
      </c>
      <c r="F252" s="31" t="s">
        <v>1713</v>
      </c>
      <c r="G252" s="123" t="str">
        <f>HYPERLINK("[#]Administrative_Subdivisions!A4452:H4452","&lt;link&gt;")</f>
        <v>&lt;link&gt;</v>
      </c>
      <c r="H252" s="86" t="s">
        <v>1714</v>
      </c>
      <c r="I252" s="64" t="str">
        <f>HYPERLINK("http://nsgreg.nga.mil/genc/view?v=204457&amp;end_month=3&amp;end_day=31&amp;end_year=2014","TIMOR-LESTE")</f>
        <v>TIMOR-LESTE</v>
      </c>
      <c r="J252" s="87" t="str">
        <f>HYPERLINK("http://api.nsgreg.nga.mil/geo-political/GENC/3/ed2/TLS","TLS")</f>
        <v>TLS</v>
      </c>
    </row>
    <row r="253" spans="1:10" ht="13.5" customHeight="1" x14ac:dyDescent="0.2">
      <c r="A253" s="77" t="s">
        <v>1715</v>
      </c>
      <c r="B253" s="58" t="s">
        <v>1716</v>
      </c>
      <c r="C253" s="59" t="s">
        <v>1717</v>
      </c>
      <c r="D253" s="57" t="s">
        <v>1718</v>
      </c>
      <c r="E253" s="58" t="s">
        <v>1719</v>
      </c>
      <c r="F253" s="58" t="s">
        <v>1720</v>
      </c>
      <c r="G253" s="126" t="str">
        <f>HYPERLINK("[#]Administrative_Subdivisions!A4465:H4465","&lt;link&gt;")</f>
        <v>&lt;link&gt;</v>
      </c>
      <c r="H253" s="88" t="s">
        <v>1721</v>
      </c>
      <c r="I253" s="66" t="str">
        <f>HYPERLINK("http://nsgreg.nga.mil/genc/view?v=204458&amp;end_month=3&amp;end_day=31&amp;end_year=2014","TOGO")</f>
        <v>TOGO</v>
      </c>
      <c r="J253" s="89" t="str">
        <f>HYPERLINK("http://api.nsgreg.nga.mil/geo-political/GENC/3/ed2/TGO","TGO")</f>
        <v>TGO</v>
      </c>
    </row>
    <row r="254" spans="1:10" ht="13.5" customHeight="1" x14ac:dyDescent="0.2">
      <c r="A254" s="78" t="s">
        <v>1722</v>
      </c>
      <c r="B254" s="52" t="s">
        <v>1723</v>
      </c>
      <c r="C254" s="53" t="s">
        <v>1724</v>
      </c>
      <c r="D254" s="51" t="s">
        <v>1725</v>
      </c>
      <c r="E254" s="52" t="s">
        <v>1726</v>
      </c>
      <c r="F254" s="52" t="s">
        <v>1726</v>
      </c>
      <c r="G254" s="127"/>
      <c r="H254" s="93" t="s">
        <v>1727</v>
      </c>
      <c r="I254" s="63" t="str">
        <f>HYPERLINK("http://nsgreg.nga.mil/genc/view?v=117531&amp;gencs=T&amp;end_month=3&amp;end_day=31&amp;end_year=2014","TOKELAU")</f>
        <v>TOKELAU</v>
      </c>
      <c r="J254" s="91" t="str">
        <f>HYPERLINK("http://api.nsgreg.nga.mil/geo-political/ISO3166-1/3/VII-1/TKL","TKL")</f>
        <v>TKL</v>
      </c>
    </row>
    <row r="255" spans="1:10" ht="13.5" customHeight="1" x14ac:dyDescent="0.2">
      <c r="A255" s="76" t="s">
        <v>1728</v>
      </c>
      <c r="B255" s="31" t="s">
        <v>1729</v>
      </c>
      <c r="C255" s="56" t="s">
        <v>1730</v>
      </c>
      <c r="D255" s="54" t="s">
        <v>1731</v>
      </c>
      <c r="E255" s="31" t="s">
        <v>1732</v>
      </c>
      <c r="F255" s="31" t="s">
        <v>1733</v>
      </c>
      <c r="G255" s="123" t="str">
        <f>HYPERLINK("[#]Administrative_Subdivisions!A4470:H4470","&lt;link&gt;")</f>
        <v>&lt;link&gt;</v>
      </c>
      <c r="H255" s="86" t="s">
        <v>1734</v>
      </c>
      <c r="I255" s="64" t="str">
        <f>HYPERLINK("http://nsgreg.nga.mil/genc/view?v=204459&amp;end_month=3&amp;end_day=31&amp;end_year=2014","TONGA")</f>
        <v>TONGA</v>
      </c>
      <c r="J255" s="87" t="str">
        <f>HYPERLINK("http://api.nsgreg.nga.mil/geo-political/GENC/3/ed2/TON","TON")</f>
        <v>TON</v>
      </c>
    </row>
    <row r="256" spans="1:10" ht="13.5" customHeight="1" x14ac:dyDescent="0.2">
      <c r="A256" s="76" t="s">
        <v>1735</v>
      </c>
      <c r="B256" s="31" t="s">
        <v>1736</v>
      </c>
      <c r="C256" s="56" t="s">
        <v>1737</v>
      </c>
      <c r="D256" s="54" t="s">
        <v>1738</v>
      </c>
      <c r="E256" s="31" t="s">
        <v>1739</v>
      </c>
      <c r="F256" s="31" t="s">
        <v>1740</v>
      </c>
      <c r="G256" s="123" t="str">
        <f>HYPERLINK("[#]Administrative_Subdivisions!A4475:H4475","&lt;link&gt;")</f>
        <v>&lt;link&gt;</v>
      </c>
      <c r="H256" s="86" t="s">
        <v>1741</v>
      </c>
      <c r="I256" s="64" t="str">
        <f>HYPERLINK("http://nsgreg.nga.mil/genc/view?v=204460&amp;end_month=3&amp;end_day=31&amp;end_year=2014","TRINIDAD AND TOBAGO")</f>
        <v>TRINIDAD AND TOBAGO</v>
      </c>
      <c r="J256" s="87" t="str">
        <f>HYPERLINK("http://api.nsgreg.nga.mil/geo-political/GENC/3/ed2/TTO","TTO")</f>
        <v>TTO</v>
      </c>
    </row>
    <row r="257" spans="1:10" ht="13.5" customHeight="1" x14ac:dyDescent="0.2">
      <c r="A257" s="76" t="s">
        <v>1742</v>
      </c>
      <c r="B257" s="31" t="s">
        <v>1743</v>
      </c>
      <c r="C257" s="55" t="s">
        <v>93</v>
      </c>
      <c r="D257" s="54" t="s">
        <v>1744</v>
      </c>
      <c r="E257" s="31" t="s">
        <v>1745</v>
      </c>
      <c r="F257" s="31" t="s">
        <v>1745</v>
      </c>
      <c r="G257" s="122"/>
      <c r="H257" s="86" t="s">
        <v>1746</v>
      </c>
      <c r="I257" s="64" t="str">
        <f>HYPERLINK("http://nsgreg.nga.mil/genc/view?v=204461&amp;end_month=3&amp;end_day=31&amp;end_year=2014","TROMELIN ISLAND")</f>
        <v>TROMELIN ISLAND</v>
      </c>
      <c r="J257" s="87" t="str">
        <f>HYPERLINK("http://api.nsgreg.nga.mil/geo-political/GENC/3/ed2/XTR","XTR")</f>
        <v>XTR</v>
      </c>
    </row>
    <row r="258" spans="1:10" ht="13.5" customHeight="1" x14ac:dyDescent="0.2">
      <c r="A258" s="77" t="s">
        <v>1747</v>
      </c>
      <c r="B258" s="58" t="s">
        <v>1748</v>
      </c>
      <c r="C258" s="59" t="s">
        <v>1749</v>
      </c>
      <c r="D258" s="57" t="s">
        <v>1750</v>
      </c>
      <c r="E258" s="58" t="s">
        <v>1751</v>
      </c>
      <c r="F258" s="58" t="s">
        <v>1752</v>
      </c>
      <c r="G258" s="126" t="str">
        <f>HYPERLINK("[#]Administrative_Subdivisions!A4492:H4492","&lt;link&gt;")</f>
        <v>&lt;link&gt;</v>
      </c>
      <c r="H258" s="88" t="s">
        <v>1753</v>
      </c>
      <c r="I258" s="66" t="str">
        <f>HYPERLINK("http://nsgreg.nga.mil/genc/view?v=204462&amp;end_month=3&amp;end_day=31&amp;end_year=2014","TUNISIA")</f>
        <v>TUNISIA</v>
      </c>
      <c r="J258" s="89" t="str">
        <f>HYPERLINK("http://api.nsgreg.nga.mil/geo-political/GENC/3/ed2/TUN","TUN")</f>
        <v>TUN</v>
      </c>
    </row>
    <row r="259" spans="1:10" ht="13.5" customHeight="1" x14ac:dyDescent="0.2">
      <c r="A259" s="78" t="s">
        <v>1754</v>
      </c>
      <c r="B259" s="52" t="s">
        <v>1755</v>
      </c>
      <c r="C259" s="53" t="s">
        <v>1756</v>
      </c>
      <c r="D259" s="51" t="s">
        <v>1757</v>
      </c>
      <c r="E259" s="52" t="s">
        <v>1758</v>
      </c>
      <c r="F259" s="52" t="s">
        <v>1759</v>
      </c>
      <c r="G259" s="125" t="str">
        <f>HYPERLINK("[#]Administrative_Subdivisions!A4516:H4516","&lt;link&gt;")</f>
        <v>&lt;link&gt;</v>
      </c>
      <c r="H259" s="90" t="s">
        <v>1760</v>
      </c>
      <c r="I259" s="63" t="str">
        <f>HYPERLINK("http://nsgreg.nga.mil/genc/view?v=204463&amp;end_month=3&amp;end_day=31&amp;end_year=2014","TURKEY")</f>
        <v>TURKEY</v>
      </c>
      <c r="J259" s="91" t="str">
        <f>HYPERLINK("http://api.nsgreg.nga.mil/geo-political/GENC/3/ed2/TUR","TUR")</f>
        <v>TUR</v>
      </c>
    </row>
    <row r="260" spans="1:10" ht="13.5" customHeight="1" x14ac:dyDescent="0.2">
      <c r="A260" s="76" t="s">
        <v>1761</v>
      </c>
      <c r="B260" s="31" t="s">
        <v>1762</v>
      </c>
      <c r="C260" s="56" t="s">
        <v>1763</v>
      </c>
      <c r="D260" s="54" t="s">
        <v>1764</v>
      </c>
      <c r="E260" s="31" t="s">
        <v>1765</v>
      </c>
      <c r="F260" s="31" t="s">
        <v>1765</v>
      </c>
      <c r="G260" s="123" t="str">
        <f>HYPERLINK("[#]Administrative_Subdivisions!A4597:H4597","&lt;link&gt;")</f>
        <v>&lt;link&gt;</v>
      </c>
      <c r="H260" s="92" t="s">
        <v>1766</v>
      </c>
      <c r="I260" s="64" t="str">
        <f>HYPERLINK("http://nsgreg.nga.mil/genc/view?v=117536&amp;gencs=T&amp;end_month=3&amp;end_day=31&amp;end_year=2014","TURKMENISTAN")</f>
        <v>TURKMENISTAN</v>
      </c>
      <c r="J260" s="87" t="str">
        <f>HYPERLINK("http://api.nsgreg.nga.mil/geo-political/ISO3166-1/3/VII-1/TKM","TKM")</f>
        <v>TKM</v>
      </c>
    </row>
    <row r="261" spans="1:10" ht="13.5" customHeight="1" x14ac:dyDescent="0.2">
      <c r="A261" s="76" t="s">
        <v>1767</v>
      </c>
      <c r="B261" s="31" t="s">
        <v>1768</v>
      </c>
      <c r="C261" s="56" t="s">
        <v>1769</v>
      </c>
      <c r="D261" s="54" t="s">
        <v>1770</v>
      </c>
      <c r="E261" s="31" t="s">
        <v>1771</v>
      </c>
      <c r="F261" s="31" t="s">
        <v>1771</v>
      </c>
      <c r="G261" s="122"/>
      <c r="H261" s="86" t="s">
        <v>1772</v>
      </c>
      <c r="I261" s="64" t="str">
        <f>HYPERLINK("http://nsgreg.nga.mil/genc/view?v=204464&amp;end_month=3&amp;end_day=31&amp;end_year=2014","TURKS AND CAICOS ISLANDS")</f>
        <v>TURKS AND CAICOS ISLANDS</v>
      </c>
      <c r="J261" s="87" t="str">
        <f>HYPERLINK("http://api.nsgreg.nga.mil/geo-political/GENC/3/ed2/TCA","TCA")</f>
        <v>TCA</v>
      </c>
    </row>
    <row r="262" spans="1:10" ht="13.5" customHeight="1" x14ac:dyDescent="0.2">
      <c r="A262" s="76" t="s">
        <v>1773</v>
      </c>
      <c r="B262" s="31" t="s">
        <v>1774</v>
      </c>
      <c r="C262" s="56" t="s">
        <v>1775</v>
      </c>
      <c r="D262" s="54" t="s">
        <v>1776</v>
      </c>
      <c r="E262" s="31" t="s">
        <v>1777</v>
      </c>
      <c r="F262" s="31" t="s">
        <v>1777</v>
      </c>
      <c r="G262" s="123" t="str">
        <f>HYPERLINK("[#]Administrative_Subdivisions!A4603:H4603","&lt;link&gt;")</f>
        <v>&lt;link&gt;</v>
      </c>
      <c r="H262" s="86" t="s">
        <v>1778</v>
      </c>
      <c r="I262" s="64" t="str">
        <f>HYPERLINK("http://nsgreg.nga.mil/genc/view?v=204500&amp;end_month=3&amp;end_day=31&amp;end_year=2014","TUVALU")</f>
        <v>TUVALU</v>
      </c>
      <c r="J262" s="87" t="str">
        <f>HYPERLINK("http://api.nsgreg.nga.mil/geo-political/GENC/3/ed2/TUV","TUV")</f>
        <v>TUV</v>
      </c>
    </row>
    <row r="263" spans="1:10" ht="13.5" customHeight="1" x14ac:dyDescent="0.2">
      <c r="A263" s="77" t="s">
        <v>1779</v>
      </c>
      <c r="B263" s="58" t="s">
        <v>1780</v>
      </c>
      <c r="C263" s="59" t="s">
        <v>1781</v>
      </c>
      <c r="D263" s="57" t="s">
        <v>1782</v>
      </c>
      <c r="E263" s="58" t="s">
        <v>1783</v>
      </c>
      <c r="F263" s="58" t="s">
        <v>1784</v>
      </c>
      <c r="G263" s="126" t="str">
        <f>HYPERLINK("[#]Administrative_Subdivisions!A4611:H4611","&lt;link&gt;")</f>
        <v>&lt;link&gt;</v>
      </c>
      <c r="H263" s="88" t="s">
        <v>1785</v>
      </c>
      <c r="I263" s="66" t="str">
        <f>HYPERLINK("http://nsgreg.nga.mil/genc/view?v=204465&amp;end_month=3&amp;end_day=31&amp;end_year=2014","UGANDA")</f>
        <v>UGANDA</v>
      </c>
      <c r="J263" s="89" t="str">
        <f>HYPERLINK("http://api.nsgreg.nga.mil/geo-political/GENC/3/ed2/UGA","UGA")</f>
        <v>UGA</v>
      </c>
    </row>
    <row r="264" spans="1:10" ht="13.5" customHeight="1" x14ac:dyDescent="0.2">
      <c r="A264" s="78" t="s">
        <v>1786</v>
      </c>
      <c r="B264" s="52" t="s">
        <v>1787</v>
      </c>
      <c r="C264" s="53" t="s">
        <v>1788</v>
      </c>
      <c r="D264" s="51" t="s">
        <v>1789</v>
      </c>
      <c r="E264" s="52" t="s">
        <v>1790</v>
      </c>
      <c r="F264" s="52" t="s">
        <v>1790</v>
      </c>
      <c r="G264" s="125" t="str">
        <f>HYPERLINK("[#]Administrative_Subdivisions!A4727:H4727","&lt;link&gt;")</f>
        <v>&lt;link&gt;</v>
      </c>
      <c r="H264" s="90" t="s">
        <v>1791</v>
      </c>
      <c r="I264" s="63" t="str">
        <f>HYPERLINK("http://nsgreg.nga.mil/genc/view?v=204466&amp;end_month=3&amp;end_day=31&amp;end_year=2014","UKRAINE")</f>
        <v>UKRAINE</v>
      </c>
      <c r="J264" s="91" t="str">
        <f>HYPERLINK("http://api.nsgreg.nga.mil/geo-political/GENC/3/ed2/UKR","UKR")</f>
        <v>UKR</v>
      </c>
    </row>
    <row r="265" spans="1:10" ht="13.5" customHeight="1" x14ac:dyDescent="0.2">
      <c r="A265" s="76" t="s">
        <v>1792</v>
      </c>
      <c r="B265" s="31" t="s">
        <v>1793</v>
      </c>
      <c r="C265" s="56" t="s">
        <v>1794</v>
      </c>
      <c r="D265" s="54" t="s">
        <v>1795</v>
      </c>
      <c r="E265" s="31" t="s">
        <v>1796</v>
      </c>
      <c r="F265" s="31" t="s">
        <v>1796</v>
      </c>
      <c r="G265" s="123" t="str">
        <f>HYPERLINK("[#]Administrative_Subdivisions!A4754:H4754","&lt;link&gt;")</f>
        <v>&lt;link&gt;</v>
      </c>
      <c r="H265" s="86" t="s">
        <v>1797</v>
      </c>
      <c r="I265" s="64" t="str">
        <f>HYPERLINK("http://nsgreg.nga.mil/genc/view?v=204467&amp;end_month=3&amp;end_day=31&amp;end_year=2014","UNITED ARAB EMIRATES")</f>
        <v>UNITED ARAB EMIRATES</v>
      </c>
      <c r="J265" s="87" t="str">
        <f>HYPERLINK("http://api.nsgreg.nga.mil/geo-political/GENC/3/ed2/ARE","ARE")</f>
        <v>ARE</v>
      </c>
    </row>
    <row r="266" spans="1:10" ht="13.5" customHeight="1" x14ac:dyDescent="0.2">
      <c r="A266" s="76" t="s">
        <v>1798</v>
      </c>
      <c r="B266" s="31" t="s">
        <v>1799</v>
      </c>
      <c r="C266" s="56" t="s">
        <v>1800</v>
      </c>
      <c r="D266" s="54" t="s">
        <v>1801</v>
      </c>
      <c r="E266" s="31" t="s">
        <v>1802</v>
      </c>
      <c r="F266" s="31" t="s">
        <v>1803</v>
      </c>
      <c r="G266" s="123" t="str">
        <f>HYPERLINK("[#]Administrative_Subdivisions!A4761:H4761","&lt;link&gt;")</f>
        <v>&lt;link&gt;</v>
      </c>
      <c r="H266" s="86" t="s">
        <v>1804</v>
      </c>
      <c r="I266" s="64" t="str">
        <f>HYPERLINK("http://nsgreg.nga.mil/genc/view?v=204468&amp;end_month=3&amp;end_day=31&amp;end_year=2014","UNITED KINGDOM")</f>
        <v>UNITED KINGDOM</v>
      </c>
      <c r="J266" s="87" t="str">
        <f>HYPERLINK("http://api.nsgreg.nga.mil/geo-political/GENC/3/ed2/GBR","GBR")</f>
        <v>GBR</v>
      </c>
    </row>
    <row r="267" spans="1:10" ht="13.5" customHeight="1" x14ac:dyDescent="0.2">
      <c r="A267" s="76" t="s">
        <v>1805</v>
      </c>
      <c r="B267" s="31" t="s">
        <v>1806</v>
      </c>
      <c r="C267" s="56" t="s">
        <v>1807</v>
      </c>
      <c r="D267" s="54" t="s">
        <v>1808</v>
      </c>
      <c r="E267" s="31" t="s">
        <v>1809</v>
      </c>
      <c r="F267" s="31" t="s">
        <v>1810</v>
      </c>
      <c r="G267" s="123" t="str">
        <f>HYPERLINK("[#]Administrative_Subdivisions!A4997:H4997","&lt;link&gt;")</f>
        <v>&lt;link&gt;</v>
      </c>
      <c r="H267" s="86" t="s">
        <v>1811</v>
      </c>
      <c r="I267" s="64" t="str">
        <f>HYPERLINK("http://nsgreg.nga.mil/genc/view?v=204469&amp;end_month=3&amp;end_day=31&amp;end_year=2014","UNITED STATES")</f>
        <v>UNITED STATES</v>
      </c>
      <c r="J267" s="87" t="str">
        <f>HYPERLINK("http://api.nsgreg.nga.mil/geo-political/GENC/3/ed2/USA","USA")</f>
        <v>USA</v>
      </c>
    </row>
    <row r="268" spans="1:10" ht="13.5" customHeight="1" x14ac:dyDescent="0.2">
      <c r="A268" s="77" t="s">
        <v>1812</v>
      </c>
      <c r="B268" s="58" t="s">
        <v>1813</v>
      </c>
      <c r="C268" s="67" t="s">
        <v>93</v>
      </c>
      <c r="D268" s="57" t="s">
        <v>1814</v>
      </c>
      <c r="E268" s="58" t="s">
        <v>1815</v>
      </c>
      <c r="F268" s="58" t="s">
        <v>1815</v>
      </c>
      <c r="G268" s="124"/>
      <c r="H268" s="88" t="s">
        <v>1816</v>
      </c>
      <c r="I268" s="66" t="str">
        <f>HYPERLINK("http://nsgreg.nga.mil/genc/view?v=204471&amp;end_month=3&amp;end_day=31&amp;end_year=2014","UNKNOWN")</f>
        <v>UNKNOWN</v>
      </c>
      <c r="J268" s="89" t="str">
        <f>HYPERLINK("http://api.nsgreg.nga.mil/geo-political/GENC/3/ed2/AX1","AX1")</f>
        <v>AX1</v>
      </c>
    </row>
    <row r="269" spans="1:10" ht="13.5" customHeight="1" x14ac:dyDescent="0.2">
      <c r="A269" s="78" t="s">
        <v>1817</v>
      </c>
      <c r="B269" s="52" t="s">
        <v>1818</v>
      </c>
      <c r="C269" s="53" t="s">
        <v>1819</v>
      </c>
      <c r="D269" s="51" t="s">
        <v>1820</v>
      </c>
      <c r="E269" s="52" t="s">
        <v>1821</v>
      </c>
      <c r="F269" s="52" t="s">
        <v>1822</v>
      </c>
      <c r="G269" s="125" t="str">
        <f>HYPERLINK("[#]Administrative_Subdivisions!A5054:H5054","&lt;link&gt;")</f>
        <v>&lt;link&gt;</v>
      </c>
      <c r="H269" s="90" t="s">
        <v>1823</v>
      </c>
      <c r="I269" s="63" t="str">
        <f>HYPERLINK("http://nsgreg.nga.mil/genc/view?v=204472&amp;end_month=3&amp;end_day=31&amp;end_year=2014","URUGUAY")</f>
        <v>URUGUAY</v>
      </c>
      <c r="J269" s="91" t="str">
        <f>HYPERLINK("http://api.nsgreg.nga.mil/geo-political/GENC/3/ed2/URY","URY")</f>
        <v>URY</v>
      </c>
    </row>
    <row r="270" spans="1:10" ht="13.5" customHeight="1" x14ac:dyDescent="0.2">
      <c r="A270" s="76" t="s">
        <v>1824</v>
      </c>
      <c r="B270" s="31" t="s">
        <v>1825</v>
      </c>
      <c r="C270" s="56" t="s">
        <v>1826</v>
      </c>
      <c r="D270" s="54" t="s">
        <v>1827</v>
      </c>
      <c r="E270" s="31" t="s">
        <v>1828</v>
      </c>
      <c r="F270" s="31" t="s">
        <v>1829</v>
      </c>
      <c r="G270" s="123" t="str">
        <f>HYPERLINK("[#]Administrative_Subdivisions!A5073:H5073","&lt;link&gt;")</f>
        <v>&lt;link&gt;</v>
      </c>
      <c r="H270" s="86" t="s">
        <v>1830</v>
      </c>
      <c r="I270" s="64" t="str">
        <f>HYPERLINK("http://nsgreg.nga.mil/genc/view?v=204473&amp;end_month=3&amp;end_day=31&amp;end_year=2014","UZBEKISTAN")</f>
        <v>UZBEKISTAN</v>
      </c>
      <c r="J270" s="87" t="str">
        <f>HYPERLINK("http://api.nsgreg.nga.mil/geo-political/GENC/3/ed2/UZB","UZB")</f>
        <v>UZB</v>
      </c>
    </row>
    <row r="271" spans="1:10" ht="13.5" customHeight="1" x14ac:dyDescent="0.2">
      <c r="A271" s="76" t="s">
        <v>1831</v>
      </c>
      <c r="B271" s="31" t="s">
        <v>1832</v>
      </c>
      <c r="C271" s="56" t="s">
        <v>1833</v>
      </c>
      <c r="D271" s="54" t="s">
        <v>1834</v>
      </c>
      <c r="E271" s="31" t="s">
        <v>1835</v>
      </c>
      <c r="F271" s="31" t="s">
        <v>1836</v>
      </c>
      <c r="G271" s="123" t="str">
        <f>HYPERLINK("[#]Administrative_Subdivisions!A5087:H5087","&lt;link&gt;")</f>
        <v>&lt;link&gt;</v>
      </c>
      <c r="H271" s="86" t="s">
        <v>1837</v>
      </c>
      <c r="I271" s="64" t="str">
        <f>HYPERLINK("http://nsgreg.nga.mil/genc/view?v=204474&amp;end_month=3&amp;end_day=31&amp;end_year=2014","VANUATU")</f>
        <v>VANUATU</v>
      </c>
      <c r="J271" s="87" t="str">
        <f>HYPERLINK("http://api.nsgreg.nga.mil/geo-political/GENC/3/ed2/VUT","VUT")</f>
        <v>VUT</v>
      </c>
    </row>
    <row r="272" spans="1:10" ht="13.5" customHeight="1" x14ac:dyDescent="0.2">
      <c r="A272" s="76" t="s">
        <v>1838</v>
      </c>
      <c r="B272" s="31" t="s">
        <v>1839</v>
      </c>
      <c r="C272" s="56" t="s">
        <v>1840</v>
      </c>
      <c r="D272" s="54" t="s">
        <v>1841</v>
      </c>
      <c r="E272" s="31" t="s">
        <v>1842</v>
      </c>
      <c r="F272" s="31" t="s">
        <v>1843</v>
      </c>
      <c r="G272" s="122"/>
      <c r="H272" s="86" t="s">
        <v>1844</v>
      </c>
      <c r="I272" s="64" t="str">
        <f>HYPERLINK("http://nsgreg.nga.mil/genc/view?v=204475&amp;end_month=3&amp;end_day=31&amp;end_year=2014","VATICAN CITY")</f>
        <v>VATICAN CITY</v>
      </c>
      <c r="J272" s="87" t="str">
        <f>HYPERLINK("http://api.nsgreg.nga.mil/geo-political/GENC/3/ed2/VAT","VAT")</f>
        <v>VAT</v>
      </c>
    </row>
    <row r="273" spans="1:10" ht="13.5" customHeight="1" x14ac:dyDescent="0.2">
      <c r="A273" s="77" t="s">
        <v>1845</v>
      </c>
      <c r="B273" s="58" t="s">
        <v>1846</v>
      </c>
      <c r="C273" s="59" t="s">
        <v>1847</v>
      </c>
      <c r="D273" s="57" t="s">
        <v>1848</v>
      </c>
      <c r="E273" s="58" t="s">
        <v>1849</v>
      </c>
      <c r="F273" s="58" t="s">
        <v>1850</v>
      </c>
      <c r="G273" s="126" t="str">
        <f>HYPERLINK("[#]Administrative_Subdivisions!A5093:H5093","&lt;link&gt;")</f>
        <v>&lt;link&gt;</v>
      </c>
      <c r="H273" s="88" t="s">
        <v>1851</v>
      </c>
      <c r="I273" s="66" t="str">
        <f>HYPERLINK("http://nsgreg.nga.mil/genc/view?v=204476&amp;end_month=3&amp;end_day=31&amp;end_year=2014","VENEZUELA")</f>
        <v>VENEZUELA</v>
      </c>
      <c r="J273" s="89" t="str">
        <f>HYPERLINK("http://api.nsgreg.nga.mil/geo-political/GENC/3/ed2/VEN","VEN")</f>
        <v>VEN</v>
      </c>
    </row>
    <row r="274" spans="1:10" ht="13.5" customHeight="1" x14ac:dyDescent="0.2">
      <c r="A274" s="78" t="s">
        <v>1852</v>
      </c>
      <c r="B274" s="52" t="s">
        <v>1853</v>
      </c>
      <c r="C274" s="53" t="s">
        <v>1854</v>
      </c>
      <c r="D274" s="51" t="s">
        <v>1855</v>
      </c>
      <c r="E274" s="52" t="s">
        <v>1856</v>
      </c>
      <c r="F274" s="52" t="s">
        <v>1857</v>
      </c>
      <c r="G274" s="125" t="str">
        <f>HYPERLINK("[#]Administrative_Subdivisions!A5118:H5118","&lt;link&gt;")</f>
        <v>&lt;link&gt;</v>
      </c>
      <c r="H274" s="90" t="s">
        <v>1858</v>
      </c>
      <c r="I274" s="63" t="str">
        <f>HYPERLINK("http://nsgreg.nga.mil/genc/view?v=204477&amp;end_month=3&amp;end_day=31&amp;end_year=2014","VIETNAM")</f>
        <v>VIETNAM</v>
      </c>
      <c r="J274" s="91" t="str">
        <f>HYPERLINK("http://api.nsgreg.nga.mil/geo-political/GENC/3/ed2/VNM","VNM")</f>
        <v>VNM</v>
      </c>
    </row>
    <row r="275" spans="1:10" ht="13.5" customHeight="1" x14ac:dyDescent="0.2">
      <c r="A275" s="76" t="s">
        <v>1859</v>
      </c>
      <c r="B275" s="31" t="s">
        <v>1860</v>
      </c>
      <c r="C275" s="56" t="s">
        <v>1861</v>
      </c>
      <c r="D275" s="54" t="s">
        <v>1862</v>
      </c>
      <c r="E275" s="31" t="s">
        <v>1863</v>
      </c>
      <c r="F275" s="31" t="s">
        <v>1863</v>
      </c>
      <c r="G275" s="122"/>
      <c r="H275" s="86" t="s">
        <v>1864</v>
      </c>
      <c r="I275" s="64" t="str">
        <f>HYPERLINK("http://nsgreg.nga.mil/genc/view?v=204478&amp;end_month=3&amp;end_day=31&amp;end_year=2014","VIRGIN ISLANDS, BRITISH")</f>
        <v>VIRGIN ISLANDS, BRITISH</v>
      </c>
      <c r="J275" s="87" t="str">
        <f>HYPERLINK("http://api.nsgreg.nga.mil/geo-political/GENC/3/ed2/VGB","VGB")</f>
        <v>VGB</v>
      </c>
    </row>
    <row r="276" spans="1:10" ht="13.5" customHeight="1" x14ac:dyDescent="0.2">
      <c r="A276" s="76" t="s">
        <v>1865</v>
      </c>
      <c r="B276" s="31" t="s">
        <v>1866</v>
      </c>
      <c r="C276" s="56" t="s">
        <v>1867</v>
      </c>
      <c r="D276" s="54" t="s">
        <v>1868</v>
      </c>
      <c r="E276" s="31" t="s">
        <v>1869</v>
      </c>
      <c r="F276" s="31" t="s">
        <v>1870</v>
      </c>
      <c r="G276" s="122"/>
      <c r="H276" s="86" t="s">
        <v>1871</v>
      </c>
      <c r="I276" s="64" t="str">
        <f>HYPERLINK("http://nsgreg.nga.mil/genc/view?v=204479&amp;end_month=3&amp;end_day=31&amp;end_year=2014","VIRGIN ISLANDS, U.S.")</f>
        <v>VIRGIN ISLANDS, U.S.</v>
      </c>
      <c r="J276" s="87" t="str">
        <f>HYPERLINK("http://api.nsgreg.nga.mil/geo-political/GENC/3/ed2/VIR","VIR")</f>
        <v>VIR</v>
      </c>
    </row>
    <row r="277" spans="1:10" ht="13.5" customHeight="1" x14ac:dyDescent="0.2">
      <c r="A277" s="76" t="s">
        <v>1872</v>
      </c>
      <c r="B277" s="31" t="s">
        <v>1873</v>
      </c>
      <c r="C277" s="55" t="s">
        <v>93</v>
      </c>
      <c r="D277" s="54" t="s">
        <v>1874</v>
      </c>
      <c r="E277" s="31" t="s">
        <v>1875</v>
      </c>
      <c r="F277" s="31" t="s">
        <v>1875</v>
      </c>
      <c r="G277" s="122"/>
      <c r="H277" s="86" t="s">
        <v>1876</v>
      </c>
      <c r="I277" s="64" t="str">
        <f>HYPERLINK("http://nsgreg.nga.mil/genc/view?v=204480&amp;end_month=3&amp;end_day=31&amp;end_year=2014","WAKE ISLAND")</f>
        <v>WAKE ISLAND</v>
      </c>
      <c r="J277" s="87" t="str">
        <f>HYPERLINK("http://api.nsgreg.nga.mil/geo-political/GENC/3/ed2/XWK","XWK")</f>
        <v>XWK</v>
      </c>
    </row>
    <row r="278" spans="1:10" ht="13.5" customHeight="1" x14ac:dyDescent="0.2">
      <c r="A278" s="77" t="s">
        <v>1877</v>
      </c>
      <c r="B278" s="58" t="s">
        <v>1878</v>
      </c>
      <c r="C278" s="59" t="s">
        <v>1879</v>
      </c>
      <c r="D278" s="57" t="s">
        <v>1880</v>
      </c>
      <c r="E278" s="58" t="s">
        <v>1881</v>
      </c>
      <c r="F278" s="58" t="s">
        <v>1881</v>
      </c>
      <c r="G278" s="124"/>
      <c r="H278" s="88" t="s">
        <v>1882</v>
      </c>
      <c r="I278" s="66" t="str">
        <f>HYPERLINK("http://nsgreg.nga.mil/genc/view?v=204481&amp;end_month=3&amp;end_day=31&amp;end_year=2014","WALLIS AND FUTUNA")</f>
        <v>WALLIS AND FUTUNA</v>
      </c>
      <c r="J278" s="89" t="str">
        <f>HYPERLINK("http://api.nsgreg.nga.mil/geo-political/GENC/3/ed2/WLF","WLF")</f>
        <v>WLF</v>
      </c>
    </row>
    <row r="279" spans="1:10" ht="13.5" customHeight="1" x14ac:dyDescent="0.2">
      <c r="A279" s="78" t="s">
        <v>1883</v>
      </c>
      <c r="B279" s="52" t="s">
        <v>1884</v>
      </c>
      <c r="C279" s="69" t="s">
        <v>93</v>
      </c>
      <c r="D279" s="51" t="s">
        <v>1885</v>
      </c>
      <c r="E279" s="52" t="s">
        <v>1886</v>
      </c>
      <c r="F279" s="52" t="s">
        <v>1886</v>
      </c>
      <c r="G279" s="127"/>
      <c r="H279" s="90" t="s">
        <v>1887</v>
      </c>
      <c r="I279" s="63" t="str">
        <f>HYPERLINK("http://nsgreg.nga.mil/genc/view?v=204482&amp;end_month=3&amp;end_day=31&amp;end_year=2014","WEST BANK")</f>
        <v>WEST BANK</v>
      </c>
      <c r="J279" s="91" t="str">
        <f>HYPERLINK("http://api.nsgreg.nga.mil/geo-political/GENC/3/ed2/XWB","XWB")</f>
        <v>XWB</v>
      </c>
    </row>
    <row r="280" spans="1:10" ht="13.5" customHeight="1" x14ac:dyDescent="0.2">
      <c r="A280" s="76" t="s">
        <v>1888</v>
      </c>
      <c r="B280" s="31" t="s">
        <v>1889</v>
      </c>
      <c r="C280" s="56" t="s">
        <v>1890</v>
      </c>
      <c r="D280" s="54" t="s">
        <v>1891</v>
      </c>
      <c r="E280" s="31" t="s">
        <v>1892</v>
      </c>
      <c r="F280" s="31" t="s">
        <v>1892</v>
      </c>
      <c r="G280" s="122"/>
      <c r="H280" s="86" t="s">
        <v>1893</v>
      </c>
      <c r="I280" s="64" t="str">
        <f>HYPERLINK("http://nsgreg.nga.mil/genc/view?v=204483&amp;end_month=3&amp;end_day=31&amp;end_year=2014","WESTERN SAHARA")</f>
        <v>WESTERN SAHARA</v>
      </c>
      <c r="J280" s="87" t="str">
        <f>HYPERLINK("http://api.nsgreg.nga.mil/geo-political/GENC/3/ed2/ESH","ESH")</f>
        <v>ESH</v>
      </c>
    </row>
    <row r="281" spans="1:10" ht="13.5" customHeight="1" x14ac:dyDescent="0.2">
      <c r="A281" s="76" t="s">
        <v>1894</v>
      </c>
      <c r="B281" s="31" t="s">
        <v>1895</v>
      </c>
      <c r="C281" s="56" t="s">
        <v>1896</v>
      </c>
      <c r="D281" s="54" t="s">
        <v>1897</v>
      </c>
      <c r="E281" s="31" t="s">
        <v>1898</v>
      </c>
      <c r="F281" s="31" t="s">
        <v>1899</v>
      </c>
      <c r="G281" s="123" t="str">
        <f>HYPERLINK("[#]Administrative_Subdivisions!A5182:H5182","&lt;link&gt;")</f>
        <v>&lt;link&gt;</v>
      </c>
      <c r="H281" s="86" t="s">
        <v>1900</v>
      </c>
      <c r="I281" s="64" t="str">
        <f>HYPERLINK("http://nsgreg.nga.mil/genc/view?v=204484&amp;end_month=3&amp;end_day=31&amp;end_year=2014","YEMEN")</f>
        <v>YEMEN</v>
      </c>
      <c r="J281" s="87" t="str">
        <f>HYPERLINK("http://api.nsgreg.nga.mil/geo-political/GENC/3/ed2/YEM","YEM")</f>
        <v>YEM</v>
      </c>
    </row>
    <row r="282" spans="1:10" ht="13.5" customHeight="1" x14ac:dyDescent="0.2">
      <c r="A282" s="76" t="s">
        <v>1901</v>
      </c>
      <c r="B282" s="31" t="s">
        <v>1902</v>
      </c>
      <c r="C282" s="56" t="s">
        <v>1903</v>
      </c>
      <c r="D282" s="54" t="s">
        <v>1904</v>
      </c>
      <c r="E282" s="31" t="s">
        <v>1905</v>
      </c>
      <c r="F282" s="31" t="s">
        <v>1906</v>
      </c>
      <c r="G282" s="123" t="str">
        <f>HYPERLINK("[#]Administrative_Subdivisions!A5203:H5203","&lt;link&gt;")</f>
        <v>&lt;link&gt;</v>
      </c>
      <c r="H282" s="86" t="s">
        <v>1907</v>
      </c>
      <c r="I282" s="64" t="str">
        <f>HYPERLINK("http://nsgreg.nga.mil/genc/view?v=204485&amp;end_month=3&amp;end_day=31&amp;end_year=2014","ZAMBIA")</f>
        <v>ZAMBIA</v>
      </c>
      <c r="J282" s="87" t="str">
        <f>HYPERLINK("http://api.nsgreg.nga.mil/geo-political/GENC/3/ed2/ZMB","ZMB")</f>
        <v>ZMB</v>
      </c>
    </row>
    <row r="283" spans="1:10" ht="13.5" customHeight="1" thickBot="1" x14ac:dyDescent="0.25">
      <c r="A283" s="79" t="s">
        <v>1908</v>
      </c>
      <c r="B283" s="80" t="s">
        <v>1909</v>
      </c>
      <c r="C283" s="81" t="s">
        <v>1910</v>
      </c>
      <c r="D283" s="82" t="s">
        <v>1911</v>
      </c>
      <c r="E283" s="80" t="s">
        <v>1912</v>
      </c>
      <c r="F283" s="80" t="s">
        <v>1913</v>
      </c>
      <c r="G283" s="128" t="str">
        <f>HYPERLINK("[#]Administrative_Subdivisions!A5213:H5213","&lt;link&gt;")</f>
        <v>&lt;link&gt;</v>
      </c>
      <c r="H283" s="95" t="s">
        <v>1914</v>
      </c>
      <c r="I283" s="96" t="str">
        <f>HYPERLINK("http://nsgreg.nga.mil/genc/view?v=204486&amp;end_month=3&amp;end_day=31&amp;end_year=2014","ZIMBABWE")</f>
        <v>ZIMBABWE</v>
      </c>
      <c r="J283" s="97" t="str">
        <f>HYPERLINK("http://api.nsgreg.nga.mil/geo-political/GENC/3/ed2/ZWE","ZWE")</f>
        <v>ZWE</v>
      </c>
    </row>
    <row r="284" spans="1:10" ht="13.5" customHeight="1" x14ac:dyDescent="0.2">
      <c r="A284" s="57"/>
      <c r="B284" s="58"/>
      <c r="C284" s="59"/>
      <c r="D284" s="57"/>
      <c r="E284" s="58"/>
      <c r="F284" s="58"/>
      <c r="G284" s="65"/>
      <c r="H284" s="57"/>
      <c r="I284" s="62"/>
      <c r="J284" s="62"/>
    </row>
  </sheetData>
  <autoFilter ref="A3:F3"/>
  <mergeCells count="3">
    <mergeCell ref="I2:J2"/>
    <mergeCell ref="A1:E2"/>
    <mergeCell ref="I1:J1"/>
  </mergeCells>
  <printOptions horizontalCentered="1"/>
  <pageMargins left="0.7" right="0.7" top="0.36" bottom="0.43" header="0.24" footer="0.24"/>
  <pageSetup scale="50" fitToHeight="0" orientation="landscape" r:id="rId1"/>
  <headerFoot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22"/>
  <sheetViews>
    <sheetView zoomScale="85" zoomScaleNormal="85" workbookViewId="0">
      <pane ySplit="3" topLeftCell="A4" activePane="bottomLeft" state="frozen"/>
      <selection pane="bottomLeft" sqref="A1:E2"/>
    </sheetView>
  </sheetViews>
  <sheetFormatPr defaultRowHeight="12.75" x14ac:dyDescent="0.2"/>
  <cols>
    <col min="1" max="1" width="59.6640625" style="29" customWidth="1"/>
    <col min="2" max="2" width="13.83203125" style="29" customWidth="1"/>
    <col min="3" max="3" width="67.33203125" style="29" customWidth="1"/>
    <col min="4" max="4" width="28" style="29" customWidth="1"/>
    <col min="5" max="5" width="18.6640625" style="29" customWidth="1"/>
    <col min="6" max="6" width="33.83203125" style="29" customWidth="1"/>
    <col min="7" max="7" width="52" style="29" customWidth="1"/>
    <col min="8" max="8" width="24" style="29" customWidth="1"/>
    <col min="9" max="16384" width="9.33203125" style="34"/>
  </cols>
  <sheetData>
    <row r="1" spans="1:8" s="29" customFormat="1" ht="15" customHeight="1" x14ac:dyDescent="0.2">
      <c r="A1" s="160" t="s">
        <v>1915</v>
      </c>
      <c r="B1" s="161"/>
      <c r="C1" s="161"/>
      <c r="D1" s="161"/>
      <c r="E1" s="162"/>
      <c r="F1" s="35" t="s">
        <v>49</v>
      </c>
      <c r="G1" s="154" t="s">
        <v>1916</v>
      </c>
      <c r="H1" s="155"/>
    </row>
    <row r="2" spans="1:8" s="29" customFormat="1" ht="15" customHeight="1" x14ac:dyDescent="0.2">
      <c r="A2" s="163"/>
      <c r="B2" s="164"/>
      <c r="C2" s="164"/>
      <c r="D2" s="164"/>
      <c r="E2" s="165"/>
      <c r="F2" s="36" t="s">
        <v>50</v>
      </c>
      <c r="G2" s="148" t="s">
        <v>1917</v>
      </c>
      <c r="H2" s="149"/>
    </row>
    <row r="3" spans="1:8" s="33" customFormat="1" ht="27" customHeight="1" thickBot="1" x14ac:dyDescent="0.25">
      <c r="A3" s="37" t="s">
        <v>51</v>
      </c>
      <c r="B3" s="14" t="s">
        <v>46</v>
      </c>
      <c r="C3" s="12" t="s">
        <v>74</v>
      </c>
      <c r="D3" s="12" t="s">
        <v>48</v>
      </c>
      <c r="E3" s="12" t="s">
        <v>47</v>
      </c>
      <c r="F3" s="15" t="s">
        <v>18</v>
      </c>
      <c r="G3" s="16" t="s">
        <v>19</v>
      </c>
      <c r="H3" s="17" t="s">
        <v>20</v>
      </c>
    </row>
    <row r="4" spans="1:8" x14ac:dyDescent="0.2">
      <c r="A4" s="166" t="str">
        <f>HYPERLINK("[#]Geopolitical_Entities!A4:I4","AFGHANISTAN")</f>
        <v>AFGHANISTAN</v>
      </c>
      <c r="B4" s="73" t="s">
        <v>1918</v>
      </c>
      <c r="C4" s="73" t="s">
        <v>1919</v>
      </c>
      <c r="D4" s="73" t="s">
        <v>1920</v>
      </c>
      <c r="E4" s="104" t="b">
        <v>1</v>
      </c>
      <c r="F4" s="105" t="s">
        <v>1921</v>
      </c>
      <c r="G4" s="115" t="str">
        <f>HYPERLINK("http://nsgreg.nga.mil/genc/view?v=111976&amp;gencs=T&amp;end_month=3&amp;end_day=31&amp;end_year=2014","Badakhshān")</f>
        <v>Badakhshān</v>
      </c>
      <c r="H4" s="85" t="str">
        <f>HYPERLINK("http://api.nsgreg.nga.mil/geo-division/ISO3166-2/6/ed3/AF-BDS","AF-BDS")</f>
        <v>AF-BDS</v>
      </c>
    </row>
    <row r="5" spans="1:8" x14ac:dyDescent="0.2">
      <c r="A5" s="157"/>
      <c r="B5" s="31" t="s">
        <v>1922</v>
      </c>
      <c r="C5" s="31" t="s">
        <v>1923</v>
      </c>
      <c r="D5" s="31" t="s">
        <v>1920</v>
      </c>
      <c r="E5" s="61" t="b">
        <v>1</v>
      </c>
      <c r="F5" s="106" t="s">
        <v>1924</v>
      </c>
      <c r="G5" s="116" t="str">
        <f>HYPERLINK("http://nsgreg.nga.mil/genc/view?v=111975&amp;gencs=T&amp;end_month=3&amp;end_day=31&amp;end_year=2014","Bādghīs")</f>
        <v>Bādghīs</v>
      </c>
      <c r="H5" s="87" t="str">
        <f>HYPERLINK("http://api.nsgreg.nga.mil/geo-division/ISO3166-2/6/ed3/AF-BDG","AF-BDG")</f>
        <v>AF-BDG</v>
      </c>
    </row>
    <row r="6" spans="1:8" x14ac:dyDescent="0.2">
      <c r="A6" s="157"/>
      <c r="B6" s="31" t="s">
        <v>1925</v>
      </c>
      <c r="C6" s="31" t="s">
        <v>1926</v>
      </c>
      <c r="D6" s="31" t="s">
        <v>1920</v>
      </c>
      <c r="E6" s="61" t="b">
        <v>1</v>
      </c>
      <c r="F6" s="106" t="s">
        <v>1927</v>
      </c>
      <c r="G6" s="116" t="str">
        <f>HYPERLINK("http://nsgreg.nga.mil/genc/view?v=111977&amp;gencs=T&amp;end_month=3&amp;end_day=31&amp;end_year=2014","Baghlān")</f>
        <v>Baghlān</v>
      </c>
      <c r="H6" s="87" t="str">
        <f>HYPERLINK("http://api.nsgreg.nga.mil/geo-division/ISO3166-2/6/ed3/AF-BGL","AF-BGL")</f>
        <v>AF-BGL</v>
      </c>
    </row>
    <row r="7" spans="1:8" x14ac:dyDescent="0.2">
      <c r="A7" s="157"/>
      <c r="B7" s="31" t="s">
        <v>1928</v>
      </c>
      <c r="C7" s="31" t="s">
        <v>1929</v>
      </c>
      <c r="D7" s="31" t="s">
        <v>1920</v>
      </c>
      <c r="E7" s="61" t="b">
        <v>1</v>
      </c>
      <c r="F7" s="106" t="s">
        <v>1930</v>
      </c>
      <c r="G7" s="116" t="str">
        <f>HYPERLINK("http://nsgreg.nga.mil/genc/view?v=111973&amp;gencs=T&amp;end_month=3&amp;end_day=31&amp;end_year=2014","Balkh")</f>
        <v>Balkh</v>
      </c>
      <c r="H7" s="87" t="str">
        <f>HYPERLINK("http://api.nsgreg.nga.mil/geo-division/ISO3166-2/6/ed3/AF-BAL","AF-BAL")</f>
        <v>AF-BAL</v>
      </c>
    </row>
    <row r="8" spans="1:8" x14ac:dyDescent="0.2">
      <c r="A8" s="157"/>
      <c r="B8" s="31" t="s">
        <v>1931</v>
      </c>
      <c r="C8" s="31" t="s">
        <v>1932</v>
      </c>
      <c r="D8" s="31" t="s">
        <v>1920</v>
      </c>
      <c r="E8" s="61" t="b">
        <v>1</v>
      </c>
      <c r="F8" s="106" t="s">
        <v>1933</v>
      </c>
      <c r="G8" s="116" t="str">
        <f>HYPERLINK("http://nsgreg.nga.mil/genc/view?v=111974&amp;gencs=T&amp;end_month=3&amp;end_day=31&amp;end_year=2014","Bāmyān")</f>
        <v>Bāmyān</v>
      </c>
      <c r="H8" s="87" t="str">
        <f>HYPERLINK("http://api.nsgreg.nga.mil/geo-division/ISO3166-2/6/ed3/AF-BAM","AF-BAM")</f>
        <v>AF-BAM</v>
      </c>
    </row>
    <row r="9" spans="1:8" x14ac:dyDescent="0.2">
      <c r="A9" s="157"/>
      <c r="B9" s="31" t="s">
        <v>1934</v>
      </c>
      <c r="C9" s="31" t="s">
        <v>1935</v>
      </c>
      <c r="D9" s="31" t="s">
        <v>1920</v>
      </c>
      <c r="E9" s="61" t="b">
        <v>1</v>
      </c>
      <c r="F9" s="106" t="s">
        <v>1936</v>
      </c>
      <c r="G9" s="116" t="str">
        <f>HYPERLINK("http://nsgreg.nga.mil/genc/view?v=111978&amp;gencs=T&amp;end_month=3&amp;end_day=31&amp;end_year=2014","Dāykundī")</f>
        <v>Dāykundī</v>
      </c>
      <c r="H9" s="87" t="str">
        <f>HYPERLINK("http://api.nsgreg.nga.mil/geo-division/ISO3166-2/6/ed3/AF-DAY","AF-DAY")</f>
        <v>AF-DAY</v>
      </c>
    </row>
    <row r="10" spans="1:8" x14ac:dyDescent="0.2">
      <c r="A10" s="157"/>
      <c r="B10" s="31" t="s">
        <v>1937</v>
      </c>
      <c r="C10" s="31" t="s">
        <v>1938</v>
      </c>
      <c r="D10" s="31" t="s">
        <v>1920</v>
      </c>
      <c r="E10" s="61" t="b">
        <v>1</v>
      </c>
      <c r="F10" s="106" t="s">
        <v>1939</v>
      </c>
      <c r="G10" s="116" t="str">
        <f>HYPERLINK("http://nsgreg.nga.mil/genc/view?v=111979&amp;gencs=T&amp;end_month=3&amp;end_day=31&amp;end_year=2014","Farāh")</f>
        <v>Farāh</v>
      </c>
      <c r="H10" s="87" t="str">
        <f>HYPERLINK("http://api.nsgreg.nga.mil/geo-division/ISO3166-2/6/ed3/AF-FRA","AF-FRA")</f>
        <v>AF-FRA</v>
      </c>
    </row>
    <row r="11" spans="1:8" x14ac:dyDescent="0.2">
      <c r="A11" s="157"/>
      <c r="B11" s="31" t="s">
        <v>1940</v>
      </c>
      <c r="C11" s="31" t="s">
        <v>1941</v>
      </c>
      <c r="D11" s="31" t="s">
        <v>1920</v>
      </c>
      <c r="E11" s="61" t="b">
        <v>1</v>
      </c>
      <c r="F11" s="106" t="s">
        <v>1942</v>
      </c>
      <c r="G11" s="116" t="str">
        <f>HYPERLINK("http://nsgreg.nga.mil/genc/view?v=111980&amp;gencs=T&amp;end_month=3&amp;end_day=31&amp;end_year=2014","Fāryāb")</f>
        <v>Fāryāb</v>
      </c>
      <c r="H11" s="87" t="str">
        <f>HYPERLINK("http://api.nsgreg.nga.mil/geo-division/ISO3166-2/6/ed3/AF-FYB","AF-FYB")</f>
        <v>AF-FYB</v>
      </c>
    </row>
    <row r="12" spans="1:8" x14ac:dyDescent="0.2">
      <c r="A12" s="157"/>
      <c r="B12" s="31" t="s">
        <v>1943</v>
      </c>
      <c r="C12" s="31" t="s">
        <v>1944</v>
      </c>
      <c r="D12" s="31" t="s">
        <v>1920</v>
      </c>
      <c r="E12" s="61" t="b">
        <v>1</v>
      </c>
      <c r="F12" s="106" t="s">
        <v>1945</v>
      </c>
      <c r="G12" s="116" t="str">
        <f>HYPERLINK("http://nsgreg.nga.mil/genc/view?v=111981&amp;gencs=T&amp;end_month=3&amp;end_day=31&amp;end_year=2014","Ghaznī")</f>
        <v>Ghaznī</v>
      </c>
      <c r="H12" s="87" t="str">
        <f>HYPERLINK("http://api.nsgreg.nga.mil/geo-division/ISO3166-2/6/ed3/AF-GHA","AF-GHA")</f>
        <v>AF-GHA</v>
      </c>
    </row>
    <row r="13" spans="1:8" x14ac:dyDescent="0.2">
      <c r="A13" s="157"/>
      <c r="B13" s="31" t="s">
        <v>1946</v>
      </c>
      <c r="C13" s="31" t="s">
        <v>1947</v>
      </c>
      <c r="D13" s="31" t="s">
        <v>1920</v>
      </c>
      <c r="E13" s="61" t="b">
        <v>1</v>
      </c>
      <c r="F13" s="106" t="s">
        <v>1948</v>
      </c>
      <c r="G13" s="116" t="str">
        <f>HYPERLINK("http://nsgreg.nga.mil/genc/view?v=111982&amp;gencs=T&amp;end_month=3&amp;end_day=31&amp;end_year=2014","Ghōr")</f>
        <v>Ghōr</v>
      </c>
      <c r="H13" s="87" t="str">
        <f>HYPERLINK("http://api.nsgreg.nga.mil/geo-division/ISO3166-2/6/ed3/AF-GHO","AF-GHO")</f>
        <v>AF-GHO</v>
      </c>
    </row>
    <row r="14" spans="1:8" x14ac:dyDescent="0.2">
      <c r="A14" s="157"/>
      <c r="B14" s="31" t="s">
        <v>1949</v>
      </c>
      <c r="C14" s="31" t="s">
        <v>1950</v>
      </c>
      <c r="D14" s="31" t="s">
        <v>1920</v>
      </c>
      <c r="E14" s="61" t="b">
        <v>1</v>
      </c>
      <c r="F14" s="106" t="s">
        <v>1951</v>
      </c>
      <c r="G14" s="116" t="str">
        <f>HYPERLINK("http://nsgreg.nga.mil/genc/view?v=111983&amp;gencs=T&amp;end_month=3&amp;end_day=31&amp;end_year=2014","Helmand")</f>
        <v>Helmand</v>
      </c>
      <c r="H14" s="87" t="str">
        <f>HYPERLINK("http://api.nsgreg.nga.mil/geo-division/ISO3166-2/6/ed3/AF-HEL","AF-HEL")</f>
        <v>AF-HEL</v>
      </c>
    </row>
    <row r="15" spans="1:8" x14ac:dyDescent="0.2">
      <c r="A15" s="157"/>
      <c r="B15" s="31" t="s">
        <v>1952</v>
      </c>
      <c r="C15" s="31" t="s">
        <v>1953</v>
      </c>
      <c r="D15" s="31" t="s">
        <v>1920</v>
      </c>
      <c r="E15" s="61" t="b">
        <v>1</v>
      </c>
      <c r="F15" s="106" t="s">
        <v>1954</v>
      </c>
      <c r="G15" s="116" t="str">
        <f>HYPERLINK("http://nsgreg.nga.mil/genc/view?v=111984&amp;gencs=T&amp;end_month=3&amp;end_day=31&amp;end_year=2014","Herāt")</f>
        <v>Herāt</v>
      </c>
      <c r="H15" s="87" t="str">
        <f>HYPERLINK("http://api.nsgreg.nga.mil/geo-division/ISO3166-2/6/ed3/AF-HER","AF-HER")</f>
        <v>AF-HER</v>
      </c>
    </row>
    <row r="16" spans="1:8" x14ac:dyDescent="0.2">
      <c r="A16" s="157"/>
      <c r="B16" s="31" t="s">
        <v>1955</v>
      </c>
      <c r="C16" s="31" t="s">
        <v>1956</v>
      </c>
      <c r="D16" s="31" t="s">
        <v>1920</v>
      </c>
      <c r="E16" s="61" t="b">
        <v>1</v>
      </c>
      <c r="F16" s="106" t="s">
        <v>1957</v>
      </c>
      <c r="G16" s="116" t="str">
        <f>HYPERLINK("http://nsgreg.nga.mil/genc/view?v=111985&amp;gencs=T&amp;end_month=3&amp;end_day=31&amp;end_year=2014","Jowzjān")</f>
        <v>Jowzjān</v>
      </c>
      <c r="H16" s="87" t="str">
        <f>HYPERLINK("http://api.nsgreg.nga.mil/geo-division/ISO3166-2/6/ed3/AF-JOW","AF-JOW")</f>
        <v>AF-JOW</v>
      </c>
    </row>
    <row r="17" spans="1:8" x14ac:dyDescent="0.2">
      <c r="A17" s="157"/>
      <c r="B17" s="31" t="s">
        <v>1958</v>
      </c>
      <c r="C17" s="31" t="s">
        <v>1959</v>
      </c>
      <c r="D17" s="31" t="s">
        <v>1920</v>
      </c>
      <c r="E17" s="61" t="b">
        <v>1</v>
      </c>
      <c r="F17" s="106" t="s">
        <v>1960</v>
      </c>
      <c r="G17" s="116" t="str">
        <f>HYPERLINK("http://nsgreg.nga.mil/genc/view?v=111986&amp;gencs=T&amp;end_month=3&amp;end_day=31&amp;end_year=2014","Kābul")</f>
        <v>Kābul</v>
      </c>
      <c r="H17" s="87" t="str">
        <f>HYPERLINK("http://api.nsgreg.nga.mil/geo-division/ISO3166-2/6/ed3/AF-KAB","AF-KAB")</f>
        <v>AF-KAB</v>
      </c>
    </row>
    <row r="18" spans="1:8" x14ac:dyDescent="0.2">
      <c r="A18" s="157"/>
      <c r="B18" s="31" t="s">
        <v>1961</v>
      </c>
      <c r="C18" s="31" t="s">
        <v>1962</v>
      </c>
      <c r="D18" s="31" t="s">
        <v>1920</v>
      </c>
      <c r="E18" s="61" t="b">
        <v>1</v>
      </c>
      <c r="F18" s="106" t="s">
        <v>1963</v>
      </c>
      <c r="G18" s="116" t="str">
        <f>HYPERLINK("http://nsgreg.nga.mil/genc/view?v=111987&amp;gencs=T&amp;end_month=3&amp;end_day=31&amp;end_year=2014","Kandahār")</f>
        <v>Kandahār</v>
      </c>
      <c r="H18" s="87" t="str">
        <f>HYPERLINK("http://api.nsgreg.nga.mil/geo-division/ISO3166-2/6/ed3/AF-KAN","AF-KAN")</f>
        <v>AF-KAN</v>
      </c>
    </row>
    <row r="19" spans="1:8" x14ac:dyDescent="0.2">
      <c r="A19" s="157"/>
      <c r="B19" s="31" t="s">
        <v>1964</v>
      </c>
      <c r="C19" s="31" t="s">
        <v>1965</v>
      </c>
      <c r="D19" s="31" t="s">
        <v>1920</v>
      </c>
      <c r="E19" s="61" t="b">
        <v>1</v>
      </c>
      <c r="F19" s="106" t="s">
        <v>1966</v>
      </c>
      <c r="G19" s="116" t="str">
        <f>HYPERLINK("http://nsgreg.nga.mil/genc/view?v=111988&amp;gencs=T&amp;end_month=3&amp;end_day=31&amp;end_year=2014","Kāpīsā")</f>
        <v>Kāpīsā</v>
      </c>
      <c r="H19" s="87" t="str">
        <f>HYPERLINK("http://api.nsgreg.nga.mil/geo-division/ISO3166-2/6/ed3/AF-KAP","AF-KAP")</f>
        <v>AF-KAP</v>
      </c>
    </row>
    <row r="20" spans="1:8" x14ac:dyDescent="0.2">
      <c r="A20" s="157"/>
      <c r="B20" s="31" t="s">
        <v>1967</v>
      </c>
      <c r="C20" s="31" t="s">
        <v>1968</v>
      </c>
      <c r="D20" s="31" t="s">
        <v>1920</v>
      </c>
      <c r="E20" s="61" t="b">
        <v>1</v>
      </c>
      <c r="F20" s="106" t="s">
        <v>1969</v>
      </c>
      <c r="G20" s="116" t="str">
        <f>HYPERLINK("http://nsgreg.nga.mil/genc/view?v=111990&amp;gencs=T&amp;end_month=3&amp;end_day=31&amp;end_year=2014","Khōst")</f>
        <v>Khōst</v>
      </c>
      <c r="H20" s="87" t="str">
        <f>HYPERLINK("http://api.nsgreg.nga.mil/geo-division/ISO3166-2/6/ed3/AF-KHO","AF-KHO")</f>
        <v>AF-KHO</v>
      </c>
    </row>
    <row r="21" spans="1:8" x14ac:dyDescent="0.2">
      <c r="A21" s="157"/>
      <c r="B21" s="31" t="s">
        <v>1970</v>
      </c>
      <c r="C21" s="31" t="s">
        <v>1971</v>
      </c>
      <c r="D21" s="31" t="s">
        <v>1920</v>
      </c>
      <c r="E21" s="61" t="b">
        <v>1</v>
      </c>
      <c r="F21" s="107" t="s">
        <v>1972</v>
      </c>
      <c r="G21" s="116" t="str">
        <f>HYPERLINK("http://nsgreg.nga.mil/genc/view?v=203388&amp;end_month=3&amp;end_day=31&amp;end_year=2014","Kunaṟ")</f>
        <v>Kunaṟ</v>
      </c>
      <c r="H21" s="87" t="str">
        <f>HYPERLINK("http://api.nsgreg.nga.mil/geo-division/GENC/6/ed2/AF-KNR","AF-KNR")</f>
        <v>AF-KNR</v>
      </c>
    </row>
    <row r="22" spans="1:8" x14ac:dyDescent="0.2">
      <c r="A22" s="157"/>
      <c r="B22" s="31" t="s">
        <v>1973</v>
      </c>
      <c r="C22" s="31" t="s">
        <v>1974</v>
      </c>
      <c r="D22" s="31" t="s">
        <v>1920</v>
      </c>
      <c r="E22" s="61" t="b">
        <v>1</v>
      </c>
      <c r="F22" s="106" t="s">
        <v>1975</v>
      </c>
      <c r="G22" s="116" t="str">
        <f>HYPERLINK("http://nsgreg.nga.mil/genc/view?v=111989&amp;gencs=T&amp;end_month=3&amp;end_day=31&amp;end_year=2014","Kunduz")</f>
        <v>Kunduz</v>
      </c>
      <c r="H22" s="87" t="str">
        <f>HYPERLINK("http://api.nsgreg.nga.mil/geo-division/ISO3166-2/6/ed3/AF-KDZ","AF-KDZ")</f>
        <v>AF-KDZ</v>
      </c>
    </row>
    <row r="23" spans="1:8" x14ac:dyDescent="0.2">
      <c r="A23" s="157"/>
      <c r="B23" s="31" t="s">
        <v>1976</v>
      </c>
      <c r="C23" s="31" t="s">
        <v>1977</v>
      </c>
      <c r="D23" s="31" t="s">
        <v>1920</v>
      </c>
      <c r="E23" s="61" t="b">
        <v>1</v>
      </c>
      <c r="F23" s="106" t="s">
        <v>1978</v>
      </c>
      <c r="G23" s="116" t="str">
        <f>HYPERLINK("http://nsgreg.nga.mil/genc/view?v=111992&amp;gencs=T&amp;end_month=3&amp;end_day=31&amp;end_year=2014","Laghmān")</f>
        <v>Laghmān</v>
      </c>
      <c r="H23" s="87" t="str">
        <f>HYPERLINK("http://api.nsgreg.nga.mil/geo-division/ISO3166-2/6/ed3/AF-LAG","AF-LAG")</f>
        <v>AF-LAG</v>
      </c>
    </row>
    <row r="24" spans="1:8" x14ac:dyDescent="0.2">
      <c r="A24" s="157"/>
      <c r="B24" s="31" t="s">
        <v>1979</v>
      </c>
      <c r="C24" s="31" t="s">
        <v>1980</v>
      </c>
      <c r="D24" s="31" t="s">
        <v>1920</v>
      </c>
      <c r="E24" s="61" t="b">
        <v>1</v>
      </c>
      <c r="F24" s="106" t="s">
        <v>1981</v>
      </c>
      <c r="G24" s="116" t="str">
        <f>HYPERLINK("http://nsgreg.nga.mil/genc/view?v=111993&amp;gencs=T&amp;end_month=3&amp;end_day=31&amp;end_year=2014","Lōgar")</f>
        <v>Lōgar</v>
      </c>
      <c r="H24" s="87" t="str">
        <f>HYPERLINK("http://api.nsgreg.nga.mil/geo-division/ISO3166-2/6/ed3/AF-LOG","AF-LOG")</f>
        <v>AF-LOG</v>
      </c>
    </row>
    <row r="25" spans="1:8" x14ac:dyDescent="0.2">
      <c r="A25" s="157"/>
      <c r="B25" s="31" t="s">
        <v>1982</v>
      </c>
      <c r="C25" s="31" t="s">
        <v>1983</v>
      </c>
      <c r="D25" s="31" t="s">
        <v>1920</v>
      </c>
      <c r="E25" s="61" t="b">
        <v>1</v>
      </c>
      <c r="F25" s="106" t="s">
        <v>1984</v>
      </c>
      <c r="G25" s="116" t="str">
        <f>HYPERLINK("http://nsgreg.nga.mil/genc/view?v=111994&amp;gencs=T&amp;end_month=3&amp;end_day=31&amp;end_year=2014","Nangarhār")</f>
        <v>Nangarhār</v>
      </c>
      <c r="H25" s="87" t="str">
        <f>HYPERLINK("http://api.nsgreg.nga.mil/geo-division/ISO3166-2/6/ed3/AF-NAN","AF-NAN")</f>
        <v>AF-NAN</v>
      </c>
    </row>
    <row r="26" spans="1:8" x14ac:dyDescent="0.2">
      <c r="A26" s="157"/>
      <c r="B26" s="31" t="s">
        <v>1985</v>
      </c>
      <c r="C26" s="31" t="s">
        <v>1986</v>
      </c>
      <c r="D26" s="31" t="s">
        <v>1920</v>
      </c>
      <c r="E26" s="61" t="b">
        <v>1</v>
      </c>
      <c r="F26" s="106" t="s">
        <v>1987</v>
      </c>
      <c r="G26" s="116" t="str">
        <f>HYPERLINK("http://nsgreg.nga.mil/genc/view?v=111995&amp;gencs=T&amp;end_month=3&amp;end_day=31&amp;end_year=2014","Nīmrōz")</f>
        <v>Nīmrōz</v>
      </c>
      <c r="H26" s="87" t="str">
        <f>HYPERLINK("http://api.nsgreg.nga.mil/geo-division/ISO3166-2/6/ed3/AF-NIM","AF-NIM")</f>
        <v>AF-NIM</v>
      </c>
    </row>
    <row r="27" spans="1:8" x14ac:dyDescent="0.2">
      <c r="A27" s="157"/>
      <c r="B27" s="31" t="s">
        <v>1988</v>
      </c>
      <c r="C27" s="31" t="s">
        <v>1989</v>
      </c>
      <c r="D27" s="31" t="s">
        <v>1920</v>
      </c>
      <c r="E27" s="61" t="b">
        <v>1</v>
      </c>
      <c r="F27" s="106" t="s">
        <v>1990</v>
      </c>
      <c r="G27" s="116" t="str">
        <f>HYPERLINK("http://nsgreg.nga.mil/genc/view?v=111996&amp;gencs=T&amp;end_month=3&amp;end_day=31&amp;end_year=2014","Nūristān")</f>
        <v>Nūristān</v>
      </c>
      <c r="H27" s="87" t="str">
        <f>HYPERLINK("http://api.nsgreg.nga.mil/geo-division/ISO3166-2/6/ed3/AF-NUR","AF-NUR")</f>
        <v>AF-NUR</v>
      </c>
    </row>
    <row r="28" spans="1:8" x14ac:dyDescent="0.2">
      <c r="A28" s="157"/>
      <c r="B28" s="31" t="s">
        <v>1991</v>
      </c>
      <c r="C28" s="31" t="s">
        <v>1992</v>
      </c>
      <c r="D28" s="31" t="s">
        <v>1920</v>
      </c>
      <c r="E28" s="61" t="b">
        <v>1</v>
      </c>
      <c r="F28" s="106" t="s">
        <v>1993</v>
      </c>
      <c r="G28" s="116" t="str">
        <f>HYPERLINK("http://nsgreg.nga.mil/genc/view?v=112000&amp;gencs=T&amp;end_month=3&amp;end_day=31&amp;end_year=2014","Paktīkā")</f>
        <v>Paktīkā</v>
      </c>
      <c r="H28" s="87" t="str">
        <f>HYPERLINK("http://api.nsgreg.nga.mil/geo-division/ISO3166-2/6/ed3/AF-PKA","AF-PKA")</f>
        <v>AF-PKA</v>
      </c>
    </row>
    <row r="29" spans="1:8" x14ac:dyDescent="0.2">
      <c r="A29" s="157"/>
      <c r="B29" s="31" t="s">
        <v>1994</v>
      </c>
      <c r="C29" s="31" t="s">
        <v>1995</v>
      </c>
      <c r="D29" s="31" t="s">
        <v>1920</v>
      </c>
      <c r="E29" s="61" t="b">
        <v>1</v>
      </c>
      <c r="F29" s="107" t="s">
        <v>1996</v>
      </c>
      <c r="G29" s="116" t="str">
        <f>HYPERLINK("http://nsgreg.nga.mil/genc/view?v=203389&amp;end_month=3&amp;end_day=31&amp;end_year=2014","Paktiyā")</f>
        <v>Paktiyā</v>
      </c>
      <c r="H29" s="87" t="str">
        <f>HYPERLINK("http://api.nsgreg.nga.mil/geo-division/GENC/6/ed2/AF-PIA","AF-PIA")</f>
        <v>AF-PIA</v>
      </c>
    </row>
    <row r="30" spans="1:8" x14ac:dyDescent="0.2">
      <c r="A30" s="157"/>
      <c r="B30" s="31" t="s">
        <v>1997</v>
      </c>
      <c r="C30" s="31" t="s">
        <v>1998</v>
      </c>
      <c r="D30" s="31" t="s">
        <v>1920</v>
      </c>
      <c r="E30" s="61" t="b">
        <v>1</v>
      </c>
      <c r="F30" s="107" t="s">
        <v>1999</v>
      </c>
      <c r="G30" s="116" t="str">
        <f>HYPERLINK("http://nsgreg.nga.mil/genc/view?v=200695&amp;end_month=3&amp;end_day=31&amp;end_year=2014","Panjshir")</f>
        <v>Panjshir</v>
      </c>
      <c r="H30" s="87" t="str">
        <f>HYPERLINK("http://api.nsgreg.nga.mil/geo-division/GENC/6/ed2/AF-PAN","AF-PAN")</f>
        <v>AF-PAN</v>
      </c>
    </row>
    <row r="31" spans="1:8" x14ac:dyDescent="0.2">
      <c r="A31" s="157"/>
      <c r="B31" s="31" t="s">
        <v>2000</v>
      </c>
      <c r="C31" s="31" t="s">
        <v>2001</v>
      </c>
      <c r="D31" s="31" t="s">
        <v>1920</v>
      </c>
      <c r="E31" s="61" t="b">
        <v>1</v>
      </c>
      <c r="F31" s="106" t="s">
        <v>2002</v>
      </c>
      <c r="G31" s="116" t="str">
        <f>HYPERLINK("http://nsgreg.nga.mil/genc/view?v=111998&amp;gencs=T&amp;end_month=3&amp;end_day=31&amp;end_year=2014","Parwān")</f>
        <v>Parwān</v>
      </c>
      <c r="H31" s="87" t="str">
        <f>HYPERLINK("http://api.nsgreg.nga.mil/geo-division/ISO3166-2/6/ed3/AF-PAR","AF-PAR")</f>
        <v>AF-PAR</v>
      </c>
    </row>
    <row r="32" spans="1:8" x14ac:dyDescent="0.2">
      <c r="A32" s="157"/>
      <c r="B32" s="31" t="s">
        <v>2003</v>
      </c>
      <c r="C32" s="31" t="s">
        <v>2004</v>
      </c>
      <c r="D32" s="31" t="s">
        <v>1920</v>
      </c>
      <c r="E32" s="61" t="b">
        <v>1</v>
      </c>
      <c r="F32" s="106" t="s">
        <v>2005</v>
      </c>
      <c r="G32" s="116" t="str">
        <f>HYPERLINK("http://nsgreg.nga.mil/genc/view?v=112001&amp;gencs=T&amp;end_month=3&amp;end_day=31&amp;end_year=2014","Samangān")</f>
        <v>Samangān</v>
      </c>
      <c r="H32" s="87" t="str">
        <f>HYPERLINK("http://api.nsgreg.nga.mil/geo-division/ISO3166-2/6/ed3/AF-SAM","AF-SAM")</f>
        <v>AF-SAM</v>
      </c>
    </row>
    <row r="33" spans="1:8" x14ac:dyDescent="0.2">
      <c r="A33" s="157"/>
      <c r="B33" s="31" t="s">
        <v>2006</v>
      </c>
      <c r="C33" s="31" t="s">
        <v>2007</v>
      </c>
      <c r="D33" s="31" t="s">
        <v>1920</v>
      </c>
      <c r="E33" s="61" t="b">
        <v>1</v>
      </c>
      <c r="F33" s="106" t="s">
        <v>2008</v>
      </c>
      <c r="G33" s="116" t="str">
        <f>HYPERLINK("http://nsgreg.nga.mil/genc/view?v=112002&amp;gencs=T&amp;end_month=3&amp;end_day=31&amp;end_year=2014","Sar-e Pul")</f>
        <v>Sar-e Pul</v>
      </c>
      <c r="H33" s="87" t="str">
        <f>HYPERLINK("http://api.nsgreg.nga.mil/geo-division/ISO3166-2/6/ed3/AF-SAR","AF-SAR")</f>
        <v>AF-SAR</v>
      </c>
    </row>
    <row r="34" spans="1:8" x14ac:dyDescent="0.2">
      <c r="A34" s="157"/>
      <c r="B34" s="31" t="s">
        <v>2009</v>
      </c>
      <c r="C34" s="31" t="s">
        <v>2010</v>
      </c>
      <c r="D34" s="31" t="s">
        <v>1920</v>
      </c>
      <c r="E34" s="61" t="b">
        <v>1</v>
      </c>
      <c r="F34" s="106" t="s">
        <v>2011</v>
      </c>
      <c r="G34" s="116" t="str">
        <f>HYPERLINK("http://nsgreg.nga.mil/genc/view?v=112003&amp;gencs=T&amp;end_month=3&amp;end_day=31&amp;end_year=2014","Takhār")</f>
        <v>Takhār</v>
      </c>
      <c r="H34" s="87" t="str">
        <f>HYPERLINK("http://api.nsgreg.nga.mil/geo-division/ISO3166-2/6/ed3/AF-TAK","AF-TAK")</f>
        <v>AF-TAK</v>
      </c>
    </row>
    <row r="35" spans="1:8" x14ac:dyDescent="0.2">
      <c r="A35" s="157"/>
      <c r="B35" s="31" t="s">
        <v>2012</v>
      </c>
      <c r="C35" s="31" t="s">
        <v>2013</v>
      </c>
      <c r="D35" s="31" t="s">
        <v>1920</v>
      </c>
      <c r="E35" s="61" t="b">
        <v>1</v>
      </c>
      <c r="F35" s="106" t="s">
        <v>2014</v>
      </c>
      <c r="G35" s="116" t="str">
        <f>HYPERLINK("http://nsgreg.nga.mil/genc/view?v=112004&amp;gencs=T&amp;end_month=3&amp;end_day=31&amp;end_year=2014","Uruzgān")</f>
        <v>Uruzgān</v>
      </c>
      <c r="H35" s="87" t="str">
        <f>HYPERLINK("http://api.nsgreg.nga.mil/geo-division/ISO3166-2/6/ed3/AF-URU","AF-URU")</f>
        <v>AF-URU</v>
      </c>
    </row>
    <row r="36" spans="1:8" x14ac:dyDescent="0.2">
      <c r="A36" s="157"/>
      <c r="B36" s="31" t="s">
        <v>2015</v>
      </c>
      <c r="C36" s="31" t="s">
        <v>2016</v>
      </c>
      <c r="D36" s="31" t="s">
        <v>1920</v>
      </c>
      <c r="E36" s="61" t="b">
        <v>1</v>
      </c>
      <c r="F36" s="106" t="s">
        <v>2017</v>
      </c>
      <c r="G36" s="116" t="str">
        <f>HYPERLINK("http://nsgreg.nga.mil/genc/view?v=112005&amp;gencs=T&amp;end_month=3&amp;end_day=31&amp;end_year=2014","Wardak")</f>
        <v>Wardak</v>
      </c>
      <c r="H36" s="87" t="str">
        <f>HYPERLINK("http://api.nsgreg.nga.mil/geo-division/ISO3166-2/6/ed3/AF-WAR","AF-WAR")</f>
        <v>AF-WAR</v>
      </c>
    </row>
    <row r="37" spans="1:8" x14ac:dyDescent="0.2">
      <c r="A37" s="158"/>
      <c r="B37" s="58" t="s">
        <v>2018</v>
      </c>
      <c r="C37" s="58" t="s">
        <v>2019</v>
      </c>
      <c r="D37" s="58" t="s">
        <v>1920</v>
      </c>
      <c r="E37" s="62" t="b">
        <v>1</v>
      </c>
      <c r="F37" s="108" t="s">
        <v>2020</v>
      </c>
      <c r="G37" s="117" t="str">
        <f>HYPERLINK("http://nsgreg.nga.mil/genc/view?v=112006&amp;gencs=T&amp;end_month=3&amp;end_day=31&amp;end_year=2014","Zābul")</f>
        <v>Zābul</v>
      </c>
      <c r="H37" s="89" t="str">
        <f>HYPERLINK("http://api.nsgreg.nga.mil/geo-division/ISO3166-2/6/ed3/AF-ZAB","AF-ZAB")</f>
        <v>AF-ZAB</v>
      </c>
    </row>
    <row r="38" spans="1:8" x14ac:dyDescent="0.2">
      <c r="A38" s="156" t="str">
        <f>HYPERLINK("[#]Geopolitical_Entities!A6:I6","ALBANIA")</f>
        <v>ALBANIA</v>
      </c>
      <c r="B38" s="52" t="s">
        <v>2021</v>
      </c>
      <c r="C38" s="52" t="s">
        <v>2022</v>
      </c>
      <c r="D38" s="52" t="s">
        <v>2023</v>
      </c>
      <c r="E38" s="60" t="b">
        <v>1</v>
      </c>
      <c r="F38" s="109" t="s">
        <v>2024</v>
      </c>
      <c r="G38" s="118" t="str">
        <f>HYPERLINK("http://nsgreg.nga.mil/genc/view?v=112015&amp;gencs=T&amp;end_month=3&amp;end_day=31&amp;end_year=2014","Berat")</f>
        <v>Berat</v>
      </c>
      <c r="H38" s="91" t="str">
        <f>HYPERLINK("http://api.nsgreg.nga.mil/geo-division/ISO3166-2/6/ed3/AL-01","AL-01")</f>
        <v>AL-01</v>
      </c>
    </row>
    <row r="39" spans="1:8" x14ac:dyDescent="0.2">
      <c r="A39" s="157"/>
      <c r="B39" s="31" t="s">
        <v>2025</v>
      </c>
      <c r="C39" s="31" t="s">
        <v>2022</v>
      </c>
      <c r="D39" s="98" t="s">
        <v>2026</v>
      </c>
      <c r="E39" s="99" t="b">
        <v>0</v>
      </c>
      <c r="F39" s="106" t="s">
        <v>2027</v>
      </c>
      <c r="G39" s="116" t="str">
        <f>HYPERLINK("http://nsgreg.nga.mil/genc/view?v=112027&amp;gencs=T&amp;end_month=3&amp;end_day=31&amp;end_year=2014","Berat")</f>
        <v>Berat</v>
      </c>
      <c r="H39" s="87" t="str">
        <f>HYPERLINK("http://api.nsgreg.nga.mil/geo-division/ISO3166-2/6/ed3/AL-BR","AL-BR")</f>
        <v>AL-BR</v>
      </c>
    </row>
    <row r="40" spans="1:8" x14ac:dyDescent="0.2">
      <c r="A40" s="157"/>
      <c r="B40" s="31" t="s">
        <v>2028</v>
      </c>
      <c r="C40" s="31" t="s">
        <v>2029</v>
      </c>
      <c r="D40" s="98" t="s">
        <v>2026</v>
      </c>
      <c r="E40" s="99" t="b">
        <v>0</v>
      </c>
      <c r="F40" s="106" t="s">
        <v>2030</v>
      </c>
      <c r="G40" s="116" t="str">
        <f>HYPERLINK("http://nsgreg.nga.mil/genc/view?v=112028&amp;gencs=T&amp;end_month=3&amp;end_day=31&amp;end_year=2014","Bulqizë")</f>
        <v>Bulqizë</v>
      </c>
      <c r="H40" s="87" t="str">
        <f>HYPERLINK("http://api.nsgreg.nga.mil/geo-division/ISO3166-2/6/ed3/AL-BU","AL-BU")</f>
        <v>AL-BU</v>
      </c>
    </row>
    <row r="41" spans="1:8" x14ac:dyDescent="0.2">
      <c r="A41" s="157"/>
      <c r="B41" s="31" t="s">
        <v>2031</v>
      </c>
      <c r="C41" s="31" t="s">
        <v>2032</v>
      </c>
      <c r="D41" s="98" t="s">
        <v>2026</v>
      </c>
      <c r="E41" s="99" t="b">
        <v>0</v>
      </c>
      <c r="F41" s="106" t="s">
        <v>2033</v>
      </c>
      <c r="G41" s="116" t="str">
        <f>HYPERLINK("http://nsgreg.nga.mil/genc/view?v=112030&amp;gencs=T&amp;end_month=3&amp;end_day=31&amp;end_year=2014","Delvinë")</f>
        <v>Delvinë</v>
      </c>
      <c r="H41" s="87" t="str">
        <f>HYPERLINK("http://api.nsgreg.nga.mil/geo-division/ISO3166-2/6/ed3/AL-DL","AL-DL")</f>
        <v>AL-DL</v>
      </c>
    </row>
    <row r="42" spans="1:8" x14ac:dyDescent="0.2">
      <c r="A42" s="157"/>
      <c r="B42" s="31" t="s">
        <v>2034</v>
      </c>
      <c r="C42" s="31" t="s">
        <v>2035</v>
      </c>
      <c r="D42" s="98" t="s">
        <v>2026</v>
      </c>
      <c r="E42" s="99" t="b">
        <v>0</v>
      </c>
      <c r="F42" s="106" t="s">
        <v>2036</v>
      </c>
      <c r="G42" s="116" t="str">
        <f>HYPERLINK("http://nsgreg.nga.mil/genc/view?v=112032&amp;gencs=T&amp;end_month=3&amp;end_day=31&amp;end_year=2014","Devoll")</f>
        <v>Devoll</v>
      </c>
      <c r="H42" s="87" t="str">
        <f>HYPERLINK("http://api.nsgreg.nga.mil/geo-division/ISO3166-2/6/ed3/AL-DV","AL-DV")</f>
        <v>AL-DV</v>
      </c>
    </row>
    <row r="43" spans="1:8" x14ac:dyDescent="0.2">
      <c r="A43" s="157"/>
      <c r="B43" s="31" t="s">
        <v>2037</v>
      </c>
      <c r="C43" s="31" t="s">
        <v>2038</v>
      </c>
      <c r="D43" s="31" t="s">
        <v>2023</v>
      </c>
      <c r="E43" s="61" t="b">
        <v>1</v>
      </c>
      <c r="F43" s="106" t="s">
        <v>2039</v>
      </c>
      <c r="G43" s="116" t="str">
        <f>HYPERLINK("http://nsgreg.nga.mil/genc/view?v=112023&amp;gencs=T&amp;end_month=3&amp;end_day=31&amp;end_year=2014","Dibër")</f>
        <v>Dibër</v>
      </c>
      <c r="H43" s="87" t="str">
        <f>HYPERLINK("http://api.nsgreg.nga.mil/geo-division/ISO3166-2/6/ed3/AL-09","AL-09")</f>
        <v>AL-09</v>
      </c>
    </row>
    <row r="44" spans="1:8" x14ac:dyDescent="0.2">
      <c r="A44" s="157"/>
      <c r="B44" s="31" t="s">
        <v>2040</v>
      </c>
      <c r="C44" s="31" t="s">
        <v>2038</v>
      </c>
      <c r="D44" s="98" t="s">
        <v>2026</v>
      </c>
      <c r="E44" s="99" t="b">
        <v>0</v>
      </c>
      <c r="F44" s="106" t="s">
        <v>2041</v>
      </c>
      <c r="G44" s="116" t="str">
        <f>HYPERLINK("http://nsgreg.nga.mil/genc/view?v=112029&amp;gencs=T&amp;end_month=3&amp;end_day=31&amp;end_year=2014","Dibër")</f>
        <v>Dibër</v>
      </c>
      <c r="H44" s="87" t="str">
        <f>HYPERLINK("http://api.nsgreg.nga.mil/geo-division/ISO3166-2/6/ed3/AL-DI","AL-DI")</f>
        <v>AL-DI</v>
      </c>
    </row>
    <row r="45" spans="1:8" x14ac:dyDescent="0.2">
      <c r="A45" s="157"/>
      <c r="B45" s="31" t="s">
        <v>2042</v>
      </c>
      <c r="C45" s="31" t="s">
        <v>2043</v>
      </c>
      <c r="D45" s="31" t="s">
        <v>2023</v>
      </c>
      <c r="E45" s="61" t="b">
        <v>1</v>
      </c>
      <c r="F45" s="106" t="s">
        <v>2044</v>
      </c>
      <c r="G45" s="116" t="str">
        <f>HYPERLINK("http://nsgreg.nga.mil/genc/view?v=112016&amp;gencs=T&amp;end_month=3&amp;end_day=31&amp;end_year=2014","Durrës")</f>
        <v>Durrës</v>
      </c>
      <c r="H45" s="87" t="str">
        <f>HYPERLINK("http://api.nsgreg.nga.mil/geo-division/ISO3166-2/6/ed3/AL-02","AL-02")</f>
        <v>AL-02</v>
      </c>
    </row>
    <row r="46" spans="1:8" x14ac:dyDescent="0.2">
      <c r="A46" s="157"/>
      <c r="B46" s="31" t="s">
        <v>2045</v>
      </c>
      <c r="C46" s="31" t="s">
        <v>2043</v>
      </c>
      <c r="D46" s="98" t="s">
        <v>2026</v>
      </c>
      <c r="E46" s="99" t="b">
        <v>0</v>
      </c>
      <c r="F46" s="106" t="s">
        <v>2046</v>
      </c>
      <c r="G46" s="116" t="str">
        <f>HYPERLINK("http://nsgreg.nga.mil/genc/view?v=112031&amp;gencs=T&amp;end_month=3&amp;end_day=31&amp;end_year=2014","Durrës")</f>
        <v>Durrës</v>
      </c>
      <c r="H46" s="87" t="str">
        <f>HYPERLINK("http://api.nsgreg.nga.mil/geo-division/ISO3166-2/6/ed3/AL-DR","AL-DR")</f>
        <v>AL-DR</v>
      </c>
    </row>
    <row r="47" spans="1:8" x14ac:dyDescent="0.2">
      <c r="A47" s="157"/>
      <c r="B47" s="31" t="s">
        <v>2047</v>
      </c>
      <c r="C47" s="31" t="s">
        <v>2048</v>
      </c>
      <c r="D47" s="31" t="s">
        <v>2023</v>
      </c>
      <c r="E47" s="61" t="b">
        <v>1</v>
      </c>
      <c r="F47" s="106" t="s">
        <v>2049</v>
      </c>
      <c r="G47" s="116" t="str">
        <f>HYPERLINK("http://nsgreg.nga.mil/genc/view?v=112017&amp;gencs=T&amp;end_month=3&amp;end_day=31&amp;end_year=2014","Elbasan")</f>
        <v>Elbasan</v>
      </c>
      <c r="H47" s="87" t="str">
        <f>HYPERLINK("http://api.nsgreg.nga.mil/geo-division/ISO3166-2/6/ed3/AL-03","AL-03")</f>
        <v>AL-03</v>
      </c>
    </row>
    <row r="48" spans="1:8" x14ac:dyDescent="0.2">
      <c r="A48" s="157"/>
      <c r="B48" s="31" t="s">
        <v>2050</v>
      </c>
      <c r="C48" s="31" t="s">
        <v>2048</v>
      </c>
      <c r="D48" s="98" t="s">
        <v>2026</v>
      </c>
      <c r="E48" s="99" t="b">
        <v>0</v>
      </c>
      <c r="F48" s="106" t="s">
        <v>2051</v>
      </c>
      <c r="G48" s="116" t="str">
        <f>HYPERLINK("http://nsgreg.nga.mil/genc/view?v=112033&amp;gencs=T&amp;end_month=3&amp;end_day=31&amp;end_year=2014","Elbasan")</f>
        <v>Elbasan</v>
      </c>
      <c r="H48" s="87" t="str">
        <f>HYPERLINK("http://api.nsgreg.nga.mil/geo-division/ISO3166-2/6/ed3/AL-EL","AL-EL")</f>
        <v>AL-EL</v>
      </c>
    </row>
    <row r="49" spans="1:8" x14ac:dyDescent="0.2">
      <c r="A49" s="157"/>
      <c r="B49" s="31" t="s">
        <v>2052</v>
      </c>
      <c r="C49" s="31" t="s">
        <v>2053</v>
      </c>
      <c r="D49" s="31" t="s">
        <v>2023</v>
      </c>
      <c r="E49" s="61" t="b">
        <v>1</v>
      </c>
      <c r="F49" s="106" t="s">
        <v>2054</v>
      </c>
      <c r="G49" s="116" t="str">
        <f>HYPERLINK("http://nsgreg.nga.mil/genc/view?v=112018&amp;gencs=T&amp;end_month=3&amp;end_day=31&amp;end_year=2014","Fier")</f>
        <v>Fier</v>
      </c>
      <c r="H49" s="87" t="str">
        <f>HYPERLINK("http://api.nsgreg.nga.mil/geo-division/ISO3166-2/6/ed3/AL-04","AL-04")</f>
        <v>AL-04</v>
      </c>
    </row>
    <row r="50" spans="1:8" x14ac:dyDescent="0.2">
      <c r="A50" s="157"/>
      <c r="B50" s="31" t="s">
        <v>2055</v>
      </c>
      <c r="C50" s="31" t="s">
        <v>2053</v>
      </c>
      <c r="D50" s="98" t="s">
        <v>2026</v>
      </c>
      <c r="E50" s="99" t="b">
        <v>0</v>
      </c>
      <c r="F50" s="106" t="s">
        <v>2056</v>
      </c>
      <c r="G50" s="116" t="str">
        <f>HYPERLINK("http://nsgreg.nga.mil/genc/view?v=112035&amp;gencs=T&amp;end_month=3&amp;end_day=31&amp;end_year=2014","Fier")</f>
        <v>Fier</v>
      </c>
      <c r="H50" s="87" t="str">
        <f>HYPERLINK("http://api.nsgreg.nga.mil/geo-division/ISO3166-2/6/ed3/AL-FR","AL-FR")</f>
        <v>AL-FR</v>
      </c>
    </row>
    <row r="51" spans="1:8" x14ac:dyDescent="0.2">
      <c r="A51" s="157"/>
      <c r="B51" s="31" t="s">
        <v>2057</v>
      </c>
      <c r="C51" s="31" t="s">
        <v>2058</v>
      </c>
      <c r="D51" s="31" t="s">
        <v>2023</v>
      </c>
      <c r="E51" s="61" t="b">
        <v>1</v>
      </c>
      <c r="F51" s="106" t="s">
        <v>2059</v>
      </c>
      <c r="G51" s="116" t="str">
        <f>HYPERLINK("http://nsgreg.nga.mil/genc/view?v=112019&amp;gencs=T&amp;end_month=3&amp;end_day=31&amp;end_year=2014","Gjirokastër")</f>
        <v>Gjirokastër</v>
      </c>
      <c r="H51" s="87" t="str">
        <f>HYPERLINK("http://api.nsgreg.nga.mil/geo-division/ISO3166-2/6/ed3/AL-05","AL-05")</f>
        <v>AL-05</v>
      </c>
    </row>
    <row r="52" spans="1:8" x14ac:dyDescent="0.2">
      <c r="A52" s="157"/>
      <c r="B52" s="31" t="s">
        <v>2060</v>
      </c>
      <c r="C52" s="31" t="s">
        <v>2058</v>
      </c>
      <c r="D52" s="98" t="s">
        <v>2026</v>
      </c>
      <c r="E52" s="99" t="b">
        <v>0</v>
      </c>
      <c r="F52" s="106" t="s">
        <v>2061</v>
      </c>
      <c r="G52" s="116" t="str">
        <f>HYPERLINK("http://nsgreg.nga.mil/genc/view?v=112036&amp;gencs=T&amp;end_month=3&amp;end_day=31&amp;end_year=2014","Gjirokastër")</f>
        <v>Gjirokastër</v>
      </c>
      <c r="H52" s="87" t="str">
        <f>HYPERLINK("http://api.nsgreg.nga.mil/geo-division/ISO3166-2/6/ed3/AL-GJ","AL-GJ")</f>
        <v>AL-GJ</v>
      </c>
    </row>
    <row r="53" spans="1:8" x14ac:dyDescent="0.2">
      <c r="A53" s="157"/>
      <c r="B53" s="31" t="s">
        <v>2062</v>
      </c>
      <c r="C53" s="31" t="s">
        <v>2063</v>
      </c>
      <c r="D53" s="98" t="s">
        <v>2026</v>
      </c>
      <c r="E53" s="99" t="b">
        <v>0</v>
      </c>
      <c r="F53" s="106" t="s">
        <v>2064</v>
      </c>
      <c r="G53" s="116" t="str">
        <f>HYPERLINK("http://nsgreg.nga.mil/genc/view?v=112037&amp;gencs=T&amp;end_month=3&amp;end_day=31&amp;end_year=2014","Gramsh")</f>
        <v>Gramsh</v>
      </c>
      <c r="H53" s="87" t="str">
        <f>HYPERLINK("http://api.nsgreg.nga.mil/geo-division/ISO3166-2/6/ed3/AL-GR","AL-GR")</f>
        <v>AL-GR</v>
      </c>
    </row>
    <row r="54" spans="1:8" x14ac:dyDescent="0.2">
      <c r="A54" s="157"/>
      <c r="B54" s="31" t="s">
        <v>2065</v>
      </c>
      <c r="C54" s="31" t="s">
        <v>2066</v>
      </c>
      <c r="D54" s="98" t="s">
        <v>2026</v>
      </c>
      <c r="E54" s="99" t="b">
        <v>0</v>
      </c>
      <c r="F54" s="106" t="s">
        <v>2067</v>
      </c>
      <c r="G54" s="116" t="str">
        <f>HYPERLINK("http://nsgreg.nga.mil/genc/view?v=112038&amp;gencs=T&amp;end_month=3&amp;end_day=31&amp;end_year=2014","Has")</f>
        <v>Has</v>
      </c>
      <c r="H54" s="87" t="str">
        <f>HYPERLINK("http://api.nsgreg.nga.mil/geo-division/ISO3166-2/6/ed3/AL-HA","AL-HA")</f>
        <v>AL-HA</v>
      </c>
    </row>
    <row r="55" spans="1:8" x14ac:dyDescent="0.2">
      <c r="A55" s="157"/>
      <c r="B55" s="31" t="s">
        <v>2068</v>
      </c>
      <c r="C55" s="31" t="s">
        <v>2069</v>
      </c>
      <c r="D55" s="98" t="s">
        <v>2026</v>
      </c>
      <c r="E55" s="99" t="b">
        <v>0</v>
      </c>
      <c r="F55" s="106" t="s">
        <v>2070</v>
      </c>
      <c r="G55" s="116" t="str">
        <f>HYPERLINK("http://nsgreg.nga.mil/genc/view?v=112039&amp;gencs=T&amp;end_month=3&amp;end_day=31&amp;end_year=2014","Kavajë")</f>
        <v>Kavajë</v>
      </c>
      <c r="H55" s="87" t="str">
        <f>HYPERLINK("http://api.nsgreg.nga.mil/geo-division/ISO3166-2/6/ed3/AL-KA","AL-KA")</f>
        <v>AL-KA</v>
      </c>
    </row>
    <row r="56" spans="1:8" x14ac:dyDescent="0.2">
      <c r="A56" s="157"/>
      <c r="B56" s="31" t="s">
        <v>2071</v>
      </c>
      <c r="C56" s="31" t="s">
        <v>2072</v>
      </c>
      <c r="D56" s="98" t="s">
        <v>2026</v>
      </c>
      <c r="E56" s="99" t="b">
        <v>0</v>
      </c>
      <c r="F56" s="106" t="s">
        <v>2073</v>
      </c>
      <c r="G56" s="116" t="str">
        <f>HYPERLINK("http://nsgreg.nga.mil/genc/view?v=112034&amp;gencs=T&amp;end_month=3&amp;end_day=31&amp;end_year=2014","Kolonjë")</f>
        <v>Kolonjë</v>
      </c>
      <c r="H56" s="87" t="str">
        <f>HYPERLINK("http://api.nsgreg.nga.mil/geo-division/ISO3166-2/6/ed3/AL-ER","AL-ER")</f>
        <v>AL-ER</v>
      </c>
    </row>
    <row r="57" spans="1:8" x14ac:dyDescent="0.2">
      <c r="A57" s="157"/>
      <c r="B57" s="31" t="s">
        <v>2074</v>
      </c>
      <c r="C57" s="31" t="s">
        <v>2075</v>
      </c>
      <c r="D57" s="31" t="s">
        <v>2023</v>
      </c>
      <c r="E57" s="61" t="b">
        <v>1</v>
      </c>
      <c r="F57" s="106" t="s">
        <v>2076</v>
      </c>
      <c r="G57" s="116" t="str">
        <f>HYPERLINK("http://nsgreg.nga.mil/genc/view?v=112020&amp;gencs=T&amp;end_month=3&amp;end_day=31&amp;end_year=2014","Korçë")</f>
        <v>Korçë</v>
      </c>
      <c r="H57" s="87" t="str">
        <f>HYPERLINK("http://api.nsgreg.nga.mil/geo-division/ISO3166-2/6/ed3/AL-06","AL-06")</f>
        <v>AL-06</v>
      </c>
    </row>
    <row r="58" spans="1:8" x14ac:dyDescent="0.2">
      <c r="A58" s="157"/>
      <c r="B58" s="31" t="s">
        <v>2077</v>
      </c>
      <c r="C58" s="31" t="s">
        <v>2075</v>
      </c>
      <c r="D58" s="98" t="s">
        <v>2026</v>
      </c>
      <c r="E58" s="99" t="b">
        <v>0</v>
      </c>
      <c r="F58" s="106" t="s">
        <v>2078</v>
      </c>
      <c r="G58" s="116" t="str">
        <f>HYPERLINK("http://nsgreg.nga.mil/genc/view?v=112042&amp;gencs=T&amp;end_month=3&amp;end_day=31&amp;end_year=2014","Korçë")</f>
        <v>Korçë</v>
      </c>
      <c r="H58" s="87" t="str">
        <f>HYPERLINK("http://api.nsgreg.nga.mil/geo-division/ISO3166-2/6/ed3/AL-KO","AL-KO")</f>
        <v>AL-KO</v>
      </c>
    </row>
    <row r="59" spans="1:8" x14ac:dyDescent="0.2">
      <c r="A59" s="157"/>
      <c r="B59" s="31" t="s">
        <v>2079</v>
      </c>
      <c r="C59" s="31" t="s">
        <v>2080</v>
      </c>
      <c r="D59" s="98" t="s">
        <v>2026</v>
      </c>
      <c r="E59" s="99" t="b">
        <v>0</v>
      </c>
      <c r="F59" s="106" t="s">
        <v>2081</v>
      </c>
      <c r="G59" s="116" t="str">
        <f>HYPERLINK("http://nsgreg.nga.mil/genc/view?v=112043&amp;gencs=T&amp;end_month=3&amp;end_day=31&amp;end_year=2014","Krujë")</f>
        <v>Krujë</v>
      </c>
      <c r="H59" s="87" t="str">
        <f>HYPERLINK("http://api.nsgreg.nga.mil/geo-division/ISO3166-2/6/ed3/AL-KR","AL-KR")</f>
        <v>AL-KR</v>
      </c>
    </row>
    <row r="60" spans="1:8" x14ac:dyDescent="0.2">
      <c r="A60" s="157"/>
      <c r="B60" s="31" t="s">
        <v>2082</v>
      </c>
      <c r="C60" s="31" t="s">
        <v>2083</v>
      </c>
      <c r="D60" s="98" t="s">
        <v>2026</v>
      </c>
      <c r="E60" s="99" t="b">
        <v>0</v>
      </c>
      <c r="F60" s="106" t="s">
        <v>2084</v>
      </c>
      <c r="G60" s="116" t="str">
        <f>HYPERLINK("http://nsgreg.nga.mil/genc/view?v=112041&amp;gencs=T&amp;end_month=3&amp;end_day=31&amp;end_year=2014","Kuçovë")</f>
        <v>Kuçovë</v>
      </c>
      <c r="H60" s="87" t="str">
        <f>HYPERLINK("http://api.nsgreg.nga.mil/geo-division/ISO3166-2/6/ed3/AL-KC","AL-KC")</f>
        <v>AL-KC</v>
      </c>
    </row>
    <row r="61" spans="1:8" x14ac:dyDescent="0.2">
      <c r="A61" s="157"/>
      <c r="B61" s="31" t="s">
        <v>2085</v>
      </c>
      <c r="C61" s="31" t="s">
        <v>2086</v>
      </c>
      <c r="D61" s="31" t="s">
        <v>2023</v>
      </c>
      <c r="E61" s="61" t="b">
        <v>1</v>
      </c>
      <c r="F61" s="106" t="s">
        <v>2087</v>
      </c>
      <c r="G61" s="116" t="str">
        <f>HYPERLINK("http://nsgreg.nga.mil/genc/view?v=112021&amp;gencs=T&amp;end_month=3&amp;end_day=31&amp;end_year=2014","Kukës")</f>
        <v>Kukës</v>
      </c>
      <c r="H61" s="87" t="str">
        <f>HYPERLINK("http://api.nsgreg.nga.mil/geo-division/ISO3166-2/6/ed3/AL-07","AL-07")</f>
        <v>AL-07</v>
      </c>
    </row>
    <row r="62" spans="1:8" x14ac:dyDescent="0.2">
      <c r="A62" s="157"/>
      <c r="B62" s="31" t="s">
        <v>2088</v>
      </c>
      <c r="C62" s="31" t="s">
        <v>2086</v>
      </c>
      <c r="D62" s="98" t="s">
        <v>2026</v>
      </c>
      <c r="E62" s="99" t="b">
        <v>0</v>
      </c>
      <c r="F62" s="106" t="s">
        <v>2089</v>
      </c>
      <c r="G62" s="116" t="str">
        <f>HYPERLINK("http://nsgreg.nga.mil/genc/view?v=112044&amp;gencs=T&amp;end_month=3&amp;end_day=31&amp;end_year=2014","Kukës")</f>
        <v>Kukës</v>
      </c>
      <c r="H62" s="87" t="str">
        <f>HYPERLINK("http://api.nsgreg.nga.mil/geo-division/ISO3166-2/6/ed3/AL-KU","AL-KU")</f>
        <v>AL-KU</v>
      </c>
    </row>
    <row r="63" spans="1:8" x14ac:dyDescent="0.2">
      <c r="A63" s="157"/>
      <c r="B63" s="31" t="s">
        <v>2090</v>
      </c>
      <c r="C63" s="31" t="s">
        <v>2091</v>
      </c>
      <c r="D63" s="98" t="s">
        <v>2026</v>
      </c>
      <c r="E63" s="99" t="b">
        <v>0</v>
      </c>
      <c r="F63" s="106" t="s">
        <v>2092</v>
      </c>
      <c r="G63" s="116" t="str">
        <f>HYPERLINK("http://nsgreg.nga.mil/genc/view?v=112040&amp;gencs=T&amp;end_month=3&amp;end_day=31&amp;end_year=2014","Kurbin")</f>
        <v>Kurbin</v>
      </c>
      <c r="H63" s="87" t="str">
        <f>HYPERLINK("http://api.nsgreg.nga.mil/geo-division/ISO3166-2/6/ed3/AL-KB","AL-KB")</f>
        <v>AL-KB</v>
      </c>
    </row>
    <row r="64" spans="1:8" x14ac:dyDescent="0.2">
      <c r="A64" s="157"/>
      <c r="B64" s="31" t="s">
        <v>2093</v>
      </c>
      <c r="C64" s="31" t="s">
        <v>2094</v>
      </c>
      <c r="D64" s="31" t="s">
        <v>2023</v>
      </c>
      <c r="E64" s="61" t="b">
        <v>1</v>
      </c>
      <c r="F64" s="106" t="s">
        <v>2095</v>
      </c>
      <c r="G64" s="116" t="str">
        <f>HYPERLINK("http://nsgreg.nga.mil/genc/view?v=112022&amp;gencs=T&amp;end_month=3&amp;end_day=31&amp;end_year=2014","Lezhë")</f>
        <v>Lezhë</v>
      </c>
      <c r="H64" s="87" t="str">
        <f>HYPERLINK("http://api.nsgreg.nga.mil/geo-division/ISO3166-2/6/ed3/AL-08","AL-08")</f>
        <v>AL-08</v>
      </c>
    </row>
    <row r="65" spans="1:8" x14ac:dyDescent="0.2">
      <c r="A65" s="157"/>
      <c r="B65" s="31" t="s">
        <v>2096</v>
      </c>
      <c r="C65" s="31" t="s">
        <v>2094</v>
      </c>
      <c r="D65" s="98" t="s">
        <v>2026</v>
      </c>
      <c r="E65" s="99" t="b">
        <v>0</v>
      </c>
      <c r="F65" s="106" t="s">
        <v>2097</v>
      </c>
      <c r="G65" s="116" t="str">
        <f>HYPERLINK("http://nsgreg.nga.mil/genc/view?v=112046&amp;gencs=T&amp;end_month=3&amp;end_day=31&amp;end_year=2014","Lezhë")</f>
        <v>Lezhë</v>
      </c>
      <c r="H65" s="87" t="str">
        <f>HYPERLINK("http://api.nsgreg.nga.mil/geo-division/ISO3166-2/6/ed3/AL-LE","AL-LE")</f>
        <v>AL-LE</v>
      </c>
    </row>
    <row r="66" spans="1:8" x14ac:dyDescent="0.2">
      <c r="A66" s="157"/>
      <c r="B66" s="31" t="s">
        <v>2098</v>
      </c>
      <c r="C66" s="31" t="s">
        <v>2099</v>
      </c>
      <c r="D66" s="98" t="s">
        <v>2026</v>
      </c>
      <c r="E66" s="99" t="b">
        <v>0</v>
      </c>
      <c r="F66" s="106" t="s">
        <v>2100</v>
      </c>
      <c r="G66" s="116" t="str">
        <f>HYPERLINK("http://nsgreg.nga.mil/genc/view?v=112045&amp;gencs=T&amp;end_month=3&amp;end_day=31&amp;end_year=2014","Librazhd")</f>
        <v>Librazhd</v>
      </c>
      <c r="H66" s="87" t="str">
        <f>HYPERLINK("http://api.nsgreg.nga.mil/geo-division/ISO3166-2/6/ed3/AL-LB","AL-LB")</f>
        <v>AL-LB</v>
      </c>
    </row>
    <row r="67" spans="1:8" x14ac:dyDescent="0.2">
      <c r="A67" s="157"/>
      <c r="B67" s="31" t="s">
        <v>2101</v>
      </c>
      <c r="C67" s="31" t="s">
        <v>2102</v>
      </c>
      <c r="D67" s="98" t="s">
        <v>2026</v>
      </c>
      <c r="E67" s="99" t="b">
        <v>0</v>
      </c>
      <c r="F67" s="106" t="s">
        <v>2103</v>
      </c>
      <c r="G67" s="116" t="str">
        <f>HYPERLINK("http://nsgreg.nga.mil/genc/view?v=112047&amp;gencs=T&amp;end_month=3&amp;end_day=31&amp;end_year=2014","Lushnjë")</f>
        <v>Lushnjë</v>
      </c>
      <c r="H67" s="87" t="str">
        <f>HYPERLINK("http://api.nsgreg.nga.mil/geo-division/ISO3166-2/6/ed3/AL-LU","AL-LU")</f>
        <v>AL-LU</v>
      </c>
    </row>
    <row r="68" spans="1:8" x14ac:dyDescent="0.2">
      <c r="A68" s="157"/>
      <c r="B68" s="31" t="s">
        <v>2104</v>
      </c>
      <c r="C68" s="31" t="s">
        <v>2105</v>
      </c>
      <c r="D68" s="98" t="s">
        <v>2026</v>
      </c>
      <c r="E68" s="99" t="b">
        <v>0</v>
      </c>
      <c r="F68" s="106" t="s">
        <v>2106</v>
      </c>
      <c r="G68" s="116" t="str">
        <f>HYPERLINK("http://nsgreg.nga.mil/genc/view?v=112049&amp;gencs=T&amp;end_month=3&amp;end_day=31&amp;end_year=2014","Malësi e Madhe")</f>
        <v>Malësi e Madhe</v>
      </c>
      <c r="H68" s="87" t="str">
        <f>HYPERLINK("http://api.nsgreg.nga.mil/geo-division/ISO3166-2/6/ed3/AL-MM","AL-MM")</f>
        <v>AL-MM</v>
      </c>
    </row>
    <row r="69" spans="1:8" x14ac:dyDescent="0.2">
      <c r="A69" s="157"/>
      <c r="B69" s="31" t="s">
        <v>2107</v>
      </c>
      <c r="C69" s="31" t="s">
        <v>2108</v>
      </c>
      <c r="D69" s="98" t="s">
        <v>2026</v>
      </c>
      <c r="E69" s="99" t="b">
        <v>0</v>
      </c>
      <c r="F69" s="106" t="s">
        <v>2109</v>
      </c>
      <c r="G69" s="116" t="str">
        <f>HYPERLINK("http://nsgreg.nga.mil/genc/view?v=112048&amp;gencs=T&amp;end_month=3&amp;end_day=31&amp;end_year=2014","Mallakastër")</f>
        <v>Mallakastër</v>
      </c>
      <c r="H69" s="87" t="str">
        <f>HYPERLINK("http://api.nsgreg.nga.mil/geo-division/ISO3166-2/6/ed3/AL-MK","AL-MK")</f>
        <v>AL-MK</v>
      </c>
    </row>
    <row r="70" spans="1:8" x14ac:dyDescent="0.2">
      <c r="A70" s="157"/>
      <c r="B70" s="31" t="s">
        <v>2110</v>
      </c>
      <c r="C70" s="31" t="s">
        <v>2111</v>
      </c>
      <c r="D70" s="98" t="s">
        <v>2026</v>
      </c>
      <c r="E70" s="99" t="b">
        <v>0</v>
      </c>
      <c r="F70" s="106" t="s">
        <v>2112</v>
      </c>
      <c r="G70" s="116" t="str">
        <f>HYPERLINK("http://nsgreg.nga.mil/genc/view?v=112051&amp;gencs=T&amp;end_month=3&amp;end_day=31&amp;end_year=2014","Mat")</f>
        <v>Mat</v>
      </c>
      <c r="H70" s="87" t="str">
        <f>HYPERLINK("http://api.nsgreg.nga.mil/geo-division/ISO3166-2/6/ed3/AL-MT","AL-MT")</f>
        <v>AL-MT</v>
      </c>
    </row>
    <row r="71" spans="1:8" x14ac:dyDescent="0.2">
      <c r="A71" s="157"/>
      <c r="B71" s="31" t="s">
        <v>2113</v>
      </c>
      <c r="C71" s="31" t="s">
        <v>2114</v>
      </c>
      <c r="D71" s="98" t="s">
        <v>2026</v>
      </c>
      <c r="E71" s="99" t="b">
        <v>0</v>
      </c>
      <c r="F71" s="106" t="s">
        <v>2115</v>
      </c>
      <c r="G71" s="116" t="str">
        <f>HYPERLINK("http://nsgreg.nga.mil/genc/view?v=112050&amp;gencs=T&amp;end_month=3&amp;end_day=31&amp;end_year=2014","Mirditë")</f>
        <v>Mirditë</v>
      </c>
      <c r="H71" s="87" t="str">
        <f>HYPERLINK("http://api.nsgreg.nga.mil/geo-division/ISO3166-2/6/ed3/AL-MR","AL-MR")</f>
        <v>AL-MR</v>
      </c>
    </row>
    <row r="72" spans="1:8" x14ac:dyDescent="0.2">
      <c r="A72" s="157"/>
      <c r="B72" s="31" t="s">
        <v>2116</v>
      </c>
      <c r="C72" s="31" t="s">
        <v>2117</v>
      </c>
      <c r="D72" s="98" t="s">
        <v>2026</v>
      </c>
      <c r="E72" s="99" t="b">
        <v>0</v>
      </c>
      <c r="F72" s="106" t="s">
        <v>2118</v>
      </c>
      <c r="G72" s="116" t="str">
        <f>HYPERLINK("http://nsgreg.nga.mil/genc/view?v=112053&amp;gencs=T&amp;end_month=3&amp;end_day=31&amp;end_year=2014","Peqin")</f>
        <v>Peqin</v>
      </c>
      <c r="H72" s="87" t="str">
        <f>HYPERLINK("http://api.nsgreg.nga.mil/geo-division/ISO3166-2/6/ed3/AL-PQ","AL-PQ")</f>
        <v>AL-PQ</v>
      </c>
    </row>
    <row r="73" spans="1:8" x14ac:dyDescent="0.2">
      <c r="A73" s="157"/>
      <c r="B73" s="31" t="s">
        <v>2119</v>
      </c>
      <c r="C73" s="31" t="s">
        <v>2120</v>
      </c>
      <c r="D73" s="98" t="s">
        <v>2026</v>
      </c>
      <c r="E73" s="99" t="b">
        <v>0</v>
      </c>
      <c r="F73" s="106" t="s">
        <v>2121</v>
      </c>
      <c r="G73" s="116" t="str">
        <f>HYPERLINK("http://nsgreg.nga.mil/genc/view?v=112054&amp;gencs=T&amp;end_month=3&amp;end_day=31&amp;end_year=2014","Përmet")</f>
        <v>Përmet</v>
      </c>
      <c r="H73" s="87" t="str">
        <f>HYPERLINK("http://api.nsgreg.nga.mil/geo-division/ISO3166-2/6/ed3/AL-PR","AL-PR")</f>
        <v>AL-PR</v>
      </c>
    </row>
    <row r="74" spans="1:8" x14ac:dyDescent="0.2">
      <c r="A74" s="157"/>
      <c r="B74" s="31" t="s">
        <v>2122</v>
      </c>
      <c r="C74" s="31" t="s">
        <v>2123</v>
      </c>
      <c r="D74" s="98" t="s">
        <v>2026</v>
      </c>
      <c r="E74" s="99" t="b">
        <v>0</v>
      </c>
      <c r="F74" s="106" t="s">
        <v>2124</v>
      </c>
      <c r="G74" s="116" t="str">
        <f>HYPERLINK("http://nsgreg.nga.mil/genc/view?v=112052&amp;gencs=T&amp;end_month=3&amp;end_day=31&amp;end_year=2014","Pogradec")</f>
        <v>Pogradec</v>
      </c>
      <c r="H74" s="87" t="str">
        <f>HYPERLINK("http://api.nsgreg.nga.mil/geo-division/ISO3166-2/6/ed3/AL-PG","AL-PG")</f>
        <v>AL-PG</v>
      </c>
    </row>
    <row r="75" spans="1:8" x14ac:dyDescent="0.2">
      <c r="A75" s="157"/>
      <c r="B75" s="31" t="s">
        <v>2125</v>
      </c>
      <c r="C75" s="31" t="s">
        <v>2126</v>
      </c>
      <c r="D75" s="98" t="s">
        <v>2026</v>
      </c>
      <c r="E75" s="99" t="b">
        <v>0</v>
      </c>
      <c r="F75" s="106" t="s">
        <v>2127</v>
      </c>
      <c r="G75" s="116" t="str">
        <f>HYPERLINK("http://nsgreg.nga.mil/genc/view?v=112055&amp;gencs=T&amp;end_month=3&amp;end_day=31&amp;end_year=2014","Pukë")</f>
        <v>Pukë</v>
      </c>
      <c r="H75" s="87" t="str">
        <f>HYPERLINK("http://api.nsgreg.nga.mil/geo-division/ISO3166-2/6/ed3/AL-PU","AL-PU")</f>
        <v>AL-PU</v>
      </c>
    </row>
    <row r="76" spans="1:8" x14ac:dyDescent="0.2">
      <c r="A76" s="157"/>
      <c r="B76" s="31" t="s">
        <v>2128</v>
      </c>
      <c r="C76" s="31" t="s">
        <v>2129</v>
      </c>
      <c r="D76" s="98" t="s">
        <v>2026</v>
      </c>
      <c r="E76" s="99" t="b">
        <v>0</v>
      </c>
      <c r="F76" s="106" t="s">
        <v>2130</v>
      </c>
      <c r="G76" s="116" t="str">
        <f>HYPERLINK("http://nsgreg.nga.mil/genc/view?v=112058&amp;gencs=T&amp;end_month=3&amp;end_day=31&amp;end_year=2014","Sarandë")</f>
        <v>Sarandë</v>
      </c>
      <c r="H76" s="87" t="str">
        <f>HYPERLINK("http://api.nsgreg.nga.mil/geo-division/ISO3166-2/6/ed3/AL-SR","AL-SR")</f>
        <v>AL-SR</v>
      </c>
    </row>
    <row r="77" spans="1:8" x14ac:dyDescent="0.2">
      <c r="A77" s="157"/>
      <c r="B77" s="31" t="s">
        <v>2131</v>
      </c>
      <c r="C77" s="31" t="s">
        <v>2132</v>
      </c>
      <c r="D77" s="31" t="s">
        <v>2023</v>
      </c>
      <c r="E77" s="61" t="b">
        <v>1</v>
      </c>
      <c r="F77" s="106" t="s">
        <v>2133</v>
      </c>
      <c r="G77" s="116" t="str">
        <f>HYPERLINK("http://nsgreg.nga.mil/genc/view?v=112024&amp;gencs=T&amp;end_month=3&amp;end_day=31&amp;end_year=2014","Shkodër")</f>
        <v>Shkodër</v>
      </c>
      <c r="H77" s="87" t="str">
        <f>HYPERLINK("http://api.nsgreg.nga.mil/geo-division/ISO3166-2/6/ed3/AL-10","AL-10")</f>
        <v>AL-10</v>
      </c>
    </row>
    <row r="78" spans="1:8" x14ac:dyDescent="0.2">
      <c r="A78" s="157"/>
      <c r="B78" s="31" t="s">
        <v>2134</v>
      </c>
      <c r="C78" s="31" t="s">
        <v>2132</v>
      </c>
      <c r="D78" s="98" t="s">
        <v>2026</v>
      </c>
      <c r="E78" s="99" t="b">
        <v>0</v>
      </c>
      <c r="F78" s="106" t="s">
        <v>2135</v>
      </c>
      <c r="G78" s="116" t="str">
        <f>HYPERLINK("http://nsgreg.nga.mil/genc/view?v=112056&amp;gencs=T&amp;end_month=3&amp;end_day=31&amp;end_year=2014","Shkodër")</f>
        <v>Shkodër</v>
      </c>
      <c r="H78" s="87" t="str">
        <f>HYPERLINK("http://api.nsgreg.nga.mil/geo-division/ISO3166-2/6/ed3/AL-SH","AL-SH")</f>
        <v>AL-SH</v>
      </c>
    </row>
    <row r="79" spans="1:8" x14ac:dyDescent="0.2">
      <c r="A79" s="157"/>
      <c r="B79" s="31" t="s">
        <v>2136</v>
      </c>
      <c r="C79" s="31" t="s">
        <v>2137</v>
      </c>
      <c r="D79" s="98" t="s">
        <v>2026</v>
      </c>
      <c r="E79" s="99" t="b">
        <v>0</v>
      </c>
      <c r="F79" s="106" t="s">
        <v>2138</v>
      </c>
      <c r="G79" s="116" t="str">
        <f>HYPERLINK("http://nsgreg.nga.mil/genc/view?v=112057&amp;gencs=T&amp;end_month=3&amp;end_day=31&amp;end_year=2014","Skrapar")</f>
        <v>Skrapar</v>
      </c>
      <c r="H79" s="87" t="str">
        <f>HYPERLINK("http://api.nsgreg.nga.mil/geo-division/ISO3166-2/6/ed3/AL-SK","AL-SK")</f>
        <v>AL-SK</v>
      </c>
    </row>
    <row r="80" spans="1:8" x14ac:dyDescent="0.2">
      <c r="A80" s="157"/>
      <c r="B80" s="31" t="s">
        <v>2139</v>
      </c>
      <c r="C80" s="31" t="s">
        <v>2140</v>
      </c>
      <c r="D80" s="98" t="s">
        <v>2026</v>
      </c>
      <c r="E80" s="99" t="b">
        <v>0</v>
      </c>
      <c r="F80" s="106" t="s">
        <v>2141</v>
      </c>
      <c r="G80" s="116" t="str">
        <f>HYPERLINK("http://nsgreg.nga.mil/genc/view?v=112059&amp;gencs=T&amp;end_month=3&amp;end_day=31&amp;end_year=2014","Tepelenë")</f>
        <v>Tepelenë</v>
      </c>
      <c r="H80" s="87" t="str">
        <f>HYPERLINK("http://api.nsgreg.nga.mil/geo-division/ISO3166-2/6/ed3/AL-TE","AL-TE")</f>
        <v>AL-TE</v>
      </c>
    </row>
    <row r="81" spans="1:8" x14ac:dyDescent="0.2">
      <c r="A81" s="157"/>
      <c r="B81" s="31" t="s">
        <v>2142</v>
      </c>
      <c r="C81" s="31" t="s">
        <v>2143</v>
      </c>
      <c r="D81" s="31" t="s">
        <v>2023</v>
      </c>
      <c r="E81" s="61" t="b">
        <v>1</v>
      </c>
      <c r="F81" s="106" t="s">
        <v>2144</v>
      </c>
      <c r="G81" s="116" t="str">
        <f>HYPERLINK("http://nsgreg.nga.mil/genc/view?v=112025&amp;gencs=T&amp;end_month=3&amp;end_day=31&amp;end_year=2014","Tiranë")</f>
        <v>Tiranë</v>
      </c>
      <c r="H81" s="87" t="str">
        <f>HYPERLINK("http://api.nsgreg.nga.mil/geo-division/ISO3166-2/6/ed3/AL-11","AL-11")</f>
        <v>AL-11</v>
      </c>
    </row>
    <row r="82" spans="1:8" x14ac:dyDescent="0.2">
      <c r="A82" s="157"/>
      <c r="B82" s="31" t="s">
        <v>2145</v>
      </c>
      <c r="C82" s="31" t="s">
        <v>2143</v>
      </c>
      <c r="D82" s="98" t="s">
        <v>2026</v>
      </c>
      <c r="E82" s="99" t="b">
        <v>0</v>
      </c>
      <c r="F82" s="106" t="s">
        <v>2146</v>
      </c>
      <c r="G82" s="116" t="str">
        <f>HYPERLINK("http://nsgreg.nga.mil/genc/view?v=112061&amp;gencs=T&amp;end_month=3&amp;end_day=31&amp;end_year=2014","Tiranë")</f>
        <v>Tiranë</v>
      </c>
      <c r="H82" s="87" t="str">
        <f>HYPERLINK("http://api.nsgreg.nga.mil/geo-division/ISO3166-2/6/ed3/AL-TR","AL-TR")</f>
        <v>AL-TR</v>
      </c>
    </row>
    <row r="83" spans="1:8" x14ac:dyDescent="0.2">
      <c r="A83" s="157"/>
      <c r="B83" s="31" t="s">
        <v>2147</v>
      </c>
      <c r="C83" s="31" t="s">
        <v>2148</v>
      </c>
      <c r="D83" s="98" t="s">
        <v>2026</v>
      </c>
      <c r="E83" s="99" t="b">
        <v>0</v>
      </c>
      <c r="F83" s="106" t="s">
        <v>2149</v>
      </c>
      <c r="G83" s="116" t="str">
        <f>HYPERLINK("http://nsgreg.nga.mil/genc/view?v=112060&amp;gencs=T&amp;end_month=3&amp;end_day=31&amp;end_year=2014","Tropojë")</f>
        <v>Tropojë</v>
      </c>
      <c r="H83" s="87" t="str">
        <f>HYPERLINK("http://api.nsgreg.nga.mil/geo-division/ISO3166-2/6/ed3/AL-TP","AL-TP")</f>
        <v>AL-TP</v>
      </c>
    </row>
    <row r="84" spans="1:8" x14ac:dyDescent="0.2">
      <c r="A84" s="157"/>
      <c r="B84" s="31" t="s">
        <v>2150</v>
      </c>
      <c r="C84" s="31" t="s">
        <v>2151</v>
      </c>
      <c r="D84" s="31" t="s">
        <v>2023</v>
      </c>
      <c r="E84" s="61" t="b">
        <v>1</v>
      </c>
      <c r="F84" s="106" t="s">
        <v>2152</v>
      </c>
      <c r="G84" s="116" t="str">
        <f>HYPERLINK("http://nsgreg.nga.mil/genc/view?v=112026&amp;gencs=T&amp;end_month=3&amp;end_day=31&amp;end_year=2014","Vlorë")</f>
        <v>Vlorë</v>
      </c>
      <c r="H84" s="87" t="str">
        <f>HYPERLINK("http://api.nsgreg.nga.mil/geo-division/ISO3166-2/6/ed3/AL-12","AL-12")</f>
        <v>AL-12</v>
      </c>
    </row>
    <row r="85" spans="1:8" x14ac:dyDescent="0.2">
      <c r="A85" s="158"/>
      <c r="B85" s="58" t="s">
        <v>2153</v>
      </c>
      <c r="C85" s="58" t="s">
        <v>2151</v>
      </c>
      <c r="D85" s="100" t="s">
        <v>2026</v>
      </c>
      <c r="E85" s="101" t="b">
        <v>0</v>
      </c>
      <c r="F85" s="108" t="s">
        <v>2154</v>
      </c>
      <c r="G85" s="117" t="str">
        <f>HYPERLINK("http://nsgreg.nga.mil/genc/view?v=112062&amp;gencs=T&amp;end_month=3&amp;end_day=31&amp;end_year=2014","Vlorë")</f>
        <v>Vlorë</v>
      </c>
      <c r="H85" s="89" t="str">
        <f>HYPERLINK("http://api.nsgreg.nga.mil/geo-division/ISO3166-2/6/ed3/AL-VL","AL-VL")</f>
        <v>AL-VL</v>
      </c>
    </row>
    <row r="86" spans="1:8" x14ac:dyDescent="0.2">
      <c r="A86" s="156" t="str">
        <f>HYPERLINK("[#]Geopolitical_Entities!A7:I7","ALGERIA")</f>
        <v>ALGERIA</v>
      </c>
      <c r="B86" s="52" t="s">
        <v>2155</v>
      </c>
      <c r="C86" s="52" t="s">
        <v>2156</v>
      </c>
      <c r="D86" s="52" t="s">
        <v>1920</v>
      </c>
      <c r="E86" s="60" t="b">
        <v>1</v>
      </c>
      <c r="F86" s="109" t="s">
        <v>2157</v>
      </c>
      <c r="G86" s="118" t="str">
        <f>HYPERLINK("http://nsgreg.nga.mil/genc/view?v=112970&amp;gencs=T&amp;end_month=3&amp;end_day=31&amp;end_year=2014","Adrar")</f>
        <v>Adrar</v>
      </c>
      <c r="H86" s="91" t="str">
        <f>HYPERLINK("http://api.nsgreg.nga.mil/geo-division/ISO3166-2/6/ed3/DZ-01","DZ-01")</f>
        <v>DZ-01</v>
      </c>
    </row>
    <row r="87" spans="1:8" x14ac:dyDescent="0.2">
      <c r="A87" s="157"/>
      <c r="B87" s="31" t="s">
        <v>2158</v>
      </c>
      <c r="C87" s="31" t="s">
        <v>2159</v>
      </c>
      <c r="D87" s="31" t="s">
        <v>1920</v>
      </c>
      <c r="E87" s="61" t="b">
        <v>1</v>
      </c>
      <c r="F87" s="106" t="s">
        <v>2160</v>
      </c>
      <c r="G87" s="116" t="str">
        <f>HYPERLINK("http://nsgreg.nga.mil/genc/view?v=113013&amp;gencs=T&amp;end_month=3&amp;end_day=31&amp;end_year=2014","Aïn Defla")</f>
        <v>Aïn Defla</v>
      </c>
      <c r="H87" s="87" t="str">
        <f>HYPERLINK("http://api.nsgreg.nga.mil/geo-division/ISO3166-2/6/ed3/DZ-44","DZ-44")</f>
        <v>DZ-44</v>
      </c>
    </row>
    <row r="88" spans="1:8" x14ac:dyDescent="0.2">
      <c r="A88" s="157"/>
      <c r="B88" s="31" t="s">
        <v>2161</v>
      </c>
      <c r="C88" s="31" t="s">
        <v>2162</v>
      </c>
      <c r="D88" s="31" t="s">
        <v>1920</v>
      </c>
      <c r="E88" s="61" t="b">
        <v>1</v>
      </c>
      <c r="F88" s="107" t="s">
        <v>2163</v>
      </c>
      <c r="G88" s="116" t="str">
        <f>HYPERLINK("http://nsgreg.nga.mil/genc/view?v=201083&amp;end_month=3&amp;end_day=31&amp;end_year=2014","Aïn Temouchent")</f>
        <v>Aïn Temouchent</v>
      </c>
      <c r="H88" s="87" t="str">
        <f>HYPERLINK("http://api.nsgreg.nga.mil/geo-division/GENC/6/ed2/DZ-46","DZ-46")</f>
        <v>DZ-46</v>
      </c>
    </row>
    <row r="89" spans="1:8" x14ac:dyDescent="0.2">
      <c r="A89" s="157"/>
      <c r="B89" s="31" t="s">
        <v>2164</v>
      </c>
      <c r="C89" s="31" t="s">
        <v>2165</v>
      </c>
      <c r="D89" s="31" t="s">
        <v>1920</v>
      </c>
      <c r="E89" s="61" t="b">
        <v>1</v>
      </c>
      <c r="F89" s="106" t="s">
        <v>2166</v>
      </c>
      <c r="G89" s="116" t="str">
        <f>HYPERLINK("http://nsgreg.nga.mil/genc/view?v=112985&amp;gencs=T&amp;end_month=3&amp;end_day=31&amp;end_year=2014","Alger")</f>
        <v>Alger</v>
      </c>
      <c r="H89" s="87" t="str">
        <f>HYPERLINK("http://api.nsgreg.nga.mil/geo-division/ISO3166-2/6/ed3/DZ-16","DZ-16")</f>
        <v>DZ-16</v>
      </c>
    </row>
    <row r="90" spans="1:8" x14ac:dyDescent="0.2">
      <c r="A90" s="157"/>
      <c r="B90" s="31" t="s">
        <v>2167</v>
      </c>
      <c r="C90" s="31" t="s">
        <v>2168</v>
      </c>
      <c r="D90" s="31" t="s">
        <v>1920</v>
      </c>
      <c r="E90" s="61" t="b">
        <v>1</v>
      </c>
      <c r="F90" s="106" t="s">
        <v>2169</v>
      </c>
      <c r="G90" s="116" t="str">
        <f>HYPERLINK("http://nsgreg.nga.mil/genc/view?v=112992&amp;gencs=T&amp;end_month=3&amp;end_day=31&amp;end_year=2014","Annaba")</f>
        <v>Annaba</v>
      </c>
      <c r="H90" s="87" t="str">
        <f>HYPERLINK("http://api.nsgreg.nga.mil/geo-division/ISO3166-2/6/ed3/DZ-23","DZ-23")</f>
        <v>DZ-23</v>
      </c>
    </row>
    <row r="91" spans="1:8" x14ac:dyDescent="0.2">
      <c r="A91" s="157"/>
      <c r="B91" s="31" t="s">
        <v>2170</v>
      </c>
      <c r="C91" s="31" t="s">
        <v>2171</v>
      </c>
      <c r="D91" s="31" t="s">
        <v>1920</v>
      </c>
      <c r="E91" s="61" t="b">
        <v>1</v>
      </c>
      <c r="F91" s="106" t="s">
        <v>2172</v>
      </c>
      <c r="G91" s="116" t="str">
        <f>HYPERLINK("http://nsgreg.nga.mil/genc/view?v=112974&amp;gencs=T&amp;end_month=3&amp;end_day=31&amp;end_year=2014","Batna")</f>
        <v>Batna</v>
      </c>
      <c r="H91" s="87" t="str">
        <f>HYPERLINK("http://api.nsgreg.nga.mil/geo-division/ISO3166-2/6/ed3/DZ-05","DZ-05")</f>
        <v>DZ-05</v>
      </c>
    </row>
    <row r="92" spans="1:8" x14ac:dyDescent="0.2">
      <c r="A92" s="157"/>
      <c r="B92" s="31" t="s">
        <v>2173</v>
      </c>
      <c r="C92" s="31" t="s">
        <v>2174</v>
      </c>
      <c r="D92" s="31" t="s">
        <v>1920</v>
      </c>
      <c r="E92" s="61" t="b">
        <v>1</v>
      </c>
      <c r="F92" s="106" t="s">
        <v>2175</v>
      </c>
      <c r="G92" s="116" t="str">
        <f>HYPERLINK("http://nsgreg.nga.mil/genc/view?v=112977&amp;gencs=T&amp;end_month=3&amp;end_day=31&amp;end_year=2014","Béchar")</f>
        <v>Béchar</v>
      </c>
      <c r="H92" s="87" t="str">
        <f>HYPERLINK("http://api.nsgreg.nga.mil/geo-division/ISO3166-2/6/ed3/DZ-08","DZ-08")</f>
        <v>DZ-08</v>
      </c>
    </row>
    <row r="93" spans="1:8" x14ac:dyDescent="0.2">
      <c r="A93" s="157"/>
      <c r="B93" s="31" t="s">
        <v>2176</v>
      </c>
      <c r="C93" s="31" t="s">
        <v>2177</v>
      </c>
      <c r="D93" s="31" t="s">
        <v>1920</v>
      </c>
      <c r="E93" s="61" t="b">
        <v>1</v>
      </c>
      <c r="F93" s="107" t="s">
        <v>2178</v>
      </c>
      <c r="G93" s="116" t="str">
        <f>HYPERLINK("http://nsgreg.nga.mil/genc/view?v=201080&amp;end_month=3&amp;end_day=31&amp;end_year=2014","Bejaïa")</f>
        <v>Bejaïa</v>
      </c>
      <c r="H93" s="87" t="str">
        <f>HYPERLINK("http://api.nsgreg.nga.mil/geo-division/GENC/6/ed2/DZ-06","DZ-06")</f>
        <v>DZ-06</v>
      </c>
    </row>
    <row r="94" spans="1:8" x14ac:dyDescent="0.2">
      <c r="A94" s="157"/>
      <c r="B94" s="31" t="s">
        <v>2179</v>
      </c>
      <c r="C94" s="31" t="s">
        <v>2180</v>
      </c>
      <c r="D94" s="31" t="s">
        <v>1920</v>
      </c>
      <c r="E94" s="61" t="b">
        <v>1</v>
      </c>
      <c r="F94" s="106" t="s">
        <v>2181</v>
      </c>
      <c r="G94" s="116" t="str">
        <f>HYPERLINK("http://nsgreg.nga.mil/genc/view?v=112976&amp;gencs=T&amp;end_month=3&amp;end_day=31&amp;end_year=2014","Biskra")</f>
        <v>Biskra</v>
      </c>
      <c r="H94" s="87" t="str">
        <f>HYPERLINK("http://api.nsgreg.nga.mil/geo-division/ISO3166-2/6/ed3/DZ-07","DZ-07")</f>
        <v>DZ-07</v>
      </c>
    </row>
    <row r="95" spans="1:8" x14ac:dyDescent="0.2">
      <c r="A95" s="157"/>
      <c r="B95" s="31" t="s">
        <v>2182</v>
      </c>
      <c r="C95" s="31" t="s">
        <v>2183</v>
      </c>
      <c r="D95" s="31" t="s">
        <v>1920</v>
      </c>
      <c r="E95" s="61" t="b">
        <v>1</v>
      </c>
      <c r="F95" s="106" t="s">
        <v>2184</v>
      </c>
      <c r="G95" s="116" t="str">
        <f>HYPERLINK("http://nsgreg.nga.mil/genc/view?v=112978&amp;gencs=T&amp;end_month=3&amp;end_day=31&amp;end_year=2014","Blida")</f>
        <v>Blida</v>
      </c>
      <c r="H95" s="87" t="str">
        <f>HYPERLINK("http://api.nsgreg.nga.mil/geo-division/ISO3166-2/6/ed3/DZ-09","DZ-09")</f>
        <v>DZ-09</v>
      </c>
    </row>
    <row r="96" spans="1:8" x14ac:dyDescent="0.2">
      <c r="A96" s="157"/>
      <c r="B96" s="31" t="s">
        <v>2185</v>
      </c>
      <c r="C96" s="31" t="s">
        <v>2186</v>
      </c>
      <c r="D96" s="31" t="s">
        <v>1920</v>
      </c>
      <c r="E96" s="61" t="b">
        <v>1</v>
      </c>
      <c r="F96" s="106" t="s">
        <v>2187</v>
      </c>
      <c r="G96" s="116" t="str">
        <f>HYPERLINK("http://nsgreg.nga.mil/genc/view?v=113003&amp;gencs=T&amp;end_month=3&amp;end_day=31&amp;end_year=2014","Bordj Bou Arréridj")</f>
        <v>Bordj Bou Arréridj</v>
      </c>
      <c r="H96" s="87" t="str">
        <f>HYPERLINK("http://api.nsgreg.nga.mil/geo-division/ISO3166-2/6/ed3/DZ-34","DZ-34")</f>
        <v>DZ-34</v>
      </c>
    </row>
    <row r="97" spans="1:8" x14ac:dyDescent="0.2">
      <c r="A97" s="157"/>
      <c r="B97" s="31" t="s">
        <v>2188</v>
      </c>
      <c r="C97" s="31" t="s">
        <v>2189</v>
      </c>
      <c r="D97" s="31" t="s">
        <v>1920</v>
      </c>
      <c r="E97" s="61" t="b">
        <v>1</v>
      </c>
      <c r="F97" s="106" t="s">
        <v>2190</v>
      </c>
      <c r="G97" s="116" t="str">
        <f>HYPERLINK("http://nsgreg.nga.mil/genc/view?v=112979&amp;gencs=T&amp;end_month=3&amp;end_day=31&amp;end_year=2014","Bouira")</f>
        <v>Bouira</v>
      </c>
      <c r="H97" s="87" t="str">
        <f>HYPERLINK("http://api.nsgreg.nga.mil/geo-division/ISO3166-2/6/ed3/DZ-10","DZ-10")</f>
        <v>DZ-10</v>
      </c>
    </row>
    <row r="98" spans="1:8" x14ac:dyDescent="0.2">
      <c r="A98" s="157"/>
      <c r="B98" s="31" t="s">
        <v>2191</v>
      </c>
      <c r="C98" s="31" t="s">
        <v>2192</v>
      </c>
      <c r="D98" s="31" t="s">
        <v>1920</v>
      </c>
      <c r="E98" s="61" t="b">
        <v>1</v>
      </c>
      <c r="F98" s="107" t="s">
        <v>2193</v>
      </c>
      <c r="G98" s="116" t="str">
        <f>HYPERLINK("http://nsgreg.nga.mil/genc/view?v=201082&amp;end_month=3&amp;end_day=31&amp;end_year=2014","Boumerdes")</f>
        <v>Boumerdes</v>
      </c>
      <c r="H98" s="87" t="str">
        <f>HYPERLINK("http://api.nsgreg.nga.mil/geo-division/GENC/6/ed2/DZ-35","DZ-35")</f>
        <v>DZ-35</v>
      </c>
    </row>
    <row r="99" spans="1:8" x14ac:dyDescent="0.2">
      <c r="A99" s="157"/>
      <c r="B99" s="31" t="s">
        <v>2194</v>
      </c>
      <c r="C99" s="31" t="s">
        <v>2195</v>
      </c>
      <c r="D99" s="31" t="s">
        <v>1920</v>
      </c>
      <c r="E99" s="61" t="b">
        <v>1</v>
      </c>
      <c r="F99" s="106" t="s">
        <v>2196</v>
      </c>
      <c r="G99" s="116" t="str">
        <f>HYPERLINK("http://nsgreg.nga.mil/genc/view?v=112971&amp;gencs=T&amp;end_month=3&amp;end_day=31&amp;end_year=2014","Chlef")</f>
        <v>Chlef</v>
      </c>
      <c r="H99" s="87" t="str">
        <f>HYPERLINK("http://api.nsgreg.nga.mil/geo-division/ISO3166-2/6/ed3/DZ-02","DZ-02")</f>
        <v>DZ-02</v>
      </c>
    </row>
    <row r="100" spans="1:8" x14ac:dyDescent="0.2">
      <c r="A100" s="157"/>
      <c r="B100" s="31" t="s">
        <v>2197</v>
      </c>
      <c r="C100" s="31" t="s">
        <v>2198</v>
      </c>
      <c r="D100" s="31" t="s">
        <v>1920</v>
      </c>
      <c r="E100" s="61" t="b">
        <v>1</v>
      </c>
      <c r="F100" s="106" t="s">
        <v>2199</v>
      </c>
      <c r="G100" s="116" t="str">
        <f>HYPERLINK("http://nsgreg.nga.mil/genc/view?v=112994&amp;gencs=T&amp;end_month=3&amp;end_day=31&amp;end_year=2014","Constantine")</f>
        <v>Constantine</v>
      </c>
      <c r="H100" s="87" t="str">
        <f>HYPERLINK("http://api.nsgreg.nga.mil/geo-division/ISO3166-2/6/ed3/DZ-25","DZ-25")</f>
        <v>DZ-25</v>
      </c>
    </row>
    <row r="101" spans="1:8" x14ac:dyDescent="0.2">
      <c r="A101" s="157"/>
      <c r="B101" s="31" t="s">
        <v>2200</v>
      </c>
      <c r="C101" s="31" t="s">
        <v>2201</v>
      </c>
      <c r="D101" s="31" t="s">
        <v>1920</v>
      </c>
      <c r="E101" s="61" t="b">
        <v>1</v>
      </c>
      <c r="F101" s="106" t="s">
        <v>2202</v>
      </c>
      <c r="G101" s="116" t="str">
        <f>HYPERLINK("http://nsgreg.nga.mil/genc/view?v=112986&amp;gencs=T&amp;end_month=3&amp;end_day=31&amp;end_year=2014","Djelfa")</f>
        <v>Djelfa</v>
      </c>
      <c r="H101" s="87" t="str">
        <f>HYPERLINK("http://api.nsgreg.nga.mil/geo-division/ISO3166-2/6/ed3/DZ-17","DZ-17")</f>
        <v>DZ-17</v>
      </c>
    </row>
    <row r="102" spans="1:8" x14ac:dyDescent="0.2">
      <c r="A102" s="157"/>
      <c r="B102" s="31" t="s">
        <v>2203</v>
      </c>
      <c r="C102" s="31" t="s">
        <v>2204</v>
      </c>
      <c r="D102" s="31" t="s">
        <v>1920</v>
      </c>
      <c r="E102" s="61" t="b">
        <v>1</v>
      </c>
      <c r="F102" s="106" t="s">
        <v>2205</v>
      </c>
      <c r="G102" s="116" t="str">
        <f>HYPERLINK("http://nsgreg.nga.mil/genc/view?v=113001&amp;gencs=T&amp;end_month=3&amp;end_day=31&amp;end_year=2014","El Bayadh")</f>
        <v>El Bayadh</v>
      </c>
      <c r="H102" s="87" t="str">
        <f>HYPERLINK("http://api.nsgreg.nga.mil/geo-division/ISO3166-2/6/ed3/DZ-32","DZ-32")</f>
        <v>DZ-32</v>
      </c>
    </row>
    <row r="103" spans="1:8" x14ac:dyDescent="0.2">
      <c r="A103" s="157"/>
      <c r="B103" s="31" t="s">
        <v>2206</v>
      </c>
      <c r="C103" s="31" t="s">
        <v>2207</v>
      </c>
      <c r="D103" s="31" t="s">
        <v>1920</v>
      </c>
      <c r="E103" s="61" t="b">
        <v>1</v>
      </c>
      <c r="F103" s="106" t="s">
        <v>2208</v>
      </c>
      <c r="G103" s="116" t="str">
        <f>HYPERLINK("http://nsgreg.nga.mil/genc/view?v=113008&amp;gencs=T&amp;end_month=3&amp;end_day=31&amp;end_year=2014","El Oued")</f>
        <v>El Oued</v>
      </c>
      <c r="H103" s="87" t="str">
        <f>HYPERLINK("http://api.nsgreg.nga.mil/geo-division/ISO3166-2/6/ed3/DZ-39","DZ-39")</f>
        <v>DZ-39</v>
      </c>
    </row>
    <row r="104" spans="1:8" x14ac:dyDescent="0.2">
      <c r="A104" s="157"/>
      <c r="B104" s="31" t="s">
        <v>2209</v>
      </c>
      <c r="C104" s="31" t="s">
        <v>2210</v>
      </c>
      <c r="D104" s="31" t="s">
        <v>1920</v>
      </c>
      <c r="E104" s="61" t="b">
        <v>1</v>
      </c>
      <c r="F104" s="106" t="s">
        <v>2211</v>
      </c>
      <c r="G104" s="116" t="str">
        <f>HYPERLINK("http://nsgreg.nga.mil/genc/view?v=113005&amp;gencs=T&amp;end_month=3&amp;end_day=31&amp;end_year=2014","El Tarf")</f>
        <v>El Tarf</v>
      </c>
      <c r="H104" s="87" t="str">
        <f>HYPERLINK("http://api.nsgreg.nga.mil/geo-division/ISO3166-2/6/ed3/DZ-36","DZ-36")</f>
        <v>DZ-36</v>
      </c>
    </row>
    <row r="105" spans="1:8" x14ac:dyDescent="0.2">
      <c r="A105" s="157"/>
      <c r="B105" s="31" t="s">
        <v>2212</v>
      </c>
      <c r="C105" s="31" t="s">
        <v>2213</v>
      </c>
      <c r="D105" s="31" t="s">
        <v>1920</v>
      </c>
      <c r="E105" s="61" t="b">
        <v>1</v>
      </c>
      <c r="F105" s="106" t="s">
        <v>2214</v>
      </c>
      <c r="G105" s="116" t="str">
        <f>HYPERLINK("http://nsgreg.nga.mil/genc/view?v=113016&amp;gencs=T&amp;end_month=3&amp;end_day=31&amp;end_year=2014","Ghardaïa")</f>
        <v>Ghardaïa</v>
      </c>
      <c r="H105" s="87" t="str">
        <f>HYPERLINK("http://api.nsgreg.nga.mil/geo-division/ISO3166-2/6/ed3/DZ-47","DZ-47")</f>
        <v>DZ-47</v>
      </c>
    </row>
    <row r="106" spans="1:8" x14ac:dyDescent="0.2">
      <c r="A106" s="157"/>
      <c r="B106" s="31" t="s">
        <v>2215</v>
      </c>
      <c r="C106" s="31" t="s">
        <v>2216</v>
      </c>
      <c r="D106" s="31" t="s">
        <v>1920</v>
      </c>
      <c r="E106" s="61" t="b">
        <v>1</v>
      </c>
      <c r="F106" s="106" t="s">
        <v>2217</v>
      </c>
      <c r="G106" s="116" t="str">
        <f>HYPERLINK("http://nsgreg.nga.mil/genc/view?v=112993&amp;gencs=T&amp;end_month=3&amp;end_day=31&amp;end_year=2014","Guelma")</f>
        <v>Guelma</v>
      </c>
      <c r="H106" s="87" t="str">
        <f>HYPERLINK("http://api.nsgreg.nga.mil/geo-division/ISO3166-2/6/ed3/DZ-24","DZ-24")</f>
        <v>DZ-24</v>
      </c>
    </row>
    <row r="107" spans="1:8" x14ac:dyDescent="0.2">
      <c r="A107" s="157"/>
      <c r="B107" s="31" t="s">
        <v>2218</v>
      </c>
      <c r="C107" s="31" t="s">
        <v>2219</v>
      </c>
      <c r="D107" s="31" t="s">
        <v>1920</v>
      </c>
      <c r="E107" s="61" t="b">
        <v>1</v>
      </c>
      <c r="F107" s="106" t="s">
        <v>2220</v>
      </c>
      <c r="G107" s="116" t="str">
        <f>HYPERLINK("http://nsgreg.nga.mil/genc/view?v=113002&amp;gencs=T&amp;end_month=3&amp;end_day=31&amp;end_year=2014","Illizi")</f>
        <v>Illizi</v>
      </c>
      <c r="H107" s="87" t="str">
        <f>HYPERLINK("http://api.nsgreg.nga.mil/geo-division/ISO3166-2/6/ed3/DZ-33","DZ-33")</f>
        <v>DZ-33</v>
      </c>
    </row>
    <row r="108" spans="1:8" x14ac:dyDescent="0.2">
      <c r="A108" s="157"/>
      <c r="B108" s="31" t="s">
        <v>2221</v>
      </c>
      <c r="C108" s="31" t="s">
        <v>2222</v>
      </c>
      <c r="D108" s="31" t="s">
        <v>1920</v>
      </c>
      <c r="E108" s="61" t="b">
        <v>1</v>
      </c>
      <c r="F108" s="106" t="s">
        <v>2223</v>
      </c>
      <c r="G108" s="116" t="str">
        <f>HYPERLINK("http://nsgreg.nga.mil/genc/view?v=112987&amp;gencs=T&amp;end_month=3&amp;end_day=31&amp;end_year=2014","Jijel")</f>
        <v>Jijel</v>
      </c>
      <c r="H108" s="87" t="str">
        <f>HYPERLINK("http://api.nsgreg.nga.mil/geo-division/ISO3166-2/6/ed3/DZ-18","DZ-18")</f>
        <v>DZ-18</v>
      </c>
    </row>
    <row r="109" spans="1:8" x14ac:dyDescent="0.2">
      <c r="A109" s="157"/>
      <c r="B109" s="31" t="s">
        <v>2224</v>
      </c>
      <c r="C109" s="31" t="s">
        <v>2225</v>
      </c>
      <c r="D109" s="31" t="s">
        <v>1920</v>
      </c>
      <c r="E109" s="61" t="b">
        <v>1</v>
      </c>
      <c r="F109" s="106" t="s">
        <v>2226</v>
      </c>
      <c r="G109" s="116" t="str">
        <f>HYPERLINK("http://nsgreg.nga.mil/genc/view?v=113009&amp;gencs=T&amp;end_month=3&amp;end_day=31&amp;end_year=2014","Khenchela")</f>
        <v>Khenchela</v>
      </c>
      <c r="H109" s="87" t="str">
        <f>HYPERLINK("http://api.nsgreg.nga.mil/geo-division/ISO3166-2/6/ed3/DZ-40","DZ-40")</f>
        <v>DZ-40</v>
      </c>
    </row>
    <row r="110" spans="1:8" x14ac:dyDescent="0.2">
      <c r="A110" s="157"/>
      <c r="B110" s="31" t="s">
        <v>2227</v>
      </c>
      <c r="C110" s="31" t="s">
        <v>2228</v>
      </c>
      <c r="D110" s="31" t="s">
        <v>1920</v>
      </c>
      <c r="E110" s="61" t="b">
        <v>1</v>
      </c>
      <c r="F110" s="106" t="s">
        <v>2229</v>
      </c>
      <c r="G110" s="116" t="str">
        <f>HYPERLINK("http://nsgreg.nga.mil/genc/view?v=112972&amp;gencs=T&amp;end_month=3&amp;end_day=31&amp;end_year=2014","Laghouat")</f>
        <v>Laghouat</v>
      </c>
      <c r="H110" s="87" t="str">
        <f>HYPERLINK("http://api.nsgreg.nga.mil/geo-division/ISO3166-2/6/ed3/DZ-03","DZ-03")</f>
        <v>DZ-03</v>
      </c>
    </row>
    <row r="111" spans="1:8" x14ac:dyDescent="0.2">
      <c r="A111" s="157"/>
      <c r="B111" s="31" t="s">
        <v>2230</v>
      </c>
      <c r="C111" s="31" t="s">
        <v>2231</v>
      </c>
      <c r="D111" s="31" t="s">
        <v>1920</v>
      </c>
      <c r="E111" s="61" t="b">
        <v>1</v>
      </c>
      <c r="F111" s="106" t="s">
        <v>2232</v>
      </c>
      <c r="G111" s="116" t="str">
        <f>HYPERLINK("http://nsgreg.nga.mil/genc/view?v=112998&amp;gencs=T&amp;end_month=3&amp;end_day=31&amp;end_year=2014","Mascara")</f>
        <v>Mascara</v>
      </c>
      <c r="H111" s="87" t="str">
        <f>HYPERLINK("http://api.nsgreg.nga.mil/geo-division/ISO3166-2/6/ed3/DZ-29","DZ-29")</f>
        <v>DZ-29</v>
      </c>
    </row>
    <row r="112" spans="1:8" x14ac:dyDescent="0.2">
      <c r="A112" s="157"/>
      <c r="B112" s="31" t="s">
        <v>2233</v>
      </c>
      <c r="C112" s="31" t="s">
        <v>2234</v>
      </c>
      <c r="D112" s="31" t="s">
        <v>1920</v>
      </c>
      <c r="E112" s="61" t="b">
        <v>1</v>
      </c>
      <c r="F112" s="106" t="s">
        <v>2235</v>
      </c>
      <c r="G112" s="116" t="str">
        <f>HYPERLINK("http://nsgreg.nga.mil/genc/view?v=112995&amp;gencs=T&amp;end_month=3&amp;end_day=31&amp;end_year=2014","Médéa")</f>
        <v>Médéa</v>
      </c>
      <c r="H112" s="87" t="str">
        <f>HYPERLINK("http://api.nsgreg.nga.mil/geo-division/ISO3166-2/6/ed3/DZ-26","DZ-26")</f>
        <v>DZ-26</v>
      </c>
    </row>
    <row r="113" spans="1:8" x14ac:dyDescent="0.2">
      <c r="A113" s="157"/>
      <c r="B113" s="31" t="s">
        <v>2236</v>
      </c>
      <c r="C113" s="31" t="s">
        <v>2237</v>
      </c>
      <c r="D113" s="31" t="s">
        <v>1920</v>
      </c>
      <c r="E113" s="61" t="b">
        <v>1</v>
      </c>
      <c r="F113" s="106" t="s">
        <v>2238</v>
      </c>
      <c r="G113" s="116" t="str">
        <f>HYPERLINK("http://nsgreg.nga.mil/genc/view?v=113012&amp;gencs=T&amp;end_month=3&amp;end_day=31&amp;end_year=2014","Mila")</f>
        <v>Mila</v>
      </c>
      <c r="H113" s="87" t="str">
        <f>HYPERLINK("http://api.nsgreg.nga.mil/geo-division/ISO3166-2/6/ed3/DZ-43","DZ-43")</f>
        <v>DZ-43</v>
      </c>
    </row>
    <row r="114" spans="1:8" x14ac:dyDescent="0.2">
      <c r="A114" s="157"/>
      <c r="B114" s="31" t="s">
        <v>2239</v>
      </c>
      <c r="C114" s="31" t="s">
        <v>2240</v>
      </c>
      <c r="D114" s="31" t="s">
        <v>1920</v>
      </c>
      <c r="E114" s="61" t="b">
        <v>1</v>
      </c>
      <c r="F114" s="106" t="s">
        <v>2241</v>
      </c>
      <c r="G114" s="116" t="str">
        <f>HYPERLINK("http://nsgreg.nga.mil/genc/view?v=112996&amp;gencs=T&amp;end_month=3&amp;end_day=31&amp;end_year=2014","Mostaganem")</f>
        <v>Mostaganem</v>
      </c>
      <c r="H114" s="87" t="str">
        <f>HYPERLINK("http://api.nsgreg.nga.mil/geo-division/ISO3166-2/6/ed3/DZ-27","DZ-27")</f>
        <v>DZ-27</v>
      </c>
    </row>
    <row r="115" spans="1:8" x14ac:dyDescent="0.2">
      <c r="A115" s="157"/>
      <c r="B115" s="31" t="s">
        <v>2242</v>
      </c>
      <c r="C115" s="31" t="s">
        <v>2243</v>
      </c>
      <c r="D115" s="31" t="s">
        <v>1920</v>
      </c>
      <c r="E115" s="61" t="b">
        <v>1</v>
      </c>
      <c r="F115" s="107" t="s">
        <v>2244</v>
      </c>
      <c r="G115" s="116" t="str">
        <f>HYPERLINK("http://nsgreg.nga.mil/genc/view?v=201081&amp;end_month=3&amp;end_day=31&amp;end_year=2014","M’sila")</f>
        <v>M’sila</v>
      </c>
      <c r="H115" s="87" t="str">
        <f>HYPERLINK("http://api.nsgreg.nga.mil/geo-division/GENC/6/ed2/DZ-28","DZ-28")</f>
        <v>DZ-28</v>
      </c>
    </row>
    <row r="116" spans="1:8" x14ac:dyDescent="0.2">
      <c r="A116" s="157"/>
      <c r="B116" s="31" t="s">
        <v>2245</v>
      </c>
      <c r="C116" s="31" t="s">
        <v>2246</v>
      </c>
      <c r="D116" s="31" t="s">
        <v>1920</v>
      </c>
      <c r="E116" s="61" t="b">
        <v>1</v>
      </c>
      <c r="F116" s="106" t="s">
        <v>2247</v>
      </c>
      <c r="G116" s="116" t="str">
        <f>HYPERLINK("http://nsgreg.nga.mil/genc/view?v=113014&amp;gencs=T&amp;end_month=3&amp;end_day=31&amp;end_year=2014","Naama")</f>
        <v>Naama</v>
      </c>
      <c r="H116" s="87" t="str">
        <f>HYPERLINK("http://api.nsgreg.nga.mil/geo-division/ISO3166-2/6/ed3/DZ-45","DZ-45")</f>
        <v>DZ-45</v>
      </c>
    </row>
    <row r="117" spans="1:8" x14ac:dyDescent="0.2">
      <c r="A117" s="157"/>
      <c r="B117" s="31" t="s">
        <v>2248</v>
      </c>
      <c r="C117" s="31" t="s">
        <v>2249</v>
      </c>
      <c r="D117" s="31" t="s">
        <v>1920</v>
      </c>
      <c r="E117" s="61" t="b">
        <v>1</v>
      </c>
      <c r="F117" s="106" t="s">
        <v>2250</v>
      </c>
      <c r="G117" s="116" t="str">
        <f>HYPERLINK("http://nsgreg.nga.mil/genc/view?v=113000&amp;gencs=T&amp;end_month=3&amp;end_day=31&amp;end_year=2014","Oran")</f>
        <v>Oran</v>
      </c>
      <c r="H117" s="87" t="str">
        <f>HYPERLINK("http://api.nsgreg.nga.mil/geo-division/ISO3166-2/6/ed3/DZ-31","DZ-31")</f>
        <v>DZ-31</v>
      </c>
    </row>
    <row r="118" spans="1:8" x14ac:dyDescent="0.2">
      <c r="A118" s="157"/>
      <c r="B118" s="31" t="s">
        <v>2251</v>
      </c>
      <c r="C118" s="31" t="s">
        <v>2252</v>
      </c>
      <c r="D118" s="31" t="s">
        <v>1920</v>
      </c>
      <c r="E118" s="61" t="b">
        <v>1</v>
      </c>
      <c r="F118" s="106" t="s">
        <v>2253</v>
      </c>
      <c r="G118" s="116" t="str">
        <f>HYPERLINK("http://nsgreg.nga.mil/genc/view?v=112999&amp;gencs=T&amp;end_month=3&amp;end_day=31&amp;end_year=2014","Ouargla")</f>
        <v>Ouargla</v>
      </c>
      <c r="H118" s="87" t="str">
        <f>HYPERLINK("http://api.nsgreg.nga.mil/geo-division/ISO3166-2/6/ed3/DZ-30","DZ-30")</f>
        <v>DZ-30</v>
      </c>
    </row>
    <row r="119" spans="1:8" x14ac:dyDescent="0.2">
      <c r="A119" s="157"/>
      <c r="B119" s="31" t="s">
        <v>2254</v>
      </c>
      <c r="C119" s="31" t="s">
        <v>2255</v>
      </c>
      <c r="D119" s="31" t="s">
        <v>1920</v>
      </c>
      <c r="E119" s="61" t="b">
        <v>1</v>
      </c>
      <c r="F119" s="106" t="s">
        <v>2256</v>
      </c>
      <c r="G119" s="116" t="str">
        <f>HYPERLINK("http://nsgreg.nga.mil/genc/view?v=112973&amp;gencs=T&amp;end_month=3&amp;end_day=31&amp;end_year=2014","Oum el Bouaghi")</f>
        <v>Oum el Bouaghi</v>
      </c>
      <c r="H119" s="87" t="str">
        <f>HYPERLINK("http://api.nsgreg.nga.mil/geo-division/ISO3166-2/6/ed3/DZ-04","DZ-04")</f>
        <v>DZ-04</v>
      </c>
    </row>
    <row r="120" spans="1:8" x14ac:dyDescent="0.2">
      <c r="A120" s="157"/>
      <c r="B120" s="31" t="s">
        <v>2257</v>
      </c>
      <c r="C120" s="31" t="s">
        <v>2258</v>
      </c>
      <c r="D120" s="31" t="s">
        <v>1920</v>
      </c>
      <c r="E120" s="61" t="b">
        <v>1</v>
      </c>
      <c r="F120" s="106" t="s">
        <v>2259</v>
      </c>
      <c r="G120" s="116" t="str">
        <f>HYPERLINK("http://nsgreg.nga.mil/genc/view?v=113017&amp;gencs=T&amp;end_month=3&amp;end_day=31&amp;end_year=2014","Relizane")</f>
        <v>Relizane</v>
      </c>
      <c r="H120" s="87" t="str">
        <f>HYPERLINK("http://api.nsgreg.nga.mil/geo-division/ISO3166-2/6/ed3/DZ-48","DZ-48")</f>
        <v>DZ-48</v>
      </c>
    </row>
    <row r="121" spans="1:8" x14ac:dyDescent="0.2">
      <c r="A121" s="157"/>
      <c r="B121" s="31" t="s">
        <v>2260</v>
      </c>
      <c r="C121" s="31" t="s">
        <v>2261</v>
      </c>
      <c r="D121" s="31" t="s">
        <v>1920</v>
      </c>
      <c r="E121" s="61" t="b">
        <v>1</v>
      </c>
      <c r="F121" s="106" t="s">
        <v>2262</v>
      </c>
      <c r="G121" s="116" t="str">
        <f>HYPERLINK("http://nsgreg.nga.mil/genc/view?v=112989&amp;gencs=T&amp;end_month=3&amp;end_day=31&amp;end_year=2014","Saïda")</f>
        <v>Saïda</v>
      </c>
      <c r="H121" s="87" t="str">
        <f>HYPERLINK("http://api.nsgreg.nga.mil/geo-division/ISO3166-2/6/ed3/DZ-20","DZ-20")</f>
        <v>DZ-20</v>
      </c>
    </row>
    <row r="122" spans="1:8" x14ac:dyDescent="0.2">
      <c r="A122" s="157"/>
      <c r="B122" s="31" t="s">
        <v>2263</v>
      </c>
      <c r="C122" s="31" t="s">
        <v>2264</v>
      </c>
      <c r="D122" s="31" t="s">
        <v>1920</v>
      </c>
      <c r="E122" s="61" t="b">
        <v>1</v>
      </c>
      <c r="F122" s="106" t="s">
        <v>2265</v>
      </c>
      <c r="G122" s="116" t="str">
        <f>HYPERLINK("http://nsgreg.nga.mil/genc/view?v=112988&amp;gencs=T&amp;end_month=3&amp;end_day=31&amp;end_year=2014","Sétif")</f>
        <v>Sétif</v>
      </c>
      <c r="H122" s="87" t="str">
        <f>HYPERLINK("http://api.nsgreg.nga.mil/geo-division/ISO3166-2/6/ed3/DZ-19","DZ-19")</f>
        <v>DZ-19</v>
      </c>
    </row>
    <row r="123" spans="1:8" x14ac:dyDescent="0.2">
      <c r="A123" s="157"/>
      <c r="B123" s="31" t="s">
        <v>2266</v>
      </c>
      <c r="C123" s="31" t="s">
        <v>2267</v>
      </c>
      <c r="D123" s="31" t="s">
        <v>1920</v>
      </c>
      <c r="E123" s="61" t="b">
        <v>1</v>
      </c>
      <c r="F123" s="106" t="s">
        <v>2268</v>
      </c>
      <c r="G123" s="116" t="str">
        <f>HYPERLINK("http://nsgreg.nga.mil/genc/view?v=112991&amp;gencs=T&amp;end_month=3&amp;end_day=31&amp;end_year=2014","Sidi Bel Abbès")</f>
        <v>Sidi Bel Abbès</v>
      </c>
      <c r="H123" s="87" t="str">
        <f>HYPERLINK("http://api.nsgreg.nga.mil/geo-division/ISO3166-2/6/ed3/DZ-22","DZ-22")</f>
        <v>DZ-22</v>
      </c>
    </row>
    <row r="124" spans="1:8" x14ac:dyDescent="0.2">
      <c r="A124" s="157"/>
      <c r="B124" s="31" t="s">
        <v>2269</v>
      </c>
      <c r="C124" s="31" t="s">
        <v>2270</v>
      </c>
      <c r="D124" s="31" t="s">
        <v>1920</v>
      </c>
      <c r="E124" s="61" t="b">
        <v>1</v>
      </c>
      <c r="F124" s="106" t="s">
        <v>2271</v>
      </c>
      <c r="G124" s="116" t="str">
        <f>HYPERLINK("http://nsgreg.nga.mil/genc/view?v=112990&amp;gencs=T&amp;end_month=3&amp;end_day=31&amp;end_year=2014","Skikda")</f>
        <v>Skikda</v>
      </c>
      <c r="H124" s="87" t="str">
        <f>HYPERLINK("http://api.nsgreg.nga.mil/geo-division/ISO3166-2/6/ed3/DZ-21","DZ-21")</f>
        <v>DZ-21</v>
      </c>
    </row>
    <row r="125" spans="1:8" x14ac:dyDescent="0.2">
      <c r="A125" s="157"/>
      <c r="B125" s="31" t="s">
        <v>2272</v>
      </c>
      <c r="C125" s="31" t="s">
        <v>2273</v>
      </c>
      <c r="D125" s="31" t="s">
        <v>1920</v>
      </c>
      <c r="E125" s="61" t="b">
        <v>1</v>
      </c>
      <c r="F125" s="106" t="s">
        <v>2274</v>
      </c>
      <c r="G125" s="116" t="str">
        <f>HYPERLINK("http://nsgreg.nga.mil/genc/view?v=113010&amp;gencs=T&amp;end_month=3&amp;end_day=31&amp;end_year=2014","Souk Ahras")</f>
        <v>Souk Ahras</v>
      </c>
      <c r="H125" s="87" t="str">
        <f>HYPERLINK("http://api.nsgreg.nga.mil/geo-division/ISO3166-2/6/ed3/DZ-41","DZ-41")</f>
        <v>DZ-41</v>
      </c>
    </row>
    <row r="126" spans="1:8" x14ac:dyDescent="0.2">
      <c r="A126" s="157"/>
      <c r="B126" s="31" t="s">
        <v>2275</v>
      </c>
      <c r="C126" s="31" t="s">
        <v>2276</v>
      </c>
      <c r="D126" s="31" t="s">
        <v>1920</v>
      </c>
      <c r="E126" s="61" t="b">
        <v>1</v>
      </c>
      <c r="F126" s="107" t="s">
        <v>2277</v>
      </c>
      <c r="G126" s="116" t="str">
        <f>HYPERLINK("http://nsgreg.nga.mil/genc/view?v=203231&amp;end_month=3&amp;end_day=31&amp;end_year=2014","Tamanrasset")</f>
        <v>Tamanrasset</v>
      </c>
      <c r="H126" s="87" t="str">
        <f>HYPERLINK("http://api.nsgreg.nga.mil/geo-division/GENC/6/ed2/DZ-11","DZ-11")</f>
        <v>DZ-11</v>
      </c>
    </row>
    <row r="127" spans="1:8" x14ac:dyDescent="0.2">
      <c r="A127" s="157"/>
      <c r="B127" s="31" t="s">
        <v>2278</v>
      </c>
      <c r="C127" s="31" t="s">
        <v>2279</v>
      </c>
      <c r="D127" s="31" t="s">
        <v>1920</v>
      </c>
      <c r="E127" s="61" t="b">
        <v>1</v>
      </c>
      <c r="F127" s="106" t="s">
        <v>2280</v>
      </c>
      <c r="G127" s="116" t="str">
        <f>HYPERLINK("http://nsgreg.nga.mil/genc/view?v=112981&amp;gencs=T&amp;end_month=3&amp;end_day=31&amp;end_year=2014","Tébessa")</f>
        <v>Tébessa</v>
      </c>
      <c r="H127" s="87" t="str">
        <f>HYPERLINK("http://api.nsgreg.nga.mil/geo-division/ISO3166-2/6/ed3/DZ-12","DZ-12")</f>
        <v>DZ-12</v>
      </c>
    </row>
    <row r="128" spans="1:8" x14ac:dyDescent="0.2">
      <c r="A128" s="157"/>
      <c r="B128" s="31" t="s">
        <v>2281</v>
      </c>
      <c r="C128" s="31" t="s">
        <v>2282</v>
      </c>
      <c r="D128" s="31" t="s">
        <v>1920</v>
      </c>
      <c r="E128" s="61" t="b">
        <v>1</v>
      </c>
      <c r="F128" s="106" t="s">
        <v>2283</v>
      </c>
      <c r="G128" s="116" t="str">
        <f>HYPERLINK("http://nsgreg.nga.mil/genc/view?v=112983&amp;gencs=T&amp;end_month=3&amp;end_day=31&amp;end_year=2014","Tiaret")</f>
        <v>Tiaret</v>
      </c>
      <c r="H128" s="87" t="str">
        <f>HYPERLINK("http://api.nsgreg.nga.mil/geo-division/ISO3166-2/6/ed3/DZ-14","DZ-14")</f>
        <v>DZ-14</v>
      </c>
    </row>
    <row r="129" spans="1:8" x14ac:dyDescent="0.2">
      <c r="A129" s="157"/>
      <c r="B129" s="31" t="s">
        <v>2284</v>
      </c>
      <c r="C129" s="31" t="s">
        <v>2285</v>
      </c>
      <c r="D129" s="31" t="s">
        <v>1920</v>
      </c>
      <c r="E129" s="61" t="b">
        <v>1</v>
      </c>
      <c r="F129" s="106" t="s">
        <v>2286</v>
      </c>
      <c r="G129" s="116" t="str">
        <f>HYPERLINK("http://nsgreg.nga.mil/genc/view?v=113006&amp;gencs=T&amp;end_month=3&amp;end_day=31&amp;end_year=2014","Tindouf")</f>
        <v>Tindouf</v>
      </c>
      <c r="H129" s="87" t="str">
        <f>HYPERLINK("http://api.nsgreg.nga.mil/geo-division/ISO3166-2/6/ed3/DZ-37","DZ-37")</f>
        <v>DZ-37</v>
      </c>
    </row>
    <row r="130" spans="1:8" x14ac:dyDescent="0.2">
      <c r="A130" s="157"/>
      <c r="B130" s="31" t="s">
        <v>2287</v>
      </c>
      <c r="C130" s="31" t="s">
        <v>2288</v>
      </c>
      <c r="D130" s="31" t="s">
        <v>1920</v>
      </c>
      <c r="E130" s="61" t="b">
        <v>1</v>
      </c>
      <c r="F130" s="106" t="s">
        <v>2289</v>
      </c>
      <c r="G130" s="116" t="str">
        <f>HYPERLINK("http://nsgreg.nga.mil/genc/view?v=113011&amp;gencs=T&amp;end_month=3&amp;end_day=31&amp;end_year=2014","Tipaza")</f>
        <v>Tipaza</v>
      </c>
      <c r="H130" s="87" t="str">
        <f>HYPERLINK("http://api.nsgreg.nga.mil/geo-division/ISO3166-2/6/ed3/DZ-42","DZ-42")</f>
        <v>DZ-42</v>
      </c>
    </row>
    <row r="131" spans="1:8" x14ac:dyDescent="0.2">
      <c r="A131" s="157"/>
      <c r="B131" s="31" t="s">
        <v>2290</v>
      </c>
      <c r="C131" s="31" t="s">
        <v>2291</v>
      </c>
      <c r="D131" s="31" t="s">
        <v>1920</v>
      </c>
      <c r="E131" s="61" t="b">
        <v>1</v>
      </c>
      <c r="F131" s="106" t="s">
        <v>2292</v>
      </c>
      <c r="G131" s="116" t="str">
        <f>HYPERLINK("http://nsgreg.nga.mil/genc/view?v=113007&amp;gencs=T&amp;end_month=3&amp;end_day=31&amp;end_year=2014","Tissemsilt")</f>
        <v>Tissemsilt</v>
      </c>
      <c r="H131" s="87" t="str">
        <f>HYPERLINK("http://api.nsgreg.nga.mil/geo-division/ISO3166-2/6/ed3/DZ-38","DZ-38")</f>
        <v>DZ-38</v>
      </c>
    </row>
    <row r="132" spans="1:8" x14ac:dyDescent="0.2">
      <c r="A132" s="157"/>
      <c r="B132" s="31" t="s">
        <v>2293</v>
      </c>
      <c r="C132" s="31" t="s">
        <v>2294</v>
      </c>
      <c r="D132" s="31" t="s">
        <v>1920</v>
      </c>
      <c r="E132" s="61" t="b">
        <v>1</v>
      </c>
      <c r="F132" s="106" t="s">
        <v>2295</v>
      </c>
      <c r="G132" s="116" t="str">
        <f>HYPERLINK("http://nsgreg.nga.mil/genc/view?v=112984&amp;gencs=T&amp;end_month=3&amp;end_day=31&amp;end_year=2014","Tizi Ouzou")</f>
        <v>Tizi Ouzou</v>
      </c>
      <c r="H132" s="87" t="str">
        <f>HYPERLINK("http://api.nsgreg.nga.mil/geo-division/ISO3166-2/6/ed3/DZ-15","DZ-15")</f>
        <v>DZ-15</v>
      </c>
    </row>
    <row r="133" spans="1:8" x14ac:dyDescent="0.2">
      <c r="A133" s="158"/>
      <c r="B133" s="58" t="s">
        <v>2296</v>
      </c>
      <c r="C133" s="58" t="s">
        <v>2297</v>
      </c>
      <c r="D133" s="58" t="s">
        <v>1920</v>
      </c>
      <c r="E133" s="62" t="b">
        <v>1</v>
      </c>
      <c r="F133" s="108" t="s">
        <v>2298</v>
      </c>
      <c r="G133" s="117" t="str">
        <f>HYPERLINK("http://nsgreg.nga.mil/genc/view?v=112982&amp;gencs=T&amp;end_month=3&amp;end_day=31&amp;end_year=2014","Tlemcen")</f>
        <v>Tlemcen</v>
      </c>
      <c r="H133" s="89" t="str">
        <f>HYPERLINK("http://api.nsgreg.nga.mil/geo-division/ISO3166-2/6/ed3/DZ-13","DZ-13")</f>
        <v>DZ-13</v>
      </c>
    </row>
    <row r="134" spans="1:8" x14ac:dyDescent="0.2">
      <c r="A134" s="156" t="str">
        <f>HYPERLINK("[#]Geopolitical_Entities!A9:I9","ANDORRA")</f>
        <v>ANDORRA</v>
      </c>
      <c r="B134" s="52" t="s">
        <v>2299</v>
      </c>
      <c r="C134" s="52" t="s">
        <v>2300</v>
      </c>
      <c r="D134" s="52" t="s">
        <v>2301</v>
      </c>
      <c r="E134" s="60" t="b">
        <v>1</v>
      </c>
      <c r="F134" s="109" t="s">
        <v>2302</v>
      </c>
      <c r="G134" s="118" t="str">
        <f>HYPERLINK("http://nsgreg.nga.mil/genc/view?v=111964&amp;gencs=T&amp;end_month=3&amp;end_day=31&amp;end_year=2014","Andorra la Vella")</f>
        <v>Andorra la Vella</v>
      </c>
      <c r="H134" s="91" t="str">
        <f>HYPERLINK("http://api.nsgreg.nga.mil/geo-division/ISO3166-2/6/ed3/AD-07","AD-07")</f>
        <v>AD-07</v>
      </c>
    </row>
    <row r="135" spans="1:8" x14ac:dyDescent="0.2">
      <c r="A135" s="157"/>
      <c r="B135" s="31" t="s">
        <v>2303</v>
      </c>
      <c r="C135" s="31" t="s">
        <v>2304</v>
      </c>
      <c r="D135" s="31" t="s">
        <v>2301</v>
      </c>
      <c r="E135" s="61" t="b">
        <v>1</v>
      </c>
      <c r="F135" s="106" t="s">
        <v>2305</v>
      </c>
      <c r="G135" s="116" t="str">
        <f>HYPERLINK("http://nsgreg.nga.mil/genc/view?v=111959&amp;gencs=T&amp;end_month=3&amp;end_day=31&amp;end_year=2014","Canillo")</f>
        <v>Canillo</v>
      </c>
      <c r="H135" s="87" t="str">
        <f>HYPERLINK("http://api.nsgreg.nga.mil/geo-division/ISO3166-2/6/ed3/AD-02","AD-02")</f>
        <v>AD-02</v>
      </c>
    </row>
    <row r="136" spans="1:8" x14ac:dyDescent="0.2">
      <c r="A136" s="157"/>
      <c r="B136" s="31" t="s">
        <v>2306</v>
      </c>
      <c r="C136" s="31" t="s">
        <v>2307</v>
      </c>
      <c r="D136" s="31" t="s">
        <v>2301</v>
      </c>
      <c r="E136" s="61" t="b">
        <v>1</v>
      </c>
      <c r="F136" s="106" t="s">
        <v>2308</v>
      </c>
      <c r="G136" s="116" t="str">
        <f>HYPERLINK("http://nsgreg.nga.mil/genc/view?v=111960&amp;gencs=T&amp;end_month=3&amp;end_day=31&amp;end_year=2014","Encamp")</f>
        <v>Encamp</v>
      </c>
      <c r="H136" s="87" t="str">
        <f>HYPERLINK("http://api.nsgreg.nga.mil/geo-division/ISO3166-2/6/ed3/AD-03","AD-03")</f>
        <v>AD-03</v>
      </c>
    </row>
    <row r="137" spans="1:8" x14ac:dyDescent="0.2">
      <c r="A137" s="157"/>
      <c r="B137" s="31" t="s">
        <v>2309</v>
      </c>
      <c r="C137" s="31" t="s">
        <v>2310</v>
      </c>
      <c r="D137" s="31" t="s">
        <v>2301</v>
      </c>
      <c r="E137" s="61" t="b">
        <v>1</v>
      </c>
      <c r="F137" s="106" t="s">
        <v>2311</v>
      </c>
      <c r="G137" s="116" t="str">
        <f>HYPERLINK("http://nsgreg.nga.mil/genc/view?v=111965&amp;gencs=T&amp;end_month=3&amp;end_day=31&amp;end_year=2014","Escaldes-Engordany")</f>
        <v>Escaldes-Engordany</v>
      </c>
      <c r="H137" s="87" t="str">
        <f>HYPERLINK("http://api.nsgreg.nga.mil/geo-division/ISO3166-2/6/ed3/AD-08","AD-08")</f>
        <v>AD-08</v>
      </c>
    </row>
    <row r="138" spans="1:8" x14ac:dyDescent="0.2">
      <c r="A138" s="157"/>
      <c r="B138" s="31" t="s">
        <v>2312</v>
      </c>
      <c r="C138" s="31" t="s">
        <v>2313</v>
      </c>
      <c r="D138" s="31" t="s">
        <v>2301</v>
      </c>
      <c r="E138" s="61" t="b">
        <v>1</v>
      </c>
      <c r="F138" s="106" t="s">
        <v>2314</v>
      </c>
      <c r="G138" s="116" t="str">
        <f>HYPERLINK("http://nsgreg.nga.mil/genc/view?v=111961&amp;gencs=T&amp;end_month=3&amp;end_day=31&amp;end_year=2014","La Massana")</f>
        <v>La Massana</v>
      </c>
      <c r="H138" s="87" t="str">
        <f>HYPERLINK("http://api.nsgreg.nga.mil/geo-division/ISO3166-2/6/ed3/AD-04","AD-04")</f>
        <v>AD-04</v>
      </c>
    </row>
    <row r="139" spans="1:8" x14ac:dyDescent="0.2">
      <c r="A139" s="157"/>
      <c r="B139" s="31" t="s">
        <v>2315</v>
      </c>
      <c r="C139" s="31" t="s">
        <v>2316</v>
      </c>
      <c r="D139" s="31" t="s">
        <v>2301</v>
      </c>
      <c r="E139" s="61" t="b">
        <v>1</v>
      </c>
      <c r="F139" s="106" t="s">
        <v>2317</v>
      </c>
      <c r="G139" s="116" t="str">
        <f>HYPERLINK("http://nsgreg.nga.mil/genc/view?v=111962&amp;gencs=T&amp;end_month=3&amp;end_day=31&amp;end_year=2014","Ordino")</f>
        <v>Ordino</v>
      </c>
      <c r="H139" s="87" t="str">
        <f>HYPERLINK("http://api.nsgreg.nga.mil/geo-division/ISO3166-2/6/ed3/AD-05","AD-05")</f>
        <v>AD-05</v>
      </c>
    </row>
    <row r="140" spans="1:8" x14ac:dyDescent="0.2">
      <c r="A140" s="158"/>
      <c r="B140" s="58" t="s">
        <v>2318</v>
      </c>
      <c r="C140" s="58" t="s">
        <v>2319</v>
      </c>
      <c r="D140" s="58" t="s">
        <v>2301</v>
      </c>
      <c r="E140" s="62" t="b">
        <v>1</v>
      </c>
      <c r="F140" s="108" t="s">
        <v>2320</v>
      </c>
      <c r="G140" s="117" t="str">
        <f>HYPERLINK("http://nsgreg.nga.mil/genc/view?v=111963&amp;gencs=T&amp;end_month=3&amp;end_day=31&amp;end_year=2014","Sant Julià de Lòria")</f>
        <v>Sant Julià de Lòria</v>
      </c>
      <c r="H140" s="89" t="str">
        <f>HYPERLINK("http://api.nsgreg.nga.mil/geo-division/ISO3166-2/6/ed3/AD-06","AD-06")</f>
        <v>AD-06</v>
      </c>
    </row>
    <row r="141" spans="1:8" x14ac:dyDescent="0.2">
      <c r="A141" s="156" t="str">
        <f>HYPERLINK("[#]Geopolitical_Entities!A10:I10","ANGOLA")</f>
        <v>ANGOLA</v>
      </c>
      <c r="B141" s="52" t="s">
        <v>2321</v>
      </c>
      <c r="C141" s="52" t="s">
        <v>2322</v>
      </c>
      <c r="D141" s="52" t="s">
        <v>1920</v>
      </c>
      <c r="E141" s="60" t="b">
        <v>1</v>
      </c>
      <c r="F141" s="109" t="s">
        <v>2323</v>
      </c>
      <c r="G141" s="118" t="str">
        <f>HYPERLINK("http://nsgreg.nga.mil/genc/view?v=112074&amp;gencs=T&amp;end_month=3&amp;end_day=31&amp;end_year=2014","Bengo")</f>
        <v>Bengo</v>
      </c>
      <c r="H141" s="91" t="str">
        <f>HYPERLINK("http://api.nsgreg.nga.mil/geo-division/ISO3166-2/6/ed3/AO-BGO","AO-BGO")</f>
        <v>AO-BGO</v>
      </c>
    </row>
    <row r="142" spans="1:8" x14ac:dyDescent="0.2">
      <c r="A142" s="157"/>
      <c r="B142" s="31" t="s">
        <v>2324</v>
      </c>
      <c r="C142" s="31" t="s">
        <v>2325</v>
      </c>
      <c r="D142" s="31" t="s">
        <v>1920</v>
      </c>
      <c r="E142" s="61" t="b">
        <v>1</v>
      </c>
      <c r="F142" s="106" t="s">
        <v>2326</v>
      </c>
      <c r="G142" s="116" t="str">
        <f>HYPERLINK("http://nsgreg.nga.mil/genc/view?v=112075&amp;gencs=T&amp;end_month=3&amp;end_day=31&amp;end_year=2014","Benguela")</f>
        <v>Benguela</v>
      </c>
      <c r="H142" s="87" t="str">
        <f>HYPERLINK("http://api.nsgreg.nga.mil/geo-division/ISO3166-2/6/ed3/AO-BGU","AO-BGU")</f>
        <v>AO-BGU</v>
      </c>
    </row>
    <row r="143" spans="1:8" x14ac:dyDescent="0.2">
      <c r="A143" s="157"/>
      <c r="B143" s="31" t="s">
        <v>2327</v>
      </c>
      <c r="C143" s="31" t="s">
        <v>2328</v>
      </c>
      <c r="D143" s="31" t="s">
        <v>1920</v>
      </c>
      <c r="E143" s="61" t="b">
        <v>1</v>
      </c>
      <c r="F143" s="106" t="s">
        <v>2329</v>
      </c>
      <c r="G143" s="116" t="str">
        <f>HYPERLINK("http://nsgreg.nga.mil/genc/view?v=112076&amp;gencs=T&amp;end_month=3&amp;end_day=31&amp;end_year=2014","Bié")</f>
        <v>Bié</v>
      </c>
      <c r="H143" s="87" t="str">
        <f>HYPERLINK("http://api.nsgreg.nga.mil/geo-division/ISO3166-2/6/ed3/AO-BIE","AO-BIE")</f>
        <v>AO-BIE</v>
      </c>
    </row>
    <row r="144" spans="1:8" x14ac:dyDescent="0.2">
      <c r="A144" s="157"/>
      <c r="B144" s="31" t="s">
        <v>2330</v>
      </c>
      <c r="C144" s="31" t="s">
        <v>2331</v>
      </c>
      <c r="D144" s="31" t="s">
        <v>1920</v>
      </c>
      <c r="E144" s="61" t="b">
        <v>1</v>
      </c>
      <c r="F144" s="106" t="s">
        <v>2332</v>
      </c>
      <c r="G144" s="116" t="str">
        <f>HYPERLINK("http://nsgreg.nga.mil/genc/view?v=112077&amp;gencs=T&amp;end_month=3&amp;end_day=31&amp;end_year=2014","Cabinda")</f>
        <v>Cabinda</v>
      </c>
      <c r="H144" s="87" t="str">
        <f>HYPERLINK("http://api.nsgreg.nga.mil/geo-division/ISO3166-2/6/ed3/AO-CAB","AO-CAB")</f>
        <v>AO-CAB</v>
      </c>
    </row>
    <row r="145" spans="1:8" x14ac:dyDescent="0.2">
      <c r="A145" s="157"/>
      <c r="B145" s="31" t="s">
        <v>2333</v>
      </c>
      <c r="C145" s="31" t="s">
        <v>2334</v>
      </c>
      <c r="D145" s="31" t="s">
        <v>1920</v>
      </c>
      <c r="E145" s="61" t="b">
        <v>1</v>
      </c>
      <c r="F145" s="106" t="s">
        <v>2335</v>
      </c>
      <c r="G145" s="116" t="str">
        <f>HYPERLINK("http://nsgreg.nga.mil/genc/view?v=112079&amp;gencs=T&amp;end_month=3&amp;end_day=31&amp;end_year=2014","Cunene")</f>
        <v>Cunene</v>
      </c>
      <c r="H145" s="87" t="str">
        <f>HYPERLINK("http://api.nsgreg.nga.mil/geo-division/ISO3166-2/6/ed3/AO-CNN","AO-CNN")</f>
        <v>AO-CNN</v>
      </c>
    </row>
    <row r="146" spans="1:8" x14ac:dyDescent="0.2">
      <c r="A146" s="157"/>
      <c r="B146" s="31" t="s">
        <v>2336</v>
      </c>
      <c r="C146" s="31" t="s">
        <v>2337</v>
      </c>
      <c r="D146" s="31" t="s">
        <v>1920</v>
      </c>
      <c r="E146" s="61" t="b">
        <v>1</v>
      </c>
      <c r="F146" s="106" t="s">
        <v>2338</v>
      </c>
      <c r="G146" s="116" t="str">
        <f>HYPERLINK("http://nsgreg.nga.mil/genc/view?v=112082&amp;gencs=T&amp;end_month=3&amp;end_day=31&amp;end_year=2014","Huambo")</f>
        <v>Huambo</v>
      </c>
      <c r="H146" s="87" t="str">
        <f>HYPERLINK("http://api.nsgreg.nga.mil/geo-division/ISO3166-2/6/ed3/AO-HUA","AO-HUA")</f>
        <v>AO-HUA</v>
      </c>
    </row>
    <row r="147" spans="1:8" x14ac:dyDescent="0.2">
      <c r="A147" s="157"/>
      <c r="B147" s="31" t="s">
        <v>2339</v>
      </c>
      <c r="C147" s="31" t="s">
        <v>2340</v>
      </c>
      <c r="D147" s="31" t="s">
        <v>1920</v>
      </c>
      <c r="E147" s="61" t="b">
        <v>1</v>
      </c>
      <c r="F147" s="106" t="s">
        <v>2341</v>
      </c>
      <c r="G147" s="116" t="str">
        <f>HYPERLINK("http://nsgreg.nga.mil/genc/view?v=112083&amp;gencs=T&amp;end_month=3&amp;end_day=31&amp;end_year=2014","Huíla")</f>
        <v>Huíla</v>
      </c>
      <c r="H147" s="87" t="str">
        <f>HYPERLINK("http://api.nsgreg.nga.mil/geo-division/ISO3166-2/6/ed3/AO-HUI","AO-HUI")</f>
        <v>AO-HUI</v>
      </c>
    </row>
    <row r="148" spans="1:8" x14ac:dyDescent="0.2">
      <c r="A148" s="157"/>
      <c r="B148" s="31" t="s">
        <v>2342</v>
      </c>
      <c r="C148" s="31" t="s">
        <v>2343</v>
      </c>
      <c r="D148" s="31" t="s">
        <v>1920</v>
      </c>
      <c r="E148" s="61" t="b">
        <v>1</v>
      </c>
      <c r="F148" s="107" t="s">
        <v>2344</v>
      </c>
      <c r="G148" s="116" t="str">
        <f>HYPERLINK("http://nsgreg.nga.mil/genc/view?v=200708&amp;end_month=3&amp;end_day=31&amp;end_year=2014","Kuando Kubango")</f>
        <v>Kuando Kubango</v>
      </c>
      <c r="H148" s="87" t="str">
        <f>HYPERLINK("http://api.nsgreg.nga.mil/geo-division/GENC/6/ed2/AO-CCU","AO-CCU")</f>
        <v>AO-CCU</v>
      </c>
    </row>
    <row r="149" spans="1:8" x14ac:dyDescent="0.2">
      <c r="A149" s="157"/>
      <c r="B149" s="31" t="s">
        <v>2345</v>
      </c>
      <c r="C149" s="31" t="s">
        <v>2346</v>
      </c>
      <c r="D149" s="31" t="s">
        <v>1920</v>
      </c>
      <c r="E149" s="61" t="b">
        <v>1</v>
      </c>
      <c r="F149" s="107" t="s">
        <v>2347</v>
      </c>
      <c r="G149" s="116" t="str">
        <f>HYPERLINK("http://nsgreg.nga.mil/genc/view?v=200709&amp;end_month=3&amp;end_day=31&amp;end_year=2014","Kwanza Norte")</f>
        <v>Kwanza Norte</v>
      </c>
      <c r="H149" s="87" t="str">
        <f>HYPERLINK("http://api.nsgreg.nga.mil/geo-division/GENC/6/ed2/AO-CNO","AO-CNO")</f>
        <v>AO-CNO</v>
      </c>
    </row>
    <row r="150" spans="1:8" x14ac:dyDescent="0.2">
      <c r="A150" s="157"/>
      <c r="B150" s="31" t="s">
        <v>2348</v>
      </c>
      <c r="C150" s="31" t="s">
        <v>2349</v>
      </c>
      <c r="D150" s="31" t="s">
        <v>1920</v>
      </c>
      <c r="E150" s="61" t="b">
        <v>1</v>
      </c>
      <c r="F150" s="107" t="s">
        <v>2350</v>
      </c>
      <c r="G150" s="116" t="str">
        <f>HYPERLINK("http://nsgreg.nga.mil/genc/view?v=200710&amp;end_month=3&amp;end_day=31&amp;end_year=2014","Kwanza Sul")</f>
        <v>Kwanza Sul</v>
      </c>
      <c r="H150" s="87" t="str">
        <f>HYPERLINK("http://api.nsgreg.nga.mil/geo-division/GENC/6/ed2/AO-CUS","AO-CUS")</f>
        <v>AO-CUS</v>
      </c>
    </row>
    <row r="151" spans="1:8" x14ac:dyDescent="0.2">
      <c r="A151" s="157"/>
      <c r="B151" s="31" t="s">
        <v>2351</v>
      </c>
      <c r="C151" s="31" t="s">
        <v>2352</v>
      </c>
      <c r="D151" s="31" t="s">
        <v>1920</v>
      </c>
      <c r="E151" s="61" t="b">
        <v>1</v>
      </c>
      <c r="F151" s="106" t="s">
        <v>2353</v>
      </c>
      <c r="G151" s="116" t="str">
        <f>HYPERLINK("http://nsgreg.nga.mil/genc/view?v=112086&amp;gencs=T&amp;end_month=3&amp;end_day=31&amp;end_year=2014","Luanda")</f>
        <v>Luanda</v>
      </c>
      <c r="H151" s="87" t="str">
        <f>HYPERLINK("http://api.nsgreg.nga.mil/geo-division/ISO3166-2/6/ed3/AO-LUA","AO-LUA")</f>
        <v>AO-LUA</v>
      </c>
    </row>
    <row r="152" spans="1:8" x14ac:dyDescent="0.2">
      <c r="A152" s="157"/>
      <c r="B152" s="31" t="s">
        <v>2354</v>
      </c>
      <c r="C152" s="31" t="s">
        <v>2355</v>
      </c>
      <c r="D152" s="31" t="s">
        <v>1920</v>
      </c>
      <c r="E152" s="61" t="b">
        <v>1</v>
      </c>
      <c r="F152" s="106" t="s">
        <v>2356</v>
      </c>
      <c r="G152" s="116" t="str">
        <f>HYPERLINK("http://nsgreg.nga.mil/genc/view?v=112084&amp;gencs=T&amp;end_month=3&amp;end_day=31&amp;end_year=2014","Lunda Norte")</f>
        <v>Lunda Norte</v>
      </c>
      <c r="H152" s="87" t="str">
        <f>HYPERLINK("http://api.nsgreg.nga.mil/geo-division/ISO3166-2/6/ed3/AO-LNO","AO-LNO")</f>
        <v>AO-LNO</v>
      </c>
    </row>
    <row r="153" spans="1:8" x14ac:dyDescent="0.2">
      <c r="A153" s="157"/>
      <c r="B153" s="31" t="s">
        <v>2357</v>
      </c>
      <c r="C153" s="31" t="s">
        <v>2358</v>
      </c>
      <c r="D153" s="31" t="s">
        <v>1920</v>
      </c>
      <c r="E153" s="61" t="b">
        <v>1</v>
      </c>
      <c r="F153" s="106" t="s">
        <v>2359</v>
      </c>
      <c r="G153" s="116" t="str">
        <f>HYPERLINK("http://nsgreg.nga.mil/genc/view?v=112085&amp;gencs=T&amp;end_month=3&amp;end_day=31&amp;end_year=2014","Lunda Sul")</f>
        <v>Lunda Sul</v>
      </c>
      <c r="H153" s="87" t="str">
        <f>HYPERLINK("http://api.nsgreg.nga.mil/geo-division/ISO3166-2/6/ed3/AO-LSU","AO-LSU")</f>
        <v>AO-LSU</v>
      </c>
    </row>
    <row r="154" spans="1:8" x14ac:dyDescent="0.2">
      <c r="A154" s="157"/>
      <c r="B154" s="31" t="s">
        <v>2360</v>
      </c>
      <c r="C154" s="31" t="s">
        <v>2361</v>
      </c>
      <c r="D154" s="31" t="s">
        <v>1920</v>
      </c>
      <c r="E154" s="61" t="b">
        <v>1</v>
      </c>
      <c r="F154" s="107" t="s">
        <v>2362</v>
      </c>
      <c r="G154" s="116" t="str">
        <f>HYPERLINK("http://nsgreg.nga.mil/genc/view?v=200711&amp;end_month=3&amp;end_day=31&amp;end_year=2014","Malanje")</f>
        <v>Malanje</v>
      </c>
      <c r="H154" s="87" t="str">
        <f>HYPERLINK("http://api.nsgreg.nga.mil/geo-division/GENC/6/ed2/AO-MAL","AO-MAL")</f>
        <v>AO-MAL</v>
      </c>
    </row>
    <row r="155" spans="1:8" x14ac:dyDescent="0.2">
      <c r="A155" s="157"/>
      <c r="B155" s="31" t="s">
        <v>2363</v>
      </c>
      <c r="C155" s="31" t="s">
        <v>2364</v>
      </c>
      <c r="D155" s="31" t="s">
        <v>1920</v>
      </c>
      <c r="E155" s="61" t="b">
        <v>1</v>
      </c>
      <c r="F155" s="106" t="s">
        <v>2365</v>
      </c>
      <c r="G155" s="116" t="str">
        <f>HYPERLINK("http://nsgreg.nga.mil/genc/view?v=112088&amp;gencs=T&amp;end_month=3&amp;end_day=31&amp;end_year=2014","Moxico")</f>
        <v>Moxico</v>
      </c>
      <c r="H155" s="87" t="str">
        <f>HYPERLINK("http://api.nsgreg.nga.mil/geo-division/ISO3166-2/6/ed3/AO-MOX","AO-MOX")</f>
        <v>AO-MOX</v>
      </c>
    </row>
    <row r="156" spans="1:8" x14ac:dyDescent="0.2">
      <c r="A156" s="157"/>
      <c r="B156" s="31" t="s">
        <v>2366</v>
      </c>
      <c r="C156" s="31" t="s">
        <v>2367</v>
      </c>
      <c r="D156" s="31" t="s">
        <v>1920</v>
      </c>
      <c r="E156" s="61" t="b">
        <v>1</v>
      </c>
      <c r="F156" s="106" t="s">
        <v>2368</v>
      </c>
      <c r="G156" s="116" t="str">
        <f>HYPERLINK("http://nsgreg.nga.mil/genc/view?v=112089&amp;gencs=T&amp;end_month=3&amp;end_day=31&amp;end_year=2014","Namibe")</f>
        <v>Namibe</v>
      </c>
      <c r="H156" s="87" t="str">
        <f>HYPERLINK("http://api.nsgreg.nga.mil/geo-division/ISO3166-2/6/ed3/AO-NAM","AO-NAM")</f>
        <v>AO-NAM</v>
      </c>
    </row>
    <row r="157" spans="1:8" x14ac:dyDescent="0.2">
      <c r="A157" s="157"/>
      <c r="B157" s="31" t="s">
        <v>2369</v>
      </c>
      <c r="C157" s="31" t="s">
        <v>2370</v>
      </c>
      <c r="D157" s="31" t="s">
        <v>1920</v>
      </c>
      <c r="E157" s="61" t="b">
        <v>1</v>
      </c>
      <c r="F157" s="106" t="s">
        <v>2371</v>
      </c>
      <c r="G157" s="116" t="str">
        <f>HYPERLINK("http://nsgreg.nga.mil/genc/view?v=112090&amp;gencs=T&amp;end_month=3&amp;end_day=31&amp;end_year=2014","Uíge")</f>
        <v>Uíge</v>
      </c>
      <c r="H157" s="87" t="str">
        <f>HYPERLINK("http://api.nsgreg.nga.mil/geo-division/ISO3166-2/6/ed3/AO-UIG","AO-UIG")</f>
        <v>AO-UIG</v>
      </c>
    </row>
    <row r="158" spans="1:8" x14ac:dyDescent="0.2">
      <c r="A158" s="158"/>
      <c r="B158" s="58" t="s">
        <v>2372</v>
      </c>
      <c r="C158" s="58" t="s">
        <v>2373</v>
      </c>
      <c r="D158" s="58" t="s">
        <v>1920</v>
      </c>
      <c r="E158" s="62" t="b">
        <v>1</v>
      </c>
      <c r="F158" s="108" t="s">
        <v>2374</v>
      </c>
      <c r="G158" s="117" t="str">
        <f>HYPERLINK("http://nsgreg.nga.mil/genc/view?v=112091&amp;gencs=T&amp;end_month=3&amp;end_day=31&amp;end_year=2014","Zaire")</f>
        <v>Zaire</v>
      </c>
      <c r="H158" s="89" t="str">
        <f>HYPERLINK("http://api.nsgreg.nga.mil/geo-division/ISO3166-2/6/ed3/AO-ZAI","AO-ZAI")</f>
        <v>AO-ZAI</v>
      </c>
    </row>
    <row r="159" spans="1:8" x14ac:dyDescent="0.2">
      <c r="A159" s="156" t="str">
        <f>HYPERLINK("[#]Geopolitical_Entities!A13:I13","ANTIGUA AND BARBUDA")</f>
        <v>ANTIGUA AND BARBUDA</v>
      </c>
      <c r="B159" s="52" t="s">
        <v>2375</v>
      </c>
      <c r="C159" s="52" t="s">
        <v>2376</v>
      </c>
      <c r="D159" s="52" t="s">
        <v>2377</v>
      </c>
      <c r="E159" s="60" t="b">
        <v>1</v>
      </c>
      <c r="F159" s="109" t="s">
        <v>2378</v>
      </c>
      <c r="G159" s="118" t="str">
        <f>HYPERLINK("http://nsgreg.nga.mil/genc/view?v=112013&amp;gencs=T&amp;end_month=3&amp;end_day=31&amp;end_year=2014","Barbuda")</f>
        <v>Barbuda</v>
      </c>
      <c r="H159" s="91" t="str">
        <f>HYPERLINK("http://api.nsgreg.nga.mil/geo-division/ISO3166-2/6/ed3/AG-10","AG-10")</f>
        <v>AG-10</v>
      </c>
    </row>
    <row r="160" spans="1:8" x14ac:dyDescent="0.2">
      <c r="A160" s="157"/>
      <c r="B160" s="31" t="s">
        <v>2379</v>
      </c>
      <c r="C160" s="31" t="s">
        <v>2380</v>
      </c>
      <c r="D160" s="31" t="s">
        <v>2377</v>
      </c>
      <c r="E160" s="61" t="b">
        <v>1</v>
      </c>
      <c r="F160" s="106" t="s">
        <v>2381</v>
      </c>
      <c r="G160" s="116" t="str">
        <f>HYPERLINK("http://nsgreg.nga.mil/genc/view?v=112014&amp;gencs=T&amp;end_month=3&amp;end_day=31&amp;end_year=2014","Redonda")</f>
        <v>Redonda</v>
      </c>
      <c r="H160" s="87" t="str">
        <f>HYPERLINK("http://api.nsgreg.nga.mil/geo-division/ISO3166-2/6/ed3/AG-11","AG-11")</f>
        <v>AG-11</v>
      </c>
    </row>
    <row r="161" spans="1:8" x14ac:dyDescent="0.2">
      <c r="A161" s="157"/>
      <c r="B161" s="31" t="s">
        <v>2382</v>
      </c>
      <c r="C161" s="31" t="s">
        <v>2383</v>
      </c>
      <c r="D161" s="31" t="s">
        <v>2301</v>
      </c>
      <c r="E161" s="61" t="b">
        <v>1</v>
      </c>
      <c r="F161" s="106" t="s">
        <v>2384</v>
      </c>
      <c r="G161" s="116" t="str">
        <f>HYPERLINK("http://nsgreg.nga.mil/genc/view?v=112007&amp;gencs=T&amp;end_month=3&amp;end_day=31&amp;end_year=2014","Saint George")</f>
        <v>Saint George</v>
      </c>
      <c r="H161" s="87" t="str">
        <f>HYPERLINK("http://api.nsgreg.nga.mil/geo-division/ISO3166-2/6/ed3/AG-03","AG-03")</f>
        <v>AG-03</v>
      </c>
    </row>
    <row r="162" spans="1:8" x14ac:dyDescent="0.2">
      <c r="A162" s="157"/>
      <c r="B162" s="31" t="s">
        <v>2385</v>
      </c>
      <c r="C162" s="31" t="s">
        <v>2386</v>
      </c>
      <c r="D162" s="31" t="s">
        <v>2301</v>
      </c>
      <c r="E162" s="61" t="b">
        <v>1</v>
      </c>
      <c r="F162" s="107" t="s">
        <v>2387</v>
      </c>
      <c r="G162" s="116" t="str">
        <f>HYPERLINK("http://nsgreg.nga.mil/genc/view?v=200696&amp;end_month=3&amp;end_day=31&amp;end_year=2014","Saint John")</f>
        <v>Saint John</v>
      </c>
      <c r="H162" s="87" t="str">
        <f>HYPERLINK("http://api.nsgreg.nga.mil/geo-division/GENC/6/ed2/AG-04","AG-04")</f>
        <v>AG-04</v>
      </c>
    </row>
    <row r="163" spans="1:8" x14ac:dyDescent="0.2">
      <c r="A163" s="157"/>
      <c r="B163" s="31" t="s">
        <v>2388</v>
      </c>
      <c r="C163" s="31" t="s">
        <v>2389</v>
      </c>
      <c r="D163" s="31" t="s">
        <v>2301</v>
      </c>
      <c r="E163" s="61" t="b">
        <v>1</v>
      </c>
      <c r="F163" s="106" t="s">
        <v>2390</v>
      </c>
      <c r="G163" s="116" t="str">
        <f>HYPERLINK("http://nsgreg.nga.mil/genc/view?v=112009&amp;gencs=T&amp;end_month=3&amp;end_day=31&amp;end_year=2014","Saint Mary")</f>
        <v>Saint Mary</v>
      </c>
      <c r="H163" s="87" t="str">
        <f>HYPERLINK("http://api.nsgreg.nga.mil/geo-division/ISO3166-2/6/ed3/AG-05","AG-05")</f>
        <v>AG-05</v>
      </c>
    </row>
    <row r="164" spans="1:8" x14ac:dyDescent="0.2">
      <c r="A164" s="157"/>
      <c r="B164" s="31" t="s">
        <v>2391</v>
      </c>
      <c r="C164" s="31" t="s">
        <v>2392</v>
      </c>
      <c r="D164" s="31" t="s">
        <v>2301</v>
      </c>
      <c r="E164" s="61" t="b">
        <v>1</v>
      </c>
      <c r="F164" s="106" t="s">
        <v>2393</v>
      </c>
      <c r="G164" s="116" t="str">
        <f>HYPERLINK("http://nsgreg.nga.mil/genc/view?v=112010&amp;gencs=T&amp;end_month=3&amp;end_day=31&amp;end_year=2014","Saint Paul")</f>
        <v>Saint Paul</v>
      </c>
      <c r="H164" s="87" t="str">
        <f>HYPERLINK("http://api.nsgreg.nga.mil/geo-division/ISO3166-2/6/ed3/AG-06","AG-06")</f>
        <v>AG-06</v>
      </c>
    </row>
    <row r="165" spans="1:8" x14ac:dyDescent="0.2">
      <c r="A165" s="157"/>
      <c r="B165" s="31" t="s">
        <v>2394</v>
      </c>
      <c r="C165" s="31" t="s">
        <v>2395</v>
      </c>
      <c r="D165" s="31" t="s">
        <v>2301</v>
      </c>
      <c r="E165" s="61" t="b">
        <v>1</v>
      </c>
      <c r="F165" s="106" t="s">
        <v>2396</v>
      </c>
      <c r="G165" s="116" t="str">
        <f>HYPERLINK("http://nsgreg.nga.mil/genc/view?v=112011&amp;gencs=T&amp;end_month=3&amp;end_day=31&amp;end_year=2014","Saint Peter")</f>
        <v>Saint Peter</v>
      </c>
      <c r="H165" s="87" t="str">
        <f>HYPERLINK("http://api.nsgreg.nga.mil/geo-division/ISO3166-2/6/ed3/AG-07","AG-07")</f>
        <v>AG-07</v>
      </c>
    </row>
    <row r="166" spans="1:8" x14ac:dyDescent="0.2">
      <c r="A166" s="158"/>
      <c r="B166" s="58" t="s">
        <v>2397</v>
      </c>
      <c r="C166" s="58" t="s">
        <v>2398</v>
      </c>
      <c r="D166" s="58" t="s">
        <v>2301</v>
      </c>
      <c r="E166" s="62" t="b">
        <v>1</v>
      </c>
      <c r="F166" s="108" t="s">
        <v>2399</v>
      </c>
      <c r="G166" s="117" t="str">
        <f>HYPERLINK("http://nsgreg.nga.mil/genc/view?v=112012&amp;gencs=T&amp;end_month=3&amp;end_day=31&amp;end_year=2014","Saint Philip")</f>
        <v>Saint Philip</v>
      </c>
      <c r="H166" s="89" t="str">
        <f>HYPERLINK("http://api.nsgreg.nga.mil/geo-division/ISO3166-2/6/ed3/AG-08","AG-08")</f>
        <v>AG-08</v>
      </c>
    </row>
    <row r="167" spans="1:8" x14ac:dyDescent="0.2">
      <c r="A167" s="156" t="str">
        <f>HYPERLINK("[#]Geopolitical_Entities!A14:I14","ARGENTINA")</f>
        <v>ARGENTINA</v>
      </c>
      <c r="B167" s="52" t="s">
        <v>2400</v>
      </c>
      <c r="C167" s="52" t="s">
        <v>2401</v>
      </c>
      <c r="D167" s="52" t="s">
        <v>1920</v>
      </c>
      <c r="E167" s="60" t="b">
        <v>1</v>
      </c>
      <c r="F167" s="109" t="s">
        <v>2402</v>
      </c>
      <c r="G167" s="118" t="str">
        <f>HYPERLINK("http://nsgreg.nga.mil/genc/view?v=112093&amp;gencs=T&amp;end_month=3&amp;end_day=31&amp;end_year=2014","Buenos Aires")</f>
        <v>Buenos Aires</v>
      </c>
      <c r="H167" s="91" t="str">
        <f>HYPERLINK("http://api.nsgreg.nga.mil/geo-division/ISO3166-2/6/ed3/AR-B","AR-B")</f>
        <v>AR-B</v>
      </c>
    </row>
    <row r="168" spans="1:8" x14ac:dyDescent="0.2">
      <c r="A168" s="157"/>
      <c r="B168" s="31" t="s">
        <v>2403</v>
      </c>
      <c r="C168" s="31" t="s">
        <v>2404</v>
      </c>
      <c r="D168" s="31" t="s">
        <v>2405</v>
      </c>
      <c r="E168" s="61" t="b">
        <v>1</v>
      </c>
      <c r="F168" s="107" t="s">
        <v>2406</v>
      </c>
      <c r="G168" s="116" t="str">
        <f>HYPERLINK("http://nsgreg.nga.mil/genc/view?v=200712&amp;end_month=3&amp;end_day=31&amp;end_year=2014","Buenos Aires, Ciudad Autónoma de")</f>
        <v>Buenos Aires, Ciudad Autónoma de</v>
      </c>
      <c r="H168" s="87" t="str">
        <f>HYPERLINK("http://api.nsgreg.nga.mil/geo-division/GENC/6/ed2/AR-C","AR-C")</f>
        <v>AR-C</v>
      </c>
    </row>
    <row r="169" spans="1:8" x14ac:dyDescent="0.2">
      <c r="A169" s="157"/>
      <c r="B169" s="31" t="s">
        <v>2407</v>
      </c>
      <c r="C169" s="31" t="s">
        <v>2408</v>
      </c>
      <c r="D169" s="31" t="s">
        <v>1920</v>
      </c>
      <c r="E169" s="61" t="b">
        <v>1</v>
      </c>
      <c r="F169" s="106" t="s">
        <v>2409</v>
      </c>
      <c r="G169" s="116" t="str">
        <f>HYPERLINK("http://nsgreg.nga.mil/genc/view?v=112101&amp;gencs=T&amp;end_month=3&amp;end_day=31&amp;end_year=2014","Catamarca")</f>
        <v>Catamarca</v>
      </c>
      <c r="H169" s="87" t="str">
        <f>HYPERLINK("http://api.nsgreg.nga.mil/geo-division/ISO3166-2/6/ed3/AR-K","AR-K")</f>
        <v>AR-K</v>
      </c>
    </row>
    <row r="170" spans="1:8" x14ac:dyDescent="0.2">
      <c r="A170" s="157"/>
      <c r="B170" s="31" t="s">
        <v>2410</v>
      </c>
      <c r="C170" s="31" t="s">
        <v>2411</v>
      </c>
      <c r="D170" s="31" t="s">
        <v>1920</v>
      </c>
      <c r="E170" s="61" t="b">
        <v>1</v>
      </c>
      <c r="F170" s="106" t="s">
        <v>2412</v>
      </c>
      <c r="G170" s="116" t="str">
        <f>HYPERLINK("http://nsgreg.nga.mil/genc/view?v=112099&amp;gencs=T&amp;end_month=3&amp;end_day=31&amp;end_year=2014","Chaco")</f>
        <v>Chaco</v>
      </c>
      <c r="H170" s="87" t="str">
        <f>HYPERLINK("http://api.nsgreg.nga.mil/geo-division/ISO3166-2/6/ed3/AR-H","AR-H")</f>
        <v>AR-H</v>
      </c>
    </row>
    <row r="171" spans="1:8" x14ac:dyDescent="0.2">
      <c r="A171" s="157"/>
      <c r="B171" s="31" t="s">
        <v>2413</v>
      </c>
      <c r="C171" s="31" t="s">
        <v>2414</v>
      </c>
      <c r="D171" s="31" t="s">
        <v>1920</v>
      </c>
      <c r="E171" s="61" t="b">
        <v>1</v>
      </c>
      <c r="F171" s="106" t="s">
        <v>2415</v>
      </c>
      <c r="G171" s="116" t="str">
        <f>HYPERLINK("http://nsgreg.nga.mil/genc/view?v=112110&amp;gencs=T&amp;end_month=3&amp;end_day=31&amp;end_year=2014","Chubut")</f>
        <v>Chubut</v>
      </c>
      <c r="H171" s="87" t="str">
        <f>HYPERLINK("http://api.nsgreg.nga.mil/geo-division/ISO3166-2/6/ed3/AR-U","AR-U")</f>
        <v>AR-U</v>
      </c>
    </row>
    <row r="172" spans="1:8" x14ac:dyDescent="0.2">
      <c r="A172" s="157"/>
      <c r="B172" s="31" t="s">
        <v>2416</v>
      </c>
      <c r="C172" s="31" t="s">
        <v>2417</v>
      </c>
      <c r="D172" s="31" t="s">
        <v>1920</v>
      </c>
      <c r="E172" s="61" t="b">
        <v>1</v>
      </c>
      <c r="F172" s="106" t="s">
        <v>2418</v>
      </c>
      <c r="G172" s="116" t="str">
        <f>HYPERLINK("http://nsgreg.nga.mil/genc/view?v=112113&amp;gencs=T&amp;end_month=3&amp;end_day=31&amp;end_year=2014","Córdoba")</f>
        <v>Córdoba</v>
      </c>
      <c r="H172" s="87" t="str">
        <f>HYPERLINK("http://api.nsgreg.nga.mil/geo-division/ISO3166-2/6/ed3/AR-X","AR-X")</f>
        <v>AR-X</v>
      </c>
    </row>
    <row r="173" spans="1:8" x14ac:dyDescent="0.2">
      <c r="A173" s="157"/>
      <c r="B173" s="31" t="s">
        <v>2419</v>
      </c>
      <c r="C173" s="31" t="s">
        <v>2420</v>
      </c>
      <c r="D173" s="31" t="s">
        <v>1920</v>
      </c>
      <c r="E173" s="61" t="b">
        <v>1</v>
      </c>
      <c r="F173" s="106" t="s">
        <v>2421</v>
      </c>
      <c r="G173" s="116" t="str">
        <f>HYPERLINK("http://nsgreg.nga.mil/genc/view?v=112112&amp;gencs=T&amp;end_month=3&amp;end_day=31&amp;end_year=2014","Corrientes")</f>
        <v>Corrientes</v>
      </c>
      <c r="H173" s="87" t="str">
        <f>HYPERLINK("http://api.nsgreg.nga.mil/geo-division/ISO3166-2/6/ed3/AR-W","AR-W")</f>
        <v>AR-W</v>
      </c>
    </row>
    <row r="174" spans="1:8" x14ac:dyDescent="0.2">
      <c r="A174" s="157"/>
      <c r="B174" s="31" t="s">
        <v>2422</v>
      </c>
      <c r="C174" s="31" t="s">
        <v>2423</v>
      </c>
      <c r="D174" s="31" t="s">
        <v>1920</v>
      </c>
      <c r="E174" s="61" t="b">
        <v>1</v>
      </c>
      <c r="F174" s="106" t="s">
        <v>2424</v>
      </c>
      <c r="G174" s="116" t="str">
        <f>HYPERLINK("http://nsgreg.nga.mil/genc/view?v=112096&amp;gencs=T&amp;end_month=3&amp;end_day=31&amp;end_year=2014","Entre Ríos")</f>
        <v>Entre Ríos</v>
      </c>
      <c r="H174" s="87" t="str">
        <f>HYPERLINK("http://api.nsgreg.nga.mil/geo-division/ISO3166-2/6/ed3/AR-E","AR-E")</f>
        <v>AR-E</v>
      </c>
    </row>
    <row r="175" spans="1:8" x14ac:dyDescent="0.2">
      <c r="A175" s="157"/>
      <c r="B175" s="31" t="s">
        <v>2425</v>
      </c>
      <c r="C175" s="31" t="s">
        <v>2426</v>
      </c>
      <c r="D175" s="31" t="s">
        <v>1920</v>
      </c>
      <c r="E175" s="61" t="b">
        <v>1</v>
      </c>
      <c r="F175" s="106" t="s">
        <v>2427</v>
      </c>
      <c r="G175" s="116" t="str">
        <f>HYPERLINK("http://nsgreg.nga.mil/genc/view?v=112105&amp;gencs=T&amp;end_month=3&amp;end_day=31&amp;end_year=2014","Formosa")</f>
        <v>Formosa</v>
      </c>
      <c r="H175" s="87" t="str">
        <f>HYPERLINK("http://api.nsgreg.nga.mil/geo-division/ISO3166-2/6/ed3/AR-P","AR-P")</f>
        <v>AR-P</v>
      </c>
    </row>
    <row r="176" spans="1:8" x14ac:dyDescent="0.2">
      <c r="A176" s="157"/>
      <c r="B176" s="31" t="s">
        <v>2428</v>
      </c>
      <c r="C176" s="31" t="s">
        <v>2429</v>
      </c>
      <c r="D176" s="31" t="s">
        <v>1920</v>
      </c>
      <c r="E176" s="61" t="b">
        <v>1</v>
      </c>
      <c r="F176" s="106" t="s">
        <v>2430</v>
      </c>
      <c r="G176" s="116" t="str">
        <f>HYPERLINK("http://nsgreg.nga.mil/genc/view?v=112114&amp;gencs=T&amp;end_month=3&amp;end_day=31&amp;end_year=2014","Jujuy")</f>
        <v>Jujuy</v>
      </c>
      <c r="H176" s="87" t="str">
        <f>HYPERLINK("http://api.nsgreg.nga.mil/geo-division/ISO3166-2/6/ed3/AR-Y","AR-Y")</f>
        <v>AR-Y</v>
      </c>
    </row>
    <row r="177" spans="1:8" x14ac:dyDescent="0.2">
      <c r="A177" s="157"/>
      <c r="B177" s="31" t="s">
        <v>2431</v>
      </c>
      <c r="C177" s="31" t="s">
        <v>2432</v>
      </c>
      <c r="D177" s="31" t="s">
        <v>1920</v>
      </c>
      <c r="E177" s="61" t="b">
        <v>1</v>
      </c>
      <c r="F177" s="106" t="s">
        <v>2433</v>
      </c>
      <c r="G177" s="116" t="str">
        <f>HYPERLINK("http://nsgreg.nga.mil/genc/view?v=112102&amp;gencs=T&amp;end_month=3&amp;end_day=31&amp;end_year=2014","La Pampa")</f>
        <v>La Pampa</v>
      </c>
      <c r="H177" s="87" t="str">
        <f>HYPERLINK("http://api.nsgreg.nga.mil/geo-division/ISO3166-2/6/ed3/AR-L","AR-L")</f>
        <v>AR-L</v>
      </c>
    </row>
    <row r="178" spans="1:8" x14ac:dyDescent="0.2">
      <c r="A178" s="157"/>
      <c r="B178" s="31" t="s">
        <v>2434</v>
      </c>
      <c r="C178" s="31" t="s">
        <v>2435</v>
      </c>
      <c r="D178" s="31" t="s">
        <v>1920</v>
      </c>
      <c r="E178" s="61" t="b">
        <v>1</v>
      </c>
      <c r="F178" s="106" t="s">
        <v>2436</v>
      </c>
      <c r="G178" s="116" t="str">
        <f>HYPERLINK("http://nsgreg.nga.mil/genc/view?v=112097&amp;gencs=T&amp;end_month=3&amp;end_day=31&amp;end_year=2014","La Rioja")</f>
        <v>La Rioja</v>
      </c>
      <c r="H178" s="87" t="str">
        <f>HYPERLINK("http://api.nsgreg.nga.mil/geo-division/ISO3166-2/6/ed3/AR-F","AR-F")</f>
        <v>AR-F</v>
      </c>
    </row>
    <row r="179" spans="1:8" x14ac:dyDescent="0.2">
      <c r="A179" s="157"/>
      <c r="B179" s="31" t="s">
        <v>2437</v>
      </c>
      <c r="C179" s="31" t="s">
        <v>2438</v>
      </c>
      <c r="D179" s="31" t="s">
        <v>1920</v>
      </c>
      <c r="E179" s="61" t="b">
        <v>1</v>
      </c>
      <c r="F179" s="106" t="s">
        <v>2439</v>
      </c>
      <c r="G179" s="116" t="str">
        <f>HYPERLINK("http://nsgreg.nga.mil/genc/view?v=112103&amp;gencs=T&amp;end_month=3&amp;end_day=31&amp;end_year=2014","Mendoza")</f>
        <v>Mendoza</v>
      </c>
      <c r="H179" s="87" t="str">
        <f>HYPERLINK("http://api.nsgreg.nga.mil/geo-division/ISO3166-2/6/ed3/AR-M","AR-M")</f>
        <v>AR-M</v>
      </c>
    </row>
    <row r="180" spans="1:8" x14ac:dyDescent="0.2">
      <c r="A180" s="157"/>
      <c r="B180" s="31" t="s">
        <v>2440</v>
      </c>
      <c r="C180" s="31" t="s">
        <v>2441</v>
      </c>
      <c r="D180" s="31" t="s">
        <v>1920</v>
      </c>
      <c r="E180" s="61" t="b">
        <v>1</v>
      </c>
      <c r="F180" s="106" t="s">
        <v>2442</v>
      </c>
      <c r="G180" s="116" t="str">
        <f>HYPERLINK("http://nsgreg.nga.mil/genc/view?v=112104&amp;gencs=T&amp;end_month=3&amp;end_day=31&amp;end_year=2014","Misiones")</f>
        <v>Misiones</v>
      </c>
      <c r="H180" s="87" t="str">
        <f>HYPERLINK("http://api.nsgreg.nga.mil/geo-division/ISO3166-2/6/ed3/AR-N","AR-N")</f>
        <v>AR-N</v>
      </c>
    </row>
    <row r="181" spans="1:8" x14ac:dyDescent="0.2">
      <c r="A181" s="157"/>
      <c r="B181" s="31" t="s">
        <v>2443</v>
      </c>
      <c r="C181" s="31" t="s">
        <v>2444</v>
      </c>
      <c r="D181" s="31" t="s">
        <v>1920</v>
      </c>
      <c r="E181" s="61" t="b">
        <v>1</v>
      </c>
      <c r="F181" s="106" t="s">
        <v>2445</v>
      </c>
      <c r="G181" s="116" t="str">
        <f>HYPERLINK("http://nsgreg.nga.mil/genc/view?v=112106&amp;gencs=T&amp;end_month=3&amp;end_day=31&amp;end_year=2014","Neuquén")</f>
        <v>Neuquén</v>
      </c>
      <c r="H181" s="87" t="str">
        <f>HYPERLINK("http://api.nsgreg.nga.mil/geo-division/ISO3166-2/6/ed3/AR-Q","AR-Q")</f>
        <v>AR-Q</v>
      </c>
    </row>
    <row r="182" spans="1:8" x14ac:dyDescent="0.2">
      <c r="A182" s="157"/>
      <c r="B182" s="31" t="s">
        <v>2446</v>
      </c>
      <c r="C182" s="31" t="s">
        <v>2447</v>
      </c>
      <c r="D182" s="31" t="s">
        <v>1920</v>
      </c>
      <c r="E182" s="61" t="b">
        <v>1</v>
      </c>
      <c r="F182" s="106" t="s">
        <v>2448</v>
      </c>
      <c r="G182" s="116" t="str">
        <f>HYPERLINK("http://nsgreg.nga.mil/genc/view?v=112107&amp;gencs=T&amp;end_month=3&amp;end_day=31&amp;end_year=2014","Río Negro")</f>
        <v>Río Negro</v>
      </c>
      <c r="H182" s="87" t="str">
        <f>HYPERLINK("http://api.nsgreg.nga.mil/geo-division/ISO3166-2/6/ed3/AR-R","AR-R")</f>
        <v>AR-R</v>
      </c>
    </row>
    <row r="183" spans="1:8" x14ac:dyDescent="0.2">
      <c r="A183" s="157"/>
      <c r="B183" s="31" t="s">
        <v>2449</v>
      </c>
      <c r="C183" s="31" t="s">
        <v>2450</v>
      </c>
      <c r="D183" s="31" t="s">
        <v>1920</v>
      </c>
      <c r="E183" s="61" t="b">
        <v>1</v>
      </c>
      <c r="F183" s="106" t="s">
        <v>2451</v>
      </c>
      <c r="G183" s="116" t="str">
        <f>HYPERLINK("http://nsgreg.nga.mil/genc/view?v=112092&amp;gencs=T&amp;end_month=3&amp;end_day=31&amp;end_year=2014","Salta")</f>
        <v>Salta</v>
      </c>
      <c r="H183" s="87" t="str">
        <f>HYPERLINK("http://api.nsgreg.nga.mil/geo-division/ISO3166-2/6/ed3/AR-A","AR-A")</f>
        <v>AR-A</v>
      </c>
    </row>
    <row r="184" spans="1:8" x14ac:dyDescent="0.2">
      <c r="A184" s="157"/>
      <c r="B184" s="31" t="s">
        <v>2452</v>
      </c>
      <c r="C184" s="31" t="s">
        <v>2453</v>
      </c>
      <c r="D184" s="31" t="s">
        <v>1920</v>
      </c>
      <c r="E184" s="61" t="b">
        <v>1</v>
      </c>
      <c r="F184" s="106" t="s">
        <v>2454</v>
      </c>
      <c r="G184" s="116" t="str">
        <f>HYPERLINK("http://nsgreg.nga.mil/genc/view?v=112100&amp;gencs=T&amp;end_month=3&amp;end_day=31&amp;end_year=2014","San Juan")</f>
        <v>San Juan</v>
      </c>
      <c r="H184" s="87" t="str">
        <f>HYPERLINK("http://api.nsgreg.nga.mil/geo-division/ISO3166-2/6/ed3/AR-J","AR-J")</f>
        <v>AR-J</v>
      </c>
    </row>
    <row r="185" spans="1:8" x14ac:dyDescent="0.2">
      <c r="A185" s="157"/>
      <c r="B185" s="31" t="s">
        <v>2455</v>
      </c>
      <c r="C185" s="31" t="s">
        <v>2456</v>
      </c>
      <c r="D185" s="31" t="s">
        <v>1920</v>
      </c>
      <c r="E185" s="61" t="b">
        <v>1</v>
      </c>
      <c r="F185" s="106" t="s">
        <v>2457</v>
      </c>
      <c r="G185" s="116" t="str">
        <f>HYPERLINK("http://nsgreg.nga.mil/genc/view?v=112095&amp;gencs=T&amp;end_month=3&amp;end_day=31&amp;end_year=2014","San Luis")</f>
        <v>San Luis</v>
      </c>
      <c r="H185" s="87" t="str">
        <f>HYPERLINK("http://api.nsgreg.nga.mil/geo-division/ISO3166-2/6/ed3/AR-D","AR-D")</f>
        <v>AR-D</v>
      </c>
    </row>
    <row r="186" spans="1:8" x14ac:dyDescent="0.2">
      <c r="A186" s="157"/>
      <c r="B186" s="31" t="s">
        <v>2458</v>
      </c>
      <c r="C186" s="31" t="s">
        <v>2459</v>
      </c>
      <c r="D186" s="31" t="s">
        <v>1920</v>
      </c>
      <c r="E186" s="61" t="b">
        <v>1</v>
      </c>
      <c r="F186" s="106" t="s">
        <v>2460</v>
      </c>
      <c r="G186" s="116" t="str">
        <f>HYPERLINK("http://nsgreg.nga.mil/genc/view?v=112115&amp;gencs=T&amp;end_month=3&amp;end_day=31&amp;end_year=2014","Santa Cruz")</f>
        <v>Santa Cruz</v>
      </c>
      <c r="H186" s="87" t="str">
        <f>HYPERLINK("http://api.nsgreg.nga.mil/geo-division/ISO3166-2/6/ed3/AR-Z","AR-Z")</f>
        <v>AR-Z</v>
      </c>
    </row>
    <row r="187" spans="1:8" x14ac:dyDescent="0.2">
      <c r="A187" s="157"/>
      <c r="B187" s="31" t="s">
        <v>2461</v>
      </c>
      <c r="C187" s="31" t="s">
        <v>2462</v>
      </c>
      <c r="D187" s="31" t="s">
        <v>1920</v>
      </c>
      <c r="E187" s="61" t="b">
        <v>1</v>
      </c>
      <c r="F187" s="106" t="s">
        <v>2463</v>
      </c>
      <c r="G187" s="116" t="str">
        <f>HYPERLINK("http://nsgreg.nga.mil/genc/view?v=112108&amp;gencs=T&amp;end_month=3&amp;end_day=31&amp;end_year=2014","Santa Fe")</f>
        <v>Santa Fe</v>
      </c>
      <c r="H187" s="87" t="str">
        <f>HYPERLINK("http://api.nsgreg.nga.mil/geo-division/ISO3166-2/6/ed3/AR-S","AR-S")</f>
        <v>AR-S</v>
      </c>
    </row>
    <row r="188" spans="1:8" x14ac:dyDescent="0.2">
      <c r="A188" s="157"/>
      <c r="B188" s="31" t="s">
        <v>2464</v>
      </c>
      <c r="C188" s="31" t="s">
        <v>2465</v>
      </c>
      <c r="D188" s="31" t="s">
        <v>1920</v>
      </c>
      <c r="E188" s="61" t="b">
        <v>1</v>
      </c>
      <c r="F188" s="106" t="s">
        <v>2466</v>
      </c>
      <c r="G188" s="116" t="str">
        <f>HYPERLINK("http://nsgreg.nga.mil/genc/view?v=112098&amp;gencs=T&amp;end_month=3&amp;end_day=31&amp;end_year=2014","Santiago del Estero")</f>
        <v>Santiago del Estero</v>
      </c>
      <c r="H188" s="87" t="str">
        <f>HYPERLINK("http://api.nsgreg.nga.mil/geo-division/ISO3166-2/6/ed3/AR-G","AR-G")</f>
        <v>AR-G</v>
      </c>
    </row>
    <row r="189" spans="1:8" x14ac:dyDescent="0.2">
      <c r="A189" s="157"/>
      <c r="B189" s="31" t="s">
        <v>2467</v>
      </c>
      <c r="C189" s="31" t="s">
        <v>2468</v>
      </c>
      <c r="D189" s="31" t="s">
        <v>1920</v>
      </c>
      <c r="E189" s="61" t="b">
        <v>1</v>
      </c>
      <c r="F189" s="107" t="s">
        <v>2469</v>
      </c>
      <c r="G189" s="116" t="str">
        <f>HYPERLINK("http://nsgreg.nga.mil/genc/view?v=200713&amp;end_month=3&amp;end_day=31&amp;end_year=2014","Tierra del Fuego, Antártida e Islas del Atlántico Sur")</f>
        <v>Tierra del Fuego, Antártida e Islas del Atlántico Sur</v>
      </c>
      <c r="H189" s="87" t="str">
        <f>HYPERLINK("http://api.nsgreg.nga.mil/geo-division/GENC/6/ed2/AR-V","AR-V")</f>
        <v>AR-V</v>
      </c>
    </row>
    <row r="190" spans="1:8" x14ac:dyDescent="0.2">
      <c r="A190" s="158"/>
      <c r="B190" s="58" t="s">
        <v>2470</v>
      </c>
      <c r="C190" s="58" t="s">
        <v>2471</v>
      </c>
      <c r="D190" s="58" t="s">
        <v>1920</v>
      </c>
      <c r="E190" s="62" t="b">
        <v>1</v>
      </c>
      <c r="F190" s="108" t="s">
        <v>2472</v>
      </c>
      <c r="G190" s="117" t="str">
        <f>HYPERLINK("http://nsgreg.nga.mil/genc/view?v=112109&amp;gencs=T&amp;end_month=3&amp;end_day=31&amp;end_year=2014","Tucumán")</f>
        <v>Tucumán</v>
      </c>
      <c r="H190" s="89" t="str">
        <f>HYPERLINK("http://api.nsgreg.nga.mil/geo-division/ISO3166-2/6/ed3/AR-T","AR-T")</f>
        <v>AR-T</v>
      </c>
    </row>
    <row r="191" spans="1:8" x14ac:dyDescent="0.2">
      <c r="A191" s="156" t="str">
        <f>HYPERLINK("[#]Geopolitical_Entities!A15:I15","ARMENIA")</f>
        <v>ARMENIA</v>
      </c>
      <c r="B191" s="52" t="s">
        <v>2473</v>
      </c>
      <c r="C191" s="52" t="s">
        <v>2474</v>
      </c>
      <c r="D191" s="52" t="s">
        <v>2026</v>
      </c>
      <c r="E191" s="60" t="b">
        <v>1</v>
      </c>
      <c r="F191" s="110" t="s">
        <v>2475</v>
      </c>
      <c r="G191" s="118" t="str">
        <f>HYPERLINK("http://nsgreg.nga.mil/genc/view?v=200697&amp;end_month=3&amp;end_day=31&amp;end_year=2014","Aragatsotn")</f>
        <v>Aragatsotn</v>
      </c>
      <c r="H191" s="91" t="str">
        <f>HYPERLINK("http://api.nsgreg.nga.mil/geo-division/GENC/6/ed2/AM-AG","AM-AG")</f>
        <v>AM-AG</v>
      </c>
    </row>
    <row r="192" spans="1:8" x14ac:dyDescent="0.2">
      <c r="A192" s="157"/>
      <c r="B192" s="31" t="s">
        <v>2476</v>
      </c>
      <c r="C192" s="31" t="s">
        <v>2477</v>
      </c>
      <c r="D192" s="31" t="s">
        <v>2026</v>
      </c>
      <c r="E192" s="61" t="b">
        <v>1</v>
      </c>
      <c r="F192" s="107" t="s">
        <v>2478</v>
      </c>
      <c r="G192" s="116" t="str">
        <f>HYPERLINK("http://nsgreg.nga.mil/genc/view?v=200698&amp;end_month=3&amp;end_day=31&amp;end_year=2014","Ararat")</f>
        <v>Ararat</v>
      </c>
      <c r="H192" s="87" t="str">
        <f>HYPERLINK("http://api.nsgreg.nga.mil/geo-division/GENC/6/ed2/AM-AR","AM-AR")</f>
        <v>AM-AR</v>
      </c>
    </row>
    <row r="193" spans="1:8" x14ac:dyDescent="0.2">
      <c r="A193" s="157"/>
      <c r="B193" s="31" t="s">
        <v>2479</v>
      </c>
      <c r="C193" s="31" t="s">
        <v>2480</v>
      </c>
      <c r="D193" s="31" t="s">
        <v>2026</v>
      </c>
      <c r="E193" s="61" t="b">
        <v>1</v>
      </c>
      <c r="F193" s="107" t="s">
        <v>2481</v>
      </c>
      <c r="G193" s="116" t="str">
        <f>HYPERLINK("http://nsgreg.nga.mil/genc/view?v=200699&amp;end_month=3&amp;end_day=31&amp;end_year=2014","Armavir")</f>
        <v>Armavir</v>
      </c>
      <c r="H193" s="87" t="str">
        <f>HYPERLINK("http://api.nsgreg.nga.mil/geo-division/GENC/6/ed2/AM-AV","AM-AV")</f>
        <v>AM-AV</v>
      </c>
    </row>
    <row r="194" spans="1:8" x14ac:dyDescent="0.2">
      <c r="A194" s="157"/>
      <c r="B194" s="31" t="s">
        <v>2482</v>
      </c>
      <c r="C194" s="31" t="s">
        <v>2483</v>
      </c>
      <c r="D194" s="31" t="s">
        <v>2026</v>
      </c>
      <c r="E194" s="61" t="b">
        <v>1</v>
      </c>
      <c r="F194" s="107" t="s">
        <v>2484</v>
      </c>
      <c r="G194" s="116" t="str">
        <f>HYPERLINK("http://nsgreg.nga.mil/genc/view?v=200701&amp;end_month=3&amp;end_day=31&amp;end_year=2014","Geghark’unik’")</f>
        <v>Geghark’unik’</v>
      </c>
      <c r="H194" s="87" t="str">
        <f>HYPERLINK("http://api.nsgreg.nga.mil/geo-division/GENC/6/ed2/AM-GR","AM-GR")</f>
        <v>AM-GR</v>
      </c>
    </row>
    <row r="195" spans="1:8" x14ac:dyDescent="0.2">
      <c r="A195" s="157"/>
      <c r="B195" s="31" t="s">
        <v>2485</v>
      </c>
      <c r="C195" s="31" t="s">
        <v>2486</v>
      </c>
      <c r="D195" s="31" t="s">
        <v>2026</v>
      </c>
      <c r="E195" s="61" t="b">
        <v>1</v>
      </c>
      <c r="F195" s="107" t="s">
        <v>2487</v>
      </c>
      <c r="G195" s="116" t="str">
        <f>HYPERLINK("http://nsgreg.nga.mil/genc/view?v=200702&amp;end_month=3&amp;end_day=31&amp;end_year=2014","Kotayk’")</f>
        <v>Kotayk’</v>
      </c>
      <c r="H195" s="87" t="str">
        <f>HYPERLINK("http://api.nsgreg.nga.mil/geo-division/GENC/6/ed2/AM-KT","AM-KT")</f>
        <v>AM-KT</v>
      </c>
    </row>
    <row r="196" spans="1:8" x14ac:dyDescent="0.2">
      <c r="A196" s="157"/>
      <c r="B196" s="31" t="s">
        <v>2488</v>
      </c>
      <c r="C196" s="31" t="s">
        <v>2489</v>
      </c>
      <c r="D196" s="31" t="s">
        <v>2026</v>
      </c>
      <c r="E196" s="61" t="b">
        <v>1</v>
      </c>
      <c r="F196" s="107" t="s">
        <v>2490</v>
      </c>
      <c r="G196" s="116" t="str">
        <f>HYPERLINK("http://nsgreg.nga.mil/genc/view?v=200703&amp;end_month=3&amp;end_day=31&amp;end_year=2014","Lorri")</f>
        <v>Lorri</v>
      </c>
      <c r="H196" s="87" t="str">
        <f>HYPERLINK("http://api.nsgreg.nga.mil/geo-division/GENC/6/ed2/AM-LO","AM-LO")</f>
        <v>AM-LO</v>
      </c>
    </row>
    <row r="197" spans="1:8" x14ac:dyDescent="0.2">
      <c r="A197" s="157"/>
      <c r="B197" s="31" t="s">
        <v>2491</v>
      </c>
      <c r="C197" s="31" t="s">
        <v>2492</v>
      </c>
      <c r="D197" s="31" t="s">
        <v>2026</v>
      </c>
      <c r="E197" s="61" t="b">
        <v>1</v>
      </c>
      <c r="F197" s="107" t="s">
        <v>2493</v>
      </c>
      <c r="G197" s="116" t="str">
        <f>HYPERLINK("http://nsgreg.nga.mil/genc/view?v=200704&amp;end_month=3&amp;end_day=31&amp;end_year=2014","Shirak")</f>
        <v>Shirak</v>
      </c>
      <c r="H197" s="87" t="str">
        <f>HYPERLINK("http://api.nsgreg.nga.mil/geo-division/GENC/6/ed2/AM-SH","AM-SH")</f>
        <v>AM-SH</v>
      </c>
    </row>
    <row r="198" spans="1:8" x14ac:dyDescent="0.2">
      <c r="A198" s="157"/>
      <c r="B198" s="31" t="s">
        <v>2494</v>
      </c>
      <c r="C198" s="31" t="s">
        <v>2495</v>
      </c>
      <c r="D198" s="31" t="s">
        <v>2026</v>
      </c>
      <c r="E198" s="61" t="b">
        <v>1</v>
      </c>
      <c r="F198" s="107" t="s">
        <v>2496</v>
      </c>
      <c r="G198" s="116" t="str">
        <f>HYPERLINK("http://nsgreg.nga.mil/genc/view?v=200705&amp;end_month=3&amp;end_day=31&amp;end_year=2014","Syunik’")</f>
        <v>Syunik’</v>
      </c>
      <c r="H198" s="87" t="str">
        <f>HYPERLINK("http://api.nsgreg.nga.mil/geo-division/GENC/6/ed2/AM-SU","AM-SU")</f>
        <v>AM-SU</v>
      </c>
    </row>
    <row r="199" spans="1:8" x14ac:dyDescent="0.2">
      <c r="A199" s="157"/>
      <c r="B199" s="31" t="s">
        <v>2497</v>
      </c>
      <c r="C199" s="31" t="s">
        <v>2498</v>
      </c>
      <c r="D199" s="31" t="s">
        <v>2026</v>
      </c>
      <c r="E199" s="61" t="b">
        <v>1</v>
      </c>
      <c r="F199" s="107" t="s">
        <v>2499</v>
      </c>
      <c r="G199" s="116" t="str">
        <f>HYPERLINK("http://nsgreg.nga.mil/genc/view?v=200706&amp;end_month=3&amp;end_day=31&amp;end_year=2014","Tavush")</f>
        <v>Tavush</v>
      </c>
      <c r="H199" s="87" t="str">
        <f>HYPERLINK("http://api.nsgreg.nga.mil/geo-division/GENC/6/ed2/AM-TV","AM-TV")</f>
        <v>AM-TV</v>
      </c>
    </row>
    <row r="200" spans="1:8" x14ac:dyDescent="0.2">
      <c r="A200" s="157"/>
      <c r="B200" s="31" t="s">
        <v>2500</v>
      </c>
      <c r="C200" s="31" t="s">
        <v>2501</v>
      </c>
      <c r="D200" s="31" t="s">
        <v>2026</v>
      </c>
      <c r="E200" s="61" t="b">
        <v>1</v>
      </c>
      <c r="F200" s="107" t="s">
        <v>2502</v>
      </c>
      <c r="G200" s="116" t="str">
        <f>HYPERLINK("http://nsgreg.nga.mil/genc/view?v=200707&amp;end_month=3&amp;end_day=31&amp;end_year=2014","Vayots’ Dzor")</f>
        <v>Vayots’ Dzor</v>
      </c>
      <c r="H200" s="87" t="str">
        <f>HYPERLINK("http://api.nsgreg.nga.mil/geo-division/GENC/6/ed2/AM-VD","AM-VD")</f>
        <v>AM-VD</v>
      </c>
    </row>
    <row r="201" spans="1:8" x14ac:dyDescent="0.2">
      <c r="A201" s="158"/>
      <c r="B201" s="58" t="s">
        <v>2503</v>
      </c>
      <c r="C201" s="58" t="s">
        <v>2504</v>
      </c>
      <c r="D201" s="58" t="s">
        <v>2405</v>
      </c>
      <c r="E201" s="62" t="b">
        <v>1</v>
      </c>
      <c r="F201" s="111" t="s">
        <v>2505</v>
      </c>
      <c r="G201" s="117" t="str">
        <f>HYPERLINK("http://nsgreg.nga.mil/genc/view?v=200700&amp;end_month=3&amp;end_day=31&amp;end_year=2014","Yerevan")</f>
        <v>Yerevan</v>
      </c>
      <c r="H201" s="89" t="str">
        <f>HYPERLINK("http://api.nsgreg.nga.mil/geo-division/GENC/6/ed2/AM-ER","AM-ER")</f>
        <v>AM-ER</v>
      </c>
    </row>
    <row r="202" spans="1:8" x14ac:dyDescent="0.2">
      <c r="A202" s="156" t="str">
        <f>HYPERLINK("[#]Geopolitical_Entities!A18:I18","AUSTRALIA")</f>
        <v>AUSTRALIA</v>
      </c>
      <c r="B202" s="52" t="s">
        <v>2506</v>
      </c>
      <c r="C202" s="52" t="s">
        <v>2507</v>
      </c>
      <c r="D202" s="52" t="s">
        <v>2508</v>
      </c>
      <c r="E202" s="60" t="b">
        <v>1</v>
      </c>
      <c r="F202" s="109" t="s">
        <v>2509</v>
      </c>
      <c r="G202" s="118" t="str">
        <f>HYPERLINK("http://nsgreg.nga.mil/genc/view?v=112125&amp;gencs=T&amp;end_month=3&amp;end_day=31&amp;end_year=2014","Australian Capital Territory")</f>
        <v>Australian Capital Territory</v>
      </c>
      <c r="H202" s="91" t="str">
        <f>HYPERLINK("http://api.nsgreg.nga.mil/geo-division/ISO3166-2/6/ed3/AU-ACT","AU-ACT")</f>
        <v>AU-ACT</v>
      </c>
    </row>
    <row r="203" spans="1:8" x14ac:dyDescent="0.2">
      <c r="A203" s="157"/>
      <c r="B203" s="31" t="s">
        <v>2510</v>
      </c>
      <c r="C203" s="31" t="s">
        <v>2511</v>
      </c>
      <c r="D203" s="31" t="s">
        <v>2512</v>
      </c>
      <c r="E203" s="61" t="b">
        <v>1</v>
      </c>
      <c r="F203" s="106" t="s">
        <v>2513</v>
      </c>
      <c r="G203" s="116" t="str">
        <f>HYPERLINK("http://nsgreg.nga.mil/genc/view?v=112126&amp;gencs=T&amp;end_month=3&amp;end_day=31&amp;end_year=2014","New South Wales")</f>
        <v>New South Wales</v>
      </c>
      <c r="H203" s="87" t="str">
        <f>HYPERLINK("http://api.nsgreg.nga.mil/geo-division/ISO3166-2/6/ed3/AU-NSW","AU-NSW")</f>
        <v>AU-NSW</v>
      </c>
    </row>
    <row r="204" spans="1:8" x14ac:dyDescent="0.2">
      <c r="A204" s="157"/>
      <c r="B204" s="31" t="s">
        <v>2514</v>
      </c>
      <c r="C204" s="31" t="s">
        <v>2515</v>
      </c>
      <c r="D204" s="31" t="s">
        <v>2508</v>
      </c>
      <c r="E204" s="61" t="b">
        <v>1</v>
      </c>
      <c r="F204" s="106" t="s">
        <v>2516</v>
      </c>
      <c r="G204" s="116" t="str">
        <f>HYPERLINK("http://nsgreg.nga.mil/genc/view?v=112127&amp;gencs=T&amp;end_month=3&amp;end_day=31&amp;end_year=2014","Northern Territory")</f>
        <v>Northern Territory</v>
      </c>
      <c r="H204" s="87" t="str">
        <f>HYPERLINK("http://api.nsgreg.nga.mil/geo-division/ISO3166-2/6/ed3/AU-NT","AU-NT")</f>
        <v>AU-NT</v>
      </c>
    </row>
    <row r="205" spans="1:8" x14ac:dyDescent="0.2">
      <c r="A205" s="157"/>
      <c r="B205" s="31" t="s">
        <v>2517</v>
      </c>
      <c r="C205" s="31" t="s">
        <v>2518</v>
      </c>
      <c r="D205" s="31" t="s">
        <v>2512</v>
      </c>
      <c r="E205" s="61" t="b">
        <v>1</v>
      </c>
      <c r="F205" s="106" t="s">
        <v>2519</v>
      </c>
      <c r="G205" s="116" t="str">
        <f>HYPERLINK("http://nsgreg.nga.mil/genc/view?v=112128&amp;gencs=T&amp;end_month=3&amp;end_day=31&amp;end_year=2014","Queensland")</f>
        <v>Queensland</v>
      </c>
      <c r="H205" s="87" t="str">
        <f>HYPERLINK("http://api.nsgreg.nga.mil/geo-division/ISO3166-2/6/ed3/AU-QLD","AU-QLD")</f>
        <v>AU-QLD</v>
      </c>
    </row>
    <row r="206" spans="1:8" x14ac:dyDescent="0.2">
      <c r="A206" s="157"/>
      <c r="B206" s="31" t="s">
        <v>2520</v>
      </c>
      <c r="C206" s="31" t="s">
        <v>2521</v>
      </c>
      <c r="D206" s="31" t="s">
        <v>2512</v>
      </c>
      <c r="E206" s="61" t="b">
        <v>1</v>
      </c>
      <c r="F206" s="106" t="s">
        <v>2522</v>
      </c>
      <c r="G206" s="116" t="str">
        <f>HYPERLINK("http://nsgreg.nga.mil/genc/view?v=112129&amp;gencs=T&amp;end_month=3&amp;end_day=31&amp;end_year=2014","South Australia")</f>
        <v>South Australia</v>
      </c>
      <c r="H206" s="87" t="str">
        <f>HYPERLINK("http://api.nsgreg.nga.mil/geo-division/ISO3166-2/6/ed3/AU-SA","AU-SA")</f>
        <v>AU-SA</v>
      </c>
    </row>
    <row r="207" spans="1:8" x14ac:dyDescent="0.2">
      <c r="A207" s="157"/>
      <c r="B207" s="31" t="s">
        <v>2523</v>
      </c>
      <c r="C207" s="31" t="s">
        <v>2524</v>
      </c>
      <c r="D207" s="31" t="s">
        <v>2512</v>
      </c>
      <c r="E207" s="61" t="b">
        <v>1</v>
      </c>
      <c r="F207" s="106" t="s">
        <v>2525</v>
      </c>
      <c r="G207" s="116" t="str">
        <f>HYPERLINK("http://nsgreg.nga.mil/genc/view?v=112130&amp;gencs=T&amp;end_month=3&amp;end_day=31&amp;end_year=2014","Tasmania")</f>
        <v>Tasmania</v>
      </c>
      <c r="H207" s="87" t="str">
        <f>HYPERLINK("http://api.nsgreg.nga.mil/geo-division/ISO3166-2/6/ed3/AU-TAS","AU-TAS")</f>
        <v>AU-TAS</v>
      </c>
    </row>
    <row r="208" spans="1:8" x14ac:dyDescent="0.2">
      <c r="A208" s="157"/>
      <c r="B208" s="31" t="s">
        <v>2526</v>
      </c>
      <c r="C208" s="31" t="s">
        <v>2527</v>
      </c>
      <c r="D208" s="31" t="s">
        <v>2512</v>
      </c>
      <c r="E208" s="61" t="b">
        <v>1</v>
      </c>
      <c r="F208" s="106" t="s">
        <v>2528</v>
      </c>
      <c r="G208" s="116" t="str">
        <f>HYPERLINK("http://nsgreg.nga.mil/genc/view?v=112131&amp;gencs=T&amp;end_month=3&amp;end_day=31&amp;end_year=2014","Victoria")</f>
        <v>Victoria</v>
      </c>
      <c r="H208" s="87" t="str">
        <f>HYPERLINK("http://api.nsgreg.nga.mil/geo-division/ISO3166-2/6/ed3/AU-VIC","AU-VIC")</f>
        <v>AU-VIC</v>
      </c>
    </row>
    <row r="209" spans="1:8" x14ac:dyDescent="0.2">
      <c r="A209" s="158"/>
      <c r="B209" s="58" t="s">
        <v>2529</v>
      </c>
      <c r="C209" s="58" t="s">
        <v>2530</v>
      </c>
      <c r="D209" s="58" t="s">
        <v>2512</v>
      </c>
      <c r="E209" s="62" t="b">
        <v>1</v>
      </c>
      <c r="F209" s="108" t="s">
        <v>2531</v>
      </c>
      <c r="G209" s="117" t="str">
        <f>HYPERLINK("http://nsgreg.nga.mil/genc/view?v=112132&amp;gencs=T&amp;end_month=3&amp;end_day=31&amp;end_year=2014","Western Australia")</f>
        <v>Western Australia</v>
      </c>
      <c r="H209" s="89" t="str">
        <f>HYPERLINK("http://api.nsgreg.nga.mil/geo-division/ISO3166-2/6/ed3/AU-WA","AU-WA")</f>
        <v>AU-WA</v>
      </c>
    </row>
    <row r="210" spans="1:8" x14ac:dyDescent="0.2">
      <c r="A210" s="156" t="str">
        <f>HYPERLINK("[#]Geopolitical_Entities!A19:I19","AUSTRIA")</f>
        <v>AUSTRIA</v>
      </c>
      <c r="B210" s="52" t="s">
        <v>2532</v>
      </c>
      <c r="C210" s="52" t="s">
        <v>2533</v>
      </c>
      <c r="D210" s="52" t="s">
        <v>2512</v>
      </c>
      <c r="E210" s="60" t="b">
        <v>1</v>
      </c>
      <c r="F210" s="110" t="s">
        <v>2534</v>
      </c>
      <c r="G210" s="118" t="str">
        <f>HYPERLINK("http://nsgreg.nga.mil/genc/view?v=200714&amp;end_month=3&amp;end_day=31&amp;end_year=2014","Burgenland")</f>
        <v>Burgenland</v>
      </c>
      <c r="H210" s="91" t="str">
        <f>HYPERLINK("http://api.nsgreg.nga.mil/geo-division/GENC/6/ed2/AT-1","AT-1")</f>
        <v>AT-1</v>
      </c>
    </row>
    <row r="211" spans="1:8" x14ac:dyDescent="0.2">
      <c r="A211" s="157"/>
      <c r="B211" s="31" t="s">
        <v>2535</v>
      </c>
      <c r="C211" s="31" t="s">
        <v>2536</v>
      </c>
      <c r="D211" s="31" t="s">
        <v>2512</v>
      </c>
      <c r="E211" s="61" t="b">
        <v>1</v>
      </c>
      <c r="F211" s="107" t="s">
        <v>2537</v>
      </c>
      <c r="G211" s="116" t="str">
        <f>HYPERLINK("http://nsgreg.nga.mil/genc/view?v=200715&amp;end_month=3&amp;end_day=31&amp;end_year=2014","Kärnten")</f>
        <v>Kärnten</v>
      </c>
      <c r="H211" s="87" t="str">
        <f>HYPERLINK("http://api.nsgreg.nga.mil/geo-division/GENC/6/ed2/AT-2","AT-2")</f>
        <v>AT-2</v>
      </c>
    </row>
    <row r="212" spans="1:8" x14ac:dyDescent="0.2">
      <c r="A212" s="157"/>
      <c r="B212" s="31" t="s">
        <v>2538</v>
      </c>
      <c r="C212" s="31" t="s">
        <v>2539</v>
      </c>
      <c r="D212" s="31" t="s">
        <v>2512</v>
      </c>
      <c r="E212" s="61" t="b">
        <v>1</v>
      </c>
      <c r="F212" s="107" t="s">
        <v>2540</v>
      </c>
      <c r="G212" s="116" t="str">
        <f>HYPERLINK("http://nsgreg.nga.mil/genc/view?v=200716&amp;end_month=3&amp;end_day=31&amp;end_year=2014","Niederösterreich")</f>
        <v>Niederösterreich</v>
      </c>
      <c r="H212" s="87" t="str">
        <f>HYPERLINK("http://api.nsgreg.nga.mil/geo-division/GENC/6/ed2/AT-3","AT-3")</f>
        <v>AT-3</v>
      </c>
    </row>
    <row r="213" spans="1:8" x14ac:dyDescent="0.2">
      <c r="A213" s="157"/>
      <c r="B213" s="31" t="s">
        <v>2541</v>
      </c>
      <c r="C213" s="31" t="s">
        <v>2542</v>
      </c>
      <c r="D213" s="31" t="s">
        <v>2512</v>
      </c>
      <c r="E213" s="61" t="b">
        <v>1</v>
      </c>
      <c r="F213" s="107" t="s">
        <v>2543</v>
      </c>
      <c r="G213" s="116" t="str">
        <f>HYPERLINK("http://nsgreg.nga.mil/genc/view?v=200717&amp;end_month=3&amp;end_day=31&amp;end_year=2014","Oberösterreich")</f>
        <v>Oberösterreich</v>
      </c>
      <c r="H213" s="87" t="str">
        <f>HYPERLINK("http://api.nsgreg.nga.mil/geo-division/GENC/6/ed2/AT-4","AT-4")</f>
        <v>AT-4</v>
      </c>
    </row>
    <row r="214" spans="1:8" x14ac:dyDescent="0.2">
      <c r="A214" s="157"/>
      <c r="B214" s="31" t="s">
        <v>2544</v>
      </c>
      <c r="C214" s="31" t="s">
        <v>2545</v>
      </c>
      <c r="D214" s="31" t="s">
        <v>2512</v>
      </c>
      <c r="E214" s="61" t="b">
        <v>1</v>
      </c>
      <c r="F214" s="107" t="s">
        <v>2546</v>
      </c>
      <c r="G214" s="116" t="str">
        <f>HYPERLINK("http://nsgreg.nga.mil/genc/view?v=200718&amp;end_month=3&amp;end_day=31&amp;end_year=2014","Salzburg")</f>
        <v>Salzburg</v>
      </c>
      <c r="H214" s="87" t="str">
        <f>HYPERLINK("http://api.nsgreg.nga.mil/geo-division/GENC/6/ed2/AT-5","AT-5")</f>
        <v>AT-5</v>
      </c>
    </row>
    <row r="215" spans="1:8" x14ac:dyDescent="0.2">
      <c r="A215" s="157"/>
      <c r="B215" s="31" t="s">
        <v>2547</v>
      </c>
      <c r="C215" s="31" t="s">
        <v>2548</v>
      </c>
      <c r="D215" s="31" t="s">
        <v>2512</v>
      </c>
      <c r="E215" s="61" t="b">
        <v>1</v>
      </c>
      <c r="F215" s="107" t="s">
        <v>2549</v>
      </c>
      <c r="G215" s="116" t="str">
        <f>HYPERLINK("http://nsgreg.nga.mil/genc/view?v=200719&amp;end_month=3&amp;end_day=31&amp;end_year=2014","Steiermark")</f>
        <v>Steiermark</v>
      </c>
      <c r="H215" s="87" t="str">
        <f>HYPERLINK("http://api.nsgreg.nga.mil/geo-division/GENC/6/ed2/AT-6","AT-6")</f>
        <v>AT-6</v>
      </c>
    </row>
    <row r="216" spans="1:8" x14ac:dyDescent="0.2">
      <c r="A216" s="157"/>
      <c r="B216" s="31" t="s">
        <v>2550</v>
      </c>
      <c r="C216" s="31" t="s">
        <v>2551</v>
      </c>
      <c r="D216" s="31" t="s">
        <v>2512</v>
      </c>
      <c r="E216" s="61" t="b">
        <v>1</v>
      </c>
      <c r="F216" s="107" t="s">
        <v>2552</v>
      </c>
      <c r="G216" s="116" t="str">
        <f>HYPERLINK("http://nsgreg.nga.mil/genc/view?v=200720&amp;end_month=3&amp;end_day=31&amp;end_year=2014","Tirol")</f>
        <v>Tirol</v>
      </c>
      <c r="H216" s="87" t="str">
        <f>HYPERLINK("http://api.nsgreg.nga.mil/geo-division/GENC/6/ed2/AT-7","AT-7")</f>
        <v>AT-7</v>
      </c>
    </row>
    <row r="217" spans="1:8" x14ac:dyDescent="0.2">
      <c r="A217" s="157"/>
      <c r="B217" s="31" t="s">
        <v>2553</v>
      </c>
      <c r="C217" s="31" t="s">
        <v>2554</v>
      </c>
      <c r="D217" s="31" t="s">
        <v>2512</v>
      </c>
      <c r="E217" s="61" t="b">
        <v>1</v>
      </c>
      <c r="F217" s="107" t="s">
        <v>2555</v>
      </c>
      <c r="G217" s="116" t="str">
        <f>HYPERLINK("http://nsgreg.nga.mil/genc/view?v=200721&amp;end_month=3&amp;end_day=31&amp;end_year=2014","Vorarlberg")</f>
        <v>Vorarlberg</v>
      </c>
      <c r="H217" s="87" t="str">
        <f>HYPERLINK("http://api.nsgreg.nga.mil/geo-division/GENC/6/ed2/AT-8","AT-8")</f>
        <v>AT-8</v>
      </c>
    </row>
    <row r="218" spans="1:8" x14ac:dyDescent="0.2">
      <c r="A218" s="158"/>
      <c r="B218" s="58" t="s">
        <v>2556</v>
      </c>
      <c r="C218" s="58" t="s">
        <v>2557</v>
      </c>
      <c r="D218" s="58" t="s">
        <v>2512</v>
      </c>
      <c r="E218" s="62" t="b">
        <v>1</v>
      </c>
      <c r="F218" s="111" t="s">
        <v>2558</v>
      </c>
      <c r="G218" s="117" t="str">
        <f>HYPERLINK("http://nsgreg.nga.mil/genc/view?v=200722&amp;end_month=3&amp;end_day=31&amp;end_year=2014","Wien")</f>
        <v>Wien</v>
      </c>
      <c r="H218" s="89" t="str">
        <f>HYPERLINK("http://api.nsgreg.nga.mil/geo-division/GENC/6/ed2/AT-9","AT-9")</f>
        <v>AT-9</v>
      </c>
    </row>
    <row r="219" spans="1:8" x14ac:dyDescent="0.2">
      <c r="A219" s="156" t="str">
        <f>HYPERLINK("[#]Geopolitical_Entities!A20:I20","AZERBAIJAN")</f>
        <v>AZERBAIJAN</v>
      </c>
      <c r="B219" s="52" t="s">
        <v>2559</v>
      </c>
      <c r="C219" s="52" t="s">
        <v>2560</v>
      </c>
      <c r="D219" s="52" t="s">
        <v>2026</v>
      </c>
      <c r="E219" s="60" t="b">
        <v>1</v>
      </c>
      <c r="F219" s="110" t="s">
        <v>2561</v>
      </c>
      <c r="G219" s="118" t="str">
        <f>HYPERLINK("http://nsgreg.nga.mil/genc/view?v=200723&amp;end_month=3&amp;end_day=31&amp;end_year=2014","Abşeron")</f>
        <v>Abşeron</v>
      </c>
      <c r="H219" s="91" t="str">
        <f>HYPERLINK("http://api.nsgreg.nga.mil/geo-division/GENC/6/ed2/AZ-ABS","AZ-ABS")</f>
        <v>AZ-ABS</v>
      </c>
    </row>
    <row r="220" spans="1:8" x14ac:dyDescent="0.2">
      <c r="A220" s="157"/>
      <c r="B220" s="31" t="s">
        <v>2562</v>
      </c>
      <c r="C220" s="31" t="s">
        <v>2563</v>
      </c>
      <c r="D220" s="31" t="s">
        <v>2026</v>
      </c>
      <c r="E220" s="61" t="b">
        <v>1</v>
      </c>
      <c r="F220" s="107" t="s">
        <v>2564</v>
      </c>
      <c r="G220" s="116" t="str">
        <f>HYPERLINK("http://nsgreg.nga.mil/genc/view?v=200725&amp;end_month=3&amp;end_day=31&amp;end_year=2014","Ağcabədi")</f>
        <v>Ağcabədi</v>
      </c>
      <c r="H220" s="87" t="str">
        <f>HYPERLINK("http://api.nsgreg.nga.mil/geo-division/GENC/6/ed2/AZ-AGC","AZ-AGC")</f>
        <v>AZ-AGC</v>
      </c>
    </row>
    <row r="221" spans="1:8" x14ac:dyDescent="0.2">
      <c r="A221" s="157"/>
      <c r="B221" s="31" t="s">
        <v>2565</v>
      </c>
      <c r="C221" s="31" t="s">
        <v>2566</v>
      </c>
      <c r="D221" s="31" t="s">
        <v>2026</v>
      </c>
      <c r="E221" s="61" t="b">
        <v>1</v>
      </c>
      <c r="F221" s="107" t="s">
        <v>2567</v>
      </c>
      <c r="G221" s="116" t="str">
        <f>HYPERLINK("http://nsgreg.nga.mil/genc/view?v=200726&amp;end_month=3&amp;end_day=31&amp;end_year=2014","Ağdam")</f>
        <v>Ağdam</v>
      </c>
      <c r="H221" s="87" t="str">
        <f>HYPERLINK("http://api.nsgreg.nga.mil/geo-division/GENC/6/ed2/AZ-AGM","AZ-AGM")</f>
        <v>AZ-AGM</v>
      </c>
    </row>
    <row r="222" spans="1:8" x14ac:dyDescent="0.2">
      <c r="A222" s="157"/>
      <c r="B222" s="31" t="s">
        <v>2568</v>
      </c>
      <c r="C222" s="31" t="s">
        <v>2569</v>
      </c>
      <c r="D222" s="31" t="s">
        <v>2026</v>
      </c>
      <c r="E222" s="61" t="b">
        <v>1</v>
      </c>
      <c r="F222" s="107" t="s">
        <v>2570</v>
      </c>
      <c r="G222" s="116" t="str">
        <f>HYPERLINK("http://nsgreg.nga.mil/genc/view?v=200727&amp;end_month=3&amp;end_day=31&amp;end_year=2014","Ağdaş")</f>
        <v>Ağdaş</v>
      </c>
      <c r="H222" s="87" t="str">
        <f>HYPERLINK("http://api.nsgreg.nga.mil/geo-division/GENC/6/ed2/AZ-AGS","AZ-AGS")</f>
        <v>AZ-AGS</v>
      </c>
    </row>
    <row r="223" spans="1:8" x14ac:dyDescent="0.2">
      <c r="A223" s="157"/>
      <c r="B223" s="31" t="s">
        <v>2571</v>
      </c>
      <c r="C223" s="31" t="s">
        <v>2572</v>
      </c>
      <c r="D223" s="31" t="s">
        <v>2026</v>
      </c>
      <c r="E223" s="61" t="b">
        <v>1</v>
      </c>
      <c r="F223" s="107" t="s">
        <v>2573</v>
      </c>
      <c r="G223" s="116" t="str">
        <f>HYPERLINK("http://nsgreg.nga.mil/genc/view?v=200724&amp;end_month=3&amp;end_day=31&amp;end_year=2014","Ağstafa")</f>
        <v>Ağstafa</v>
      </c>
      <c r="H223" s="87" t="str">
        <f>HYPERLINK("http://api.nsgreg.nga.mil/geo-division/GENC/6/ed2/AZ-AGA","AZ-AGA")</f>
        <v>AZ-AGA</v>
      </c>
    </row>
    <row r="224" spans="1:8" x14ac:dyDescent="0.2">
      <c r="A224" s="157"/>
      <c r="B224" s="31" t="s">
        <v>2574</v>
      </c>
      <c r="C224" s="31" t="s">
        <v>2575</v>
      </c>
      <c r="D224" s="31" t="s">
        <v>2026</v>
      </c>
      <c r="E224" s="61" t="b">
        <v>1</v>
      </c>
      <c r="F224" s="107" t="s">
        <v>2576</v>
      </c>
      <c r="G224" s="116" t="str">
        <f>HYPERLINK("http://nsgreg.nga.mil/genc/view?v=200728&amp;end_month=3&amp;end_day=31&amp;end_year=2014","Ağsu")</f>
        <v>Ağsu</v>
      </c>
      <c r="H224" s="87" t="str">
        <f>HYPERLINK("http://api.nsgreg.nga.mil/geo-division/GENC/6/ed2/AZ-AGU","AZ-AGU")</f>
        <v>AZ-AGU</v>
      </c>
    </row>
    <row r="225" spans="1:8" x14ac:dyDescent="0.2">
      <c r="A225" s="157"/>
      <c r="B225" s="31" t="s">
        <v>2577</v>
      </c>
      <c r="C225" s="31" t="s">
        <v>2578</v>
      </c>
      <c r="D225" s="31" t="s">
        <v>2026</v>
      </c>
      <c r="E225" s="61" t="b">
        <v>1</v>
      </c>
      <c r="F225" s="107" t="s">
        <v>2579</v>
      </c>
      <c r="G225" s="116" t="str">
        <f>HYPERLINK("http://nsgreg.nga.mil/genc/view?v=200729&amp;end_month=3&amp;end_day=31&amp;end_year=2014","Astara")</f>
        <v>Astara</v>
      </c>
      <c r="H225" s="87" t="str">
        <f>HYPERLINK("http://api.nsgreg.nga.mil/geo-division/GENC/6/ed2/AZ-AST","AZ-AST")</f>
        <v>AZ-AST</v>
      </c>
    </row>
    <row r="226" spans="1:8" x14ac:dyDescent="0.2">
      <c r="A226" s="157"/>
      <c r="B226" s="31" t="s">
        <v>2580</v>
      </c>
      <c r="C226" s="31" t="s">
        <v>2581</v>
      </c>
      <c r="D226" s="31" t="s">
        <v>2026</v>
      </c>
      <c r="E226" s="61" t="b">
        <v>1</v>
      </c>
      <c r="F226" s="107" t="s">
        <v>2582</v>
      </c>
      <c r="G226" s="116" t="str">
        <f>HYPERLINK("http://nsgreg.nga.mil/genc/view?v=200731&amp;end_month=3&amp;end_day=31&amp;end_year=2014","Babək")</f>
        <v>Babək</v>
      </c>
      <c r="H226" s="87" t="str">
        <f>HYPERLINK("http://api.nsgreg.nga.mil/geo-division/GENC/6/ed2/AZ-BAB","AZ-BAB")</f>
        <v>AZ-BAB</v>
      </c>
    </row>
    <row r="227" spans="1:8" x14ac:dyDescent="0.2">
      <c r="A227" s="157"/>
      <c r="B227" s="31" t="s">
        <v>2583</v>
      </c>
      <c r="C227" s="31" t="s">
        <v>2584</v>
      </c>
      <c r="D227" s="31" t="s">
        <v>2405</v>
      </c>
      <c r="E227" s="61" t="b">
        <v>1</v>
      </c>
      <c r="F227" s="107" t="s">
        <v>2585</v>
      </c>
      <c r="G227" s="116" t="str">
        <f>HYPERLINK("http://nsgreg.nga.mil/genc/view?v=200730&amp;end_month=3&amp;end_day=31&amp;end_year=2014","Bakı")</f>
        <v>Bakı</v>
      </c>
      <c r="H227" s="87" t="str">
        <f>HYPERLINK("http://api.nsgreg.nga.mil/geo-division/GENC/6/ed2/AZ-BA","AZ-BA")</f>
        <v>AZ-BA</v>
      </c>
    </row>
    <row r="228" spans="1:8" x14ac:dyDescent="0.2">
      <c r="A228" s="157"/>
      <c r="B228" s="31" t="s">
        <v>2586</v>
      </c>
      <c r="C228" s="31" t="s">
        <v>2587</v>
      </c>
      <c r="D228" s="31" t="s">
        <v>2026</v>
      </c>
      <c r="E228" s="61" t="b">
        <v>1</v>
      </c>
      <c r="F228" s="107" t="s">
        <v>2588</v>
      </c>
      <c r="G228" s="116" t="str">
        <f>HYPERLINK("http://nsgreg.nga.mil/genc/view?v=200732&amp;end_month=3&amp;end_day=31&amp;end_year=2014","Balakən")</f>
        <v>Balakən</v>
      </c>
      <c r="H228" s="87" t="str">
        <f>HYPERLINK("http://api.nsgreg.nga.mil/geo-division/GENC/6/ed2/AZ-BAL","AZ-BAL")</f>
        <v>AZ-BAL</v>
      </c>
    </row>
    <row r="229" spans="1:8" x14ac:dyDescent="0.2">
      <c r="A229" s="157"/>
      <c r="B229" s="31" t="s">
        <v>2589</v>
      </c>
      <c r="C229" s="31" t="s">
        <v>2590</v>
      </c>
      <c r="D229" s="31" t="s">
        <v>2026</v>
      </c>
      <c r="E229" s="61" t="b">
        <v>1</v>
      </c>
      <c r="F229" s="107" t="s">
        <v>2591</v>
      </c>
      <c r="G229" s="116" t="str">
        <f>HYPERLINK("http://nsgreg.nga.mil/genc/view?v=200733&amp;end_month=3&amp;end_day=31&amp;end_year=2014","Bərdə")</f>
        <v>Bərdə</v>
      </c>
      <c r="H229" s="87" t="str">
        <f>HYPERLINK("http://api.nsgreg.nga.mil/geo-division/GENC/6/ed2/AZ-BAR","AZ-BAR")</f>
        <v>AZ-BAR</v>
      </c>
    </row>
    <row r="230" spans="1:8" x14ac:dyDescent="0.2">
      <c r="A230" s="157"/>
      <c r="B230" s="31" t="s">
        <v>2592</v>
      </c>
      <c r="C230" s="31" t="s">
        <v>2593</v>
      </c>
      <c r="D230" s="31" t="s">
        <v>2026</v>
      </c>
      <c r="E230" s="61" t="b">
        <v>1</v>
      </c>
      <c r="F230" s="107" t="s">
        <v>2594</v>
      </c>
      <c r="G230" s="116" t="str">
        <f>HYPERLINK("http://nsgreg.nga.mil/genc/view?v=200734&amp;end_month=3&amp;end_day=31&amp;end_year=2014","Beyləqan")</f>
        <v>Beyləqan</v>
      </c>
      <c r="H230" s="87" t="str">
        <f>HYPERLINK("http://api.nsgreg.nga.mil/geo-division/GENC/6/ed2/AZ-BEY","AZ-BEY")</f>
        <v>AZ-BEY</v>
      </c>
    </row>
    <row r="231" spans="1:8" x14ac:dyDescent="0.2">
      <c r="A231" s="157"/>
      <c r="B231" s="31" t="s">
        <v>2595</v>
      </c>
      <c r="C231" s="31" t="s">
        <v>2596</v>
      </c>
      <c r="D231" s="31" t="s">
        <v>2026</v>
      </c>
      <c r="E231" s="61" t="b">
        <v>1</v>
      </c>
      <c r="F231" s="107" t="s">
        <v>2597</v>
      </c>
      <c r="G231" s="116" t="str">
        <f>HYPERLINK("http://nsgreg.nga.mil/genc/view?v=200735&amp;end_month=3&amp;end_day=31&amp;end_year=2014","Biləsuvar")</f>
        <v>Biləsuvar</v>
      </c>
      <c r="H231" s="87" t="str">
        <f>HYPERLINK("http://api.nsgreg.nga.mil/geo-division/GENC/6/ed2/AZ-BIL","AZ-BIL")</f>
        <v>AZ-BIL</v>
      </c>
    </row>
    <row r="232" spans="1:8" x14ac:dyDescent="0.2">
      <c r="A232" s="157"/>
      <c r="B232" s="31" t="s">
        <v>2598</v>
      </c>
      <c r="C232" s="31" t="s">
        <v>2599</v>
      </c>
      <c r="D232" s="31" t="s">
        <v>2026</v>
      </c>
      <c r="E232" s="61" t="b">
        <v>1</v>
      </c>
      <c r="F232" s="107" t="s">
        <v>2600</v>
      </c>
      <c r="G232" s="116" t="str">
        <f>HYPERLINK("http://nsgreg.nga.mil/genc/view?v=200736&amp;end_month=3&amp;end_day=31&amp;end_year=2014","Cəbrayıl")</f>
        <v>Cəbrayıl</v>
      </c>
      <c r="H232" s="87" t="str">
        <f>HYPERLINK("http://api.nsgreg.nga.mil/geo-division/GENC/6/ed2/AZ-CAB","AZ-CAB")</f>
        <v>AZ-CAB</v>
      </c>
    </row>
    <row r="233" spans="1:8" x14ac:dyDescent="0.2">
      <c r="A233" s="157"/>
      <c r="B233" s="31" t="s">
        <v>2601</v>
      </c>
      <c r="C233" s="31" t="s">
        <v>2602</v>
      </c>
      <c r="D233" s="31" t="s">
        <v>2026</v>
      </c>
      <c r="E233" s="61" t="b">
        <v>1</v>
      </c>
      <c r="F233" s="107" t="s">
        <v>2603</v>
      </c>
      <c r="G233" s="116" t="str">
        <f>HYPERLINK("http://nsgreg.nga.mil/genc/view?v=200737&amp;end_month=3&amp;end_day=31&amp;end_year=2014","Cəlilabad")</f>
        <v>Cəlilabad</v>
      </c>
      <c r="H233" s="87" t="str">
        <f>HYPERLINK("http://api.nsgreg.nga.mil/geo-division/GENC/6/ed2/AZ-CAL","AZ-CAL")</f>
        <v>AZ-CAL</v>
      </c>
    </row>
    <row r="234" spans="1:8" x14ac:dyDescent="0.2">
      <c r="A234" s="157"/>
      <c r="B234" s="31" t="s">
        <v>2604</v>
      </c>
      <c r="C234" s="31" t="s">
        <v>2605</v>
      </c>
      <c r="D234" s="31" t="s">
        <v>2026</v>
      </c>
      <c r="E234" s="61" t="b">
        <v>1</v>
      </c>
      <c r="F234" s="107" t="s">
        <v>2606</v>
      </c>
      <c r="G234" s="116" t="str">
        <f>HYPERLINK("http://nsgreg.nga.mil/genc/view?v=200738&amp;end_month=3&amp;end_day=31&amp;end_year=2014","Culfa")</f>
        <v>Culfa</v>
      </c>
      <c r="H234" s="87" t="str">
        <f>HYPERLINK("http://api.nsgreg.nga.mil/geo-division/GENC/6/ed2/AZ-CUL","AZ-CUL")</f>
        <v>AZ-CUL</v>
      </c>
    </row>
    <row r="235" spans="1:8" x14ac:dyDescent="0.2">
      <c r="A235" s="157"/>
      <c r="B235" s="31" t="s">
        <v>2607</v>
      </c>
      <c r="C235" s="31" t="s">
        <v>2608</v>
      </c>
      <c r="D235" s="31" t="s">
        <v>2026</v>
      </c>
      <c r="E235" s="61" t="b">
        <v>1</v>
      </c>
      <c r="F235" s="107" t="s">
        <v>2609</v>
      </c>
      <c r="G235" s="116" t="str">
        <f>HYPERLINK("http://nsgreg.nga.mil/genc/view?v=200739&amp;end_month=3&amp;end_day=31&amp;end_year=2014","Daşkəsən")</f>
        <v>Daşkəsən</v>
      </c>
      <c r="H235" s="87" t="str">
        <f>HYPERLINK("http://api.nsgreg.nga.mil/geo-division/GENC/6/ed2/AZ-DAS","AZ-DAS")</f>
        <v>AZ-DAS</v>
      </c>
    </row>
    <row r="236" spans="1:8" x14ac:dyDescent="0.2">
      <c r="A236" s="157"/>
      <c r="B236" s="31" t="s">
        <v>2610</v>
      </c>
      <c r="C236" s="31" t="s">
        <v>2611</v>
      </c>
      <c r="D236" s="31" t="s">
        <v>2026</v>
      </c>
      <c r="E236" s="61" t="b">
        <v>1</v>
      </c>
      <c r="F236" s="107" t="s">
        <v>2612</v>
      </c>
      <c r="G236" s="116" t="str">
        <f>HYPERLINK("http://nsgreg.nga.mil/genc/view?v=200740&amp;end_month=3&amp;end_day=31&amp;end_year=2014","Füzuli")</f>
        <v>Füzuli</v>
      </c>
      <c r="H236" s="87" t="str">
        <f>HYPERLINK("http://api.nsgreg.nga.mil/geo-division/GENC/6/ed2/AZ-FUZ","AZ-FUZ")</f>
        <v>AZ-FUZ</v>
      </c>
    </row>
    <row r="237" spans="1:8" x14ac:dyDescent="0.2">
      <c r="A237" s="157"/>
      <c r="B237" s="31" t="s">
        <v>2613</v>
      </c>
      <c r="C237" s="31" t="s">
        <v>2614</v>
      </c>
      <c r="D237" s="31" t="s">
        <v>2026</v>
      </c>
      <c r="E237" s="61" t="b">
        <v>1</v>
      </c>
      <c r="F237" s="107" t="s">
        <v>2615</v>
      </c>
      <c r="G237" s="116" t="str">
        <f>HYPERLINK("http://nsgreg.nga.mil/genc/view?v=200742&amp;end_month=3&amp;end_day=31&amp;end_year=2014","Gədəbəy")</f>
        <v>Gədəbəy</v>
      </c>
      <c r="H237" s="87" t="str">
        <f>HYPERLINK("http://api.nsgreg.nga.mil/geo-division/GENC/6/ed2/AZ-GAD","AZ-GAD")</f>
        <v>AZ-GAD</v>
      </c>
    </row>
    <row r="238" spans="1:8" x14ac:dyDescent="0.2">
      <c r="A238" s="157"/>
      <c r="B238" s="31" t="s">
        <v>2616</v>
      </c>
      <c r="C238" s="31" t="s">
        <v>2617</v>
      </c>
      <c r="D238" s="31" t="s">
        <v>2405</v>
      </c>
      <c r="E238" s="61" t="b">
        <v>1</v>
      </c>
      <c r="F238" s="107" t="s">
        <v>2618</v>
      </c>
      <c r="G238" s="116" t="str">
        <f>HYPERLINK("http://nsgreg.nga.mil/genc/view?v=200741&amp;end_month=3&amp;end_day=31&amp;end_year=2014","Gəncə")</f>
        <v>Gəncə</v>
      </c>
      <c r="H238" s="87" t="str">
        <f>HYPERLINK("http://api.nsgreg.nga.mil/geo-division/GENC/6/ed2/AZ-GA","AZ-GA")</f>
        <v>AZ-GA</v>
      </c>
    </row>
    <row r="239" spans="1:8" x14ac:dyDescent="0.2">
      <c r="A239" s="157"/>
      <c r="B239" s="31" t="s">
        <v>2619</v>
      </c>
      <c r="C239" s="31" t="s">
        <v>2620</v>
      </c>
      <c r="D239" s="31" t="s">
        <v>2026</v>
      </c>
      <c r="E239" s="61" t="b">
        <v>1</v>
      </c>
      <c r="F239" s="107" t="s">
        <v>2621</v>
      </c>
      <c r="G239" s="116" t="str">
        <f>HYPERLINK("http://nsgreg.nga.mil/genc/view?v=200743&amp;end_month=3&amp;end_day=31&amp;end_year=2014","Goranboy")</f>
        <v>Goranboy</v>
      </c>
      <c r="H239" s="87" t="str">
        <f>HYPERLINK("http://api.nsgreg.nga.mil/geo-division/GENC/6/ed2/AZ-GOR","AZ-GOR")</f>
        <v>AZ-GOR</v>
      </c>
    </row>
    <row r="240" spans="1:8" x14ac:dyDescent="0.2">
      <c r="A240" s="157"/>
      <c r="B240" s="31" t="s">
        <v>2622</v>
      </c>
      <c r="C240" s="31" t="s">
        <v>2623</v>
      </c>
      <c r="D240" s="31" t="s">
        <v>2026</v>
      </c>
      <c r="E240" s="61" t="b">
        <v>1</v>
      </c>
      <c r="F240" s="107" t="s">
        <v>2624</v>
      </c>
      <c r="G240" s="116" t="str">
        <f>HYPERLINK("http://nsgreg.nga.mil/genc/view?v=200744&amp;end_month=3&amp;end_day=31&amp;end_year=2014","Göyçay")</f>
        <v>Göyçay</v>
      </c>
      <c r="H240" s="87" t="str">
        <f>HYPERLINK("http://api.nsgreg.nga.mil/geo-division/GENC/6/ed2/AZ-GOY","AZ-GOY")</f>
        <v>AZ-GOY</v>
      </c>
    </row>
    <row r="241" spans="1:8" x14ac:dyDescent="0.2">
      <c r="A241" s="157"/>
      <c r="B241" s="31" t="s">
        <v>2625</v>
      </c>
      <c r="C241" s="31" t="s">
        <v>2626</v>
      </c>
      <c r="D241" s="31" t="s">
        <v>2026</v>
      </c>
      <c r="E241" s="61" t="b">
        <v>1</v>
      </c>
      <c r="F241" s="107" t="s">
        <v>2627</v>
      </c>
      <c r="G241" s="116" t="str">
        <f>HYPERLINK("http://nsgreg.nga.mil/genc/view?v=200745&amp;end_month=3&amp;end_day=31&amp;end_year=2014","Göygöl")</f>
        <v>Göygöl</v>
      </c>
      <c r="H241" s="87" t="str">
        <f>HYPERLINK("http://api.nsgreg.nga.mil/geo-division/GENC/6/ed2/AZ-GYG","AZ-GYG")</f>
        <v>AZ-GYG</v>
      </c>
    </row>
    <row r="242" spans="1:8" x14ac:dyDescent="0.2">
      <c r="A242" s="157"/>
      <c r="B242" s="31" t="s">
        <v>2628</v>
      </c>
      <c r="C242" s="31" t="s">
        <v>2629</v>
      </c>
      <c r="D242" s="31" t="s">
        <v>2026</v>
      </c>
      <c r="E242" s="61" t="b">
        <v>1</v>
      </c>
      <c r="F242" s="107" t="s">
        <v>2630</v>
      </c>
      <c r="G242" s="116" t="str">
        <f>HYPERLINK("http://nsgreg.nga.mil/genc/view?v=200746&amp;end_month=3&amp;end_day=31&amp;end_year=2014","Hacıqabul")</f>
        <v>Hacıqabul</v>
      </c>
      <c r="H242" s="87" t="str">
        <f>HYPERLINK("http://api.nsgreg.nga.mil/geo-division/GENC/6/ed2/AZ-HAC","AZ-HAC")</f>
        <v>AZ-HAC</v>
      </c>
    </row>
    <row r="243" spans="1:8" x14ac:dyDescent="0.2">
      <c r="A243" s="157"/>
      <c r="B243" s="31" t="s">
        <v>2631</v>
      </c>
      <c r="C243" s="31" t="s">
        <v>2632</v>
      </c>
      <c r="D243" s="31" t="s">
        <v>2026</v>
      </c>
      <c r="E243" s="61" t="b">
        <v>1</v>
      </c>
      <c r="F243" s="107" t="s">
        <v>2633</v>
      </c>
      <c r="G243" s="116" t="str">
        <f>HYPERLINK("http://nsgreg.nga.mil/genc/view?v=200747&amp;end_month=3&amp;end_day=31&amp;end_year=2014","İmişli")</f>
        <v>İmişli</v>
      </c>
      <c r="H243" s="87" t="str">
        <f>HYPERLINK("http://api.nsgreg.nga.mil/geo-division/GENC/6/ed2/AZ-IMI","AZ-IMI")</f>
        <v>AZ-IMI</v>
      </c>
    </row>
    <row r="244" spans="1:8" x14ac:dyDescent="0.2">
      <c r="A244" s="157"/>
      <c r="B244" s="31" t="s">
        <v>2634</v>
      </c>
      <c r="C244" s="31" t="s">
        <v>2635</v>
      </c>
      <c r="D244" s="31" t="s">
        <v>2026</v>
      </c>
      <c r="E244" s="61" t="b">
        <v>1</v>
      </c>
      <c r="F244" s="107" t="s">
        <v>2636</v>
      </c>
      <c r="G244" s="116" t="str">
        <f>HYPERLINK("http://nsgreg.nga.mil/genc/view?v=200748&amp;end_month=3&amp;end_day=31&amp;end_year=2014","İsmayıllı")</f>
        <v>İsmayıllı</v>
      </c>
      <c r="H244" s="87" t="str">
        <f>HYPERLINK("http://api.nsgreg.nga.mil/geo-division/GENC/6/ed2/AZ-ISM","AZ-ISM")</f>
        <v>AZ-ISM</v>
      </c>
    </row>
    <row r="245" spans="1:8" x14ac:dyDescent="0.2">
      <c r="A245" s="157"/>
      <c r="B245" s="31" t="s">
        <v>2637</v>
      </c>
      <c r="C245" s="31" t="s">
        <v>2638</v>
      </c>
      <c r="D245" s="31" t="s">
        <v>2026</v>
      </c>
      <c r="E245" s="61" t="b">
        <v>1</v>
      </c>
      <c r="F245" s="107" t="s">
        <v>2639</v>
      </c>
      <c r="G245" s="116" t="str">
        <f>HYPERLINK("http://nsgreg.nga.mil/genc/view?v=200749&amp;end_month=3&amp;end_day=31&amp;end_year=2014","Kəlbəcər")</f>
        <v>Kəlbəcər</v>
      </c>
      <c r="H245" s="87" t="str">
        <f>HYPERLINK("http://api.nsgreg.nga.mil/geo-division/GENC/6/ed2/AZ-KAL","AZ-KAL")</f>
        <v>AZ-KAL</v>
      </c>
    </row>
    <row r="246" spans="1:8" x14ac:dyDescent="0.2">
      <c r="A246" s="157"/>
      <c r="B246" s="31" t="s">
        <v>2640</v>
      </c>
      <c r="C246" s="31" t="s">
        <v>2641</v>
      </c>
      <c r="D246" s="31" t="s">
        <v>2026</v>
      </c>
      <c r="E246" s="61" t="b">
        <v>1</v>
      </c>
      <c r="F246" s="107" t="s">
        <v>2642</v>
      </c>
      <c r="G246" s="116" t="str">
        <f>HYPERLINK("http://nsgreg.nga.mil/genc/view?v=200750&amp;end_month=3&amp;end_day=31&amp;end_year=2014","Kəngərli")</f>
        <v>Kəngərli</v>
      </c>
      <c r="H246" s="87" t="str">
        <f>HYPERLINK("http://api.nsgreg.nga.mil/geo-division/GENC/6/ed2/AZ-KAN","AZ-KAN")</f>
        <v>AZ-KAN</v>
      </c>
    </row>
    <row r="247" spans="1:8" x14ac:dyDescent="0.2">
      <c r="A247" s="157"/>
      <c r="B247" s="31" t="s">
        <v>2643</v>
      </c>
      <c r="C247" s="31" t="s">
        <v>2644</v>
      </c>
      <c r="D247" s="31" t="s">
        <v>2026</v>
      </c>
      <c r="E247" s="61" t="b">
        <v>1</v>
      </c>
      <c r="F247" s="107" t="s">
        <v>2645</v>
      </c>
      <c r="G247" s="116" t="str">
        <f>HYPERLINK("http://nsgreg.nga.mil/genc/view?v=200751&amp;end_month=3&amp;end_day=31&amp;end_year=2014","Kürdəmir")</f>
        <v>Kürdəmir</v>
      </c>
      <c r="H247" s="87" t="str">
        <f>HYPERLINK("http://api.nsgreg.nga.mil/geo-division/GENC/6/ed2/AZ-KUR","AZ-KUR")</f>
        <v>AZ-KUR</v>
      </c>
    </row>
    <row r="248" spans="1:8" x14ac:dyDescent="0.2">
      <c r="A248" s="157"/>
      <c r="B248" s="31" t="s">
        <v>2646</v>
      </c>
      <c r="C248" s="31" t="s">
        <v>2647</v>
      </c>
      <c r="D248" s="31" t="s">
        <v>2026</v>
      </c>
      <c r="E248" s="61" t="b">
        <v>1</v>
      </c>
      <c r="F248" s="107" t="s">
        <v>2648</v>
      </c>
      <c r="G248" s="116" t="str">
        <f>HYPERLINK("http://nsgreg.nga.mil/genc/view?v=200753&amp;end_month=3&amp;end_day=31&amp;end_year=2014","Laçın")</f>
        <v>Laçın</v>
      </c>
      <c r="H248" s="87" t="str">
        <f>HYPERLINK("http://api.nsgreg.nga.mil/geo-division/GENC/6/ed2/AZ-LAC","AZ-LAC")</f>
        <v>AZ-LAC</v>
      </c>
    </row>
    <row r="249" spans="1:8" x14ac:dyDescent="0.2">
      <c r="A249" s="157"/>
      <c r="B249" s="31" t="s">
        <v>2649</v>
      </c>
      <c r="C249" s="31" t="s">
        <v>2650</v>
      </c>
      <c r="D249" s="31" t="s">
        <v>2405</v>
      </c>
      <c r="E249" s="61" t="b">
        <v>1</v>
      </c>
      <c r="F249" s="107" t="s">
        <v>2651</v>
      </c>
      <c r="G249" s="116" t="str">
        <f>HYPERLINK("http://nsgreg.nga.mil/genc/view?v=200752&amp;end_month=3&amp;end_day=31&amp;end_year=2014","Lənkəran")</f>
        <v>Lənkəran</v>
      </c>
      <c r="H249" s="87" t="str">
        <f>HYPERLINK("http://api.nsgreg.nga.mil/geo-division/GENC/6/ed2/AZ-LA","AZ-LA")</f>
        <v>AZ-LA</v>
      </c>
    </row>
    <row r="250" spans="1:8" x14ac:dyDescent="0.2">
      <c r="A250" s="157"/>
      <c r="B250" s="31" t="s">
        <v>2652</v>
      </c>
      <c r="C250" s="31" t="s">
        <v>2650</v>
      </c>
      <c r="D250" s="31" t="s">
        <v>2026</v>
      </c>
      <c r="E250" s="61" t="b">
        <v>1</v>
      </c>
      <c r="F250" s="107" t="s">
        <v>2653</v>
      </c>
      <c r="G250" s="116" t="str">
        <f>HYPERLINK("http://nsgreg.nga.mil/genc/view?v=200754&amp;end_month=3&amp;end_day=31&amp;end_year=2014","Lənkəran")</f>
        <v>Lənkəran</v>
      </c>
      <c r="H250" s="87" t="str">
        <f>HYPERLINK("http://api.nsgreg.nga.mil/geo-division/GENC/6/ed2/AZ-LAN","AZ-LAN")</f>
        <v>AZ-LAN</v>
      </c>
    </row>
    <row r="251" spans="1:8" x14ac:dyDescent="0.2">
      <c r="A251" s="157"/>
      <c r="B251" s="31" t="s">
        <v>2654</v>
      </c>
      <c r="C251" s="31" t="s">
        <v>2655</v>
      </c>
      <c r="D251" s="31" t="s">
        <v>2026</v>
      </c>
      <c r="E251" s="61" t="b">
        <v>1</v>
      </c>
      <c r="F251" s="107" t="s">
        <v>2656</v>
      </c>
      <c r="G251" s="116" t="str">
        <f>HYPERLINK("http://nsgreg.nga.mil/genc/view?v=200755&amp;end_month=3&amp;end_day=31&amp;end_year=2014","Lerik")</f>
        <v>Lerik</v>
      </c>
      <c r="H251" s="87" t="str">
        <f>HYPERLINK("http://api.nsgreg.nga.mil/geo-division/GENC/6/ed2/AZ-LER","AZ-LER")</f>
        <v>AZ-LER</v>
      </c>
    </row>
    <row r="252" spans="1:8" x14ac:dyDescent="0.2">
      <c r="A252" s="157"/>
      <c r="B252" s="31" t="s">
        <v>2657</v>
      </c>
      <c r="C252" s="31" t="s">
        <v>2658</v>
      </c>
      <c r="D252" s="31" t="s">
        <v>2026</v>
      </c>
      <c r="E252" s="61" t="b">
        <v>1</v>
      </c>
      <c r="F252" s="107" t="s">
        <v>2659</v>
      </c>
      <c r="G252" s="116" t="str">
        <f>HYPERLINK("http://nsgreg.nga.mil/genc/view?v=200756&amp;end_month=3&amp;end_day=31&amp;end_year=2014","Masallı")</f>
        <v>Masallı</v>
      </c>
      <c r="H252" s="87" t="str">
        <f>HYPERLINK("http://api.nsgreg.nga.mil/geo-division/GENC/6/ed2/AZ-MAS","AZ-MAS")</f>
        <v>AZ-MAS</v>
      </c>
    </row>
    <row r="253" spans="1:8" x14ac:dyDescent="0.2">
      <c r="A253" s="157"/>
      <c r="B253" s="31" t="s">
        <v>2660</v>
      </c>
      <c r="C253" s="31" t="s">
        <v>2661</v>
      </c>
      <c r="D253" s="31" t="s">
        <v>2405</v>
      </c>
      <c r="E253" s="61" t="b">
        <v>1</v>
      </c>
      <c r="F253" s="107" t="s">
        <v>2662</v>
      </c>
      <c r="G253" s="116" t="str">
        <f>HYPERLINK("http://nsgreg.nga.mil/genc/view?v=200757&amp;end_month=3&amp;end_day=31&amp;end_year=2014","Mingəçevir")</f>
        <v>Mingəçevir</v>
      </c>
      <c r="H253" s="87" t="str">
        <f>HYPERLINK("http://api.nsgreg.nga.mil/geo-division/GENC/6/ed2/AZ-MI","AZ-MI")</f>
        <v>AZ-MI</v>
      </c>
    </row>
    <row r="254" spans="1:8" x14ac:dyDescent="0.2">
      <c r="A254" s="157"/>
      <c r="B254" s="31" t="s">
        <v>2663</v>
      </c>
      <c r="C254" s="31" t="s">
        <v>2664</v>
      </c>
      <c r="D254" s="31" t="s">
        <v>2405</v>
      </c>
      <c r="E254" s="61" t="b">
        <v>1</v>
      </c>
      <c r="F254" s="107" t="s">
        <v>2665</v>
      </c>
      <c r="G254" s="116" t="str">
        <f>HYPERLINK("http://nsgreg.nga.mil/genc/view?v=200758&amp;end_month=3&amp;end_day=31&amp;end_year=2014","Naftalan")</f>
        <v>Naftalan</v>
      </c>
      <c r="H254" s="87" t="str">
        <f>HYPERLINK("http://api.nsgreg.nga.mil/geo-division/GENC/6/ed2/AZ-NA","AZ-NA")</f>
        <v>AZ-NA</v>
      </c>
    </row>
    <row r="255" spans="1:8" x14ac:dyDescent="0.2">
      <c r="A255" s="157"/>
      <c r="B255" s="31" t="s">
        <v>2666</v>
      </c>
      <c r="C255" s="31" t="s">
        <v>2667</v>
      </c>
      <c r="D255" s="98" t="s">
        <v>2668</v>
      </c>
      <c r="E255" s="99" t="b">
        <v>0</v>
      </c>
      <c r="F255" s="107" t="s">
        <v>2669</v>
      </c>
      <c r="G255" s="116" t="str">
        <f>HYPERLINK("http://nsgreg.nga.mil/genc/view?v=200761&amp;end_month=3&amp;end_day=31&amp;end_year=2014","Naxçıvan")</f>
        <v>Naxçıvan</v>
      </c>
      <c r="H255" s="87" t="str">
        <f>HYPERLINK("http://api.nsgreg.nga.mil/geo-division/GENC/6/ed2/AZ-NX","AZ-NX")</f>
        <v>AZ-NX</v>
      </c>
    </row>
    <row r="256" spans="1:8" x14ac:dyDescent="0.2">
      <c r="A256" s="157"/>
      <c r="B256" s="31" t="s">
        <v>2670</v>
      </c>
      <c r="C256" s="31" t="s">
        <v>2667</v>
      </c>
      <c r="D256" s="31" t="s">
        <v>2405</v>
      </c>
      <c r="E256" s="61" t="b">
        <v>1</v>
      </c>
      <c r="F256" s="107" t="s">
        <v>2671</v>
      </c>
      <c r="G256" s="116" t="str">
        <f>HYPERLINK("http://nsgreg.nga.mil/genc/view?v=200760&amp;end_month=3&amp;end_day=31&amp;end_year=2014","Naxçıvan")</f>
        <v>Naxçıvan</v>
      </c>
      <c r="H256" s="87" t="str">
        <f>HYPERLINK("http://api.nsgreg.nga.mil/geo-division/GENC/6/ed2/AZ-NV","AZ-NV")</f>
        <v>AZ-NV</v>
      </c>
    </row>
    <row r="257" spans="1:8" x14ac:dyDescent="0.2">
      <c r="A257" s="157"/>
      <c r="B257" s="31" t="s">
        <v>2672</v>
      </c>
      <c r="C257" s="31" t="s">
        <v>2673</v>
      </c>
      <c r="D257" s="31" t="s">
        <v>2026</v>
      </c>
      <c r="E257" s="61" t="b">
        <v>1</v>
      </c>
      <c r="F257" s="107" t="s">
        <v>2674</v>
      </c>
      <c r="G257" s="116" t="str">
        <f>HYPERLINK("http://nsgreg.nga.mil/genc/view?v=200759&amp;end_month=3&amp;end_day=31&amp;end_year=2014","Neftçala")</f>
        <v>Neftçala</v>
      </c>
      <c r="H257" s="87" t="str">
        <f>HYPERLINK("http://api.nsgreg.nga.mil/geo-division/GENC/6/ed2/AZ-NEF","AZ-NEF")</f>
        <v>AZ-NEF</v>
      </c>
    </row>
    <row r="258" spans="1:8" x14ac:dyDescent="0.2">
      <c r="A258" s="157"/>
      <c r="B258" s="31" t="s">
        <v>2675</v>
      </c>
      <c r="C258" s="31" t="s">
        <v>2676</v>
      </c>
      <c r="D258" s="31" t="s">
        <v>2026</v>
      </c>
      <c r="E258" s="61" t="b">
        <v>1</v>
      </c>
      <c r="F258" s="107" t="s">
        <v>2677</v>
      </c>
      <c r="G258" s="116" t="str">
        <f>HYPERLINK("http://nsgreg.nga.mil/genc/view?v=200762&amp;end_month=3&amp;end_day=31&amp;end_year=2014","Oğuz")</f>
        <v>Oğuz</v>
      </c>
      <c r="H258" s="87" t="str">
        <f>HYPERLINK("http://api.nsgreg.nga.mil/geo-division/GENC/6/ed2/AZ-OGU","AZ-OGU")</f>
        <v>AZ-OGU</v>
      </c>
    </row>
    <row r="259" spans="1:8" x14ac:dyDescent="0.2">
      <c r="A259" s="157"/>
      <c r="B259" s="31" t="s">
        <v>2678</v>
      </c>
      <c r="C259" s="31" t="s">
        <v>2679</v>
      </c>
      <c r="D259" s="31" t="s">
        <v>2026</v>
      </c>
      <c r="E259" s="61" t="b">
        <v>1</v>
      </c>
      <c r="F259" s="107" t="s">
        <v>2680</v>
      </c>
      <c r="G259" s="116" t="str">
        <f>HYPERLINK("http://nsgreg.nga.mil/genc/view?v=200763&amp;end_month=3&amp;end_day=31&amp;end_year=2014","Ordubad")</f>
        <v>Ordubad</v>
      </c>
      <c r="H259" s="87" t="str">
        <f>HYPERLINK("http://api.nsgreg.nga.mil/geo-division/GENC/6/ed2/AZ-ORD","AZ-ORD")</f>
        <v>AZ-ORD</v>
      </c>
    </row>
    <row r="260" spans="1:8" x14ac:dyDescent="0.2">
      <c r="A260" s="157"/>
      <c r="B260" s="31" t="s">
        <v>2681</v>
      </c>
      <c r="C260" s="31" t="s">
        <v>2682</v>
      </c>
      <c r="D260" s="31" t="s">
        <v>2026</v>
      </c>
      <c r="E260" s="61" t="b">
        <v>1</v>
      </c>
      <c r="F260" s="107" t="s">
        <v>2683</v>
      </c>
      <c r="G260" s="116" t="str">
        <f>HYPERLINK("http://nsgreg.nga.mil/genc/view?v=200764&amp;end_month=3&amp;end_day=31&amp;end_year=2014","Qəbələ")</f>
        <v>Qəbələ</v>
      </c>
      <c r="H260" s="87" t="str">
        <f>HYPERLINK("http://api.nsgreg.nga.mil/geo-division/GENC/6/ed2/AZ-QAB","AZ-QAB")</f>
        <v>AZ-QAB</v>
      </c>
    </row>
    <row r="261" spans="1:8" x14ac:dyDescent="0.2">
      <c r="A261" s="157"/>
      <c r="B261" s="31" t="s">
        <v>2684</v>
      </c>
      <c r="C261" s="31" t="s">
        <v>2685</v>
      </c>
      <c r="D261" s="31" t="s">
        <v>2026</v>
      </c>
      <c r="E261" s="61" t="b">
        <v>1</v>
      </c>
      <c r="F261" s="107" t="s">
        <v>2686</v>
      </c>
      <c r="G261" s="116" t="str">
        <f>HYPERLINK("http://nsgreg.nga.mil/genc/view?v=200765&amp;end_month=3&amp;end_day=31&amp;end_year=2014","Qax")</f>
        <v>Qax</v>
      </c>
      <c r="H261" s="87" t="str">
        <f>HYPERLINK("http://api.nsgreg.nga.mil/geo-division/GENC/6/ed2/AZ-QAX","AZ-QAX")</f>
        <v>AZ-QAX</v>
      </c>
    </row>
    <row r="262" spans="1:8" x14ac:dyDescent="0.2">
      <c r="A262" s="157"/>
      <c r="B262" s="31" t="s">
        <v>2687</v>
      </c>
      <c r="C262" s="31" t="s">
        <v>2688</v>
      </c>
      <c r="D262" s="31" t="s">
        <v>2026</v>
      </c>
      <c r="E262" s="61" t="b">
        <v>1</v>
      </c>
      <c r="F262" s="107" t="s">
        <v>2689</v>
      </c>
      <c r="G262" s="116" t="str">
        <f>HYPERLINK("http://nsgreg.nga.mil/genc/view?v=200766&amp;end_month=3&amp;end_day=31&amp;end_year=2014","Qazax")</f>
        <v>Qazax</v>
      </c>
      <c r="H262" s="87" t="str">
        <f>HYPERLINK("http://api.nsgreg.nga.mil/geo-division/GENC/6/ed2/AZ-QAZ","AZ-QAZ")</f>
        <v>AZ-QAZ</v>
      </c>
    </row>
    <row r="263" spans="1:8" x14ac:dyDescent="0.2">
      <c r="A263" s="157"/>
      <c r="B263" s="31" t="s">
        <v>2690</v>
      </c>
      <c r="C263" s="31" t="s">
        <v>2691</v>
      </c>
      <c r="D263" s="31" t="s">
        <v>2026</v>
      </c>
      <c r="E263" s="61" t="b">
        <v>1</v>
      </c>
      <c r="F263" s="107" t="s">
        <v>2692</v>
      </c>
      <c r="G263" s="116" t="str">
        <f>HYPERLINK("http://nsgreg.nga.mil/genc/view?v=200769&amp;end_month=3&amp;end_day=31&amp;end_year=2014","Qobustan")</f>
        <v>Qobustan</v>
      </c>
      <c r="H263" s="87" t="str">
        <f>HYPERLINK("http://api.nsgreg.nga.mil/geo-division/GENC/6/ed2/AZ-QOB","AZ-QOB")</f>
        <v>AZ-QOB</v>
      </c>
    </row>
    <row r="264" spans="1:8" x14ac:dyDescent="0.2">
      <c r="A264" s="157"/>
      <c r="B264" s="31" t="s">
        <v>2693</v>
      </c>
      <c r="C264" s="31" t="s">
        <v>2694</v>
      </c>
      <c r="D264" s="31" t="s">
        <v>2026</v>
      </c>
      <c r="E264" s="61" t="b">
        <v>1</v>
      </c>
      <c r="F264" s="107" t="s">
        <v>2695</v>
      </c>
      <c r="G264" s="116" t="str">
        <f>HYPERLINK("http://nsgreg.nga.mil/genc/view?v=200767&amp;end_month=3&amp;end_day=31&amp;end_year=2014","Quba")</f>
        <v>Quba</v>
      </c>
      <c r="H264" s="87" t="str">
        <f>HYPERLINK("http://api.nsgreg.nga.mil/geo-division/GENC/6/ed2/AZ-QBA","AZ-QBA")</f>
        <v>AZ-QBA</v>
      </c>
    </row>
    <row r="265" spans="1:8" x14ac:dyDescent="0.2">
      <c r="A265" s="157"/>
      <c r="B265" s="31" t="s">
        <v>2696</v>
      </c>
      <c r="C265" s="31" t="s">
        <v>2697</v>
      </c>
      <c r="D265" s="31" t="s">
        <v>2026</v>
      </c>
      <c r="E265" s="61" t="b">
        <v>1</v>
      </c>
      <c r="F265" s="107" t="s">
        <v>2698</v>
      </c>
      <c r="G265" s="116" t="str">
        <f>HYPERLINK("http://nsgreg.nga.mil/genc/view?v=200768&amp;end_month=3&amp;end_day=31&amp;end_year=2014","Qubadlı")</f>
        <v>Qubadlı</v>
      </c>
      <c r="H265" s="87" t="str">
        <f>HYPERLINK("http://api.nsgreg.nga.mil/geo-division/GENC/6/ed2/AZ-QBI","AZ-QBI")</f>
        <v>AZ-QBI</v>
      </c>
    </row>
    <row r="266" spans="1:8" x14ac:dyDescent="0.2">
      <c r="A266" s="157"/>
      <c r="B266" s="31" t="s">
        <v>2699</v>
      </c>
      <c r="C266" s="31" t="s">
        <v>2700</v>
      </c>
      <c r="D266" s="31" t="s">
        <v>2026</v>
      </c>
      <c r="E266" s="61" t="b">
        <v>1</v>
      </c>
      <c r="F266" s="107" t="s">
        <v>2701</v>
      </c>
      <c r="G266" s="116" t="str">
        <f>HYPERLINK("http://nsgreg.nga.mil/genc/view?v=200770&amp;end_month=3&amp;end_day=31&amp;end_year=2014","Qusar")</f>
        <v>Qusar</v>
      </c>
      <c r="H266" s="87" t="str">
        <f>HYPERLINK("http://api.nsgreg.nga.mil/geo-division/GENC/6/ed2/AZ-QUS","AZ-QUS")</f>
        <v>AZ-QUS</v>
      </c>
    </row>
    <row r="267" spans="1:8" x14ac:dyDescent="0.2">
      <c r="A267" s="157"/>
      <c r="B267" s="31" t="s">
        <v>2702</v>
      </c>
      <c r="C267" s="31" t="s">
        <v>2703</v>
      </c>
      <c r="D267" s="31" t="s">
        <v>2026</v>
      </c>
      <c r="E267" s="61" t="b">
        <v>1</v>
      </c>
      <c r="F267" s="107" t="s">
        <v>2704</v>
      </c>
      <c r="G267" s="116" t="str">
        <f>HYPERLINK("http://nsgreg.nga.mil/genc/view?v=200778&amp;end_month=3&amp;end_day=31&amp;end_year=2014","Saatlı")</f>
        <v>Saatlı</v>
      </c>
      <c r="H267" s="87" t="str">
        <f>HYPERLINK("http://api.nsgreg.nga.mil/geo-division/GENC/6/ed2/AZ-SAT","AZ-SAT")</f>
        <v>AZ-SAT</v>
      </c>
    </row>
    <row r="268" spans="1:8" x14ac:dyDescent="0.2">
      <c r="A268" s="157"/>
      <c r="B268" s="31" t="s">
        <v>2705</v>
      </c>
      <c r="C268" s="31" t="s">
        <v>2706</v>
      </c>
      <c r="D268" s="31" t="s">
        <v>2026</v>
      </c>
      <c r="E268" s="61" t="b">
        <v>1</v>
      </c>
      <c r="F268" s="107" t="s">
        <v>2707</v>
      </c>
      <c r="G268" s="116" t="str">
        <f>HYPERLINK("http://nsgreg.nga.mil/genc/view?v=200772&amp;end_month=3&amp;end_day=31&amp;end_year=2014","Sabirabad")</f>
        <v>Sabirabad</v>
      </c>
      <c r="H268" s="87" t="str">
        <f>HYPERLINK("http://api.nsgreg.nga.mil/geo-division/GENC/6/ed2/AZ-SAB","AZ-SAB")</f>
        <v>AZ-SAB</v>
      </c>
    </row>
    <row r="269" spans="1:8" x14ac:dyDescent="0.2">
      <c r="A269" s="157"/>
      <c r="B269" s="31" t="s">
        <v>2708</v>
      </c>
      <c r="C269" s="31" t="s">
        <v>2709</v>
      </c>
      <c r="D269" s="31" t="s">
        <v>2026</v>
      </c>
      <c r="E269" s="61" t="b">
        <v>1</v>
      </c>
      <c r="F269" s="107" t="s">
        <v>2710</v>
      </c>
      <c r="G269" s="116" t="str">
        <f>HYPERLINK("http://nsgreg.nga.mil/genc/view?v=200779&amp;end_month=3&amp;end_day=31&amp;end_year=2014","Şabran")</f>
        <v>Şabran</v>
      </c>
      <c r="H269" s="87" t="str">
        <f>HYPERLINK("http://api.nsgreg.nga.mil/geo-division/GENC/6/ed2/AZ-SBN","AZ-SBN")</f>
        <v>AZ-SBN</v>
      </c>
    </row>
    <row r="270" spans="1:8" x14ac:dyDescent="0.2">
      <c r="A270" s="157"/>
      <c r="B270" s="31" t="s">
        <v>2711</v>
      </c>
      <c r="C270" s="31" t="s">
        <v>2712</v>
      </c>
      <c r="D270" s="31" t="s">
        <v>2026</v>
      </c>
      <c r="E270" s="61" t="b">
        <v>1</v>
      </c>
      <c r="F270" s="107" t="s">
        <v>2713</v>
      </c>
      <c r="G270" s="116" t="str">
        <f>HYPERLINK("http://nsgreg.nga.mil/genc/view?v=200773&amp;end_month=3&amp;end_day=31&amp;end_year=2014","Sədərək")</f>
        <v>Sədərək</v>
      </c>
      <c r="H270" s="87" t="str">
        <f>HYPERLINK("http://api.nsgreg.nga.mil/geo-division/GENC/6/ed2/AZ-SAD","AZ-SAD")</f>
        <v>AZ-SAD</v>
      </c>
    </row>
    <row r="271" spans="1:8" x14ac:dyDescent="0.2">
      <c r="A271" s="157"/>
      <c r="B271" s="31" t="s">
        <v>2714</v>
      </c>
      <c r="C271" s="31" t="s">
        <v>2715</v>
      </c>
      <c r="D271" s="31" t="s">
        <v>2026</v>
      </c>
      <c r="E271" s="61" t="b">
        <v>1</v>
      </c>
      <c r="F271" s="107" t="s">
        <v>2716</v>
      </c>
      <c r="G271" s="116" t="str">
        <f>HYPERLINK("http://nsgreg.nga.mil/genc/view?v=200774&amp;end_month=3&amp;end_day=31&amp;end_year=2014","Şahbuz")</f>
        <v>Şahbuz</v>
      </c>
      <c r="H271" s="87" t="str">
        <f>HYPERLINK("http://api.nsgreg.nga.mil/geo-division/GENC/6/ed2/AZ-SAH","AZ-SAH")</f>
        <v>AZ-SAH</v>
      </c>
    </row>
    <row r="272" spans="1:8" x14ac:dyDescent="0.2">
      <c r="A272" s="157"/>
      <c r="B272" s="31" t="s">
        <v>2717</v>
      </c>
      <c r="C272" s="31" t="s">
        <v>2718</v>
      </c>
      <c r="D272" s="31" t="s">
        <v>2405</v>
      </c>
      <c r="E272" s="61" t="b">
        <v>1</v>
      </c>
      <c r="F272" s="107" t="s">
        <v>2719</v>
      </c>
      <c r="G272" s="116" t="str">
        <f>HYPERLINK("http://nsgreg.nga.mil/genc/view?v=200771&amp;end_month=3&amp;end_day=31&amp;end_year=2014","Şəki")</f>
        <v>Şəki</v>
      </c>
      <c r="H272" s="87" t="str">
        <f>HYPERLINK("http://api.nsgreg.nga.mil/geo-division/GENC/6/ed2/AZ-SA","AZ-SA")</f>
        <v>AZ-SA</v>
      </c>
    </row>
    <row r="273" spans="1:8" x14ac:dyDescent="0.2">
      <c r="A273" s="157"/>
      <c r="B273" s="31" t="s">
        <v>2720</v>
      </c>
      <c r="C273" s="31" t="s">
        <v>2718</v>
      </c>
      <c r="D273" s="31" t="s">
        <v>2026</v>
      </c>
      <c r="E273" s="61" t="b">
        <v>1</v>
      </c>
      <c r="F273" s="107" t="s">
        <v>2721</v>
      </c>
      <c r="G273" s="116" t="str">
        <f>HYPERLINK("http://nsgreg.nga.mil/genc/view?v=200775&amp;end_month=3&amp;end_day=31&amp;end_year=2014","Şəki")</f>
        <v>Şəki</v>
      </c>
      <c r="H273" s="87" t="str">
        <f>HYPERLINK("http://api.nsgreg.nga.mil/geo-division/GENC/6/ed2/AZ-SAK","AZ-SAK")</f>
        <v>AZ-SAK</v>
      </c>
    </row>
    <row r="274" spans="1:8" x14ac:dyDescent="0.2">
      <c r="A274" s="157"/>
      <c r="B274" s="31" t="s">
        <v>2722</v>
      </c>
      <c r="C274" s="31" t="s">
        <v>2723</v>
      </c>
      <c r="D274" s="31" t="s">
        <v>2026</v>
      </c>
      <c r="E274" s="61" t="b">
        <v>1</v>
      </c>
      <c r="F274" s="107" t="s">
        <v>2724</v>
      </c>
      <c r="G274" s="116" t="str">
        <f>HYPERLINK("http://nsgreg.nga.mil/genc/view?v=200776&amp;end_month=3&amp;end_day=31&amp;end_year=2014","Salyan")</f>
        <v>Salyan</v>
      </c>
      <c r="H274" s="87" t="str">
        <f>HYPERLINK("http://api.nsgreg.nga.mil/geo-division/GENC/6/ed2/AZ-SAL","AZ-SAL")</f>
        <v>AZ-SAL</v>
      </c>
    </row>
    <row r="275" spans="1:8" x14ac:dyDescent="0.2">
      <c r="A275" s="157"/>
      <c r="B275" s="31" t="s">
        <v>2725</v>
      </c>
      <c r="C275" s="31" t="s">
        <v>2726</v>
      </c>
      <c r="D275" s="31" t="s">
        <v>2026</v>
      </c>
      <c r="E275" s="61" t="b">
        <v>1</v>
      </c>
      <c r="F275" s="107" t="s">
        <v>2727</v>
      </c>
      <c r="G275" s="116" t="str">
        <f>HYPERLINK("http://nsgreg.nga.mil/genc/view?v=200783&amp;end_month=3&amp;end_day=31&amp;end_year=2014","Şamaxı")</f>
        <v>Şamaxı</v>
      </c>
      <c r="H275" s="87" t="str">
        <f>HYPERLINK("http://api.nsgreg.nga.mil/geo-division/GENC/6/ed2/AZ-SMI","AZ-SMI")</f>
        <v>AZ-SMI</v>
      </c>
    </row>
    <row r="276" spans="1:8" x14ac:dyDescent="0.2">
      <c r="A276" s="157"/>
      <c r="B276" s="31" t="s">
        <v>2728</v>
      </c>
      <c r="C276" s="31" t="s">
        <v>2729</v>
      </c>
      <c r="D276" s="31" t="s">
        <v>2026</v>
      </c>
      <c r="E276" s="61" t="b">
        <v>1</v>
      </c>
      <c r="F276" s="107" t="s">
        <v>2730</v>
      </c>
      <c r="G276" s="116" t="str">
        <f>HYPERLINK("http://nsgreg.nga.mil/genc/view?v=200781&amp;end_month=3&amp;end_day=31&amp;end_year=2014","Şəmkir")</f>
        <v>Şəmkir</v>
      </c>
      <c r="H276" s="87" t="str">
        <f>HYPERLINK("http://api.nsgreg.nga.mil/geo-division/GENC/6/ed2/AZ-SKR","AZ-SKR")</f>
        <v>AZ-SKR</v>
      </c>
    </row>
    <row r="277" spans="1:8" x14ac:dyDescent="0.2">
      <c r="A277" s="157"/>
      <c r="B277" s="31" t="s">
        <v>2731</v>
      </c>
      <c r="C277" s="31" t="s">
        <v>2732</v>
      </c>
      <c r="D277" s="31" t="s">
        <v>2026</v>
      </c>
      <c r="E277" s="61" t="b">
        <v>1</v>
      </c>
      <c r="F277" s="107" t="s">
        <v>2733</v>
      </c>
      <c r="G277" s="116" t="str">
        <f>HYPERLINK("http://nsgreg.nga.mil/genc/view?v=200784&amp;end_month=3&amp;end_day=31&amp;end_year=2014","Samux")</f>
        <v>Samux</v>
      </c>
      <c r="H277" s="87" t="str">
        <f>HYPERLINK("http://api.nsgreg.nga.mil/geo-division/GENC/6/ed2/AZ-SMX","AZ-SMX")</f>
        <v>AZ-SMX</v>
      </c>
    </row>
    <row r="278" spans="1:8" x14ac:dyDescent="0.2">
      <c r="A278" s="157"/>
      <c r="B278" s="31" t="s">
        <v>2734</v>
      </c>
      <c r="C278" s="31" t="s">
        <v>2735</v>
      </c>
      <c r="D278" s="31" t="s">
        <v>2026</v>
      </c>
      <c r="E278" s="61" t="b">
        <v>1</v>
      </c>
      <c r="F278" s="107" t="s">
        <v>2736</v>
      </c>
      <c r="G278" s="116" t="str">
        <f>HYPERLINK("http://nsgreg.nga.mil/genc/view?v=200777&amp;end_month=3&amp;end_day=31&amp;end_year=2014","Şərur")</f>
        <v>Şərur</v>
      </c>
      <c r="H278" s="87" t="str">
        <f>HYPERLINK("http://api.nsgreg.nga.mil/geo-division/GENC/6/ed2/AZ-SAR","AZ-SAR")</f>
        <v>AZ-SAR</v>
      </c>
    </row>
    <row r="279" spans="1:8" x14ac:dyDescent="0.2">
      <c r="A279" s="157"/>
      <c r="B279" s="31" t="s">
        <v>2737</v>
      </c>
      <c r="C279" s="31" t="s">
        <v>2738</v>
      </c>
      <c r="D279" s="31" t="s">
        <v>2405</v>
      </c>
      <c r="E279" s="61" t="b">
        <v>1</v>
      </c>
      <c r="F279" s="107" t="s">
        <v>2739</v>
      </c>
      <c r="G279" s="116" t="str">
        <f>HYPERLINK("http://nsgreg.nga.mil/genc/view?v=200785&amp;end_month=3&amp;end_day=31&amp;end_year=2014","Şirvan")</f>
        <v>Şirvan</v>
      </c>
      <c r="H279" s="87" t="str">
        <f>HYPERLINK("http://api.nsgreg.nga.mil/geo-division/GENC/6/ed2/AZ-SR","AZ-SR")</f>
        <v>AZ-SR</v>
      </c>
    </row>
    <row r="280" spans="1:8" x14ac:dyDescent="0.2">
      <c r="A280" s="157"/>
      <c r="B280" s="31" t="s">
        <v>2740</v>
      </c>
      <c r="C280" s="31" t="s">
        <v>2741</v>
      </c>
      <c r="D280" s="31" t="s">
        <v>2026</v>
      </c>
      <c r="E280" s="61" t="b">
        <v>1</v>
      </c>
      <c r="F280" s="107" t="s">
        <v>2742</v>
      </c>
      <c r="G280" s="116" t="str">
        <f>HYPERLINK("http://nsgreg.nga.mil/genc/view?v=200780&amp;end_month=3&amp;end_day=31&amp;end_year=2014","Siyəzən")</f>
        <v>Siyəzən</v>
      </c>
      <c r="H280" s="87" t="str">
        <f>HYPERLINK("http://api.nsgreg.nga.mil/geo-division/GENC/6/ed2/AZ-SIY","AZ-SIY")</f>
        <v>AZ-SIY</v>
      </c>
    </row>
    <row r="281" spans="1:8" x14ac:dyDescent="0.2">
      <c r="A281" s="157"/>
      <c r="B281" s="31" t="s">
        <v>2743</v>
      </c>
      <c r="C281" s="31" t="s">
        <v>2744</v>
      </c>
      <c r="D281" s="31" t="s">
        <v>2405</v>
      </c>
      <c r="E281" s="61" t="b">
        <v>1</v>
      </c>
      <c r="F281" s="107" t="s">
        <v>2745</v>
      </c>
      <c r="G281" s="116" t="str">
        <f>HYPERLINK("http://nsgreg.nga.mil/genc/view?v=200782&amp;end_month=3&amp;end_day=31&amp;end_year=2014","Sumqayıt")</f>
        <v>Sumqayıt</v>
      </c>
      <c r="H281" s="87" t="str">
        <f>HYPERLINK("http://api.nsgreg.nga.mil/geo-division/GENC/6/ed2/AZ-SM","AZ-SM")</f>
        <v>AZ-SM</v>
      </c>
    </row>
    <row r="282" spans="1:8" x14ac:dyDescent="0.2">
      <c r="A282" s="157"/>
      <c r="B282" s="31" t="s">
        <v>2746</v>
      </c>
      <c r="C282" s="31" t="s">
        <v>2747</v>
      </c>
      <c r="D282" s="31" t="s">
        <v>2026</v>
      </c>
      <c r="E282" s="61" t="b">
        <v>1</v>
      </c>
      <c r="F282" s="107" t="s">
        <v>2748</v>
      </c>
      <c r="G282" s="116" t="str">
        <f>HYPERLINK("http://nsgreg.nga.mil/genc/view?v=200786&amp;end_month=3&amp;end_day=31&amp;end_year=2014","Şuşa")</f>
        <v>Şuşa</v>
      </c>
      <c r="H282" s="87" t="str">
        <f>HYPERLINK("http://api.nsgreg.nga.mil/geo-division/GENC/6/ed2/AZ-SUS","AZ-SUS")</f>
        <v>AZ-SUS</v>
      </c>
    </row>
    <row r="283" spans="1:8" x14ac:dyDescent="0.2">
      <c r="A283" s="157"/>
      <c r="B283" s="31" t="s">
        <v>2749</v>
      </c>
      <c r="C283" s="31" t="s">
        <v>2750</v>
      </c>
      <c r="D283" s="31" t="s">
        <v>2026</v>
      </c>
      <c r="E283" s="61" t="b">
        <v>1</v>
      </c>
      <c r="F283" s="107" t="s">
        <v>2751</v>
      </c>
      <c r="G283" s="116" t="str">
        <f>HYPERLINK("http://nsgreg.nga.mil/genc/view?v=200787&amp;end_month=3&amp;end_day=31&amp;end_year=2014","Tərtər")</f>
        <v>Tərtər</v>
      </c>
      <c r="H283" s="87" t="str">
        <f>HYPERLINK("http://api.nsgreg.nga.mil/geo-division/GENC/6/ed2/AZ-TAR","AZ-TAR")</f>
        <v>AZ-TAR</v>
      </c>
    </row>
    <row r="284" spans="1:8" x14ac:dyDescent="0.2">
      <c r="A284" s="157"/>
      <c r="B284" s="31" t="s">
        <v>2752</v>
      </c>
      <c r="C284" s="31" t="s">
        <v>2753</v>
      </c>
      <c r="D284" s="31" t="s">
        <v>2026</v>
      </c>
      <c r="E284" s="61" t="b">
        <v>1</v>
      </c>
      <c r="F284" s="107" t="s">
        <v>2754</v>
      </c>
      <c r="G284" s="116" t="str">
        <f>HYPERLINK("http://nsgreg.nga.mil/genc/view?v=200788&amp;end_month=3&amp;end_day=31&amp;end_year=2014","Tovuz")</f>
        <v>Tovuz</v>
      </c>
      <c r="H284" s="87" t="str">
        <f>HYPERLINK("http://api.nsgreg.nga.mil/geo-division/GENC/6/ed2/AZ-TOV","AZ-TOV")</f>
        <v>AZ-TOV</v>
      </c>
    </row>
    <row r="285" spans="1:8" x14ac:dyDescent="0.2">
      <c r="A285" s="157"/>
      <c r="B285" s="31" t="s">
        <v>2755</v>
      </c>
      <c r="C285" s="31" t="s">
        <v>2756</v>
      </c>
      <c r="D285" s="31" t="s">
        <v>2026</v>
      </c>
      <c r="E285" s="61" t="b">
        <v>1</v>
      </c>
      <c r="F285" s="107" t="s">
        <v>2757</v>
      </c>
      <c r="G285" s="116" t="str">
        <f>HYPERLINK("http://nsgreg.nga.mil/genc/view?v=200789&amp;end_month=3&amp;end_day=31&amp;end_year=2014","Ucar")</f>
        <v>Ucar</v>
      </c>
      <c r="H285" s="87" t="str">
        <f>HYPERLINK("http://api.nsgreg.nga.mil/geo-division/GENC/6/ed2/AZ-UCA","AZ-UCA")</f>
        <v>AZ-UCA</v>
      </c>
    </row>
    <row r="286" spans="1:8" x14ac:dyDescent="0.2">
      <c r="A286" s="157"/>
      <c r="B286" s="31" t="s">
        <v>2758</v>
      </c>
      <c r="C286" s="31" t="s">
        <v>2759</v>
      </c>
      <c r="D286" s="31" t="s">
        <v>2026</v>
      </c>
      <c r="E286" s="61" t="b">
        <v>1</v>
      </c>
      <c r="F286" s="107" t="s">
        <v>2760</v>
      </c>
      <c r="G286" s="116" t="str">
        <f>HYPERLINK("http://nsgreg.nga.mil/genc/view?v=200791&amp;end_month=3&amp;end_day=31&amp;end_year=2014","Xaçmaz")</f>
        <v>Xaçmaz</v>
      </c>
      <c r="H286" s="87" t="str">
        <f>HYPERLINK("http://api.nsgreg.nga.mil/geo-division/GENC/6/ed2/AZ-XAC","AZ-XAC")</f>
        <v>AZ-XAC</v>
      </c>
    </row>
    <row r="287" spans="1:8" x14ac:dyDescent="0.2">
      <c r="A287" s="157"/>
      <c r="B287" s="31" t="s">
        <v>2761</v>
      </c>
      <c r="C287" s="31" t="s">
        <v>2762</v>
      </c>
      <c r="D287" s="31" t="s">
        <v>2405</v>
      </c>
      <c r="E287" s="61" t="b">
        <v>1</v>
      </c>
      <c r="F287" s="107" t="s">
        <v>2763</v>
      </c>
      <c r="G287" s="116" t="str">
        <f>HYPERLINK("http://nsgreg.nga.mil/genc/view?v=200790&amp;end_month=3&amp;end_day=31&amp;end_year=2014","Xankəndi")</f>
        <v>Xankəndi</v>
      </c>
      <c r="H287" s="87" t="str">
        <f>HYPERLINK("http://api.nsgreg.nga.mil/geo-division/GENC/6/ed2/AZ-XA","AZ-XA")</f>
        <v>AZ-XA</v>
      </c>
    </row>
    <row r="288" spans="1:8" x14ac:dyDescent="0.2">
      <c r="A288" s="157"/>
      <c r="B288" s="31" t="s">
        <v>2764</v>
      </c>
      <c r="C288" s="31" t="s">
        <v>2765</v>
      </c>
      <c r="D288" s="31" t="s">
        <v>2026</v>
      </c>
      <c r="E288" s="61" t="b">
        <v>1</v>
      </c>
      <c r="F288" s="107" t="s">
        <v>2766</v>
      </c>
      <c r="G288" s="116" t="str">
        <f>HYPERLINK("http://nsgreg.nga.mil/genc/view?v=200793&amp;end_month=3&amp;end_day=31&amp;end_year=2014","Xızı")</f>
        <v>Xızı</v>
      </c>
      <c r="H288" s="87" t="str">
        <f>HYPERLINK("http://api.nsgreg.nga.mil/geo-division/GENC/6/ed2/AZ-XIZ","AZ-XIZ")</f>
        <v>AZ-XIZ</v>
      </c>
    </row>
    <row r="289" spans="1:8" x14ac:dyDescent="0.2">
      <c r="A289" s="157"/>
      <c r="B289" s="31" t="s">
        <v>2767</v>
      </c>
      <c r="C289" s="31" t="s">
        <v>2768</v>
      </c>
      <c r="D289" s="31" t="s">
        <v>2026</v>
      </c>
      <c r="E289" s="61" t="b">
        <v>1</v>
      </c>
      <c r="F289" s="107" t="s">
        <v>2769</v>
      </c>
      <c r="G289" s="116" t="str">
        <f>HYPERLINK("http://nsgreg.nga.mil/genc/view?v=200792&amp;end_month=3&amp;end_day=31&amp;end_year=2014","Xocalı")</f>
        <v>Xocalı</v>
      </c>
      <c r="H289" s="87" t="str">
        <f>HYPERLINK("http://api.nsgreg.nga.mil/geo-division/GENC/6/ed2/AZ-XCI","AZ-XCI")</f>
        <v>AZ-XCI</v>
      </c>
    </row>
    <row r="290" spans="1:8" x14ac:dyDescent="0.2">
      <c r="A290" s="157"/>
      <c r="B290" s="31" t="s">
        <v>2770</v>
      </c>
      <c r="C290" s="31" t="s">
        <v>2771</v>
      </c>
      <c r="D290" s="31" t="s">
        <v>2026</v>
      </c>
      <c r="E290" s="61" t="b">
        <v>1</v>
      </c>
      <c r="F290" s="107" t="s">
        <v>2772</v>
      </c>
      <c r="G290" s="116" t="str">
        <f>HYPERLINK("http://nsgreg.nga.mil/genc/view?v=200794&amp;end_month=3&amp;end_day=31&amp;end_year=2014","Xocavənd")</f>
        <v>Xocavənd</v>
      </c>
      <c r="H290" s="87" t="str">
        <f>HYPERLINK("http://api.nsgreg.nga.mil/geo-division/GENC/6/ed2/AZ-XVD","AZ-XVD")</f>
        <v>AZ-XVD</v>
      </c>
    </row>
    <row r="291" spans="1:8" x14ac:dyDescent="0.2">
      <c r="A291" s="157"/>
      <c r="B291" s="31" t="s">
        <v>2773</v>
      </c>
      <c r="C291" s="31" t="s">
        <v>2774</v>
      </c>
      <c r="D291" s="31" t="s">
        <v>2026</v>
      </c>
      <c r="E291" s="61" t="b">
        <v>1</v>
      </c>
      <c r="F291" s="107" t="s">
        <v>2775</v>
      </c>
      <c r="G291" s="116" t="str">
        <f>HYPERLINK("http://nsgreg.nga.mil/genc/view?v=200795&amp;end_month=3&amp;end_day=31&amp;end_year=2014","Yardımlı")</f>
        <v>Yardımlı</v>
      </c>
      <c r="H291" s="87" t="str">
        <f>HYPERLINK("http://api.nsgreg.nga.mil/geo-division/GENC/6/ed2/AZ-YAR","AZ-YAR")</f>
        <v>AZ-YAR</v>
      </c>
    </row>
    <row r="292" spans="1:8" x14ac:dyDescent="0.2">
      <c r="A292" s="157"/>
      <c r="B292" s="31" t="s">
        <v>2776</v>
      </c>
      <c r="C292" s="31" t="s">
        <v>2777</v>
      </c>
      <c r="D292" s="31" t="s">
        <v>2405</v>
      </c>
      <c r="E292" s="61" t="b">
        <v>1</v>
      </c>
      <c r="F292" s="107" t="s">
        <v>2778</v>
      </c>
      <c r="G292" s="116" t="str">
        <f>HYPERLINK("http://nsgreg.nga.mil/genc/view?v=200796&amp;end_month=3&amp;end_day=31&amp;end_year=2014","Yevlax")</f>
        <v>Yevlax</v>
      </c>
      <c r="H292" s="87" t="str">
        <f>HYPERLINK("http://api.nsgreg.nga.mil/geo-division/GENC/6/ed2/AZ-YE","AZ-YE")</f>
        <v>AZ-YE</v>
      </c>
    </row>
    <row r="293" spans="1:8" x14ac:dyDescent="0.2">
      <c r="A293" s="157"/>
      <c r="B293" s="31" t="s">
        <v>2779</v>
      </c>
      <c r="C293" s="31" t="s">
        <v>2777</v>
      </c>
      <c r="D293" s="31" t="s">
        <v>2026</v>
      </c>
      <c r="E293" s="61" t="b">
        <v>1</v>
      </c>
      <c r="F293" s="107" t="s">
        <v>2780</v>
      </c>
      <c r="G293" s="116" t="str">
        <f>HYPERLINK("http://nsgreg.nga.mil/genc/view?v=200797&amp;end_month=3&amp;end_day=31&amp;end_year=2014","Yevlax")</f>
        <v>Yevlax</v>
      </c>
      <c r="H293" s="87" t="str">
        <f>HYPERLINK("http://api.nsgreg.nga.mil/geo-division/GENC/6/ed2/AZ-YEV","AZ-YEV")</f>
        <v>AZ-YEV</v>
      </c>
    </row>
    <row r="294" spans="1:8" x14ac:dyDescent="0.2">
      <c r="A294" s="157"/>
      <c r="B294" s="31" t="s">
        <v>2781</v>
      </c>
      <c r="C294" s="31" t="s">
        <v>2782</v>
      </c>
      <c r="D294" s="31" t="s">
        <v>2026</v>
      </c>
      <c r="E294" s="61" t="b">
        <v>1</v>
      </c>
      <c r="F294" s="107" t="s">
        <v>2783</v>
      </c>
      <c r="G294" s="116" t="str">
        <f>HYPERLINK("http://nsgreg.nga.mil/genc/view?v=200798&amp;end_month=3&amp;end_day=31&amp;end_year=2014","Zəngilan")</f>
        <v>Zəngilan</v>
      </c>
      <c r="H294" s="87" t="str">
        <f>HYPERLINK("http://api.nsgreg.nga.mil/geo-division/GENC/6/ed2/AZ-ZAN","AZ-ZAN")</f>
        <v>AZ-ZAN</v>
      </c>
    </row>
    <row r="295" spans="1:8" x14ac:dyDescent="0.2">
      <c r="A295" s="157"/>
      <c r="B295" s="31" t="s">
        <v>2784</v>
      </c>
      <c r="C295" s="31" t="s">
        <v>2785</v>
      </c>
      <c r="D295" s="31" t="s">
        <v>2026</v>
      </c>
      <c r="E295" s="61" t="b">
        <v>1</v>
      </c>
      <c r="F295" s="107" t="s">
        <v>2786</v>
      </c>
      <c r="G295" s="116" t="str">
        <f>HYPERLINK("http://nsgreg.nga.mil/genc/view?v=200799&amp;end_month=3&amp;end_day=31&amp;end_year=2014","Zaqatala")</f>
        <v>Zaqatala</v>
      </c>
      <c r="H295" s="87" t="str">
        <f>HYPERLINK("http://api.nsgreg.nga.mil/geo-division/GENC/6/ed2/AZ-ZAQ","AZ-ZAQ")</f>
        <v>AZ-ZAQ</v>
      </c>
    </row>
    <row r="296" spans="1:8" x14ac:dyDescent="0.2">
      <c r="A296" s="158"/>
      <c r="B296" s="58" t="s">
        <v>2787</v>
      </c>
      <c r="C296" s="58" t="s">
        <v>2788</v>
      </c>
      <c r="D296" s="58" t="s">
        <v>2026</v>
      </c>
      <c r="E296" s="62" t="b">
        <v>1</v>
      </c>
      <c r="F296" s="111" t="s">
        <v>2789</v>
      </c>
      <c r="G296" s="117" t="str">
        <f>HYPERLINK("http://nsgreg.nga.mil/genc/view?v=200800&amp;end_month=3&amp;end_day=31&amp;end_year=2014","Zərdab")</f>
        <v>Zərdab</v>
      </c>
      <c r="H296" s="89" t="str">
        <f>HYPERLINK("http://api.nsgreg.nga.mil/geo-division/GENC/6/ed2/AZ-ZAR","AZ-ZAR")</f>
        <v>AZ-ZAR</v>
      </c>
    </row>
    <row r="297" spans="1:8" x14ac:dyDescent="0.2">
      <c r="A297" s="156" t="str">
        <f>HYPERLINK("[#]Geopolitical_Entities!A21:I21","BAHAMAS, THE")</f>
        <v>BAHAMAS, THE</v>
      </c>
      <c r="B297" s="52" t="s">
        <v>2790</v>
      </c>
      <c r="C297" s="52" t="s">
        <v>2791</v>
      </c>
      <c r="D297" s="52" t="s">
        <v>2026</v>
      </c>
      <c r="E297" s="60" t="b">
        <v>1</v>
      </c>
      <c r="F297" s="109" t="s">
        <v>2792</v>
      </c>
      <c r="G297" s="118" t="str">
        <f>HYPERLINK("http://nsgreg.nga.mil/genc/view?v=112482&amp;gencs=T&amp;end_month=3&amp;end_day=31&amp;end_year=2014","Acklins")</f>
        <v>Acklins</v>
      </c>
      <c r="H297" s="91" t="str">
        <f>HYPERLINK("http://api.nsgreg.nga.mil/geo-division/ISO3166-2/6/ed3/BS-AK","BS-AK")</f>
        <v>BS-AK</v>
      </c>
    </row>
    <row r="298" spans="1:8" x14ac:dyDescent="0.2">
      <c r="A298" s="157"/>
      <c r="B298" s="31" t="s">
        <v>2793</v>
      </c>
      <c r="C298" s="31" t="s">
        <v>2794</v>
      </c>
      <c r="D298" s="31" t="s">
        <v>2026</v>
      </c>
      <c r="E298" s="61" t="b">
        <v>1</v>
      </c>
      <c r="F298" s="106" t="s">
        <v>2795</v>
      </c>
      <c r="G298" s="116" t="str">
        <f>HYPERLINK("http://nsgreg.nga.mil/genc/view?v=112485&amp;gencs=T&amp;end_month=3&amp;end_day=31&amp;end_year=2014","Berry Islands")</f>
        <v>Berry Islands</v>
      </c>
      <c r="H298" s="87" t="str">
        <f>HYPERLINK("http://api.nsgreg.nga.mil/geo-division/ISO3166-2/6/ed3/BS-BY","BS-BY")</f>
        <v>BS-BY</v>
      </c>
    </row>
    <row r="299" spans="1:8" x14ac:dyDescent="0.2">
      <c r="A299" s="157"/>
      <c r="B299" s="31" t="s">
        <v>2796</v>
      </c>
      <c r="C299" s="31" t="s">
        <v>2797</v>
      </c>
      <c r="D299" s="31" t="s">
        <v>2026</v>
      </c>
      <c r="E299" s="61" t="b">
        <v>1</v>
      </c>
      <c r="F299" s="106" t="s">
        <v>2798</v>
      </c>
      <c r="G299" s="116" t="str">
        <f>HYPERLINK("http://nsgreg.nga.mil/genc/view?v=112483&amp;gencs=T&amp;end_month=3&amp;end_day=31&amp;end_year=2014","Bimini")</f>
        <v>Bimini</v>
      </c>
      <c r="H299" s="87" t="str">
        <f>HYPERLINK("http://api.nsgreg.nga.mil/geo-division/ISO3166-2/6/ed3/BS-BI","BS-BI")</f>
        <v>BS-BI</v>
      </c>
    </row>
    <row r="300" spans="1:8" x14ac:dyDescent="0.2">
      <c r="A300" s="157"/>
      <c r="B300" s="31" t="s">
        <v>2799</v>
      </c>
      <c r="C300" s="31" t="s">
        <v>2800</v>
      </c>
      <c r="D300" s="31" t="s">
        <v>2026</v>
      </c>
      <c r="E300" s="61" t="b">
        <v>1</v>
      </c>
      <c r="F300" s="106" t="s">
        <v>2801</v>
      </c>
      <c r="G300" s="116" t="str">
        <f>HYPERLINK("http://nsgreg.nga.mil/genc/view?v=112484&amp;gencs=T&amp;end_month=3&amp;end_day=31&amp;end_year=2014","Black Point")</f>
        <v>Black Point</v>
      </c>
      <c r="H300" s="87" t="str">
        <f>HYPERLINK("http://api.nsgreg.nga.mil/geo-division/ISO3166-2/6/ed3/BS-BP","BS-BP")</f>
        <v>BS-BP</v>
      </c>
    </row>
    <row r="301" spans="1:8" x14ac:dyDescent="0.2">
      <c r="A301" s="157"/>
      <c r="B301" s="31" t="s">
        <v>2802</v>
      </c>
      <c r="C301" s="31" t="s">
        <v>2803</v>
      </c>
      <c r="D301" s="31" t="s">
        <v>2026</v>
      </c>
      <c r="E301" s="61" t="b">
        <v>1</v>
      </c>
      <c r="F301" s="106" t="s">
        <v>2804</v>
      </c>
      <c r="G301" s="116" t="str">
        <f>HYPERLINK("http://nsgreg.nga.mil/genc/view?v=112487&amp;gencs=T&amp;end_month=3&amp;end_day=31&amp;end_year=2014","Cat Island")</f>
        <v>Cat Island</v>
      </c>
      <c r="H301" s="87" t="str">
        <f>HYPERLINK("http://api.nsgreg.nga.mil/geo-division/ISO3166-2/6/ed3/BS-CI","BS-CI")</f>
        <v>BS-CI</v>
      </c>
    </row>
    <row r="302" spans="1:8" x14ac:dyDescent="0.2">
      <c r="A302" s="157"/>
      <c r="B302" s="31" t="s">
        <v>2805</v>
      </c>
      <c r="C302" s="31" t="s">
        <v>2806</v>
      </c>
      <c r="D302" s="31" t="s">
        <v>2026</v>
      </c>
      <c r="E302" s="61" t="b">
        <v>1</v>
      </c>
      <c r="F302" s="106" t="s">
        <v>2807</v>
      </c>
      <c r="G302" s="116" t="str">
        <f>HYPERLINK("http://nsgreg.nga.mil/genc/view?v=112489&amp;gencs=T&amp;end_month=3&amp;end_day=31&amp;end_year=2014","Central Abaco")</f>
        <v>Central Abaco</v>
      </c>
      <c r="H302" s="87" t="str">
        <f>HYPERLINK("http://api.nsgreg.nga.mil/geo-division/ISO3166-2/6/ed3/BS-CO","BS-CO")</f>
        <v>BS-CO</v>
      </c>
    </row>
    <row r="303" spans="1:8" x14ac:dyDescent="0.2">
      <c r="A303" s="157"/>
      <c r="B303" s="31" t="s">
        <v>2808</v>
      </c>
      <c r="C303" s="31" t="s">
        <v>2809</v>
      </c>
      <c r="D303" s="31" t="s">
        <v>2026</v>
      </c>
      <c r="E303" s="61" t="b">
        <v>1</v>
      </c>
      <c r="F303" s="106" t="s">
        <v>2810</v>
      </c>
      <c r="G303" s="116" t="str">
        <f>HYPERLINK("http://nsgreg.nga.mil/genc/view?v=112490&amp;gencs=T&amp;end_month=3&amp;end_day=31&amp;end_year=2014","Central Andros")</f>
        <v>Central Andros</v>
      </c>
      <c r="H303" s="87" t="str">
        <f>HYPERLINK("http://api.nsgreg.nga.mil/geo-division/ISO3166-2/6/ed3/BS-CS","BS-CS")</f>
        <v>BS-CS</v>
      </c>
    </row>
    <row r="304" spans="1:8" x14ac:dyDescent="0.2">
      <c r="A304" s="157"/>
      <c r="B304" s="31" t="s">
        <v>2811</v>
      </c>
      <c r="C304" s="31" t="s">
        <v>2812</v>
      </c>
      <c r="D304" s="31" t="s">
        <v>2026</v>
      </c>
      <c r="E304" s="61" t="b">
        <v>1</v>
      </c>
      <c r="F304" s="106" t="s">
        <v>2813</v>
      </c>
      <c r="G304" s="116" t="str">
        <f>HYPERLINK("http://nsgreg.nga.mil/genc/view?v=112486&amp;gencs=T&amp;end_month=3&amp;end_day=31&amp;end_year=2014","Central Eleuthera")</f>
        <v>Central Eleuthera</v>
      </c>
      <c r="H304" s="87" t="str">
        <f>HYPERLINK("http://api.nsgreg.nga.mil/geo-division/ISO3166-2/6/ed3/BS-CE","BS-CE")</f>
        <v>BS-CE</v>
      </c>
    </row>
    <row r="305" spans="1:8" x14ac:dyDescent="0.2">
      <c r="A305" s="157"/>
      <c r="B305" s="31" t="s">
        <v>2814</v>
      </c>
      <c r="C305" s="31" t="s">
        <v>2815</v>
      </c>
      <c r="D305" s="31" t="s">
        <v>2026</v>
      </c>
      <c r="E305" s="61" t="b">
        <v>1</v>
      </c>
      <c r="F305" s="106" t="s">
        <v>2816</v>
      </c>
      <c r="G305" s="116" t="str">
        <f>HYPERLINK("http://nsgreg.nga.mil/genc/view?v=112493&amp;gencs=T&amp;end_month=3&amp;end_day=31&amp;end_year=2014","City of Freeport")</f>
        <v>City of Freeport</v>
      </c>
      <c r="H305" s="87" t="str">
        <f>HYPERLINK("http://api.nsgreg.nga.mil/geo-division/ISO3166-2/6/ed3/BS-FP","BS-FP")</f>
        <v>BS-FP</v>
      </c>
    </row>
    <row r="306" spans="1:8" x14ac:dyDescent="0.2">
      <c r="A306" s="157"/>
      <c r="B306" s="31" t="s">
        <v>2817</v>
      </c>
      <c r="C306" s="31" t="s">
        <v>2818</v>
      </c>
      <c r="D306" s="31" t="s">
        <v>2026</v>
      </c>
      <c r="E306" s="61" t="b">
        <v>1</v>
      </c>
      <c r="F306" s="106" t="s">
        <v>2819</v>
      </c>
      <c r="G306" s="116" t="str">
        <f>HYPERLINK("http://nsgreg.nga.mil/genc/view?v=112488&amp;gencs=T&amp;end_month=3&amp;end_day=31&amp;end_year=2014","Crooked Island and Long Cay")</f>
        <v>Crooked Island and Long Cay</v>
      </c>
      <c r="H306" s="87" t="str">
        <f>HYPERLINK("http://api.nsgreg.nga.mil/geo-division/ISO3166-2/6/ed3/BS-CK","BS-CK")</f>
        <v>BS-CK</v>
      </c>
    </row>
    <row r="307" spans="1:8" x14ac:dyDescent="0.2">
      <c r="A307" s="157"/>
      <c r="B307" s="31" t="s">
        <v>2820</v>
      </c>
      <c r="C307" s="31" t="s">
        <v>2821</v>
      </c>
      <c r="D307" s="31" t="s">
        <v>2026</v>
      </c>
      <c r="E307" s="61" t="b">
        <v>1</v>
      </c>
      <c r="F307" s="106" t="s">
        <v>2822</v>
      </c>
      <c r="G307" s="116" t="str">
        <f>HYPERLINK("http://nsgreg.nga.mil/genc/view?v=112491&amp;gencs=T&amp;end_month=3&amp;end_day=31&amp;end_year=2014","East Grand Bahama")</f>
        <v>East Grand Bahama</v>
      </c>
      <c r="H307" s="87" t="str">
        <f>HYPERLINK("http://api.nsgreg.nga.mil/geo-division/ISO3166-2/6/ed3/BS-EG","BS-EG")</f>
        <v>BS-EG</v>
      </c>
    </row>
    <row r="308" spans="1:8" x14ac:dyDescent="0.2">
      <c r="A308" s="157"/>
      <c r="B308" s="31" t="s">
        <v>2823</v>
      </c>
      <c r="C308" s="31" t="s">
        <v>2824</v>
      </c>
      <c r="D308" s="31" t="s">
        <v>2026</v>
      </c>
      <c r="E308" s="61" t="b">
        <v>1</v>
      </c>
      <c r="F308" s="106" t="s">
        <v>2825</v>
      </c>
      <c r="G308" s="116" t="str">
        <f>HYPERLINK("http://nsgreg.nga.mil/genc/view?v=112492&amp;gencs=T&amp;end_month=3&amp;end_day=31&amp;end_year=2014","Exuma")</f>
        <v>Exuma</v>
      </c>
      <c r="H308" s="87" t="str">
        <f>HYPERLINK("http://api.nsgreg.nga.mil/geo-division/ISO3166-2/6/ed3/BS-EX","BS-EX")</f>
        <v>BS-EX</v>
      </c>
    </row>
    <row r="309" spans="1:8" x14ac:dyDescent="0.2">
      <c r="A309" s="157"/>
      <c r="B309" s="31" t="s">
        <v>2826</v>
      </c>
      <c r="C309" s="31" t="s">
        <v>2827</v>
      </c>
      <c r="D309" s="31" t="s">
        <v>2026</v>
      </c>
      <c r="E309" s="61" t="b">
        <v>1</v>
      </c>
      <c r="F309" s="106" t="s">
        <v>2828</v>
      </c>
      <c r="G309" s="116" t="str">
        <f>HYPERLINK("http://nsgreg.nga.mil/genc/view?v=112494&amp;gencs=T&amp;end_month=3&amp;end_day=31&amp;end_year=2014","Grand Cay")</f>
        <v>Grand Cay</v>
      </c>
      <c r="H309" s="87" t="str">
        <f>HYPERLINK("http://api.nsgreg.nga.mil/geo-division/ISO3166-2/6/ed3/BS-GC","BS-GC")</f>
        <v>BS-GC</v>
      </c>
    </row>
    <row r="310" spans="1:8" x14ac:dyDescent="0.2">
      <c r="A310" s="157"/>
      <c r="B310" s="31" t="s">
        <v>2829</v>
      </c>
      <c r="C310" s="31" t="s">
        <v>2830</v>
      </c>
      <c r="D310" s="31" t="s">
        <v>2026</v>
      </c>
      <c r="E310" s="61" t="b">
        <v>1</v>
      </c>
      <c r="F310" s="106" t="s">
        <v>2831</v>
      </c>
      <c r="G310" s="116" t="str">
        <f>HYPERLINK("http://nsgreg.nga.mil/genc/view?v=112495&amp;gencs=T&amp;end_month=3&amp;end_day=31&amp;end_year=2014","Harbour Island")</f>
        <v>Harbour Island</v>
      </c>
      <c r="H310" s="87" t="str">
        <f>HYPERLINK("http://api.nsgreg.nga.mil/geo-division/ISO3166-2/6/ed3/BS-HI","BS-HI")</f>
        <v>BS-HI</v>
      </c>
    </row>
    <row r="311" spans="1:8" x14ac:dyDescent="0.2">
      <c r="A311" s="157"/>
      <c r="B311" s="31" t="s">
        <v>2832</v>
      </c>
      <c r="C311" s="31" t="s">
        <v>2833</v>
      </c>
      <c r="D311" s="31" t="s">
        <v>2026</v>
      </c>
      <c r="E311" s="61" t="b">
        <v>1</v>
      </c>
      <c r="F311" s="106" t="s">
        <v>2834</v>
      </c>
      <c r="G311" s="116" t="str">
        <f>HYPERLINK("http://nsgreg.nga.mil/genc/view?v=112496&amp;gencs=T&amp;end_month=3&amp;end_day=31&amp;end_year=2014","Hope Town")</f>
        <v>Hope Town</v>
      </c>
      <c r="H311" s="87" t="str">
        <f>HYPERLINK("http://api.nsgreg.nga.mil/geo-division/ISO3166-2/6/ed3/BS-HT","BS-HT")</f>
        <v>BS-HT</v>
      </c>
    </row>
    <row r="312" spans="1:8" x14ac:dyDescent="0.2">
      <c r="A312" s="157"/>
      <c r="B312" s="31" t="s">
        <v>2835</v>
      </c>
      <c r="C312" s="31" t="s">
        <v>2836</v>
      </c>
      <c r="D312" s="31" t="s">
        <v>2026</v>
      </c>
      <c r="E312" s="61" t="b">
        <v>1</v>
      </c>
      <c r="F312" s="106" t="s">
        <v>2837</v>
      </c>
      <c r="G312" s="116" t="str">
        <f>HYPERLINK("http://nsgreg.nga.mil/genc/view?v=112497&amp;gencs=T&amp;end_month=3&amp;end_day=31&amp;end_year=2014","Inagua")</f>
        <v>Inagua</v>
      </c>
      <c r="H312" s="87" t="str">
        <f>HYPERLINK("http://api.nsgreg.nga.mil/geo-division/ISO3166-2/6/ed3/BS-IN","BS-IN")</f>
        <v>BS-IN</v>
      </c>
    </row>
    <row r="313" spans="1:8" x14ac:dyDescent="0.2">
      <c r="A313" s="157"/>
      <c r="B313" s="31" t="s">
        <v>2838</v>
      </c>
      <c r="C313" s="31" t="s">
        <v>2839</v>
      </c>
      <c r="D313" s="31" t="s">
        <v>2026</v>
      </c>
      <c r="E313" s="61" t="b">
        <v>1</v>
      </c>
      <c r="F313" s="106" t="s">
        <v>2840</v>
      </c>
      <c r="G313" s="116" t="str">
        <f>HYPERLINK("http://nsgreg.nga.mil/genc/view?v=112498&amp;gencs=T&amp;end_month=3&amp;end_day=31&amp;end_year=2014","Long Island")</f>
        <v>Long Island</v>
      </c>
      <c r="H313" s="87" t="str">
        <f>HYPERLINK("http://api.nsgreg.nga.mil/geo-division/ISO3166-2/6/ed3/BS-LI","BS-LI")</f>
        <v>BS-LI</v>
      </c>
    </row>
    <row r="314" spans="1:8" x14ac:dyDescent="0.2">
      <c r="A314" s="157"/>
      <c r="B314" s="31" t="s">
        <v>2841</v>
      </c>
      <c r="C314" s="31" t="s">
        <v>2842</v>
      </c>
      <c r="D314" s="31" t="s">
        <v>2026</v>
      </c>
      <c r="E314" s="61" t="b">
        <v>1</v>
      </c>
      <c r="F314" s="106" t="s">
        <v>2843</v>
      </c>
      <c r="G314" s="116" t="str">
        <f>HYPERLINK("http://nsgreg.nga.mil/genc/view?v=112499&amp;gencs=T&amp;end_month=3&amp;end_day=31&amp;end_year=2014","Mangrove Cay")</f>
        <v>Mangrove Cay</v>
      </c>
      <c r="H314" s="87" t="str">
        <f>HYPERLINK("http://api.nsgreg.nga.mil/geo-division/ISO3166-2/6/ed3/BS-MC","BS-MC")</f>
        <v>BS-MC</v>
      </c>
    </row>
    <row r="315" spans="1:8" x14ac:dyDescent="0.2">
      <c r="A315" s="157"/>
      <c r="B315" s="31" t="s">
        <v>2844</v>
      </c>
      <c r="C315" s="31" t="s">
        <v>2845</v>
      </c>
      <c r="D315" s="31" t="s">
        <v>2026</v>
      </c>
      <c r="E315" s="61" t="b">
        <v>1</v>
      </c>
      <c r="F315" s="106" t="s">
        <v>2846</v>
      </c>
      <c r="G315" s="116" t="str">
        <f>HYPERLINK("http://nsgreg.nga.mil/genc/view?v=112500&amp;gencs=T&amp;end_month=3&amp;end_day=31&amp;end_year=2014","Mayaguana")</f>
        <v>Mayaguana</v>
      </c>
      <c r="H315" s="87" t="str">
        <f>HYPERLINK("http://api.nsgreg.nga.mil/geo-division/ISO3166-2/6/ed3/BS-MG","BS-MG")</f>
        <v>BS-MG</v>
      </c>
    </row>
    <row r="316" spans="1:8" x14ac:dyDescent="0.2">
      <c r="A316" s="157"/>
      <c r="B316" s="31" t="s">
        <v>2847</v>
      </c>
      <c r="C316" s="31" t="s">
        <v>2848</v>
      </c>
      <c r="D316" s="31" t="s">
        <v>2026</v>
      </c>
      <c r="E316" s="61" t="b">
        <v>1</v>
      </c>
      <c r="F316" s="106" t="s">
        <v>2849</v>
      </c>
      <c r="G316" s="116" t="str">
        <f>HYPERLINK("http://nsgreg.nga.mil/genc/view?v=112501&amp;gencs=T&amp;end_month=3&amp;end_day=31&amp;end_year=2014","Moore’s Island")</f>
        <v>Moore’s Island</v>
      </c>
      <c r="H316" s="87" t="str">
        <f>HYPERLINK("http://api.nsgreg.nga.mil/geo-division/ISO3166-2/6/ed3/BS-MI","BS-MI")</f>
        <v>BS-MI</v>
      </c>
    </row>
    <row r="317" spans="1:8" x14ac:dyDescent="0.2">
      <c r="A317" s="157"/>
      <c r="B317" s="31" t="s">
        <v>2850</v>
      </c>
      <c r="C317" s="31" t="s">
        <v>2851</v>
      </c>
      <c r="D317" s="31" t="s">
        <v>2026</v>
      </c>
      <c r="E317" s="61" t="b">
        <v>1</v>
      </c>
      <c r="F317" s="106" t="s">
        <v>2852</v>
      </c>
      <c r="G317" s="116" t="str">
        <f>HYPERLINK("http://nsgreg.nga.mil/genc/view?v=112503&amp;gencs=T&amp;end_month=3&amp;end_day=31&amp;end_year=2014","North Abaco")</f>
        <v>North Abaco</v>
      </c>
      <c r="H317" s="87" t="str">
        <f>HYPERLINK("http://api.nsgreg.nga.mil/geo-division/ISO3166-2/6/ed3/BS-NO","BS-NO")</f>
        <v>BS-NO</v>
      </c>
    </row>
    <row r="318" spans="1:8" x14ac:dyDescent="0.2">
      <c r="A318" s="157"/>
      <c r="B318" s="31" t="s">
        <v>2853</v>
      </c>
      <c r="C318" s="31" t="s">
        <v>2854</v>
      </c>
      <c r="D318" s="31" t="s">
        <v>2026</v>
      </c>
      <c r="E318" s="61" t="b">
        <v>1</v>
      </c>
      <c r="F318" s="106" t="s">
        <v>2855</v>
      </c>
      <c r="G318" s="116" t="str">
        <f>HYPERLINK("http://nsgreg.nga.mil/genc/view?v=112504&amp;gencs=T&amp;end_month=3&amp;end_day=31&amp;end_year=2014","North Andros")</f>
        <v>North Andros</v>
      </c>
      <c r="H318" s="87" t="str">
        <f>HYPERLINK("http://api.nsgreg.nga.mil/geo-division/ISO3166-2/6/ed3/BS-NS","BS-NS")</f>
        <v>BS-NS</v>
      </c>
    </row>
    <row r="319" spans="1:8" x14ac:dyDescent="0.2">
      <c r="A319" s="157"/>
      <c r="B319" s="31" t="s">
        <v>2856</v>
      </c>
      <c r="C319" s="31" t="s">
        <v>2857</v>
      </c>
      <c r="D319" s="31" t="s">
        <v>2026</v>
      </c>
      <c r="E319" s="61" t="b">
        <v>1</v>
      </c>
      <c r="F319" s="106" t="s">
        <v>2858</v>
      </c>
      <c r="G319" s="116" t="str">
        <f>HYPERLINK("http://nsgreg.nga.mil/genc/view?v=112502&amp;gencs=T&amp;end_month=3&amp;end_day=31&amp;end_year=2014","North Eleuthera")</f>
        <v>North Eleuthera</v>
      </c>
      <c r="H319" s="87" t="str">
        <f>HYPERLINK("http://api.nsgreg.nga.mil/geo-division/ISO3166-2/6/ed3/BS-NE","BS-NE")</f>
        <v>BS-NE</v>
      </c>
    </row>
    <row r="320" spans="1:8" x14ac:dyDescent="0.2">
      <c r="A320" s="157"/>
      <c r="B320" s="31" t="s">
        <v>2859</v>
      </c>
      <c r="C320" s="31" t="s">
        <v>2860</v>
      </c>
      <c r="D320" s="31" t="s">
        <v>2026</v>
      </c>
      <c r="E320" s="61" t="b">
        <v>1</v>
      </c>
      <c r="F320" s="106" t="s">
        <v>2861</v>
      </c>
      <c r="G320" s="116" t="str">
        <f>HYPERLINK("http://nsgreg.nga.mil/genc/view?v=112506&amp;gencs=T&amp;end_month=3&amp;end_day=31&amp;end_year=2014","Ragged Island")</f>
        <v>Ragged Island</v>
      </c>
      <c r="H320" s="87" t="str">
        <f>HYPERLINK("http://api.nsgreg.nga.mil/geo-division/ISO3166-2/6/ed3/BS-RI","BS-RI")</f>
        <v>BS-RI</v>
      </c>
    </row>
    <row r="321" spans="1:8" x14ac:dyDescent="0.2">
      <c r="A321" s="157"/>
      <c r="B321" s="31" t="s">
        <v>2862</v>
      </c>
      <c r="C321" s="31" t="s">
        <v>2863</v>
      </c>
      <c r="D321" s="31" t="s">
        <v>2026</v>
      </c>
      <c r="E321" s="61" t="b">
        <v>1</v>
      </c>
      <c r="F321" s="106" t="s">
        <v>2864</v>
      </c>
      <c r="G321" s="116" t="str">
        <f>HYPERLINK("http://nsgreg.nga.mil/genc/view?v=112505&amp;gencs=T&amp;end_month=3&amp;end_day=31&amp;end_year=2014","Rum Cay")</f>
        <v>Rum Cay</v>
      </c>
      <c r="H321" s="87" t="str">
        <f>HYPERLINK("http://api.nsgreg.nga.mil/geo-division/ISO3166-2/6/ed3/BS-RC","BS-RC")</f>
        <v>BS-RC</v>
      </c>
    </row>
    <row r="322" spans="1:8" x14ac:dyDescent="0.2">
      <c r="A322" s="157"/>
      <c r="B322" s="31" t="s">
        <v>2865</v>
      </c>
      <c r="C322" s="31" t="s">
        <v>2866</v>
      </c>
      <c r="D322" s="31" t="s">
        <v>2026</v>
      </c>
      <c r="E322" s="61" t="b">
        <v>1</v>
      </c>
      <c r="F322" s="106" t="s">
        <v>2867</v>
      </c>
      <c r="G322" s="116" t="str">
        <f>HYPERLINK("http://nsgreg.nga.mil/genc/view?v=112510&amp;gencs=T&amp;end_month=3&amp;end_day=31&amp;end_year=2014","San Salvador")</f>
        <v>San Salvador</v>
      </c>
      <c r="H322" s="87" t="str">
        <f>HYPERLINK("http://api.nsgreg.nga.mil/geo-division/ISO3166-2/6/ed3/BS-SS","BS-SS")</f>
        <v>BS-SS</v>
      </c>
    </row>
    <row r="323" spans="1:8" x14ac:dyDescent="0.2">
      <c r="A323" s="157"/>
      <c r="B323" s="31" t="s">
        <v>2868</v>
      </c>
      <c r="C323" s="31" t="s">
        <v>2869</v>
      </c>
      <c r="D323" s="31" t="s">
        <v>2026</v>
      </c>
      <c r="E323" s="61" t="b">
        <v>1</v>
      </c>
      <c r="F323" s="106" t="s">
        <v>2870</v>
      </c>
      <c r="G323" s="116" t="str">
        <f>HYPERLINK("http://nsgreg.nga.mil/genc/view?v=112509&amp;gencs=T&amp;end_month=3&amp;end_day=31&amp;end_year=2014","South Abaco")</f>
        <v>South Abaco</v>
      </c>
      <c r="H323" s="87" t="str">
        <f>HYPERLINK("http://api.nsgreg.nga.mil/geo-division/ISO3166-2/6/ed3/BS-SO","BS-SO")</f>
        <v>BS-SO</v>
      </c>
    </row>
    <row r="324" spans="1:8" x14ac:dyDescent="0.2">
      <c r="A324" s="157"/>
      <c r="B324" s="31" t="s">
        <v>2871</v>
      </c>
      <c r="C324" s="31" t="s">
        <v>2872</v>
      </c>
      <c r="D324" s="31" t="s">
        <v>2026</v>
      </c>
      <c r="E324" s="61" t="b">
        <v>1</v>
      </c>
      <c r="F324" s="106" t="s">
        <v>2873</v>
      </c>
      <c r="G324" s="116" t="str">
        <f>HYPERLINK("http://nsgreg.nga.mil/genc/view?v=112507&amp;gencs=T&amp;end_month=3&amp;end_day=31&amp;end_year=2014","South Andros")</f>
        <v>South Andros</v>
      </c>
      <c r="H324" s="87" t="str">
        <f>HYPERLINK("http://api.nsgreg.nga.mil/geo-division/ISO3166-2/6/ed3/BS-SA","BS-SA")</f>
        <v>BS-SA</v>
      </c>
    </row>
    <row r="325" spans="1:8" x14ac:dyDescent="0.2">
      <c r="A325" s="157"/>
      <c r="B325" s="31" t="s">
        <v>2874</v>
      </c>
      <c r="C325" s="31" t="s">
        <v>2875</v>
      </c>
      <c r="D325" s="31" t="s">
        <v>2026</v>
      </c>
      <c r="E325" s="61" t="b">
        <v>1</v>
      </c>
      <c r="F325" s="106" t="s">
        <v>2876</v>
      </c>
      <c r="G325" s="116" t="str">
        <f>HYPERLINK("http://nsgreg.nga.mil/genc/view?v=112508&amp;gencs=T&amp;end_month=3&amp;end_day=31&amp;end_year=2014","South Eleuthera")</f>
        <v>South Eleuthera</v>
      </c>
      <c r="H325" s="87" t="str">
        <f>HYPERLINK("http://api.nsgreg.nga.mil/geo-division/ISO3166-2/6/ed3/BS-SE","BS-SE")</f>
        <v>BS-SE</v>
      </c>
    </row>
    <row r="326" spans="1:8" x14ac:dyDescent="0.2">
      <c r="A326" s="157"/>
      <c r="B326" s="31" t="s">
        <v>2877</v>
      </c>
      <c r="C326" s="31" t="s">
        <v>2878</v>
      </c>
      <c r="D326" s="31" t="s">
        <v>2026</v>
      </c>
      <c r="E326" s="61" t="b">
        <v>1</v>
      </c>
      <c r="F326" s="106" t="s">
        <v>2879</v>
      </c>
      <c r="G326" s="116" t="str">
        <f>HYPERLINK("http://nsgreg.nga.mil/genc/view?v=112511&amp;gencs=T&amp;end_month=3&amp;end_day=31&amp;end_year=2014","Spanish Wells")</f>
        <v>Spanish Wells</v>
      </c>
      <c r="H326" s="87" t="str">
        <f>HYPERLINK("http://api.nsgreg.nga.mil/geo-division/ISO3166-2/6/ed3/BS-SW","BS-SW")</f>
        <v>BS-SW</v>
      </c>
    </row>
    <row r="327" spans="1:8" x14ac:dyDescent="0.2">
      <c r="A327" s="158"/>
      <c r="B327" s="58" t="s">
        <v>2880</v>
      </c>
      <c r="C327" s="58" t="s">
        <v>2881</v>
      </c>
      <c r="D327" s="58" t="s">
        <v>2026</v>
      </c>
      <c r="E327" s="62" t="b">
        <v>1</v>
      </c>
      <c r="F327" s="108" t="s">
        <v>2882</v>
      </c>
      <c r="G327" s="117" t="str">
        <f>HYPERLINK("http://nsgreg.nga.mil/genc/view?v=112512&amp;gencs=T&amp;end_month=3&amp;end_day=31&amp;end_year=2014","West Grand Bahama")</f>
        <v>West Grand Bahama</v>
      </c>
      <c r="H327" s="89" t="str">
        <f>HYPERLINK("http://api.nsgreg.nga.mil/geo-division/ISO3166-2/6/ed3/BS-WG","BS-WG")</f>
        <v>BS-WG</v>
      </c>
    </row>
    <row r="328" spans="1:8" x14ac:dyDescent="0.2">
      <c r="A328" s="156" t="str">
        <f>HYPERLINK("[#]Geopolitical_Entities!A22:I22","BAHRAIN")</f>
        <v>BAHRAIN</v>
      </c>
      <c r="B328" s="52" t="s">
        <v>2883</v>
      </c>
      <c r="C328" s="52" t="s">
        <v>2884</v>
      </c>
      <c r="D328" s="52" t="s">
        <v>2885</v>
      </c>
      <c r="E328" s="60" t="b">
        <v>1</v>
      </c>
      <c r="F328" s="110" t="s">
        <v>2886</v>
      </c>
      <c r="G328" s="118" t="str">
        <f>HYPERLINK("http://nsgreg.nga.mil/genc/view?v=200894&amp;end_month=3&amp;end_day=31&amp;end_year=2014","Al ‘Āşimah")</f>
        <v>Al ‘Āşimah</v>
      </c>
      <c r="H328" s="91" t="str">
        <f>HYPERLINK("http://api.nsgreg.nga.mil/geo-division/GENC/6/ed2/BH-13","BH-13")</f>
        <v>BH-13</v>
      </c>
    </row>
    <row r="329" spans="1:8" x14ac:dyDescent="0.2">
      <c r="A329" s="157"/>
      <c r="B329" s="31" t="s">
        <v>2887</v>
      </c>
      <c r="C329" s="31" t="s">
        <v>2888</v>
      </c>
      <c r="D329" s="31" t="s">
        <v>2885</v>
      </c>
      <c r="E329" s="61" t="b">
        <v>1</v>
      </c>
      <c r="F329" s="106" t="s">
        <v>2889</v>
      </c>
      <c r="G329" s="116" t="str">
        <f>HYPERLINK("http://nsgreg.nga.mil/genc/view?v=112406&amp;gencs=T&amp;end_month=3&amp;end_day=31&amp;end_year=2014","Al Janūbīyah")</f>
        <v>Al Janūbīyah</v>
      </c>
      <c r="H329" s="87" t="str">
        <f>HYPERLINK("http://api.nsgreg.nga.mil/geo-division/ISO3166-2/6/ed3/BH-14","BH-14")</f>
        <v>BH-14</v>
      </c>
    </row>
    <row r="330" spans="1:8" x14ac:dyDescent="0.2">
      <c r="A330" s="157"/>
      <c r="B330" s="31" t="s">
        <v>2890</v>
      </c>
      <c r="C330" s="31" t="s">
        <v>2891</v>
      </c>
      <c r="D330" s="31" t="s">
        <v>2885</v>
      </c>
      <c r="E330" s="61" t="b">
        <v>1</v>
      </c>
      <c r="F330" s="106" t="s">
        <v>2892</v>
      </c>
      <c r="G330" s="116" t="str">
        <f>HYPERLINK("http://nsgreg.nga.mil/genc/view?v=112407&amp;gencs=T&amp;end_month=3&amp;end_day=31&amp;end_year=2014","Al Muḩarraq")</f>
        <v>Al Muḩarraq</v>
      </c>
      <c r="H330" s="87" t="str">
        <f>HYPERLINK("http://api.nsgreg.nga.mil/geo-division/ISO3166-2/6/ed3/BH-15","BH-15")</f>
        <v>BH-15</v>
      </c>
    </row>
    <row r="331" spans="1:8" x14ac:dyDescent="0.2">
      <c r="A331" s="157"/>
      <c r="B331" s="31" t="s">
        <v>2893</v>
      </c>
      <c r="C331" s="31" t="s">
        <v>2894</v>
      </c>
      <c r="D331" s="31" t="s">
        <v>2885</v>
      </c>
      <c r="E331" s="61" t="b">
        <v>1</v>
      </c>
      <c r="F331" s="106" t="s">
        <v>2895</v>
      </c>
      <c r="G331" s="116" t="str">
        <f>HYPERLINK("http://nsgreg.nga.mil/genc/view?v=112408&amp;gencs=T&amp;end_month=3&amp;end_day=31&amp;end_year=2014","Al Wusţá")</f>
        <v>Al Wusţá</v>
      </c>
      <c r="H331" s="87" t="str">
        <f>HYPERLINK("http://api.nsgreg.nga.mil/geo-division/ISO3166-2/6/ed3/BH-16","BH-16")</f>
        <v>BH-16</v>
      </c>
    </row>
    <row r="332" spans="1:8" x14ac:dyDescent="0.2">
      <c r="A332" s="158"/>
      <c r="B332" s="58" t="s">
        <v>2896</v>
      </c>
      <c r="C332" s="58" t="s">
        <v>2897</v>
      </c>
      <c r="D332" s="58" t="s">
        <v>2885</v>
      </c>
      <c r="E332" s="62" t="b">
        <v>1</v>
      </c>
      <c r="F332" s="108" t="s">
        <v>2898</v>
      </c>
      <c r="G332" s="117" t="str">
        <f>HYPERLINK("http://nsgreg.nga.mil/genc/view?v=112409&amp;gencs=T&amp;end_month=3&amp;end_day=31&amp;end_year=2014","Ash Shamālīyah")</f>
        <v>Ash Shamālīyah</v>
      </c>
      <c r="H332" s="89" t="str">
        <f>HYPERLINK("http://api.nsgreg.nga.mil/geo-division/ISO3166-2/6/ed3/BH-17","BH-17")</f>
        <v>BH-17</v>
      </c>
    </row>
    <row r="333" spans="1:8" x14ac:dyDescent="0.2">
      <c r="A333" s="156" t="str">
        <f>HYPERLINK("[#]Geopolitical_Entities!A24:I24","BANGLADESH")</f>
        <v>BANGLADESH</v>
      </c>
      <c r="B333" s="52" t="s">
        <v>2899</v>
      </c>
      <c r="C333" s="52" t="s">
        <v>2900</v>
      </c>
      <c r="D333" s="102" t="s">
        <v>2026</v>
      </c>
      <c r="E333" s="103" t="b">
        <v>0</v>
      </c>
      <c r="F333" s="110" t="s">
        <v>2901</v>
      </c>
      <c r="G333" s="118" t="str">
        <f>HYPERLINK("http://nsgreg.nga.mil/genc/view?v=200815&amp;end_month=3&amp;end_day=31&amp;end_year=2014","Bāgerhāt")</f>
        <v>Bāgerhāt</v>
      </c>
      <c r="H333" s="91" t="str">
        <f>HYPERLINK("http://api.nsgreg.nga.mil/geo-division/GENC/6/ed2/BD-05","BD-05")</f>
        <v>BD-05</v>
      </c>
    </row>
    <row r="334" spans="1:8" x14ac:dyDescent="0.2">
      <c r="A334" s="157"/>
      <c r="B334" s="31" t="s">
        <v>2902</v>
      </c>
      <c r="C334" s="31" t="s">
        <v>2903</v>
      </c>
      <c r="D334" s="98" t="s">
        <v>2026</v>
      </c>
      <c r="E334" s="99" t="b">
        <v>0</v>
      </c>
      <c r="F334" s="106" t="s">
        <v>2904</v>
      </c>
      <c r="G334" s="116" t="str">
        <f>HYPERLINK("http://nsgreg.nga.mil/genc/view?v=112235&amp;gencs=T&amp;end_month=3&amp;end_day=31&amp;end_year=2014","Bandarban")</f>
        <v>Bandarban</v>
      </c>
      <c r="H334" s="87" t="str">
        <f>HYPERLINK("http://api.nsgreg.nga.mil/geo-division/ISO3166-2/6/ed3/BD-01","BD-01")</f>
        <v>BD-01</v>
      </c>
    </row>
    <row r="335" spans="1:8" x14ac:dyDescent="0.2">
      <c r="A335" s="157"/>
      <c r="B335" s="31" t="s">
        <v>2905</v>
      </c>
      <c r="C335" s="31" t="s">
        <v>2906</v>
      </c>
      <c r="D335" s="98" t="s">
        <v>2026</v>
      </c>
      <c r="E335" s="99" t="b">
        <v>0</v>
      </c>
      <c r="F335" s="106" t="s">
        <v>2907</v>
      </c>
      <c r="G335" s="116" t="str">
        <f>HYPERLINK("http://nsgreg.nga.mil/genc/view?v=112236&amp;gencs=T&amp;end_month=3&amp;end_day=31&amp;end_year=2014","Barguna")</f>
        <v>Barguna</v>
      </c>
      <c r="H335" s="87" t="str">
        <f>HYPERLINK("http://api.nsgreg.nga.mil/geo-division/ISO3166-2/6/ed3/BD-02","BD-02")</f>
        <v>BD-02</v>
      </c>
    </row>
    <row r="336" spans="1:8" x14ac:dyDescent="0.2">
      <c r="A336" s="157"/>
      <c r="B336" s="31" t="s">
        <v>2908</v>
      </c>
      <c r="C336" s="31" t="s">
        <v>2909</v>
      </c>
      <c r="D336" s="98" t="s">
        <v>2026</v>
      </c>
      <c r="E336" s="99" t="b">
        <v>0</v>
      </c>
      <c r="F336" s="107" t="s">
        <v>2910</v>
      </c>
      <c r="G336" s="116" t="str">
        <f>HYPERLINK("http://nsgreg.nga.mil/genc/view?v=200816&amp;end_month=3&amp;end_day=31&amp;end_year=2014","Barisāl")</f>
        <v>Barisāl</v>
      </c>
      <c r="H336" s="87" t="str">
        <f>HYPERLINK("http://api.nsgreg.nga.mil/geo-division/GENC/6/ed2/BD-06","BD-06")</f>
        <v>BD-06</v>
      </c>
    </row>
    <row r="337" spans="1:8" x14ac:dyDescent="0.2">
      <c r="A337" s="157"/>
      <c r="B337" s="31" t="s">
        <v>2911</v>
      </c>
      <c r="C337" s="31" t="s">
        <v>2909</v>
      </c>
      <c r="D337" s="31" t="s">
        <v>2912</v>
      </c>
      <c r="E337" s="61" t="b">
        <v>1</v>
      </c>
      <c r="F337" s="107" t="s">
        <v>2913</v>
      </c>
      <c r="G337" s="116" t="str">
        <f>HYPERLINK("http://nsgreg.nga.mil/genc/view?v=200850&amp;end_month=3&amp;end_day=31&amp;end_year=2014","Barisāl")</f>
        <v>Barisāl</v>
      </c>
      <c r="H337" s="87" t="str">
        <f>HYPERLINK("http://api.nsgreg.nga.mil/geo-division/GENC/6/ed2/BD-A","BD-A")</f>
        <v>BD-A</v>
      </c>
    </row>
    <row r="338" spans="1:8" x14ac:dyDescent="0.2">
      <c r="A338" s="157"/>
      <c r="B338" s="31" t="s">
        <v>2914</v>
      </c>
      <c r="C338" s="31" t="s">
        <v>2915</v>
      </c>
      <c r="D338" s="98" t="s">
        <v>2026</v>
      </c>
      <c r="E338" s="99" t="b">
        <v>0</v>
      </c>
      <c r="F338" s="106" t="s">
        <v>2916</v>
      </c>
      <c r="G338" s="116" t="str">
        <f>HYPERLINK("http://nsgreg.nga.mil/genc/view?v=112241&amp;gencs=T&amp;end_month=3&amp;end_day=31&amp;end_year=2014","Bhola")</f>
        <v>Bhola</v>
      </c>
      <c r="H338" s="87" t="str">
        <f>HYPERLINK("http://api.nsgreg.nga.mil/geo-division/ISO3166-2/6/ed3/BD-07","BD-07")</f>
        <v>BD-07</v>
      </c>
    </row>
    <row r="339" spans="1:8" x14ac:dyDescent="0.2">
      <c r="A339" s="157"/>
      <c r="B339" s="31" t="s">
        <v>2917</v>
      </c>
      <c r="C339" s="31" t="s">
        <v>2918</v>
      </c>
      <c r="D339" s="98" t="s">
        <v>2026</v>
      </c>
      <c r="E339" s="99" t="b">
        <v>0</v>
      </c>
      <c r="F339" s="106" t="s">
        <v>2919</v>
      </c>
      <c r="G339" s="116" t="str">
        <f>HYPERLINK("http://nsgreg.nga.mil/genc/view?v=112237&amp;gencs=T&amp;end_month=3&amp;end_day=31&amp;end_year=2014","Bogra")</f>
        <v>Bogra</v>
      </c>
      <c r="H339" s="87" t="str">
        <f>HYPERLINK("http://api.nsgreg.nga.mil/geo-division/ISO3166-2/6/ed3/BD-03","BD-03")</f>
        <v>BD-03</v>
      </c>
    </row>
    <row r="340" spans="1:8" x14ac:dyDescent="0.2">
      <c r="A340" s="157"/>
      <c r="B340" s="31" t="s">
        <v>2920</v>
      </c>
      <c r="C340" s="31" t="s">
        <v>2921</v>
      </c>
      <c r="D340" s="98" t="s">
        <v>2026</v>
      </c>
      <c r="E340" s="99" t="b">
        <v>0</v>
      </c>
      <c r="F340" s="107" t="s">
        <v>2922</v>
      </c>
      <c r="G340" s="116" t="str">
        <f>HYPERLINK("http://nsgreg.nga.mil/genc/view?v=200814&amp;end_month=3&amp;end_day=31&amp;end_year=2014","Brāhmanbāria")</f>
        <v>Brāhmanbāria</v>
      </c>
      <c r="H340" s="87" t="str">
        <f>HYPERLINK("http://api.nsgreg.nga.mil/geo-division/GENC/6/ed2/BD-04","BD-04")</f>
        <v>BD-04</v>
      </c>
    </row>
    <row r="341" spans="1:8" x14ac:dyDescent="0.2">
      <c r="A341" s="157"/>
      <c r="B341" s="31" t="s">
        <v>2923</v>
      </c>
      <c r="C341" s="31" t="s">
        <v>2924</v>
      </c>
      <c r="D341" s="98" t="s">
        <v>2026</v>
      </c>
      <c r="E341" s="99" t="b">
        <v>0</v>
      </c>
      <c r="F341" s="107" t="s">
        <v>2925</v>
      </c>
      <c r="G341" s="116" t="str">
        <f>HYPERLINK("http://nsgreg.nga.mil/genc/view?v=200817&amp;end_month=3&amp;end_day=31&amp;end_year=2014","Chāndpur")</f>
        <v>Chāndpur</v>
      </c>
      <c r="H341" s="87" t="str">
        <f>HYPERLINK("http://api.nsgreg.nga.mil/geo-division/GENC/6/ed2/BD-09","BD-09")</f>
        <v>BD-09</v>
      </c>
    </row>
    <row r="342" spans="1:8" x14ac:dyDescent="0.2">
      <c r="A342" s="157"/>
      <c r="B342" s="31" t="s">
        <v>2926</v>
      </c>
      <c r="C342" s="31" t="s">
        <v>2927</v>
      </c>
      <c r="D342" s="98" t="s">
        <v>2026</v>
      </c>
      <c r="E342" s="99" t="b">
        <v>0</v>
      </c>
      <c r="F342" s="107" t="s">
        <v>2928</v>
      </c>
      <c r="G342" s="116" t="str">
        <f>HYPERLINK("http://nsgreg.nga.mil/genc/view?v=200837&amp;end_month=3&amp;end_day=31&amp;end_year=2014","Chapai Nawābganj")</f>
        <v>Chapai Nawābganj</v>
      </c>
      <c r="H342" s="87" t="str">
        <f>HYPERLINK("http://api.nsgreg.nga.mil/geo-division/GENC/6/ed2/BD-45","BD-45")</f>
        <v>BD-45</v>
      </c>
    </row>
    <row r="343" spans="1:8" x14ac:dyDescent="0.2">
      <c r="A343" s="157"/>
      <c r="B343" s="31" t="s">
        <v>2929</v>
      </c>
      <c r="C343" s="31" t="s">
        <v>2930</v>
      </c>
      <c r="D343" s="98" t="s">
        <v>2026</v>
      </c>
      <c r="E343" s="99" t="b">
        <v>0</v>
      </c>
      <c r="F343" s="106" t="s">
        <v>2931</v>
      </c>
      <c r="G343" s="116" t="str">
        <f>HYPERLINK("http://nsgreg.nga.mil/genc/view?v=112244&amp;gencs=T&amp;end_month=3&amp;end_day=31&amp;end_year=2014","Chittagong")</f>
        <v>Chittagong</v>
      </c>
      <c r="H343" s="87" t="str">
        <f>HYPERLINK("http://api.nsgreg.nga.mil/geo-division/ISO3166-2/6/ed3/BD-10","BD-10")</f>
        <v>BD-10</v>
      </c>
    </row>
    <row r="344" spans="1:8" x14ac:dyDescent="0.2">
      <c r="A344" s="157"/>
      <c r="B344" s="31" t="s">
        <v>2932</v>
      </c>
      <c r="C344" s="31" t="s">
        <v>2930</v>
      </c>
      <c r="D344" s="31" t="s">
        <v>2912</v>
      </c>
      <c r="E344" s="61" t="b">
        <v>1</v>
      </c>
      <c r="F344" s="106" t="s">
        <v>2933</v>
      </c>
      <c r="G344" s="116" t="str">
        <f>HYPERLINK("http://nsgreg.nga.mil/genc/view?v=112300&amp;gencs=T&amp;end_month=3&amp;end_day=31&amp;end_year=2014","Chittagong")</f>
        <v>Chittagong</v>
      </c>
      <c r="H344" s="87" t="str">
        <f>HYPERLINK("http://api.nsgreg.nga.mil/geo-division/ISO3166-2/6/ed3/BD-B","BD-B")</f>
        <v>BD-B</v>
      </c>
    </row>
    <row r="345" spans="1:8" x14ac:dyDescent="0.2">
      <c r="A345" s="157"/>
      <c r="B345" s="31" t="s">
        <v>2934</v>
      </c>
      <c r="C345" s="31" t="s">
        <v>2935</v>
      </c>
      <c r="D345" s="98" t="s">
        <v>2026</v>
      </c>
      <c r="E345" s="99" t="b">
        <v>0</v>
      </c>
      <c r="F345" s="107" t="s">
        <v>2936</v>
      </c>
      <c r="G345" s="116" t="str">
        <f>HYPERLINK("http://nsgreg.nga.mil/genc/view?v=200819&amp;end_month=3&amp;end_day=31&amp;end_year=2014","Chuādānga")</f>
        <v>Chuādānga</v>
      </c>
      <c r="H345" s="87" t="str">
        <f>HYPERLINK("http://api.nsgreg.nga.mil/geo-division/GENC/6/ed2/BD-12","BD-12")</f>
        <v>BD-12</v>
      </c>
    </row>
    <row r="346" spans="1:8" x14ac:dyDescent="0.2">
      <c r="A346" s="157"/>
      <c r="B346" s="31" t="s">
        <v>2937</v>
      </c>
      <c r="C346" s="31" t="s">
        <v>2938</v>
      </c>
      <c r="D346" s="98" t="s">
        <v>2026</v>
      </c>
      <c r="E346" s="99" t="b">
        <v>0</v>
      </c>
      <c r="F346" s="106" t="s">
        <v>2939</v>
      </c>
      <c r="G346" s="116" t="str">
        <f>HYPERLINK("http://nsgreg.nga.mil/genc/view?v=112242&amp;gencs=T&amp;end_month=3&amp;end_day=31&amp;end_year=2014","Comilla")</f>
        <v>Comilla</v>
      </c>
      <c r="H346" s="87" t="str">
        <f>HYPERLINK("http://api.nsgreg.nga.mil/geo-division/ISO3166-2/6/ed3/BD-08","BD-08")</f>
        <v>BD-08</v>
      </c>
    </row>
    <row r="347" spans="1:8" x14ac:dyDescent="0.2">
      <c r="A347" s="157"/>
      <c r="B347" s="31" t="s">
        <v>2940</v>
      </c>
      <c r="C347" s="31" t="s">
        <v>2941</v>
      </c>
      <c r="D347" s="98" t="s">
        <v>2026</v>
      </c>
      <c r="E347" s="99" t="b">
        <v>0</v>
      </c>
      <c r="F347" s="107" t="s">
        <v>2942</v>
      </c>
      <c r="G347" s="116" t="str">
        <f>HYPERLINK("http://nsgreg.nga.mil/genc/view?v=200818&amp;end_month=3&amp;end_day=31&amp;end_year=2014","Cox’s Bāzār")</f>
        <v>Cox’s Bāzār</v>
      </c>
      <c r="H347" s="87" t="str">
        <f>HYPERLINK("http://api.nsgreg.nga.mil/geo-division/GENC/6/ed2/BD-11","BD-11")</f>
        <v>BD-11</v>
      </c>
    </row>
    <row r="348" spans="1:8" x14ac:dyDescent="0.2">
      <c r="A348" s="157"/>
      <c r="B348" s="31" t="s">
        <v>2943</v>
      </c>
      <c r="C348" s="31" t="s">
        <v>2944</v>
      </c>
      <c r="D348" s="98" t="s">
        <v>2026</v>
      </c>
      <c r="E348" s="99" t="b">
        <v>0</v>
      </c>
      <c r="F348" s="106" t="s">
        <v>2945</v>
      </c>
      <c r="G348" s="116" t="str">
        <f>HYPERLINK("http://nsgreg.nga.mil/genc/view?v=112247&amp;gencs=T&amp;end_month=3&amp;end_day=31&amp;end_year=2014","Dhaka")</f>
        <v>Dhaka</v>
      </c>
      <c r="H348" s="87" t="str">
        <f>HYPERLINK("http://api.nsgreg.nga.mil/geo-division/ISO3166-2/6/ed3/BD-13","BD-13")</f>
        <v>BD-13</v>
      </c>
    </row>
    <row r="349" spans="1:8" x14ac:dyDescent="0.2">
      <c r="A349" s="157"/>
      <c r="B349" s="31" t="s">
        <v>2946</v>
      </c>
      <c r="C349" s="31" t="s">
        <v>2944</v>
      </c>
      <c r="D349" s="31" t="s">
        <v>2912</v>
      </c>
      <c r="E349" s="61" t="b">
        <v>1</v>
      </c>
      <c r="F349" s="106" t="s">
        <v>2947</v>
      </c>
      <c r="G349" s="116" t="str">
        <f>HYPERLINK("http://nsgreg.nga.mil/genc/view?v=112301&amp;gencs=T&amp;end_month=3&amp;end_day=31&amp;end_year=2014","Dhaka")</f>
        <v>Dhaka</v>
      </c>
      <c r="H349" s="87" t="str">
        <f>HYPERLINK("http://api.nsgreg.nga.mil/geo-division/ISO3166-2/6/ed3/BD-C","BD-C")</f>
        <v>BD-C</v>
      </c>
    </row>
    <row r="350" spans="1:8" x14ac:dyDescent="0.2">
      <c r="A350" s="157"/>
      <c r="B350" s="31" t="s">
        <v>2948</v>
      </c>
      <c r="C350" s="31" t="s">
        <v>2949</v>
      </c>
      <c r="D350" s="98" t="s">
        <v>2026</v>
      </c>
      <c r="E350" s="99" t="b">
        <v>0</v>
      </c>
      <c r="F350" s="107" t="s">
        <v>2950</v>
      </c>
      <c r="G350" s="116" t="str">
        <f>HYPERLINK("http://nsgreg.nga.mil/genc/view?v=200820&amp;end_month=3&amp;end_day=31&amp;end_year=2014","Dinājpur")</f>
        <v>Dinājpur</v>
      </c>
      <c r="H350" s="87" t="str">
        <f>HYPERLINK("http://api.nsgreg.nga.mil/geo-division/GENC/6/ed2/BD-14","BD-14")</f>
        <v>BD-14</v>
      </c>
    </row>
    <row r="351" spans="1:8" x14ac:dyDescent="0.2">
      <c r="A351" s="157"/>
      <c r="B351" s="31" t="s">
        <v>2951</v>
      </c>
      <c r="C351" s="31" t="s">
        <v>2952</v>
      </c>
      <c r="D351" s="98" t="s">
        <v>2026</v>
      </c>
      <c r="E351" s="99" t="b">
        <v>0</v>
      </c>
      <c r="F351" s="107" t="s">
        <v>2953</v>
      </c>
      <c r="G351" s="116" t="str">
        <f>HYPERLINK("http://nsgreg.nga.mil/genc/view?v=200821&amp;end_month=3&amp;end_day=31&amp;end_year=2014","Farīdpur")</f>
        <v>Farīdpur</v>
      </c>
      <c r="H351" s="87" t="str">
        <f>HYPERLINK("http://api.nsgreg.nga.mil/geo-division/GENC/6/ed2/BD-15","BD-15")</f>
        <v>BD-15</v>
      </c>
    </row>
    <row r="352" spans="1:8" x14ac:dyDescent="0.2">
      <c r="A352" s="157"/>
      <c r="B352" s="31" t="s">
        <v>2954</v>
      </c>
      <c r="C352" s="31" t="s">
        <v>2955</v>
      </c>
      <c r="D352" s="98" t="s">
        <v>2026</v>
      </c>
      <c r="E352" s="99" t="b">
        <v>0</v>
      </c>
      <c r="F352" s="106" t="s">
        <v>2956</v>
      </c>
      <c r="G352" s="116" t="str">
        <f>HYPERLINK("http://nsgreg.nga.mil/genc/view?v=112250&amp;gencs=T&amp;end_month=3&amp;end_day=31&amp;end_year=2014","Feni")</f>
        <v>Feni</v>
      </c>
      <c r="H352" s="87" t="str">
        <f>HYPERLINK("http://api.nsgreg.nga.mil/geo-division/ISO3166-2/6/ed3/BD-16","BD-16")</f>
        <v>BD-16</v>
      </c>
    </row>
    <row r="353" spans="1:8" x14ac:dyDescent="0.2">
      <c r="A353" s="157"/>
      <c r="B353" s="31" t="s">
        <v>2957</v>
      </c>
      <c r="C353" s="31" t="s">
        <v>2958</v>
      </c>
      <c r="D353" s="98" t="s">
        <v>2026</v>
      </c>
      <c r="E353" s="99" t="b">
        <v>0</v>
      </c>
      <c r="F353" s="106" t="s">
        <v>2959</v>
      </c>
      <c r="G353" s="116" t="str">
        <f>HYPERLINK("http://nsgreg.nga.mil/genc/view?v=112253&amp;gencs=T&amp;end_month=3&amp;end_day=31&amp;end_year=2014","Gaibandha")</f>
        <v>Gaibandha</v>
      </c>
      <c r="H353" s="87" t="str">
        <f>HYPERLINK("http://api.nsgreg.nga.mil/geo-division/ISO3166-2/6/ed3/BD-19","BD-19")</f>
        <v>BD-19</v>
      </c>
    </row>
    <row r="354" spans="1:8" x14ac:dyDescent="0.2">
      <c r="A354" s="157"/>
      <c r="B354" s="31" t="s">
        <v>2960</v>
      </c>
      <c r="C354" s="31" t="s">
        <v>2961</v>
      </c>
      <c r="D354" s="98" t="s">
        <v>2026</v>
      </c>
      <c r="E354" s="99" t="b">
        <v>0</v>
      </c>
      <c r="F354" s="107" t="s">
        <v>2962</v>
      </c>
      <c r="G354" s="116" t="str">
        <f>HYPERLINK("http://nsgreg.nga.mil/genc/view?v=200823&amp;end_month=3&amp;end_day=31&amp;end_year=2014","Gāzipur")</f>
        <v>Gāzipur</v>
      </c>
      <c r="H354" s="87" t="str">
        <f>HYPERLINK("http://api.nsgreg.nga.mil/geo-division/GENC/6/ed2/BD-18","BD-18")</f>
        <v>BD-18</v>
      </c>
    </row>
    <row r="355" spans="1:8" x14ac:dyDescent="0.2">
      <c r="A355" s="157"/>
      <c r="B355" s="31" t="s">
        <v>2963</v>
      </c>
      <c r="C355" s="31" t="s">
        <v>2964</v>
      </c>
      <c r="D355" s="98" t="s">
        <v>2026</v>
      </c>
      <c r="E355" s="99" t="b">
        <v>0</v>
      </c>
      <c r="F355" s="107" t="s">
        <v>2965</v>
      </c>
      <c r="G355" s="116" t="str">
        <f>HYPERLINK("http://nsgreg.nga.mil/genc/view?v=200822&amp;end_month=3&amp;end_day=31&amp;end_year=2014","Gopālganj")</f>
        <v>Gopālganj</v>
      </c>
      <c r="H355" s="87" t="str">
        <f>HYPERLINK("http://api.nsgreg.nga.mil/geo-division/GENC/6/ed2/BD-17","BD-17")</f>
        <v>BD-17</v>
      </c>
    </row>
    <row r="356" spans="1:8" x14ac:dyDescent="0.2">
      <c r="A356" s="157"/>
      <c r="B356" s="31" t="s">
        <v>2966</v>
      </c>
      <c r="C356" s="31" t="s">
        <v>2967</v>
      </c>
      <c r="D356" s="98" t="s">
        <v>2026</v>
      </c>
      <c r="E356" s="99" t="b">
        <v>0</v>
      </c>
      <c r="F356" s="106" t="s">
        <v>2968</v>
      </c>
      <c r="G356" s="116" t="str">
        <f>HYPERLINK("http://nsgreg.nga.mil/genc/view?v=112254&amp;gencs=T&amp;end_month=3&amp;end_day=31&amp;end_year=2014","Habiganj")</f>
        <v>Habiganj</v>
      </c>
      <c r="H356" s="87" t="str">
        <f>HYPERLINK("http://api.nsgreg.nga.mil/geo-division/ISO3166-2/6/ed3/BD-20","BD-20")</f>
        <v>BD-20</v>
      </c>
    </row>
    <row r="357" spans="1:8" x14ac:dyDescent="0.2">
      <c r="A357" s="157"/>
      <c r="B357" s="31" t="s">
        <v>2969</v>
      </c>
      <c r="C357" s="31" t="s">
        <v>2970</v>
      </c>
      <c r="D357" s="98" t="s">
        <v>2026</v>
      </c>
      <c r="E357" s="99" t="b">
        <v>0</v>
      </c>
      <c r="F357" s="107" t="s">
        <v>2971</v>
      </c>
      <c r="G357" s="116" t="str">
        <f>HYPERLINK("http://nsgreg.nga.mil/genc/view?v=200825&amp;end_month=3&amp;end_day=31&amp;end_year=2014","Jaipurhāt")</f>
        <v>Jaipurhāt</v>
      </c>
      <c r="H357" s="87" t="str">
        <f>HYPERLINK("http://api.nsgreg.nga.mil/geo-division/GENC/6/ed2/BD-24","BD-24")</f>
        <v>BD-24</v>
      </c>
    </row>
    <row r="358" spans="1:8" x14ac:dyDescent="0.2">
      <c r="A358" s="157"/>
      <c r="B358" s="31" t="s">
        <v>2972</v>
      </c>
      <c r="C358" s="31" t="s">
        <v>2973</v>
      </c>
      <c r="D358" s="98" t="s">
        <v>2026</v>
      </c>
      <c r="E358" s="99" t="b">
        <v>0</v>
      </c>
      <c r="F358" s="107" t="s">
        <v>2974</v>
      </c>
      <c r="G358" s="116" t="str">
        <f>HYPERLINK("http://nsgreg.nga.mil/genc/view?v=200824&amp;end_month=3&amp;end_day=31&amp;end_year=2014","Jamālpur")</f>
        <v>Jamālpur</v>
      </c>
      <c r="H358" s="87" t="str">
        <f>HYPERLINK("http://api.nsgreg.nga.mil/geo-division/GENC/6/ed2/BD-21","BD-21")</f>
        <v>BD-21</v>
      </c>
    </row>
    <row r="359" spans="1:8" x14ac:dyDescent="0.2">
      <c r="A359" s="157"/>
      <c r="B359" s="31" t="s">
        <v>2975</v>
      </c>
      <c r="C359" s="31" t="s">
        <v>2976</v>
      </c>
      <c r="D359" s="98" t="s">
        <v>2026</v>
      </c>
      <c r="E359" s="99" t="b">
        <v>0</v>
      </c>
      <c r="F359" s="106" t="s">
        <v>2977</v>
      </c>
      <c r="G359" s="116" t="str">
        <f>HYPERLINK("http://nsgreg.nga.mil/genc/view?v=112256&amp;gencs=T&amp;end_month=3&amp;end_day=31&amp;end_year=2014","Jessore")</f>
        <v>Jessore</v>
      </c>
      <c r="H359" s="87" t="str">
        <f>HYPERLINK("http://api.nsgreg.nga.mil/geo-division/ISO3166-2/6/ed3/BD-22","BD-22")</f>
        <v>BD-22</v>
      </c>
    </row>
    <row r="360" spans="1:8" x14ac:dyDescent="0.2">
      <c r="A360" s="157"/>
      <c r="B360" s="31" t="s">
        <v>2978</v>
      </c>
      <c r="C360" s="31" t="s">
        <v>2979</v>
      </c>
      <c r="D360" s="98" t="s">
        <v>2026</v>
      </c>
      <c r="E360" s="99" t="b">
        <v>0</v>
      </c>
      <c r="F360" s="107" t="s">
        <v>2980</v>
      </c>
      <c r="G360" s="116" t="str">
        <f>HYPERLINK("http://nsgreg.nga.mil/genc/view?v=200826&amp;end_month=3&amp;end_day=31&amp;end_year=2014","Jhālakāti")</f>
        <v>Jhālakāti</v>
      </c>
      <c r="H360" s="87" t="str">
        <f>HYPERLINK("http://api.nsgreg.nga.mil/geo-division/GENC/6/ed2/BD-25","BD-25")</f>
        <v>BD-25</v>
      </c>
    </row>
    <row r="361" spans="1:8" x14ac:dyDescent="0.2">
      <c r="A361" s="157"/>
      <c r="B361" s="31" t="s">
        <v>2981</v>
      </c>
      <c r="C361" s="31" t="s">
        <v>2982</v>
      </c>
      <c r="D361" s="98" t="s">
        <v>2026</v>
      </c>
      <c r="E361" s="99" t="b">
        <v>0</v>
      </c>
      <c r="F361" s="106" t="s">
        <v>2983</v>
      </c>
      <c r="G361" s="116" t="str">
        <f>HYPERLINK("http://nsgreg.nga.mil/genc/view?v=112257&amp;gencs=T&amp;end_month=3&amp;end_day=31&amp;end_year=2014","Jhenaidah")</f>
        <v>Jhenaidah</v>
      </c>
      <c r="H361" s="87" t="str">
        <f>HYPERLINK("http://api.nsgreg.nga.mil/geo-division/ISO3166-2/6/ed3/BD-23","BD-23")</f>
        <v>BD-23</v>
      </c>
    </row>
    <row r="362" spans="1:8" x14ac:dyDescent="0.2">
      <c r="A362" s="157"/>
      <c r="B362" s="31" t="s">
        <v>2984</v>
      </c>
      <c r="C362" s="31" t="s">
        <v>2985</v>
      </c>
      <c r="D362" s="98" t="s">
        <v>2026</v>
      </c>
      <c r="E362" s="99" t="b">
        <v>0</v>
      </c>
      <c r="F362" s="107" t="s">
        <v>2986</v>
      </c>
      <c r="G362" s="116" t="str">
        <f>HYPERLINK("http://nsgreg.nga.mil/genc/view?v=200829&amp;end_month=3&amp;end_day=31&amp;end_year=2014","Khagrāchari")</f>
        <v>Khagrāchari</v>
      </c>
      <c r="H362" s="87" t="str">
        <f>HYPERLINK("http://api.nsgreg.nga.mil/geo-division/GENC/6/ed2/BD-29","BD-29")</f>
        <v>BD-29</v>
      </c>
    </row>
    <row r="363" spans="1:8" x14ac:dyDescent="0.2">
      <c r="A363" s="157"/>
      <c r="B363" s="31" t="s">
        <v>2987</v>
      </c>
      <c r="C363" s="31" t="s">
        <v>2988</v>
      </c>
      <c r="D363" s="98" t="s">
        <v>2026</v>
      </c>
      <c r="E363" s="99" t="b">
        <v>0</v>
      </c>
      <c r="F363" s="106" t="s">
        <v>2989</v>
      </c>
      <c r="G363" s="116" t="str">
        <f>HYPERLINK("http://nsgreg.nga.mil/genc/view?v=112261&amp;gencs=T&amp;end_month=3&amp;end_day=31&amp;end_year=2014","Khulna")</f>
        <v>Khulna</v>
      </c>
      <c r="H363" s="87" t="str">
        <f>HYPERLINK("http://api.nsgreg.nga.mil/geo-division/ISO3166-2/6/ed3/BD-27","BD-27")</f>
        <v>BD-27</v>
      </c>
    </row>
    <row r="364" spans="1:8" x14ac:dyDescent="0.2">
      <c r="A364" s="157"/>
      <c r="B364" s="31" t="s">
        <v>2990</v>
      </c>
      <c r="C364" s="31" t="s">
        <v>2988</v>
      </c>
      <c r="D364" s="31" t="s">
        <v>2912</v>
      </c>
      <c r="E364" s="61" t="b">
        <v>1</v>
      </c>
      <c r="F364" s="106" t="s">
        <v>2991</v>
      </c>
      <c r="G364" s="116" t="str">
        <f>HYPERLINK("http://nsgreg.nga.mil/genc/view?v=112302&amp;gencs=T&amp;end_month=3&amp;end_day=31&amp;end_year=2014","Khulna")</f>
        <v>Khulna</v>
      </c>
      <c r="H364" s="87" t="str">
        <f>HYPERLINK("http://api.nsgreg.nga.mil/geo-division/ISO3166-2/6/ed3/BD-D","BD-D")</f>
        <v>BD-D</v>
      </c>
    </row>
    <row r="365" spans="1:8" x14ac:dyDescent="0.2">
      <c r="A365" s="157"/>
      <c r="B365" s="31" t="s">
        <v>2992</v>
      </c>
      <c r="C365" s="31" t="s">
        <v>2993</v>
      </c>
      <c r="D365" s="98" t="s">
        <v>2026</v>
      </c>
      <c r="E365" s="99" t="b">
        <v>0</v>
      </c>
      <c r="F365" s="107" t="s">
        <v>2994</v>
      </c>
      <c r="G365" s="116" t="str">
        <f>HYPERLINK("http://nsgreg.nga.mil/genc/view?v=200827&amp;end_month=3&amp;end_day=31&amp;end_year=2014","Kishorganj")</f>
        <v>Kishorganj</v>
      </c>
      <c r="H365" s="87" t="str">
        <f>HYPERLINK("http://api.nsgreg.nga.mil/geo-division/GENC/6/ed2/BD-26","BD-26")</f>
        <v>BD-26</v>
      </c>
    </row>
    <row r="366" spans="1:8" x14ac:dyDescent="0.2">
      <c r="A366" s="157"/>
      <c r="B366" s="31" t="s">
        <v>2995</v>
      </c>
      <c r="C366" s="31" t="s">
        <v>2996</v>
      </c>
      <c r="D366" s="98" t="s">
        <v>2026</v>
      </c>
      <c r="E366" s="99" t="b">
        <v>0</v>
      </c>
      <c r="F366" s="107" t="s">
        <v>2997</v>
      </c>
      <c r="G366" s="116" t="str">
        <f>HYPERLINK("http://nsgreg.nga.mil/genc/view?v=200828&amp;end_month=3&amp;end_day=31&amp;end_year=2014","Kurīgrām")</f>
        <v>Kurīgrām</v>
      </c>
      <c r="H366" s="87" t="str">
        <f>HYPERLINK("http://api.nsgreg.nga.mil/geo-division/GENC/6/ed2/BD-28","BD-28")</f>
        <v>BD-28</v>
      </c>
    </row>
    <row r="367" spans="1:8" x14ac:dyDescent="0.2">
      <c r="A367" s="157"/>
      <c r="B367" s="31" t="s">
        <v>2998</v>
      </c>
      <c r="C367" s="31" t="s">
        <v>2999</v>
      </c>
      <c r="D367" s="98" t="s">
        <v>2026</v>
      </c>
      <c r="E367" s="99" t="b">
        <v>0</v>
      </c>
      <c r="F367" s="106" t="s">
        <v>3000</v>
      </c>
      <c r="G367" s="116" t="str">
        <f>HYPERLINK("http://nsgreg.nga.mil/genc/view?v=112264&amp;gencs=T&amp;end_month=3&amp;end_day=31&amp;end_year=2014","Kushtia")</f>
        <v>Kushtia</v>
      </c>
      <c r="H367" s="87" t="str">
        <f>HYPERLINK("http://api.nsgreg.nga.mil/geo-division/ISO3166-2/6/ed3/BD-30","BD-30")</f>
        <v>BD-30</v>
      </c>
    </row>
    <row r="368" spans="1:8" x14ac:dyDescent="0.2">
      <c r="A368" s="157"/>
      <c r="B368" s="31" t="s">
        <v>3001</v>
      </c>
      <c r="C368" s="31" t="s">
        <v>3002</v>
      </c>
      <c r="D368" s="98" t="s">
        <v>2026</v>
      </c>
      <c r="E368" s="99" t="b">
        <v>0</v>
      </c>
      <c r="F368" s="106" t="s">
        <v>3003</v>
      </c>
      <c r="G368" s="116" t="str">
        <f>HYPERLINK("http://nsgreg.nga.mil/genc/view?v=112265&amp;gencs=T&amp;end_month=3&amp;end_day=31&amp;end_year=2014","Lakshmipur")</f>
        <v>Lakshmipur</v>
      </c>
      <c r="H368" s="87" t="str">
        <f>HYPERLINK("http://api.nsgreg.nga.mil/geo-division/ISO3166-2/6/ed3/BD-31","BD-31")</f>
        <v>BD-31</v>
      </c>
    </row>
    <row r="369" spans="1:8" x14ac:dyDescent="0.2">
      <c r="A369" s="157"/>
      <c r="B369" s="31" t="s">
        <v>3004</v>
      </c>
      <c r="C369" s="31" t="s">
        <v>3005</v>
      </c>
      <c r="D369" s="98" t="s">
        <v>2026</v>
      </c>
      <c r="E369" s="99" t="b">
        <v>0</v>
      </c>
      <c r="F369" s="107" t="s">
        <v>3006</v>
      </c>
      <c r="G369" s="116" t="str">
        <f>HYPERLINK("http://nsgreg.nga.mil/genc/view?v=200830&amp;end_month=3&amp;end_day=31&amp;end_year=2014","Lālmonirhāt")</f>
        <v>Lālmonirhāt</v>
      </c>
      <c r="H369" s="87" t="str">
        <f>HYPERLINK("http://api.nsgreg.nga.mil/geo-division/GENC/6/ed2/BD-32","BD-32")</f>
        <v>BD-32</v>
      </c>
    </row>
    <row r="370" spans="1:8" x14ac:dyDescent="0.2">
      <c r="A370" s="157"/>
      <c r="B370" s="31" t="s">
        <v>3007</v>
      </c>
      <c r="C370" s="31" t="s">
        <v>3008</v>
      </c>
      <c r="D370" s="98" t="s">
        <v>2026</v>
      </c>
      <c r="E370" s="99" t="b">
        <v>0</v>
      </c>
      <c r="F370" s="107" t="s">
        <v>3009</v>
      </c>
      <c r="G370" s="116" t="str">
        <f>HYPERLINK("http://nsgreg.nga.mil/genc/view?v=200832&amp;end_month=3&amp;end_day=31&amp;end_year=2014","Mādārīpur")</f>
        <v>Mādārīpur</v>
      </c>
      <c r="H370" s="87" t="str">
        <f>HYPERLINK("http://api.nsgreg.nga.mil/geo-division/GENC/6/ed2/BD-36","BD-36")</f>
        <v>BD-36</v>
      </c>
    </row>
    <row r="371" spans="1:8" x14ac:dyDescent="0.2">
      <c r="A371" s="157"/>
      <c r="B371" s="31" t="s">
        <v>3010</v>
      </c>
      <c r="C371" s="31" t="s">
        <v>3011</v>
      </c>
      <c r="D371" s="98" t="s">
        <v>2026</v>
      </c>
      <c r="E371" s="99" t="b">
        <v>0</v>
      </c>
      <c r="F371" s="107" t="s">
        <v>3012</v>
      </c>
      <c r="G371" s="116" t="str">
        <f>HYPERLINK("http://nsgreg.nga.mil/genc/view?v=200833&amp;end_month=3&amp;end_day=31&amp;end_year=2014","Māgura")</f>
        <v>Māgura</v>
      </c>
      <c r="H371" s="87" t="str">
        <f>HYPERLINK("http://api.nsgreg.nga.mil/geo-division/GENC/6/ed2/BD-37","BD-37")</f>
        <v>BD-37</v>
      </c>
    </row>
    <row r="372" spans="1:8" x14ac:dyDescent="0.2">
      <c r="A372" s="157"/>
      <c r="B372" s="31" t="s">
        <v>3013</v>
      </c>
      <c r="C372" s="31" t="s">
        <v>3014</v>
      </c>
      <c r="D372" s="98" t="s">
        <v>2026</v>
      </c>
      <c r="E372" s="99" t="b">
        <v>0</v>
      </c>
      <c r="F372" s="107" t="s">
        <v>3015</v>
      </c>
      <c r="G372" s="116" t="str">
        <f>HYPERLINK("http://nsgreg.nga.mil/genc/view?v=200831&amp;end_month=3&amp;end_day=31&amp;end_year=2014","Mānikganj")</f>
        <v>Mānikganj</v>
      </c>
      <c r="H372" s="87" t="str">
        <f>HYPERLINK("http://api.nsgreg.nga.mil/geo-division/GENC/6/ed2/BD-33","BD-33")</f>
        <v>BD-33</v>
      </c>
    </row>
    <row r="373" spans="1:8" x14ac:dyDescent="0.2">
      <c r="A373" s="157"/>
      <c r="B373" s="31" t="s">
        <v>3016</v>
      </c>
      <c r="C373" s="31" t="s">
        <v>3017</v>
      </c>
      <c r="D373" s="98" t="s">
        <v>2026</v>
      </c>
      <c r="E373" s="99" t="b">
        <v>0</v>
      </c>
      <c r="F373" s="106" t="s">
        <v>3018</v>
      </c>
      <c r="G373" s="116" t="str">
        <f>HYPERLINK("http://nsgreg.nga.mil/genc/view?v=112273&amp;gencs=T&amp;end_month=3&amp;end_day=31&amp;end_year=2014","Meherpur")</f>
        <v>Meherpur</v>
      </c>
      <c r="H373" s="87" t="str">
        <f>HYPERLINK("http://api.nsgreg.nga.mil/geo-division/ISO3166-2/6/ed3/BD-39","BD-39")</f>
        <v>BD-39</v>
      </c>
    </row>
    <row r="374" spans="1:8" x14ac:dyDescent="0.2">
      <c r="A374" s="157"/>
      <c r="B374" s="31" t="s">
        <v>3019</v>
      </c>
      <c r="C374" s="31" t="s">
        <v>3020</v>
      </c>
      <c r="D374" s="98" t="s">
        <v>2026</v>
      </c>
      <c r="E374" s="99" t="b">
        <v>0</v>
      </c>
      <c r="F374" s="107" t="s">
        <v>3021</v>
      </c>
      <c r="G374" s="116" t="str">
        <f>HYPERLINK("http://nsgreg.nga.mil/genc/view?v=200834&amp;end_month=3&amp;end_day=31&amp;end_year=2014","Moulvibāzār")</f>
        <v>Moulvibāzār</v>
      </c>
      <c r="H374" s="87" t="str">
        <f>HYPERLINK("http://api.nsgreg.nga.mil/geo-division/GENC/6/ed2/BD-38","BD-38")</f>
        <v>BD-38</v>
      </c>
    </row>
    <row r="375" spans="1:8" x14ac:dyDescent="0.2">
      <c r="A375" s="157"/>
      <c r="B375" s="31" t="s">
        <v>3022</v>
      </c>
      <c r="C375" s="31" t="s">
        <v>3023</v>
      </c>
      <c r="D375" s="98" t="s">
        <v>2026</v>
      </c>
      <c r="E375" s="99" t="b">
        <v>0</v>
      </c>
      <c r="F375" s="106" t="s">
        <v>3024</v>
      </c>
      <c r="G375" s="116" t="str">
        <f>HYPERLINK("http://nsgreg.nga.mil/genc/view?v=112269&amp;gencs=T&amp;end_month=3&amp;end_day=31&amp;end_year=2014","Munshiganj")</f>
        <v>Munshiganj</v>
      </c>
      <c r="H375" s="87" t="str">
        <f>HYPERLINK("http://api.nsgreg.nga.mil/geo-division/ISO3166-2/6/ed3/BD-35","BD-35")</f>
        <v>BD-35</v>
      </c>
    </row>
    <row r="376" spans="1:8" x14ac:dyDescent="0.2">
      <c r="A376" s="157"/>
      <c r="B376" s="31" t="s">
        <v>3025</v>
      </c>
      <c r="C376" s="31" t="s">
        <v>3026</v>
      </c>
      <c r="D376" s="98" t="s">
        <v>2026</v>
      </c>
      <c r="E376" s="99" t="b">
        <v>0</v>
      </c>
      <c r="F376" s="106" t="s">
        <v>3027</v>
      </c>
      <c r="G376" s="116" t="str">
        <f>HYPERLINK("http://nsgreg.nga.mil/genc/view?v=112268&amp;gencs=T&amp;end_month=3&amp;end_day=31&amp;end_year=2014","Mymensingh")</f>
        <v>Mymensingh</v>
      </c>
      <c r="H376" s="87" t="str">
        <f>HYPERLINK("http://api.nsgreg.nga.mil/geo-division/ISO3166-2/6/ed3/BD-34","BD-34")</f>
        <v>BD-34</v>
      </c>
    </row>
    <row r="377" spans="1:8" x14ac:dyDescent="0.2">
      <c r="A377" s="157"/>
      <c r="B377" s="31" t="s">
        <v>3028</v>
      </c>
      <c r="C377" s="31" t="s">
        <v>3029</v>
      </c>
      <c r="D377" s="98" t="s">
        <v>2026</v>
      </c>
      <c r="E377" s="99" t="b">
        <v>0</v>
      </c>
      <c r="F377" s="106" t="s">
        <v>3030</v>
      </c>
      <c r="G377" s="116" t="str">
        <f>HYPERLINK("http://nsgreg.nga.mil/genc/view?v=112282&amp;gencs=T&amp;end_month=3&amp;end_day=31&amp;end_year=2014","Naogaon")</f>
        <v>Naogaon</v>
      </c>
      <c r="H377" s="87" t="str">
        <f>HYPERLINK("http://api.nsgreg.nga.mil/geo-division/ISO3166-2/6/ed3/BD-48","BD-48")</f>
        <v>BD-48</v>
      </c>
    </row>
    <row r="378" spans="1:8" x14ac:dyDescent="0.2">
      <c r="A378" s="157"/>
      <c r="B378" s="31" t="s">
        <v>3031</v>
      </c>
      <c r="C378" s="31" t="s">
        <v>3032</v>
      </c>
      <c r="D378" s="98" t="s">
        <v>2026</v>
      </c>
      <c r="E378" s="99" t="b">
        <v>0</v>
      </c>
      <c r="F378" s="106" t="s">
        <v>3033</v>
      </c>
      <c r="G378" s="116" t="str">
        <f>HYPERLINK("http://nsgreg.nga.mil/genc/view?v=112277&amp;gencs=T&amp;end_month=3&amp;end_day=31&amp;end_year=2014","Narail")</f>
        <v>Narail</v>
      </c>
      <c r="H378" s="87" t="str">
        <f>HYPERLINK("http://api.nsgreg.nga.mil/geo-division/ISO3166-2/6/ed3/BD-43","BD-43")</f>
        <v>BD-43</v>
      </c>
    </row>
    <row r="379" spans="1:8" x14ac:dyDescent="0.2">
      <c r="A379" s="157"/>
      <c r="B379" s="31" t="s">
        <v>3034</v>
      </c>
      <c r="C379" s="31" t="s">
        <v>3035</v>
      </c>
      <c r="D379" s="98" t="s">
        <v>2026</v>
      </c>
      <c r="E379" s="99" t="b">
        <v>0</v>
      </c>
      <c r="F379" s="107" t="s">
        <v>3036</v>
      </c>
      <c r="G379" s="116" t="str">
        <f>HYPERLINK("http://nsgreg.nga.mil/genc/view?v=200835&amp;end_month=3&amp;end_day=31&amp;end_year=2014","Nārāyanganj")</f>
        <v>Nārāyanganj</v>
      </c>
      <c r="H379" s="87" t="str">
        <f>HYPERLINK("http://api.nsgreg.nga.mil/geo-division/GENC/6/ed2/BD-40","BD-40")</f>
        <v>BD-40</v>
      </c>
    </row>
    <row r="380" spans="1:8" x14ac:dyDescent="0.2">
      <c r="A380" s="157"/>
      <c r="B380" s="31" t="s">
        <v>3037</v>
      </c>
      <c r="C380" s="31" t="s">
        <v>3038</v>
      </c>
      <c r="D380" s="98" t="s">
        <v>2026</v>
      </c>
      <c r="E380" s="99" t="b">
        <v>0</v>
      </c>
      <c r="F380" s="106" t="s">
        <v>3039</v>
      </c>
      <c r="G380" s="116" t="str">
        <f>HYPERLINK("http://nsgreg.nga.mil/genc/view?v=112276&amp;gencs=T&amp;end_month=3&amp;end_day=31&amp;end_year=2014","Narsingdi")</f>
        <v>Narsingdi</v>
      </c>
      <c r="H380" s="87" t="str">
        <f>HYPERLINK("http://api.nsgreg.nga.mil/geo-division/ISO3166-2/6/ed3/BD-42","BD-42")</f>
        <v>BD-42</v>
      </c>
    </row>
    <row r="381" spans="1:8" x14ac:dyDescent="0.2">
      <c r="A381" s="157"/>
      <c r="B381" s="31" t="s">
        <v>3040</v>
      </c>
      <c r="C381" s="31" t="s">
        <v>3041</v>
      </c>
      <c r="D381" s="98" t="s">
        <v>2026</v>
      </c>
      <c r="E381" s="99" t="b">
        <v>0</v>
      </c>
      <c r="F381" s="107" t="s">
        <v>3042</v>
      </c>
      <c r="G381" s="116" t="str">
        <f>HYPERLINK("http://nsgreg.nga.mil/genc/view?v=200836&amp;end_month=3&amp;end_day=31&amp;end_year=2014","Nator")</f>
        <v>Nator</v>
      </c>
      <c r="H381" s="87" t="str">
        <f>HYPERLINK("http://api.nsgreg.nga.mil/geo-division/GENC/6/ed2/BD-44","BD-44")</f>
        <v>BD-44</v>
      </c>
    </row>
    <row r="382" spans="1:8" x14ac:dyDescent="0.2">
      <c r="A382" s="157"/>
      <c r="B382" s="31" t="s">
        <v>3043</v>
      </c>
      <c r="C382" s="31" t="s">
        <v>3044</v>
      </c>
      <c r="D382" s="98" t="s">
        <v>2026</v>
      </c>
      <c r="E382" s="99" t="b">
        <v>0</v>
      </c>
      <c r="F382" s="106" t="s">
        <v>3045</v>
      </c>
      <c r="G382" s="116" t="str">
        <f>HYPERLINK("http://nsgreg.nga.mil/genc/view?v=112275&amp;gencs=T&amp;end_month=3&amp;end_day=31&amp;end_year=2014","Netrakona")</f>
        <v>Netrakona</v>
      </c>
      <c r="H382" s="87" t="str">
        <f>HYPERLINK("http://api.nsgreg.nga.mil/geo-division/ISO3166-2/6/ed3/BD-41","BD-41")</f>
        <v>BD-41</v>
      </c>
    </row>
    <row r="383" spans="1:8" x14ac:dyDescent="0.2">
      <c r="A383" s="157"/>
      <c r="B383" s="31" t="s">
        <v>3046</v>
      </c>
      <c r="C383" s="31" t="s">
        <v>3047</v>
      </c>
      <c r="D383" s="98" t="s">
        <v>2026</v>
      </c>
      <c r="E383" s="99" t="b">
        <v>0</v>
      </c>
      <c r="F383" s="107" t="s">
        <v>3048</v>
      </c>
      <c r="G383" s="116" t="str">
        <f>HYPERLINK("http://nsgreg.nga.mil/genc/view?v=200838&amp;end_month=3&amp;end_day=31&amp;end_year=2014","Nilphāmāri")</f>
        <v>Nilphāmāri</v>
      </c>
      <c r="H383" s="87" t="str">
        <f>HYPERLINK("http://api.nsgreg.nga.mil/geo-division/GENC/6/ed2/BD-46","BD-46")</f>
        <v>BD-46</v>
      </c>
    </row>
    <row r="384" spans="1:8" x14ac:dyDescent="0.2">
      <c r="A384" s="157"/>
      <c r="B384" s="31" t="s">
        <v>3049</v>
      </c>
      <c r="C384" s="31" t="s">
        <v>3050</v>
      </c>
      <c r="D384" s="98" t="s">
        <v>2026</v>
      </c>
      <c r="E384" s="99" t="b">
        <v>0</v>
      </c>
      <c r="F384" s="107" t="s">
        <v>3051</v>
      </c>
      <c r="G384" s="116" t="str">
        <f>HYPERLINK("http://nsgreg.nga.mil/genc/view?v=200839&amp;end_month=3&amp;end_day=31&amp;end_year=2014","Noākhāli")</f>
        <v>Noākhāli</v>
      </c>
      <c r="H384" s="87" t="str">
        <f>HYPERLINK("http://api.nsgreg.nga.mil/geo-division/GENC/6/ed2/BD-47","BD-47")</f>
        <v>BD-47</v>
      </c>
    </row>
    <row r="385" spans="1:8" x14ac:dyDescent="0.2">
      <c r="A385" s="157"/>
      <c r="B385" s="31" t="s">
        <v>3052</v>
      </c>
      <c r="C385" s="31" t="s">
        <v>3053</v>
      </c>
      <c r="D385" s="98" t="s">
        <v>2026</v>
      </c>
      <c r="E385" s="99" t="b">
        <v>0</v>
      </c>
      <c r="F385" s="107" t="s">
        <v>3054</v>
      </c>
      <c r="G385" s="116" t="str">
        <f>HYPERLINK("http://nsgreg.nga.mil/genc/view?v=200840&amp;end_month=3&amp;end_day=31&amp;end_year=2014","Pābna")</f>
        <v>Pābna</v>
      </c>
      <c r="H385" s="87" t="str">
        <f>HYPERLINK("http://api.nsgreg.nga.mil/geo-division/GENC/6/ed2/BD-49","BD-49")</f>
        <v>BD-49</v>
      </c>
    </row>
    <row r="386" spans="1:8" x14ac:dyDescent="0.2">
      <c r="A386" s="157"/>
      <c r="B386" s="31" t="s">
        <v>3055</v>
      </c>
      <c r="C386" s="31" t="s">
        <v>3056</v>
      </c>
      <c r="D386" s="98" t="s">
        <v>2026</v>
      </c>
      <c r="E386" s="99" t="b">
        <v>0</v>
      </c>
      <c r="F386" s="107" t="s">
        <v>3057</v>
      </c>
      <c r="G386" s="116" t="str">
        <f>HYPERLINK("http://nsgreg.nga.mil/genc/view?v=200842&amp;end_month=3&amp;end_day=31&amp;end_year=2014","Panchāgarh")</f>
        <v>Panchāgarh</v>
      </c>
      <c r="H386" s="87" t="str">
        <f>HYPERLINK("http://api.nsgreg.nga.mil/geo-division/GENC/6/ed2/BD-52","BD-52")</f>
        <v>BD-52</v>
      </c>
    </row>
    <row r="387" spans="1:8" x14ac:dyDescent="0.2">
      <c r="A387" s="157"/>
      <c r="B387" s="31" t="s">
        <v>3058</v>
      </c>
      <c r="C387" s="31" t="s">
        <v>3059</v>
      </c>
      <c r="D387" s="98" t="s">
        <v>2026</v>
      </c>
      <c r="E387" s="99" t="b">
        <v>0</v>
      </c>
      <c r="F387" s="107" t="s">
        <v>3060</v>
      </c>
      <c r="G387" s="116" t="str">
        <f>HYPERLINK("http://nsgreg.nga.mil/genc/view?v=200841&amp;end_month=3&amp;end_day=31&amp;end_year=2014","Patuākhāli")</f>
        <v>Patuākhāli</v>
      </c>
      <c r="H387" s="87" t="str">
        <f>HYPERLINK("http://api.nsgreg.nga.mil/geo-division/GENC/6/ed2/BD-51","BD-51")</f>
        <v>BD-51</v>
      </c>
    </row>
    <row r="388" spans="1:8" x14ac:dyDescent="0.2">
      <c r="A388" s="157"/>
      <c r="B388" s="31" t="s">
        <v>3061</v>
      </c>
      <c r="C388" s="31" t="s">
        <v>3062</v>
      </c>
      <c r="D388" s="98" t="s">
        <v>2026</v>
      </c>
      <c r="E388" s="99" t="b">
        <v>0</v>
      </c>
      <c r="F388" s="106" t="s">
        <v>3063</v>
      </c>
      <c r="G388" s="116" t="str">
        <f>HYPERLINK("http://nsgreg.nga.mil/genc/view?v=112284&amp;gencs=T&amp;end_month=3&amp;end_day=31&amp;end_year=2014","Pirojpur")</f>
        <v>Pirojpur</v>
      </c>
      <c r="H388" s="87" t="str">
        <f>HYPERLINK("http://api.nsgreg.nga.mil/geo-division/ISO3166-2/6/ed3/BD-50","BD-50")</f>
        <v>BD-50</v>
      </c>
    </row>
    <row r="389" spans="1:8" x14ac:dyDescent="0.2">
      <c r="A389" s="157"/>
      <c r="B389" s="31" t="s">
        <v>3064</v>
      </c>
      <c r="C389" s="31" t="s">
        <v>3065</v>
      </c>
      <c r="D389" s="98" t="s">
        <v>2026</v>
      </c>
      <c r="E389" s="99" t="b">
        <v>0</v>
      </c>
      <c r="F389" s="107" t="s">
        <v>3066</v>
      </c>
      <c r="G389" s="116" t="str">
        <f>HYPERLINK("http://nsgreg.nga.mil/genc/view?v=200843&amp;end_month=3&amp;end_day=31&amp;end_year=2014","Rājbāri")</f>
        <v>Rājbāri</v>
      </c>
      <c r="H389" s="87" t="str">
        <f>HYPERLINK("http://api.nsgreg.nga.mil/geo-division/GENC/6/ed2/BD-53","BD-53")</f>
        <v>BD-53</v>
      </c>
    </row>
    <row r="390" spans="1:8" x14ac:dyDescent="0.2">
      <c r="A390" s="157"/>
      <c r="B390" s="31" t="s">
        <v>3067</v>
      </c>
      <c r="C390" s="31" t="s">
        <v>3068</v>
      </c>
      <c r="D390" s="98" t="s">
        <v>2026</v>
      </c>
      <c r="E390" s="99" t="b">
        <v>0</v>
      </c>
      <c r="F390" s="107" t="s">
        <v>3069</v>
      </c>
      <c r="G390" s="116" t="str">
        <f>HYPERLINK("http://nsgreg.nga.mil/genc/view?v=200844&amp;end_month=3&amp;end_day=31&amp;end_year=2014","Rājshāhi")</f>
        <v>Rājshāhi</v>
      </c>
      <c r="H390" s="87" t="str">
        <f>HYPERLINK("http://api.nsgreg.nga.mil/geo-division/GENC/6/ed2/BD-54","BD-54")</f>
        <v>BD-54</v>
      </c>
    </row>
    <row r="391" spans="1:8" x14ac:dyDescent="0.2">
      <c r="A391" s="157"/>
      <c r="B391" s="31" t="s">
        <v>3070</v>
      </c>
      <c r="C391" s="31" t="s">
        <v>3068</v>
      </c>
      <c r="D391" s="31" t="s">
        <v>2912</v>
      </c>
      <c r="E391" s="61" t="b">
        <v>1</v>
      </c>
      <c r="F391" s="107" t="s">
        <v>3071</v>
      </c>
      <c r="G391" s="116" t="str">
        <f>HYPERLINK("http://nsgreg.nga.mil/genc/view?v=200851&amp;end_month=3&amp;end_day=31&amp;end_year=2014","Rājshāhi")</f>
        <v>Rājshāhi</v>
      </c>
      <c r="H391" s="87" t="str">
        <f>HYPERLINK("http://api.nsgreg.nga.mil/geo-division/GENC/6/ed2/BD-E","BD-E")</f>
        <v>BD-E</v>
      </c>
    </row>
    <row r="392" spans="1:8" x14ac:dyDescent="0.2">
      <c r="A392" s="157"/>
      <c r="B392" s="31" t="s">
        <v>3072</v>
      </c>
      <c r="C392" s="31" t="s">
        <v>3073</v>
      </c>
      <c r="D392" s="98" t="s">
        <v>2026</v>
      </c>
      <c r="E392" s="99" t="b">
        <v>0</v>
      </c>
      <c r="F392" s="106" t="s">
        <v>3074</v>
      </c>
      <c r="G392" s="116" t="str">
        <f>HYPERLINK("http://nsgreg.nga.mil/genc/view?v=112290&amp;gencs=T&amp;end_month=3&amp;end_day=31&amp;end_year=2014","Rangamati")</f>
        <v>Rangamati</v>
      </c>
      <c r="H392" s="87" t="str">
        <f>HYPERLINK("http://api.nsgreg.nga.mil/geo-division/ISO3166-2/6/ed3/BD-56","BD-56")</f>
        <v>BD-56</v>
      </c>
    </row>
    <row r="393" spans="1:8" x14ac:dyDescent="0.2">
      <c r="A393" s="157"/>
      <c r="B393" s="31" t="s">
        <v>3075</v>
      </c>
      <c r="C393" s="31" t="s">
        <v>3076</v>
      </c>
      <c r="D393" s="98" t="s">
        <v>2026</v>
      </c>
      <c r="E393" s="99" t="b">
        <v>0</v>
      </c>
      <c r="F393" s="106" t="s">
        <v>3077</v>
      </c>
      <c r="G393" s="116" t="str">
        <f>HYPERLINK("http://nsgreg.nga.mil/genc/view?v=112289&amp;gencs=T&amp;end_month=3&amp;end_day=31&amp;end_year=2014","Rangpur")</f>
        <v>Rangpur</v>
      </c>
      <c r="H393" s="87" t="str">
        <f>HYPERLINK("http://api.nsgreg.nga.mil/geo-division/ISO3166-2/6/ed3/BD-55","BD-55")</f>
        <v>BD-55</v>
      </c>
    </row>
    <row r="394" spans="1:8" x14ac:dyDescent="0.2">
      <c r="A394" s="157"/>
      <c r="B394" s="31" t="s">
        <v>3078</v>
      </c>
      <c r="C394" s="31" t="s">
        <v>3076</v>
      </c>
      <c r="D394" s="31" t="s">
        <v>2912</v>
      </c>
      <c r="E394" s="61" t="b">
        <v>1</v>
      </c>
      <c r="F394" s="106" t="s">
        <v>3079</v>
      </c>
      <c r="G394" s="116" t="str">
        <f>HYPERLINK("http://nsgreg.nga.mil/genc/view?v=112304&amp;gencs=T&amp;end_month=3&amp;end_day=31&amp;end_year=2014","Rangpur")</f>
        <v>Rangpur</v>
      </c>
      <c r="H394" s="87" t="str">
        <f>HYPERLINK("http://api.nsgreg.nga.mil/geo-division/ISO3166-2/6/ed3/BD-F","BD-F")</f>
        <v>BD-F</v>
      </c>
    </row>
    <row r="395" spans="1:8" x14ac:dyDescent="0.2">
      <c r="A395" s="157"/>
      <c r="B395" s="31" t="s">
        <v>3080</v>
      </c>
      <c r="C395" s="31" t="s">
        <v>3081</v>
      </c>
      <c r="D395" s="98" t="s">
        <v>2026</v>
      </c>
      <c r="E395" s="99" t="b">
        <v>0</v>
      </c>
      <c r="F395" s="107" t="s">
        <v>3082</v>
      </c>
      <c r="G395" s="116" t="str">
        <f>HYPERLINK("http://nsgreg.nga.mil/genc/view?v=200845&amp;end_month=3&amp;end_day=31&amp;end_year=2014","Sātkhira")</f>
        <v>Sātkhira</v>
      </c>
      <c r="H395" s="87" t="str">
        <f>HYPERLINK("http://api.nsgreg.nga.mil/geo-division/GENC/6/ed2/BD-58","BD-58")</f>
        <v>BD-58</v>
      </c>
    </row>
    <row r="396" spans="1:8" x14ac:dyDescent="0.2">
      <c r="A396" s="157"/>
      <c r="B396" s="31" t="s">
        <v>3083</v>
      </c>
      <c r="C396" s="31" t="s">
        <v>3084</v>
      </c>
      <c r="D396" s="98" t="s">
        <v>2026</v>
      </c>
      <c r="E396" s="99" t="b">
        <v>0</v>
      </c>
      <c r="F396" s="107" t="s">
        <v>3085</v>
      </c>
      <c r="G396" s="116" t="str">
        <f>HYPERLINK("http://nsgreg.nga.mil/genc/view?v=200848&amp;end_month=3&amp;end_day=31&amp;end_year=2014","Shariyatpur")</f>
        <v>Shariyatpur</v>
      </c>
      <c r="H396" s="87" t="str">
        <f>HYPERLINK("http://api.nsgreg.nga.mil/geo-division/GENC/6/ed2/BD-62","BD-62")</f>
        <v>BD-62</v>
      </c>
    </row>
    <row r="397" spans="1:8" x14ac:dyDescent="0.2">
      <c r="A397" s="157"/>
      <c r="B397" s="31" t="s">
        <v>3086</v>
      </c>
      <c r="C397" s="31" t="s">
        <v>3087</v>
      </c>
      <c r="D397" s="98" t="s">
        <v>2026</v>
      </c>
      <c r="E397" s="99" t="b">
        <v>0</v>
      </c>
      <c r="F397" s="106" t="s">
        <v>3088</v>
      </c>
      <c r="G397" s="116" t="str">
        <f>HYPERLINK("http://nsgreg.nga.mil/genc/view?v=112291&amp;gencs=T&amp;end_month=3&amp;end_day=31&amp;end_year=2014","Sherpur")</f>
        <v>Sherpur</v>
      </c>
      <c r="H397" s="87" t="str">
        <f>HYPERLINK("http://api.nsgreg.nga.mil/geo-division/ISO3166-2/6/ed3/BD-57","BD-57")</f>
        <v>BD-57</v>
      </c>
    </row>
    <row r="398" spans="1:8" x14ac:dyDescent="0.2">
      <c r="A398" s="157"/>
      <c r="B398" s="31" t="s">
        <v>3089</v>
      </c>
      <c r="C398" s="31" t="s">
        <v>3090</v>
      </c>
      <c r="D398" s="98" t="s">
        <v>2026</v>
      </c>
      <c r="E398" s="99" t="b">
        <v>0</v>
      </c>
      <c r="F398" s="107" t="s">
        <v>3091</v>
      </c>
      <c r="G398" s="116" t="str">
        <f>HYPERLINK("http://nsgreg.nga.mil/genc/view?v=200846&amp;end_month=3&amp;end_day=31&amp;end_year=2014","Sirājganj")</f>
        <v>Sirājganj</v>
      </c>
      <c r="H398" s="87" t="str">
        <f>HYPERLINK("http://api.nsgreg.nga.mil/geo-division/GENC/6/ed2/BD-59","BD-59")</f>
        <v>BD-59</v>
      </c>
    </row>
    <row r="399" spans="1:8" x14ac:dyDescent="0.2">
      <c r="A399" s="157"/>
      <c r="B399" s="31" t="s">
        <v>3092</v>
      </c>
      <c r="C399" s="31" t="s">
        <v>3093</v>
      </c>
      <c r="D399" s="98" t="s">
        <v>2026</v>
      </c>
      <c r="E399" s="99" t="b">
        <v>0</v>
      </c>
      <c r="F399" s="107" t="s">
        <v>3094</v>
      </c>
      <c r="G399" s="116" t="str">
        <f>HYPERLINK("http://nsgreg.nga.mil/genc/view?v=200847&amp;end_month=3&amp;end_day=31&amp;end_year=2014","Sunāmganj")</f>
        <v>Sunāmganj</v>
      </c>
      <c r="H399" s="87" t="str">
        <f>HYPERLINK("http://api.nsgreg.nga.mil/geo-division/GENC/6/ed2/BD-61","BD-61")</f>
        <v>BD-61</v>
      </c>
    </row>
    <row r="400" spans="1:8" x14ac:dyDescent="0.2">
      <c r="A400" s="157"/>
      <c r="B400" s="31" t="s">
        <v>3095</v>
      </c>
      <c r="C400" s="31" t="s">
        <v>3096</v>
      </c>
      <c r="D400" s="98" t="s">
        <v>2026</v>
      </c>
      <c r="E400" s="99" t="b">
        <v>0</v>
      </c>
      <c r="F400" s="106" t="s">
        <v>3097</v>
      </c>
      <c r="G400" s="116" t="str">
        <f>HYPERLINK("http://nsgreg.nga.mil/genc/view?v=112294&amp;gencs=T&amp;end_month=3&amp;end_day=31&amp;end_year=2014","Sylhet")</f>
        <v>Sylhet</v>
      </c>
      <c r="H400" s="87" t="str">
        <f>HYPERLINK("http://api.nsgreg.nga.mil/geo-division/ISO3166-2/6/ed3/BD-60","BD-60")</f>
        <v>BD-60</v>
      </c>
    </row>
    <row r="401" spans="1:8" x14ac:dyDescent="0.2">
      <c r="A401" s="157"/>
      <c r="B401" s="31" t="s">
        <v>3098</v>
      </c>
      <c r="C401" s="31" t="s">
        <v>3096</v>
      </c>
      <c r="D401" s="31" t="s">
        <v>2912</v>
      </c>
      <c r="E401" s="61" t="b">
        <v>1</v>
      </c>
      <c r="F401" s="106" t="s">
        <v>3099</v>
      </c>
      <c r="G401" s="116" t="str">
        <f>HYPERLINK("http://nsgreg.nga.mil/genc/view?v=112305&amp;gencs=T&amp;end_month=3&amp;end_day=31&amp;end_year=2014","Sylhet")</f>
        <v>Sylhet</v>
      </c>
      <c r="H401" s="87" t="str">
        <f>HYPERLINK("http://api.nsgreg.nga.mil/geo-division/ISO3166-2/6/ed3/BD-G","BD-G")</f>
        <v>BD-G</v>
      </c>
    </row>
    <row r="402" spans="1:8" x14ac:dyDescent="0.2">
      <c r="A402" s="157"/>
      <c r="B402" s="31" t="s">
        <v>3100</v>
      </c>
      <c r="C402" s="31" t="s">
        <v>3101</v>
      </c>
      <c r="D402" s="98" t="s">
        <v>2026</v>
      </c>
      <c r="E402" s="99" t="b">
        <v>0</v>
      </c>
      <c r="F402" s="106" t="s">
        <v>3102</v>
      </c>
      <c r="G402" s="116" t="str">
        <f>HYPERLINK("http://nsgreg.nga.mil/genc/view?v=112297&amp;gencs=T&amp;end_month=3&amp;end_day=31&amp;end_year=2014","Tangail")</f>
        <v>Tangail</v>
      </c>
      <c r="H402" s="87" t="str">
        <f>HYPERLINK("http://api.nsgreg.nga.mil/geo-division/ISO3166-2/6/ed3/BD-63","BD-63")</f>
        <v>BD-63</v>
      </c>
    </row>
    <row r="403" spans="1:8" x14ac:dyDescent="0.2">
      <c r="A403" s="158"/>
      <c r="B403" s="58" t="s">
        <v>3103</v>
      </c>
      <c r="C403" s="58" t="s">
        <v>3104</v>
      </c>
      <c r="D403" s="100" t="s">
        <v>2026</v>
      </c>
      <c r="E403" s="101" t="b">
        <v>0</v>
      </c>
      <c r="F403" s="111" t="s">
        <v>3105</v>
      </c>
      <c r="G403" s="117" t="str">
        <f>HYPERLINK("http://nsgreg.nga.mil/genc/view?v=200849&amp;end_month=3&amp;end_day=31&amp;end_year=2014","Thākurgaon")</f>
        <v>Thākurgaon</v>
      </c>
      <c r="H403" s="89" t="str">
        <f>HYPERLINK("http://api.nsgreg.nga.mil/geo-division/GENC/6/ed2/BD-64","BD-64")</f>
        <v>BD-64</v>
      </c>
    </row>
    <row r="404" spans="1:8" x14ac:dyDescent="0.2">
      <c r="A404" s="156" t="str">
        <f>HYPERLINK("[#]Geopolitical_Entities!A25:I25","BARBADOS")</f>
        <v>BARBADOS</v>
      </c>
      <c r="B404" s="52" t="s">
        <v>3106</v>
      </c>
      <c r="C404" s="52" t="s">
        <v>3107</v>
      </c>
      <c r="D404" s="52" t="s">
        <v>2301</v>
      </c>
      <c r="E404" s="60" t="b">
        <v>1</v>
      </c>
      <c r="F404" s="109" t="s">
        <v>3108</v>
      </c>
      <c r="G404" s="118" t="str">
        <f>HYPERLINK("http://nsgreg.nga.mil/genc/view?v=112224&amp;gencs=T&amp;end_month=3&amp;end_day=31&amp;end_year=2014","Christ Church")</f>
        <v>Christ Church</v>
      </c>
      <c r="H404" s="91" t="str">
        <f>HYPERLINK("http://api.nsgreg.nga.mil/geo-division/ISO3166-2/6/ed3/BB-01","BB-01")</f>
        <v>BB-01</v>
      </c>
    </row>
    <row r="405" spans="1:8" x14ac:dyDescent="0.2">
      <c r="A405" s="157"/>
      <c r="B405" s="31" t="s">
        <v>3109</v>
      </c>
      <c r="C405" s="31" t="s">
        <v>3110</v>
      </c>
      <c r="D405" s="31" t="s">
        <v>2301</v>
      </c>
      <c r="E405" s="61" t="b">
        <v>1</v>
      </c>
      <c r="F405" s="106" t="s">
        <v>3111</v>
      </c>
      <c r="G405" s="116" t="str">
        <f>HYPERLINK("http://nsgreg.nga.mil/genc/view?v=112225&amp;gencs=T&amp;end_month=3&amp;end_day=31&amp;end_year=2014","Saint Andrew")</f>
        <v>Saint Andrew</v>
      </c>
      <c r="H405" s="87" t="str">
        <f>HYPERLINK("http://api.nsgreg.nga.mil/geo-division/ISO3166-2/6/ed3/BB-02","BB-02")</f>
        <v>BB-02</v>
      </c>
    </row>
    <row r="406" spans="1:8" x14ac:dyDescent="0.2">
      <c r="A406" s="157"/>
      <c r="B406" s="31" t="s">
        <v>3112</v>
      </c>
      <c r="C406" s="31" t="s">
        <v>2383</v>
      </c>
      <c r="D406" s="31" t="s">
        <v>2301</v>
      </c>
      <c r="E406" s="61" t="b">
        <v>1</v>
      </c>
      <c r="F406" s="106" t="s">
        <v>3113</v>
      </c>
      <c r="G406" s="116" t="str">
        <f>HYPERLINK("http://nsgreg.nga.mil/genc/view?v=112226&amp;gencs=T&amp;end_month=3&amp;end_day=31&amp;end_year=2014","Saint George")</f>
        <v>Saint George</v>
      </c>
      <c r="H406" s="87" t="str">
        <f>HYPERLINK("http://api.nsgreg.nga.mil/geo-division/ISO3166-2/6/ed3/BB-03","BB-03")</f>
        <v>BB-03</v>
      </c>
    </row>
    <row r="407" spans="1:8" x14ac:dyDescent="0.2">
      <c r="A407" s="157"/>
      <c r="B407" s="31" t="s">
        <v>3114</v>
      </c>
      <c r="C407" s="31" t="s">
        <v>3115</v>
      </c>
      <c r="D407" s="31" t="s">
        <v>2301</v>
      </c>
      <c r="E407" s="61" t="b">
        <v>1</v>
      </c>
      <c r="F407" s="106" t="s">
        <v>3116</v>
      </c>
      <c r="G407" s="116" t="str">
        <f>HYPERLINK("http://nsgreg.nga.mil/genc/view?v=112227&amp;gencs=T&amp;end_month=3&amp;end_day=31&amp;end_year=2014","Saint James")</f>
        <v>Saint James</v>
      </c>
      <c r="H407" s="87" t="str">
        <f>HYPERLINK("http://api.nsgreg.nga.mil/geo-division/ISO3166-2/6/ed3/BB-04","BB-04")</f>
        <v>BB-04</v>
      </c>
    </row>
    <row r="408" spans="1:8" x14ac:dyDescent="0.2">
      <c r="A408" s="157"/>
      <c r="B408" s="31" t="s">
        <v>3117</v>
      </c>
      <c r="C408" s="31" t="s">
        <v>2386</v>
      </c>
      <c r="D408" s="31" t="s">
        <v>2301</v>
      </c>
      <c r="E408" s="61" t="b">
        <v>1</v>
      </c>
      <c r="F408" s="106" t="s">
        <v>3118</v>
      </c>
      <c r="G408" s="116" t="str">
        <f>HYPERLINK("http://nsgreg.nga.mil/genc/view?v=112228&amp;gencs=T&amp;end_month=3&amp;end_day=31&amp;end_year=2014","Saint John")</f>
        <v>Saint John</v>
      </c>
      <c r="H408" s="87" t="str">
        <f>HYPERLINK("http://api.nsgreg.nga.mil/geo-division/ISO3166-2/6/ed3/BB-05","BB-05")</f>
        <v>BB-05</v>
      </c>
    </row>
    <row r="409" spans="1:8" x14ac:dyDescent="0.2">
      <c r="A409" s="157"/>
      <c r="B409" s="31" t="s">
        <v>3119</v>
      </c>
      <c r="C409" s="31" t="s">
        <v>3120</v>
      </c>
      <c r="D409" s="31" t="s">
        <v>2301</v>
      </c>
      <c r="E409" s="61" t="b">
        <v>1</v>
      </c>
      <c r="F409" s="106" t="s">
        <v>3121</v>
      </c>
      <c r="G409" s="116" t="str">
        <f>HYPERLINK("http://nsgreg.nga.mil/genc/view?v=112229&amp;gencs=T&amp;end_month=3&amp;end_day=31&amp;end_year=2014","Saint Joseph")</f>
        <v>Saint Joseph</v>
      </c>
      <c r="H409" s="87" t="str">
        <f>HYPERLINK("http://api.nsgreg.nga.mil/geo-division/ISO3166-2/6/ed3/BB-06","BB-06")</f>
        <v>BB-06</v>
      </c>
    </row>
    <row r="410" spans="1:8" x14ac:dyDescent="0.2">
      <c r="A410" s="157"/>
      <c r="B410" s="31" t="s">
        <v>3122</v>
      </c>
      <c r="C410" s="31" t="s">
        <v>3123</v>
      </c>
      <c r="D410" s="31" t="s">
        <v>2301</v>
      </c>
      <c r="E410" s="61" t="b">
        <v>1</v>
      </c>
      <c r="F410" s="106" t="s">
        <v>3124</v>
      </c>
      <c r="G410" s="116" t="str">
        <f>HYPERLINK("http://nsgreg.nga.mil/genc/view?v=112230&amp;gencs=T&amp;end_month=3&amp;end_day=31&amp;end_year=2014","Saint Lucy")</f>
        <v>Saint Lucy</v>
      </c>
      <c r="H410" s="87" t="str">
        <f>HYPERLINK("http://api.nsgreg.nga.mil/geo-division/ISO3166-2/6/ed3/BB-07","BB-07")</f>
        <v>BB-07</v>
      </c>
    </row>
    <row r="411" spans="1:8" x14ac:dyDescent="0.2">
      <c r="A411" s="157"/>
      <c r="B411" s="31" t="s">
        <v>3125</v>
      </c>
      <c r="C411" s="31" t="s">
        <v>3126</v>
      </c>
      <c r="D411" s="31" t="s">
        <v>2301</v>
      </c>
      <c r="E411" s="61" t="b">
        <v>1</v>
      </c>
      <c r="F411" s="106" t="s">
        <v>3127</v>
      </c>
      <c r="G411" s="116" t="str">
        <f>HYPERLINK("http://nsgreg.nga.mil/genc/view?v=112231&amp;gencs=T&amp;end_month=3&amp;end_day=31&amp;end_year=2014","Saint Michael")</f>
        <v>Saint Michael</v>
      </c>
      <c r="H411" s="87" t="str">
        <f>HYPERLINK("http://api.nsgreg.nga.mil/geo-division/ISO3166-2/6/ed3/BB-08","BB-08")</f>
        <v>BB-08</v>
      </c>
    </row>
    <row r="412" spans="1:8" x14ac:dyDescent="0.2">
      <c r="A412" s="157"/>
      <c r="B412" s="31" t="s">
        <v>3128</v>
      </c>
      <c r="C412" s="31" t="s">
        <v>2395</v>
      </c>
      <c r="D412" s="31" t="s">
        <v>2301</v>
      </c>
      <c r="E412" s="61" t="b">
        <v>1</v>
      </c>
      <c r="F412" s="106" t="s">
        <v>3129</v>
      </c>
      <c r="G412" s="116" t="str">
        <f>HYPERLINK("http://nsgreg.nga.mil/genc/view?v=112232&amp;gencs=T&amp;end_month=3&amp;end_day=31&amp;end_year=2014","Saint Peter")</f>
        <v>Saint Peter</v>
      </c>
      <c r="H412" s="87" t="str">
        <f>HYPERLINK("http://api.nsgreg.nga.mil/geo-division/ISO3166-2/6/ed3/BB-09","BB-09")</f>
        <v>BB-09</v>
      </c>
    </row>
    <row r="413" spans="1:8" x14ac:dyDescent="0.2">
      <c r="A413" s="157"/>
      <c r="B413" s="31" t="s">
        <v>3130</v>
      </c>
      <c r="C413" s="31" t="s">
        <v>2398</v>
      </c>
      <c r="D413" s="31" t="s">
        <v>2301</v>
      </c>
      <c r="E413" s="61" t="b">
        <v>1</v>
      </c>
      <c r="F413" s="106" t="s">
        <v>3131</v>
      </c>
      <c r="G413" s="116" t="str">
        <f>HYPERLINK("http://nsgreg.nga.mil/genc/view?v=112233&amp;gencs=T&amp;end_month=3&amp;end_day=31&amp;end_year=2014","Saint Philip")</f>
        <v>Saint Philip</v>
      </c>
      <c r="H413" s="87" t="str">
        <f>HYPERLINK("http://api.nsgreg.nga.mil/geo-division/ISO3166-2/6/ed3/BB-10","BB-10")</f>
        <v>BB-10</v>
      </c>
    </row>
    <row r="414" spans="1:8" x14ac:dyDescent="0.2">
      <c r="A414" s="158"/>
      <c r="B414" s="58" t="s">
        <v>3132</v>
      </c>
      <c r="C414" s="58" t="s">
        <v>3133</v>
      </c>
      <c r="D414" s="58" t="s">
        <v>2301</v>
      </c>
      <c r="E414" s="62" t="b">
        <v>1</v>
      </c>
      <c r="F414" s="108" t="s">
        <v>3134</v>
      </c>
      <c r="G414" s="117" t="str">
        <f>HYPERLINK("http://nsgreg.nga.mil/genc/view?v=112234&amp;gencs=T&amp;end_month=3&amp;end_day=31&amp;end_year=2014","Saint Thomas")</f>
        <v>Saint Thomas</v>
      </c>
      <c r="H414" s="89" t="str">
        <f>HYPERLINK("http://api.nsgreg.nga.mil/geo-division/ISO3166-2/6/ed3/BB-11","BB-11")</f>
        <v>BB-11</v>
      </c>
    </row>
    <row r="415" spans="1:8" x14ac:dyDescent="0.2">
      <c r="A415" s="156" t="str">
        <f>HYPERLINK("[#]Geopolitical_Entities!A27:I27","BELARUS")</f>
        <v>BELARUS</v>
      </c>
      <c r="B415" s="52" t="s">
        <v>3135</v>
      </c>
      <c r="C415" s="52" t="s">
        <v>3136</v>
      </c>
      <c r="D415" s="52" t="s">
        <v>3137</v>
      </c>
      <c r="E415" s="60" t="b">
        <v>1</v>
      </c>
      <c r="F415" s="110" t="s">
        <v>3138</v>
      </c>
      <c r="G415" s="118" t="str">
        <f>HYPERLINK("http://nsgreg.nga.mil/genc/view?v=200937&amp;end_month=3&amp;end_day=31&amp;end_year=2014","Brestskaya Voblasts’")</f>
        <v>Brestskaya Voblasts’</v>
      </c>
      <c r="H415" s="91" t="str">
        <f>HYPERLINK("http://api.nsgreg.nga.mil/geo-division/GENC/6/ed2/BY-BR","BY-BR")</f>
        <v>BY-BR</v>
      </c>
    </row>
    <row r="416" spans="1:8" x14ac:dyDescent="0.2">
      <c r="A416" s="157"/>
      <c r="B416" s="31" t="s">
        <v>3139</v>
      </c>
      <c r="C416" s="31" t="s">
        <v>3140</v>
      </c>
      <c r="D416" s="31" t="s">
        <v>3137</v>
      </c>
      <c r="E416" s="61" t="b">
        <v>1</v>
      </c>
      <c r="F416" s="107" t="s">
        <v>3141</v>
      </c>
      <c r="G416" s="116" t="str">
        <f>HYPERLINK("http://nsgreg.nga.mil/genc/view?v=200939&amp;end_month=3&amp;end_day=31&amp;end_year=2014","Homyel’skaya Voblasts’")</f>
        <v>Homyel’skaya Voblasts’</v>
      </c>
      <c r="H416" s="87" t="str">
        <f>HYPERLINK("http://api.nsgreg.nga.mil/geo-division/GENC/6/ed2/BY-HO","BY-HO")</f>
        <v>BY-HO</v>
      </c>
    </row>
    <row r="417" spans="1:8" x14ac:dyDescent="0.2">
      <c r="A417" s="157"/>
      <c r="B417" s="31" t="s">
        <v>3142</v>
      </c>
      <c r="C417" s="31" t="s">
        <v>3143</v>
      </c>
      <c r="D417" s="31" t="s">
        <v>3137</v>
      </c>
      <c r="E417" s="61" t="b">
        <v>1</v>
      </c>
      <c r="F417" s="107" t="s">
        <v>3144</v>
      </c>
      <c r="G417" s="116" t="str">
        <f>HYPERLINK("http://nsgreg.nga.mil/genc/view?v=200940&amp;end_month=3&amp;end_day=31&amp;end_year=2014","Hrodzyenskaya Voblasts’")</f>
        <v>Hrodzyenskaya Voblasts’</v>
      </c>
      <c r="H417" s="87" t="str">
        <f>HYPERLINK("http://api.nsgreg.nga.mil/geo-division/GENC/6/ed2/BY-HR","BY-HR")</f>
        <v>BY-HR</v>
      </c>
    </row>
    <row r="418" spans="1:8" x14ac:dyDescent="0.2">
      <c r="A418" s="157"/>
      <c r="B418" s="31" t="s">
        <v>3145</v>
      </c>
      <c r="C418" s="31" t="s">
        <v>3146</v>
      </c>
      <c r="D418" s="31" t="s">
        <v>3137</v>
      </c>
      <c r="E418" s="61" t="b">
        <v>1</v>
      </c>
      <c r="F418" s="107" t="s">
        <v>3147</v>
      </c>
      <c r="G418" s="116" t="str">
        <f>HYPERLINK("http://nsgreg.nga.mil/genc/view?v=200941&amp;end_month=3&amp;end_day=31&amp;end_year=2014","Mahilyowskaya Voblasts’")</f>
        <v>Mahilyowskaya Voblasts’</v>
      </c>
      <c r="H418" s="87" t="str">
        <f>HYPERLINK("http://api.nsgreg.nga.mil/geo-division/GENC/6/ed2/BY-MA","BY-MA")</f>
        <v>BY-MA</v>
      </c>
    </row>
    <row r="419" spans="1:8" x14ac:dyDescent="0.2">
      <c r="A419" s="157"/>
      <c r="B419" s="31" t="s">
        <v>3148</v>
      </c>
      <c r="C419" s="31" t="s">
        <v>3149</v>
      </c>
      <c r="D419" s="31" t="s">
        <v>2405</v>
      </c>
      <c r="E419" s="61" t="b">
        <v>1</v>
      </c>
      <c r="F419" s="107" t="s">
        <v>3150</v>
      </c>
      <c r="G419" s="116" t="str">
        <f>HYPERLINK("http://nsgreg.nga.mil/genc/view?v=200938&amp;end_month=3&amp;end_day=31&amp;end_year=2014","Minsk")</f>
        <v>Minsk</v>
      </c>
      <c r="H419" s="87" t="str">
        <f>HYPERLINK("http://api.nsgreg.nga.mil/geo-division/GENC/6/ed2/BY-HM","BY-HM")</f>
        <v>BY-HM</v>
      </c>
    </row>
    <row r="420" spans="1:8" x14ac:dyDescent="0.2">
      <c r="A420" s="157"/>
      <c r="B420" s="31" t="s">
        <v>3151</v>
      </c>
      <c r="C420" s="31" t="s">
        <v>3152</v>
      </c>
      <c r="D420" s="31" t="s">
        <v>3137</v>
      </c>
      <c r="E420" s="61" t="b">
        <v>1</v>
      </c>
      <c r="F420" s="107" t="s">
        <v>3153</v>
      </c>
      <c r="G420" s="116" t="str">
        <f>HYPERLINK("http://nsgreg.nga.mil/genc/view?v=200942&amp;end_month=3&amp;end_day=31&amp;end_year=2014","Minskaya Voblasts’")</f>
        <v>Minskaya Voblasts’</v>
      </c>
      <c r="H420" s="87" t="str">
        <f>HYPERLINK("http://api.nsgreg.nga.mil/geo-division/GENC/6/ed2/BY-MI","BY-MI")</f>
        <v>BY-MI</v>
      </c>
    </row>
    <row r="421" spans="1:8" x14ac:dyDescent="0.2">
      <c r="A421" s="158"/>
      <c r="B421" s="58" t="s">
        <v>3154</v>
      </c>
      <c r="C421" s="58" t="s">
        <v>3155</v>
      </c>
      <c r="D421" s="58" t="s">
        <v>3137</v>
      </c>
      <c r="E421" s="62" t="b">
        <v>1</v>
      </c>
      <c r="F421" s="111" t="s">
        <v>3156</v>
      </c>
      <c r="G421" s="117" t="str">
        <f>HYPERLINK("http://nsgreg.nga.mil/genc/view?v=200943&amp;end_month=3&amp;end_day=31&amp;end_year=2014","Vitsyebskaya Voblasts’")</f>
        <v>Vitsyebskaya Voblasts’</v>
      </c>
      <c r="H421" s="89" t="str">
        <f>HYPERLINK("http://api.nsgreg.nga.mil/geo-division/GENC/6/ed2/BY-VI","BY-VI")</f>
        <v>BY-VI</v>
      </c>
    </row>
    <row r="422" spans="1:8" x14ac:dyDescent="0.2">
      <c r="A422" s="156" t="str">
        <f>HYPERLINK("[#]Geopolitical_Entities!A28:I28","BELGIUM")</f>
        <v>BELGIUM</v>
      </c>
      <c r="B422" s="52" t="s">
        <v>3157</v>
      </c>
      <c r="C422" s="52" t="s">
        <v>3158</v>
      </c>
      <c r="D422" s="102" t="s">
        <v>1920</v>
      </c>
      <c r="E422" s="103" t="b">
        <v>0</v>
      </c>
      <c r="F422" s="110" t="s">
        <v>3159</v>
      </c>
      <c r="G422" s="118" t="str">
        <f>HYPERLINK("http://nsgreg.nga.mil/genc/view?v=200853&amp;end_month=3&amp;end_day=31&amp;end_year=2014","Antwerpen")</f>
        <v>Antwerpen</v>
      </c>
      <c r="H422" s="91" t="str">
        <f>HYPERLINK("http://api.nsgreg.nga.mil/geo-division/GENC/6/ed2/BE-VAN","BE-VAN")</f>
        <v>BE-VAN</v>
      </c>
    </row>
    <row r="423" spans="1:8" x14ac:dyDescent="0.2">
      <c r="A423" s="157"/>
      <c r="B423" s="31" t="s">
        <v>3160</v>
      </c>
      <c r="C423" s="31" t="s">
        <v>3161</v>
      </c>
      <c r="D423" s="98" t="s">
        <v>1920</v>
      </c>
      <c r="E423" s="99" t="b">
        <v>0</v>
      </c>
      <c r="F423" s="107" t="s">
        <v>3162</v>
      </c>
      <c r="G423" s="116" t="str">
        <f>HYPERLINK("http://nsgreg.nga.mil/genc/view?v=200860&amp;end_month=3&amp;end_day=31&amp;end_year=2014","Brabant Wallon")</f>
        <v>Brabant Wallon</v>
      </c>
      <c r="H423" s="87" t="str">
        <f>HYPERLINK("http://api.nsgreg.nga.mil/geo-division/GENC/6/ed2/BE-WBR","BE-WBR")</f>
        <v>BE-WBR</v>
      </c>
    </row>
    <row r="424" spans="1:8" x14ac:dyDescent="0.2">
      <c r="A424" s="157"/>
      <c r="B424" s="31" t="s">
        <v>3163</v>
      </c>
      <c r="C424" s="31" t="s">
        <v>3164</v>
      </c>
      <c r="D424" s="31" t="s">
        <v>3137</v>
      </c>
      <c r="E424" s="61" t="b">
        <v>1</v>
      </c>
      <c r="F424" s="107" t="s">
        <v>3165</v>
      </c>
      <c r="G424" s="116" t="str">
        <f>HYPERLINK("http://nsgreg.nga.mil/genc/view?v=200852&amp;end_month=3&amp;end_day=31&amp;end_year=2014","Brussels-Capital Region")</f>
        <v>Brussels-Capital Region</v>
      </c>
      <c r="H424" s="87" t="str">
        <f>HYPERLINK("http://api.nsgreg.nga.mil/geo-division/GENC/6/ed2/BE-BRU","BE-BRU")</f>
        <v>BE-BRU</v>
      </c>
    </row>
    <row r="425" spans="1:8" x14ac:dyDescent="0.2">
      <c r="A425" s="157"/>
      <c r="B425" s="31" t="s">
        <v>3166</v>
      </c>
      <c r="C425" s="31" t="s">
        <v>3167</v>
      </c>
      <c r="D425" s="31" t="s">
        <v>3137</v>
      </c>
      <c r="E425" s="61" t="b">
        <v>1</v>
      </c>
      <c r="F425" s="107" t="s">
        <v>3168</v>
      </c>
      <c r="G425" s="116" t="str">
        <f>HYPERLINK("http://nsgreg.nga.mil/genc/view?v=200855&amp;end_month=3&amp;end_day=31&amp;end_year=2014","Flanders")</f>
        <v>Flanders</v>
      </c>
      <c r="H425" s="87" t="str">
        <f>HYPERLINK("http://api.nsgreg.nga.mil/geo-division/GENC/6/ed2/BE-VLG","BE-VLG")</f>
        <v>BE-VLG</v>
      </c>
    </row>
    <row r="426" spans="1:8" x14ac:dyDescent="0.2">
      <c r="A426" s="157"/>
      <c r="B426" s="31" t="s">
        <v>3169</v>
      </c>
      <c r="C426" s="31" t="s">
        <v>3170</v>
      </c>
      <c r="D426" s="98" t="s">
        <v>1920</v>
      </c>
      <c r="E426" s="99" t="b">
        <v>0</v>
      </c>
      <c r="F426" s="107" t="s">
        <v>3171</v>
      </c>
      <c r="G426" s="116" t="str">
        <f>HYPERLINK("http://nsgreg.nga.mil/genc/view?v=200861&amp;end_month=3&amp;end_day=31&amp;end_year=2014","Hainaut")</f>
        <v>Hainaut</v>
      </c>
      <c r="H426" s="87" t="str">
        <f>HYPERLINK("http://api.nsgreg.nga.mil/geo-division/GENC/6/ed2/BE-WHT","BE-WHT")</f>
        <v>BE-WHT</v>
      </c>
    </row>
    <row r="427" spans="1:8" x14ac:dyDescent="0.2">
      <c r="A427" s="157"/>
      <c r="B427" s="31" t="s">
        <v>3172</v>
      </c>
      <c r="C427" s="31" t="s">
        <v>3173</v>
      </c>
      <c r="D427" s="98" t="s">
        <v>1920</v>
      </c>
      <c r="E427" s="99" t="b">
        <v>0</v>
      </c>
      <c r="F427" s="107" t="s">
        <v>3174</v>
      </c>
      <c r="G427" s="116" t="str">
        <f>HYPERLINK("http://nsgreg.nga.mil/genc/view?v=200862&amp;end_month=3&amp;end_day=31&amp;end_year=2014","Liège")</f>
        <v>Liège</v>
      </c>
      <c r="H427" s="87" t="str">
        <f>HYPERLINK("http://api.nsgreg.nga.mil/geo-division/GENC/6/ed2/BE-WLG","BE-WLG")</f>
        <v>BE-WLG</v>
      </c>
    </row>
    <row r="428" spans="1:8" x14ac:dyDescent="0.2">
      <c r="A428" s="157"/>
      <c r="B428" s="31" t="s">
        <v>3175</v>
      </c>
      <c r="C428" s="31" t="s">
        <v>3176</v>
      </c>
      <c r="D428" s="98" t="s">
        <v>1920</v>
      </c>
      <c r="E428" s="99" t="b">
        <v>0</v>
      </c>
      <c r="F428" s="107" t="s">
        <v>3177</v>
      </c>
      <c r="G428" s="116" t="str">
        <f>HYPERLINK("http://nsgreg.nga.mil/genc/view?v=200856&amp;end_month=3&amp;end_day=31&amp;end_year=2014","Limburg")</f>
        <v>Limburg</v>
      </c>
      <c r="H428" s="87" t="str">
        <f>HYPERLINK("http://api.nsgreg.nga.mil/geo-division/GENC/6/ed2/BE-VLI","BE-VLI")</f>
        <v>BE-VLI</v>
      </c>
    </row>
    <row r="429" spans="1:8" x14ac:dyDescent="0.2">
      <c r="A429" s="157"/>
      <c r="B429" s="31" t="s">
        <v>3178</v>
      </c>
      <c r="C429" s="31" t="s">
        <v>1075</v>
      </c>
      <c r="D429" s="98" t="s">
        <v>1920</v>
      </c>
      <c r="E429" s="99" t="b">
        <v>0</v>
      </c>
      <c r="F429" s="107" t="s">
        <v>3179</v>
      </c>
      <c r="G429" s="116" t="str">
        <f>HYPERLINK("http://nsgreg.nga.mil/genc/view?v=200863&amp;end_month=3&amp;end_day=31&amp;end_year=2014","Luxembourg")</f>
        <v>Luxembourg</v>
      </c>
      <c r="H429" s="87" t="str">
        <f>HYPERLINK("http://api.nsgreg.nga.mil/geo-division/GENC/6/ed2/BE-WLX","BE-WLX")</f>
        <v>BE-WLX</v>
      </c>
    </row>
    <row r="430" spans="1:8" x14ac:dyDescent="0.2">
      <c r="A430" s="157"/>
      <c r="B430" s="31" t="s">
        <v>3180</v>
      </c>
      <c r="C430" s="31" t="s">
        <v>3181</v>
      </c>
      <c r="D430" s="98" t="s">
        <v>1920</v>
      </c>
      <c r="E430" s="99" t="b">
        <v>0</v>
      </c>
      <c r="F430" s="107" t="s">
        <v>3182</v>
      </c>
      <c r="G430" s="116" t="str">
        <f>HYPERLINK("http://nsgreg.nga.mil/genc/view?v=200864&amp;end_month=3&amp;end_day=31&amp;end_year=2014","Namur")</f>
        <v>Namur</v>
      </c>
      <c r="H430" s="87" t="str">
        <f>HYPERLINK("http://api.nsgreg.nga.mil/geo-division/GENC/6/ed2/BE-WNA","BE-WNA")</f>
        <v>BE-WNA</v>
      </c>
    </row>
    <row r="431" spans="1:8" x14ac:dyDescent="0.2">
      <c r="A431" s="157"/>
      <c r="B431" s="31" t="s">
        <v>3183</v>
      </c>
      <c r="C431" s="31" t="s">
        <v>3184</v>
      </c>
      <c r="D431" s="98" t="s">
        <v>1920</v>
      </c>
      <c r="E431" s="99" t="b">
        <v>0</v>
      </c>
      <c r="F431" s="107" t="s">
        <v>3185</v>
      </c>
      <c r="G431" s="116" t="str">
        <f>HYPERLINK("http://nsgreg.nga.mil/genc/view?v=200857&amp;end_month=3&amp;end_day=31&amp;end_year=2014","Oost-Vlaanderen")</f>
        <v>Oost-Vlaanderen</v>
      </c>
      <c r="H431" s="87" t="str">
        <f>HYPERLINK("http://api.nsgreg.nga.mil/geo-division/GENC/6/ed2/BE-VOV","BE-VOV")</f>
        <v>BE-VOV</v>
      </c>
    </row>
    <row r="432" spans="1:8" x14ac:dyDescent="0.2">
      <c r="A432" s="157"/>
      <c r="B432" s="31" t="s">
        <v>3186</v>
      </c>
      <c r="C432" s="31" t="s">
        <v>3187</v>
      </c>
      <c r="D432" s="98" t="s">
        <v>1920</v>
      </c>
      <c r="E432" s="99" t="b">
        <v>0</v>
      </c>
      <c r="F432" s="107" t="s">
        <v>3188</v>
      </c>
      <c r="G432" s="116" t="str">
        <f>HYPERLINK("http://nsgreg.nga.mil/genc/view?v=200854&amp;end_month=3&amp;end_day=31&amp;end_year=2014","Vlaams Brabant")</f>
        <v>Vlaams Brabant</v>
      </c>
      <c r="H432" s="87" t="str">
        <f>HYPERLINK("http://api.nsgreg.nga.mil/geo-division/GENC/6/ed2/BE-VBR","BE-VBR")</f>
        <v>BE-VBR</v>
      </c>
    </row>
    <row r="433" spans="1:8" x14ac:dyDescent="0.2">
      <c r="A433" s="157"/>
      <c r="B433" s="31" t="s">
        <v>3189</v>
      </c>
      <c r="C433" s="31" t="s">
        <v>3190</v>
      </c>
      <c r="D433" s="31" t="s">
        <v>3137</v>
      </c>
      <c r="E433" s="61" t="b">
        <v>1</v>
      </c>
      <c r="F433" s="107" t="s">
        <v>3191</v>
      </c>
      <c r="G433" s="116" t="str">
        <f>HYPERLINK("http://nsgreg.nga.mil/genc/view?v=200859&amp;end_month=3&amp;end_day=31&amp;end_year=2014","Wallonia")</f>
        <v>Wallonia</v>
      </c>
      <c r="H433" s="87" t="str">
        <f>HYPERLINK("http://api.nsgreg.nga.mil/geo-division/GENC/6/ed2/BE-WAL","BE-WAL")</f>
        <v>BE-WAL</v>
      </c>
    </row>
    <row r="434" spans="1:8" x14ac:dyDescent="0.2">
      <c r="A434" s="158"/>
      <c r="B434" s="58" t="s">
        <v>3192</v>
      </c>
      <c r="C434" s="58" t="s">
        <v>3193</v>
      </c>
      <c r="D434" s="100" t="s">
        <v>1920</v>
      </c>
      <c r="E434" s="101" t="b">
        <v>0</v>
      </c>
      <c r="F434" s="111" t="s">
        <v>3194</v>
      </c>
      <c r="G434" s="117" t="str">
        <f>HYPERLINK("http://nsgreg.nga.mil/genc/view?v=200858&amp;end_month=3&amp;end_day=31&amp;end_year=2014","West-Vlaanderen")</f>
        <v>West-Vlaanderen</v>
      </c>
      <c r="H434" s="89" t="str">
        <f>HYPERLINK("http://api.nsgreg.nga.mil/geo-division/GENC/6/ed2/BE-VWV","BE-VWV")</f>
        <v>BE-VWV</v>
      </c>
    </row>
    <row r="435" spans="1:8" x14ac:dyDescent="0.2">
      <c r="A435" s="156" t="str">
        <f>HYPERLINK("[#]Geopolitical_Entities!A29:I29","BELIZE")</f>
        <v>BELIZE</v>
      </c>
      <c r="B435" s="52" t="s">
        <v>3195</v>
      </c>
      <c r="C435" s="52" t="s">
        <v>252</v>
      </c>
      <c r="D435" s="52" t="s">
        <v>2026</v>
      </c>
      <c r="E435" s="60" t="b">
        <v>1</v>
      </c>
      <c r="F435" s="109" t="s">
        <v>3196</v>
      </c>
      <c r="G435" s="118" t="str">
        <f>HYPERLINK("http://nsgreg.nga.mil/genc/view?v=112549&amp;gencs=T&amp;end_month=3&amp;end_day=31&amp;end_year=2014","Belize")</f>
        <v>Belize</v>
      </c>
      <c r="H435" s="91" t="str">
        <f>HYPERLINK("http://api.nsgreg.nga.mil/geo-division/ISO3166-2/6/ed3/BZ-BZ","BZ-BZ")</f>
        <v>BZ-BZ</v>
      </c>
    </row>
    <row r="436" spans="1:8" x14ac:dyDescent="0.2">
      <c r="A436" s="157"/>
      <c r="B436" s="31" t="s">
        <v>3197</v>
      </c>
      <c r="C436" s="31" t="s">
        <v>3198</v>
      </c>
      <c r="D436" s="31" t="s">
        <v>2026</v>
      </c>
      <c r="E436" s="61" t="b">
        <v>1</v>
      </c>
      <c r="F436" s="106" t="s">
        <v>3199</v>
      </c>
      <c r="G436" s="116" t="str">
        <f>HYPERLINK("http://nsgreg.nga.mil/genc/view?v=112550&amp;gencs=T&amp;end_month=3&amp;end_day=31&amp;end_year=2014","Cayo")</f>
        <v>Cayo</v>
      </c>
      <c r="H436" s="87" t="str">
        <f>HYPERLINK("http://api.nsgreg.nga.mil/geo-division/ISO3166-2/6/ed3/BZ-CY","BZ-CY")</f>
        <v>BZ-CY</v>
      </c>
    </row>
    <row r="437" spans="1:8" x14ac:dyDescent="0.2">
      <c r="A437" s="157"/>
      <c r="B437" s="31" t="s">
        <v>3200</v>
      </c>
      <c r="C437" s="31" t="s">
        <v>3201</v>
      </c>
      <c r="D437" s="31" t="s">
        <v>2026</v>
      </c>
      <c r="E437" s="61" t="b">
        <v>1</v>
      </c>
      <c r="F437" s="106" t="s">
        <v>3202</v>
      </c>
      <c r="G437" s="116" t="str">
        <f>HYPERLINK("http://nsgreg.nga.mil/genc/view?v=112551&amp;gencs=T&amp;end_month=3&amp;end_day=31&amp;end_year=2014","Corozal")</f>
        <v>Corozal</v>
      </c>
      <c r="H437" s="87" t="str">
        <f>HYPERLINK("http://api.nsgreg.nga.mil/geo-division/ISO3166-2/6/ed3/BZ-CZL","BZ-CZL")</f>
        <v>BZ-CZL</v>
      </c>
    </row>
    <row r="438" spans="1:8" x14ac:dyDescent="0.2">
      <c r="A438" s="157"/>
      <c r="B438" s="31" t="s">
        <v>3203</v>
      </c>
      <c r="C438" s="31" t="s">
        <v>3204</v>
      </c>
      <c r="D438" s="31" t="s">
        <v>2026</v>
      </c>
      <c r="E438" s="61" t="b">
        <v>1</v>
      </c>
      <c r="F438" s="106" t="s">
        <v>3205</v>
      </c>
      <c r="G438" s="116" t="str">
        <f>HYPERLINK("http://nsgreg.nga.mil/genc/view?v=112552&amp;gencs=T&amp;end_month=3&amp;end_day=31&amp;end_year=2014","Orange Walk")</f>
        <v>Orange Walk</v>
      </c>
      <c r="H438" s="87" t="str">
        <f>HYPERLINK("http://api.nsgreg.nga.mil/geo-division/ISO3166-2/6/ed3/BZ-OW","BZ-OW")</f>
        <v>BZ-OW</v>
      </c>
    </row>
    <row r="439" spans="1:8" x14ac:dyDescent="0.2">
      <c r="A439" s="157"/>
      <c r="B439" s="31" t="s">
        <v>3206</v>
      </c>
      <c r="C439" s="31" t="s">
        <v>3207</v>
      </c>
      <c r="D439" s="31" t="s">
        <v>2026</v>
      </c>
      <c r="E439" s="61" t="b">
        <v>1</v>
      </c>
      <c r="F439" s="106" t="s">
        <v>3208</v>
      </c>
      <c r="G439" s="116" t="str">
        <f>HYPERLINK("http://nsgreg.nga.mil/genc/view?v=112553&amp;gencs=T&amp;end_month=3&amp;end_day=31&amp;end_year=2014","Stann Creek")</f>
        <v>Stann Creek</v>
      </c>
      <c r="H439" s="87" t="str">
        <f>HYPERLINK("http://api.nsgreg.nga.mil/geo-division/ISO3166-2/6/ed3/BZ-SC","BZ-SC")</f>
        <v>BZ-SC</v>
      </c>
    </row>
    <row r="440" spans="1:8" x14ac:dyDescent="0.2">
      <c r="A440" s="158"/>
      <c r="B440" s="58" t="s">
        <v>3209</v>
      </c>
      <c r="C440" s="58" t="s">
        <v>3210</v>
      </c>
      <c r="D440" s="58" t="s">
        <v>2026</v>
      </c>
      <c r="E440" s="62" t="b">
        <v>1</v>
      </c>
      <c r="F440" s="108" t="s">
        <v>3211</v>
      </c>
      <c r="G440" s="117" t="str">
        <f>HYPERLINK("http://nsgreg.nga.mil/genc/view?v=112554&amp;gencs=T&amp;end_month=3&amp;end_day=31&amp;end_year=2014","Toledo")</f>
        <v>Toledo</v>
      </c>
      <c r="H440" s="89" t="str">
        <f>HYPERLINK("http://api.nsgreg.nga.mil/geo-division/ISO3166-2/6/ed3/BZ-TOL","BZ-TOL")</f>
        <v>BZ-TOL</v>
      </c>
    </row>
    <row r="441" spans="1:8" x14ac:dyDescent="0.2">
      <c r="A441" s="156" t="str">
        <f>HYPERLINK("[#]Geopolitical_Entities!A30:I30","BENIN")</f>
        <v>BENIN</v>
      </c>
      <c r="B441" s="52" t="s">
        <v>3212</v>
      </c>
      <c r="C441" s="52" t="s">
        <v>3213</v>
      </c>
      <c r="D441" s="52" t="s">
        <v>3214</v>
      </c>
      <c r="E441" s="60" t="b">
        <v>1</v>
      </c>
      <c r="F441" s="109" t="s">
        <v>3215</v>
      </c>
      <c r="G441" s="118" t="str">
        <f>HYPERLINK("http://nsgreg.nga.mil/genc/view?v=112428&amp;gencs=T&amp;end_month=3&amp;end_day=31&amp;end_year=2014","Alibori")</f>
        <v>Alibori</v>
      </c>
      <c r="H441" s="91" t="str">
        <f>HYPERLINK("http://api.nsgreg.nga.mil/geo-division/ISO3166-2/6/ed3/BJ-AL","BJ-AL")</f>
        <v>BJ-AL</v>
      </c>
    </row>
    <row r="442" spans="1:8" x14ac:dyDescent="0.2">
      <c r="A442" s="157"/>
      <c r="B442" s="31" t="s">
        <v>3216</v>
      </c>
      <c r="C442" s="31" t="s">
        <v>3217</v>
      </c>
      <c r="D442" s="31" t="s">
        <v>3214</v>
      </c>
      <c r="E442" s="61" t="b">
        <v>1</v>
      </c>
      <c r="F442" s="106" t="s">
        <v>3218</v>
      </c>
      <c r="G442" s="116" t="str">
        <f>HYPERLINK("http://nsgreg.nga.mil/genc/view?v=112427&amp;gencs=T&amp;end_month=3&amp;end_day=31&amp;end_year=2014","Atakora")</f>
        <v>Atakora</v>
      </c>
      <c r="H442" s="87" t="str">
        <f>HYPERLINK("http://api.nsgreg.nga.mil/geo-division/ISO3166-2/6/ed3/BJ-AK","BJ-AK")</f>
        <v>BJ-AK</v>
      </c>
    </row>
    <row r="443" spans="1:8" x14ac:dyDescent="0.2">
      <c r="A443" s="157"/>
      <c r="B443" s="31" t="s">
        <v>3219</v>
      </c>
      <c r="C443" s="31" t="s">
        <v>3220</v>
      </c>
      <c r="D443" s="31" t="s">
        <v>3214</v>
      </c>
      <c r="E443" s="61" t="b">
        <v>1</v>
      </c>
      <c r="F443" s="106" t="s">
        <v>3221</v>
      </c>
      <c r="G443" s="116" t="str">
        <f>HYPERLINK("http://nsgreg.nga.mil/genc/view?v=112429&amp;gencs=T&amp;end_month=3&amp;end_day=31&amp;end_year=2014","Atlantique")</f>
        <v>Atlantique</v>
      </c>
      <c r="H443" s="87" t="str">
        <f>HYPERLINK("http://api.nsgreg.nga.mil/geo-division/ISO3166-2/6/ed3/BJ-AQ","BJ-AQ")</f>
        <v>BJ-AQ</v>
      </c>
    </row>
    <row r="444" spans="1:8" x14ac:dyDescent="0.2">
      <c r="A444" s="157"/>
      <c r="B444" s="31" t="s">
        <v>3222</v>
      </c>
      <c r="C444" s="31" t="s">
        <v>3223</v>
      </c>
      <c r="D444" s="31" t="s">
        <v>3214</v>
      </c>
      <c r="E444" s="61" t="b">
        <v>1</v>
      </c>
      <c r="F444" s="106" t="s">
        <v>3224</v>
      </c>
      <c r="G444" s="116" t="str">
        <f>HYPERLINK("http://nsgreg.nga.mil/genc/view?v=112430&amp;gencs=T&amp;end_month=3&amp;end_day=31&amp;end_year=2014","Borgou")</f>
        <v>Borgou</v>
      </c>
      <c r="H444" s="87" t="str">
        <f>HYPERLINK("http://api.nsgreg.nga.mil/geo-division/ISO3166-2/6/ed3/BJ-BO","BJ-BO")</f>
        <v>BJ-BO</v>
      </c>
    </row>
    <row r="445" spans="1:8" x14ac:dyDescent="0.2">
      <c r="A445" s="157"/>
      <c r="B445" s="31" t="s">
        <v>3225</v>
      </c>
      <c r="C445" s="31" t="s">
        <v>3226</v>
      </c>
      <c r="D445" s="31" t="s">
        <v>3214</v>
      </c>
      <c r="E445" s="61" t="b">
        <v>1</v>
      </c>
      <c r="F445" s="106" t="s">
        <v>3227</v>
      </c>
      <c r="G445" s="116" t="str">
        <f>HYPERLINK("http://nsgreg.nga.mil/genc/view?v=112431&amp;gencs=T&amp;end_month=3&amp;end_day=31&amp;end_year=2014","Collines")</f>
        <v>Collines</v>
      </c>
      <c r="H445" s="87" t="str">
        <f>HYPERLINK("http://api.nsgreg.nga.mil/geo-division/ISO3166-2/6/ed3/BJ-CO","BJ-CO")</f>
        <v>BJ-CO</v>
      </c>
    </row>
    <row r="446" spans="1:8" x14ac:dyDescent="0.2">
      <c r="A446" s="157"/>
      <c r="B446" s="31" t="s">
        <v>3228</v>
      </c>
      <c r="C446" s="31" t="s">
        <v>3229</v>
      </c>
      <c r="D446" s="31" t="s">
        <v>3214</v>
      </c>
      <c r="E446" s="61" t="b">
        <v>1</v>
      </c>
      <c r="F446" s="106" t="s">
        <v>3230</v>
      </c>
      <c r="G446" s="116" t="str">
        <f>HYPERLINK("http://nsgreg.nga.mil/genc/view?v=112432&amp;gencs=T&amp;end_month=3&amp;end_day=31&amp;end_year=2014","Donga")</f>
        <v>Donga</v>
      </c>
      <c r="H446" s="87" t="str">
        <f>HYPERLINK("http://api.nsgreg.nga.mil/geo-division/ISO3166-2/6/ed3/BJ-DO","BJ-DO")</f>
        <v>BJ-DO</v>
      </c>
    </row>
    <row r="447" spans="1:8" x14ac:dyDescent="0.2">
      <c r="A447" s="157"/>
      <c r="B447" s="31" t="s">
        <v>3231</v>
      </c>
      <c r="C447" s="31" t="s">
        <v>3232</v>
      </c>
      <c r="D447" s="31" t="s">
        <v>3214</v>
      </c>
      <c r="E447" s="61" t="b">
        <v>1</v>
      </c>
      <c r="F447" s="106" t="s">
        <v>3233</v>
      </c>
      <c r="G447" s="116" t="str">
        <f>HYPERLINK("http://nsgreg.nga.mil/genc/view?v=112433&amp;gencs=T&amp;end_month=3&amp;end_day=31&amp;end_year=2014","Kouffo")</f>
        <v>Kouffo</v>
      </c>
      <c r="H447" s="87" t="str">
        <f>HYPERLINK("http://api.nsgreg.nga.mil/geo-division/ISO3166-2/6/ed3/BJ-KO","BJ-KO")</f>
        <v>BJ-KO</v>
      </c>
    </row>
    <row r="448" spans="1:8" x14ac:dyDescent="0.2">
      <c r="A448" s="157"/>
      <c r="B448" s="31" t="s">
        <v>3234</v>
      </c>
      <c r="C448" s="31" t="s">
        <v>3235</v>
      </c>
      <c r="D448" s="31" t="s">
        <v>3214</v>
      </c>
      <c r="E448" s="61" t="b">
        <v>1</v>
      </c>
      <c r="F448" s="106" t="s">
        <v>3236</v>
      </c>
      <c r="G448" s="116" t="str">
        <f>HYPERLINK("http://nsgreg.nga.mil/genc/view?v=112434&amp;gencs=T&amp;end_month=3&amp;end_day=31&amp;end_year=2014","Littoral")</f>
        <v>Littoral</v>
      </c>
      <c r="H448" s="87" t="str">
        <f>HYPERLINK("http://api.nsgreg.nga.mil/geo-division/ISO3166-2/6/ed3/BJ-LI","BJ-LI")</f>
        <v>BJ-LI</v>
      </c>
    </row>
    <row r="449" spans="1:8" x14ac:dyDescent="0.2">
      <c r="A449" s="157"/>
      <c r="B449" s="31" t="s">
        <v>3237</v>
      </c>
      <c r="C449" s="31" t="s">
        <v>3238</v>
      </c>
      <c r="D449" s="31" t="s">
        <v>3214</v>
      </c>
      <c r="E449" s="61" t="b">
        <v>1</v>
      </c>
      <c r="F449" s="106" t="s">
        <v>3239</v>
      </c>
      <c r="G449" s="116" t="str">
        <f>HYPERLINK("http://nsgreg.nga.mil/genc/view?v=112435&amp;gencs=T&amp;end_month=3&amp;end_day=31&amp;end_year=2014","Mono")</f>
        <v>Mono</v>
      </c>
      <c r="H449" s="87" t="str">
        <f>HYPERLINK("http://api.nsgreg.nga.mil/geo-division/ISO3166-2/6/ed3/BJ-MO","BJ-MO")</f>
        <v>BJ-MO</v>
      </c>
    </row>
    <row r="450" spans="1:8" x14ac:dyDescent="0.2">
      <c r="A450" s="157"/>
      <c r="B450" s="31" t="s">
        <v>3240</v>
      </c>
      <c r="C450" s="31" t="s">
        <v>3241</v>
      </c>
      <c r="D450" s="31" t="s">
        <v>3214</v>
      </c>
      <c r="E450" s="61" t="b">
        <v>1</v>
      </c>
      <c r="F450" s="106" t="s">
        <v>3242</v>
      </c>
      <c r="G450" s="116" t="str">
        <f>HYPERLINK("http://nsgreg.nga.mil/genc/view?v=112436&amp;gencs=T&amp;end_month=3&amp;end_day=31&amp;end_year=2014","Ouémé")</f>
        <v>Ouémé</v>
      </c>
      <c r="H450" s="87" t="str">
        <f>HYPERLINK("http://api.nsgreg.nga.mil/geo-division/ISO3166-2/6/ed3/BJ-OU","BJ-OU")</f>
        <v>BJ-OU</v>
      </c>
    </row>
    <row r="451" spans="1:8" x14ac:dyDescent="0.2">
      <c r="A451" s="157"/>
      <c r="B451" s="31" t="s">
        <v>3243</v>
      </c>
      <c r="C451" s="31" t="s">
        <v>3244</v>
      </c>
      <c r="D451" s="31" t="s">
        <v>3214</v>
      </c>
      <c r="E451" s="61" t="b">
        <v>1</v>
      </c>
      <c r="F451" s="106" t="s">
        <v>3245</v>
      </c>
      <c r="G451" s="116" t="str">
        <f>HYPERLINK("http://nsgreg.nga.mil/genc/view?v=112437&amp;gencs=T&amp;end_month=3&amp;end_day=31&amp;end_year=2014","Plateau")</f>
        <v>Plateau</v>
      </c>
      <c r="H451" s="87" t="str">
        <f>HYPERLINK("http://api.nsgreg.nga.mil/geo-division/ISO3166-2/6/ed3/BJ-PL","BJ-PL")</f>
        <v>BJ-PL</v>
      </c>
    </row>
    <row r="452" spans="1:8" x14ac:dyDescent="0.2">
      <c r="A452" s="158"/>
      <c r="B452" s="58" t="s">
        <v>3246</v>
      </c>
      <c r="C452" s="58" t="s">
        <v>3247</v>
      </c>
      <c r="D452" s="58" t="s">
        <v>3214</v>
      </c>
      <c r="E452" s="62" t="b">
        <v>1</v>
      </c>
      <c r="F452" s="108" t="s">
        <v>3248</v>
      </c>
      <c r="G452" s="117" t="str">
        <f>HYPERLINK("http://nsgreg.nga.mil/genc/view?v=112438&amp;gencs=T&amp;end_month=3&amp;end_day=31&amp;end_year=2014","Zou")</f>
        <v>Zou</v>
      </c>
      <c r="H452" s="89" t="str">
        <f>HYPERLINK("http://api.nsgreg.nga.mil/geo-division/ISO3166-2/6/ed3/BJ-ZO","BJ-ZO")</f>
        <v>BJ-ZO</v>
      </c>
    </row>
    <row r="453" spans="1:8" x14ac:dyDescent="0.2">
      <c r="A453" s="156" t="str">
        <f>HYPERLINK("[#]Geopolitical_Entities!A31:I31","BERMUDA")</f>
        <v>BERMUDA</v>
      </c>
      <c r="B453" s="52" t="s">
        <v>3249</v>
      </c>
      <c r="C453" s="52" t="s">
        <v>3250</v>
      </c>
      <c r="D453" s="52" t="s">
        <v>2301</v>
      </c>
      <c r="E453" s="60" t="b">
        <v>1</v>
      </c>
      <c r="F453" s="110" t="s">
        <v>3251</v>
      </c>
      <c r="G453" s="118" t="str">
        <f>HYPERLINK("http://nsgreg.nga.mil/genc/view?v=200912&amp;end_month=3&amp;end_day=31&amp;end_year=2014","Devonshire")</f>
        <v>Devonshire</v>
      </c>
      <c r="H453" s="91" t="str">
        <f>HYPERLINK("http://api.nsgreg.nga.mil/geo-division/GENC/6/ed2/BM-01","BM-01")</f>
        <v>BM-01</v>
      </c>
    </row>
    <row r="454" spans="1:8" x14ac:dyDescent="0.2">
      <c r="A454" s="157"/>
      <c r="B454" s="31" t="s">
        <v>3252</v>
      </c>
      <c r="C454" s="31" t="s">
        <v>3253</v>
      </c>
      <c r="D454" s="31" t="s">
        <v>3254</v>
      </c>
      <c r="E454" s="61" t="b">
        <v>1</v>
      </c>
      <c r="F454" s="107" t="s">
        <v>3255</v>
      </c>
      <c r="G454" s="116" t="str">
        <f>HYPERLINK("http://nsgreg.nga.mil/genc/view?v=200914&amp;end_month=3&amp;end_day=31&amp;end_year=2014","Hamilton")</f>
        <v>Hamilton</v>
      </c>
      <c r="H454" s="87" t="str">
        <f>HYPERLINK("http://api.nsgreg.nga.mil/geo-division/GENC/6/ed2/BM-03","BM-03")</f>
        <v>BM-03</v>
      </c>
    </row>
    <row r="455" spans="1:8" x14ac:dyDescent="0.2">
      <c r="A455" s="157"/>
      <c r="B455" s="31" t="s">
        <v>3256</v>
      </c>
      <c r="C455" s="31" t="s">
        <v>3253</v>
      </c>
      <c r="D455" s="31" t="s">
        <v>2301</v>
      </c>
      <c r="E455" s="61" t="b">
        <v>1</v>
      </c>
      <c r="F455" s="107" t="s">
        <v>3257</v>
      </c>
      <c r="G455" s="116" t="str">
        <f>HYPERLINK("http://nsgreg.nga.mil/genc/view?v=200913&amp;end_month=3&amp;end_day=31&amp;end_year=2014","Hamilton")</f>
        <v>Hamilton</v>
      </c>
      <c r="H455" s="87" t="str">
        <f>HYPERLINK("http://api.nsgreg.nga.mil/geo-division/GENC/6/ed2/BM-02","BM-02")</f>
        <v>BM-02</v>
      </c>
    </row>
    <row r="456" spans="1:8" x14ac:dyDescent="0.2">
      <c r="A456" s="157"/>
      <c r="B456" s="31" t="s">
        <v>3258</v>
      </c>
      <c r="C456" s="31" t="s">
        <v>3259</v>
      </c>
      <c r="D456" s="31" t="s">
        <v>2301</v>
      </c>
      <c r="E456" s="61" t="b">
        <v>1</v>
      </c>
      <c r="F456" s="107" t="s">
        <v>3260</v>
      </c>
      <c r="G456" s="116" t="str">
        <f>HYPERLINK("http://nsgreg.nga.mil/genc/view?v=200915&amp;end_month=3&amp;end_day=31&amp;end_year=2014","Paget")</f>
        <v>Paget</v>
      </c>
      <c r="H456" s="87" t="str">
        <f>HYPERLINK("http://api.nsgreg.nga.mil/geo-division/GENC/6/ed2/BM-04","BM-04")</f>
        <v>BM-04</v>
      </c>
    </row>
    <row r="457" spans="1:8" x14ac:dyDescent="0.2">
      <c r="A457" s="157"/>
      <c r="B457" s="31" t="s">
        <v>3261</v>
      </c>
      <c r="C457" s="31" t="s">
        <v>3262</v>
      </c>
      <c r="D457" s="31" t="s">
        <v>2301</v>
      </c>
      <c r="E457" s="61" t="b">
        <v>1</v>
      </c>
      <c r="F457" s="107" t="s">
        <v>3263</v>
      </c>
      <c r="G457" s="116" t="str">
        <f>HYPERLINK("http://nsgreg.nga.mil/genc/view?v=200916&amp;end_month=3&amp;end_day=31&amp;end_year=2014","Pembroke")</f>
        <v>Pembroke</v>
      </c>
      <c r="H457" s="87" t="str">
        <f>HYPERLINK("http://api.nsgreg.nga.mil/geo-division/GENC/6/ed2/BM-05","BM-05")</f>
        <v>BM-05</v>
      </c>
    </row>
    <row r="458" spans="1:8" x14ac:dyDescent="0.2">
      <c r="A458" s="157"/>
      <c r="B458" s="31" t="s">
        <v>3264</v>
      </c>
      <c r="C458" s="31" t="s">
        <v>2383</v>
      </c>
      <c r="D458" s="31" t="s">
        <v>3254</v>
      </c>
      <c r="E458" s="61" t="b">
        <v>1</v>
      </c>
      <c r="F458" s="107" t="s">
        <v>3265</v>
      </c>
      <c r="G458" s="116" t="str">
        <f>HYPERLINK("http://nsgreg.nga.mil/genc/view?v=200917&amp;end_month=3&amp;end_day=31&amp;end_year=2014","Saint George")</f>
        <v>Saint George</v>
      </c>
      <c r="H458" s="87" t="str">
        <f>HYPERLINK("http://api.nsgreg.nga.mil/geo-division/GENC/6/ed2/BM-06","BM-06")</f>
        <v>BM-06</v>
      </c>
    </row>
    <row r="459" spans="1:8" x14ac:dyDescent="0.2">
      <c r="A459" s="157"/>
      <c r="B459" s="31" t="s">
        <v>3266</v>
      </c>
      <c r="C459" s="31" t="s">
        <v>3267</v>
      </c>
      <c r="D459" s="31" t="s">
        <v>2301</v>
      </c>
      <c r="E459" s="61" t="b">
        <v>1</v>
      </c>
      <c r="F459" s="107" t="s">
        <v>3268</v>
      </c>
      <c r="G459" s="116" t="str">
        <f>HYPERLINK("http://nsgreg.nga.mil/genc/view?v=200918&amp;end_month=3&amp;end_day=31&amp;end_year=2014","Saint George’s")</f>
        <v>Saint George’s</v>
      </c>
      <c r="H459" s="87" t="str">
        <f>HYPERLINK("http://api.nsgreg.nga.mil/geo-division/GENC/6/ed2/BM-07","BM-07")</f>
        <v>BM-07</v>
      </c>
    </row>
    <row r="460" spans="1:8" x14ac:dyDescent="0.2">
      <c r="A460" s="157"/>
      <c r="B460" s="31" t="s">
        <v>3269</v>
      </c>
      <c r="C460" s="31" t="s">
        <v>3270</v>
      </c>
      <c r="D460" s="31" t="s">
        <v>2301</v>
      </c>
      <c r="E460" s="61" t="b">
        <v>1</v>
      </c>
      <c r="F460" s="107" t="s">
        <v>3271</v>
      </c>
      <c r="G460" s="116" t="str">
        <f>HYPERLINK("http://nsgreg.nga.mil/genc/view?v=200919&amp;end_month=3&amp;end_day=31&amp;end_year=2014","Sandys")</f>
        <v>Sandys</v>
      </c>
      <c r="H460" s="87" t="str">
        <f>HYPERLINK("http://api.nsgreg.nga.mil/geo-division/GENC/6/ed2/BM-08","BM-08")</f>
        <v>BM-08</v>
      </c>
    </row>
    <row r="461" spans="1:8" x14ac:dyDescent="0.2">
      <c r="A461" s="157"/>
      <c r="B461" s="31" t="s">
        <v>3272</v>
      </c>
      <c r="C461" s="31" t="s">
        <v>3273</v>
      </c>
      <c r="D461" s="31" t="s">
        <v>2301</v>
      </c>
      <c r="E461" s="61" t="b">
        <v>1</v>
      </c>
      <c r="F461" s="107" t="s">
        <v>3274</v>
      </c>
      <c r="G461" s="116" t="str">
        <f>HYPERLINK("http://nsgreg.nga.mil/genc/view?v=200920&amp;end_month=3&amp;end_day=31&amp;end_year=2014","Smith’s")</f>
        <v>Smith’s</v>
      </c>
      <c r="H461" s="87" t="str">
        <f>HYPERLINK("http://api.nsgreg.nga.mil/geo-division/GENC/6/ed2/BM-09","BM-09")</f>
        <v>BM-09</v>
      </c>
    </row>
    <row r="462" spans="1:8" x14ac:dyDescent="0.2">
      <c r="A462" s="157"/>
      <c r="B462" s="31" t="s">
        <v>3275</v>
      </c>
      <c r="C462" s="31" t="s">
        <v>3276</v>
      </c>
      <c r="D462" s="31" t="s">
        <v>2301</v>
      </c>
      <c r="E462" s="61" t="b">
        <v>1</v>
      </c>
      <c r="F462" s="107" t="s">
        <v>3277</v>
      </c>
      <c r="G462" s="116" t="str">
        <f>HYPERLINK("http://nsgreg.nga.mil/genc/view?v=200921&amp;end_month=3&amp;end_day=31&amp;end_year=2014","Southampton")</f>
        <v>Southampton</v>
      </c>
      <c r="H462" s="87" t="str">
        <f>HYPERLINK("http://api.nsgreg.nga.mil/geo-division/GENC/6/ed2/BM-10","BM-10")</f>
        <v>BM-10</v>
      </c>
    </row>
    <row r="463" spans="1:8" x14ac:dyDescent="0.2">
      <c r="A463" s="158"/>
      <c r="B463" s="58" t="s">
        <v>3278</v>
      </c>
      <c r="C463" s="58" t="s">
        <v>3279</v>
      </c>
      <c r="D463" s="58" t="s">
        <v>2301</v>
      </c>
      <c r="E463" s="62" t="b">
        <v>1</v>
      </c>
      <c r="F463" s="111" t="s">
        <v>3280</v>
      </c>
      <c r="G463" s="117" t="str">
        <f>HYPERLINK("http://nsgreg.nga.mil/genc/view?v=200922&amp;end_month=3&amp;end_day=31&amp;end_year=2014","Warwick")</f>
        <v>Warwick</v>
      </c>
      <c r="H463" s="89" t="str">
        <f>HYPERLINK("http://api.nsgreg.nga.mil/geo-division/GENC/6/ed2/BM-11","BM-11")</f>
        <v>BM-11</v>
      </c>
    </row>
    <row r="464" spans="1:8" x14ac:dyDescent="0.2">
      <c r="A464" s="156" t="str">
        <f>HYPERLINK("[#]Geopolitical_Entities!A32:I32","BHUTAN")</f>
        <v>BHUTAN</v>
      </c>
      <c r="B464" s="52" t="s">
        <v>3281</v>
      </c>
      <c r="C464" s="52" t="s">
        <v>3282</v>
      </c>
      <c r="D464" s="52" t="s">
        <v>2026</v>
      </c>
      <c r="E464" s="60" t="b">
        <v>1</v>
      </c>
      <c r="F464" s="109" t="s">
        <v>3283</v>
      </c>
      <c r="G464" s="118" t="str">
        <f>HYPERLINK("http://nsgreg.nga.mil/genc/view?v=112524&amp;gencs=T&amp;end_month=3&amp;end_day=31&amp;end_year=2014","Bumthang")</f>
        <v>Bumthang</v>
      </c>
      <c r="H464" s="91" t="str">
        <f>HYPERLINK("http://api.nsgreg.nga.mil/geo-division/ISO3166-2/6/ed3/BT-33","BT-33")</f>
        <v>BT-33</v>
      </c>
    </row>
    <row r="465" spans="1:8" x14ac:dyDescent="0.2">
      <c r="A465" s="157"/>
      <c r="B465" s="31" t="s">
        <v>3284</v>
      </c>
      <c r="C465" s="31" t="s">
        <v>3285</v>
      </c>
      <c r="D465" s="31" t="s">
        <v>2026</v>
      </c>
      <c r="E465" s="61" t="b">
        <v>1</v>
      </c>
      <c r="F465" s="106" t="s">
        <v>3286</v>
      </c>
      <c r="G465" s="116" t="str">
        <f>HYPERLINK("http://nsgreg.nga.mil/genc/view?v=112514&amp;gencs=T&amp;end_month=3&amp;end_day=31&amp;end_year=2014","Chhukha")</f>
        <v>Chhukha</v>
      </c>
      <c r="H465" s="87" t="str">
        <f>HYPERLINK("http://api.nsgreg.nga.mil/geo-division/ISO3166-2/6/ed3/BT-12","BT-12")</f>
        <v>BT-12</v>
      </c>
    </row>
    <row r="466" spans="1:8" x14ac:dyDescent="0.2">
      <c r="A466" s="157"/>
      <c r="B466" s="31" t="s">
        <v>3287</v>
      </c>
      <c r="C466" s="31" t="s">
        <v>3288</v>
      </c>
      <c r="D466" s="31" t="s">
        <v>2026</v>
      </c>
      <c r="E466" s="61" t="b">
        <v>1</v>
      </c>
      <c r="F466" s="106" t="s">
        <v>3289</v>
      </c>
      <c r="G466" s="116" t="str">
        <f>HYPERLINK("http://nsgreg.nga.mil/genc/view?v=112519&amp;gencs=T&amp;end_month=3&amp;end_day=31&amp;end_year=2014","Dagana")</f>
        <v>Dagana</v>
      </c>
      <c r="H466" s="87" t="str">
        <f>HYPERLINK("http://api.nsgreg.nga.mil/geo-division/ISO3166-2/6/ed3/BT-22","BT-22")</f>
        <v>BT-22</v>
      </c>
    </row>
    <row r="467" spans="1:8" x14ac:dyDescent="0.2">
      <c r="A467" s="157"/>
      <c r="B467" s="31" t="s">
        <v>3290</v>
      </c>
      <c r="C467" s="31" t="s">
        <v>3291</v>
      </c>
      <c r="D467" s="31" t="s">
        <v>2026</v>
      </c>
      <c r="E467" s="61" t="b">
        <v>1</v>
      </c>
      <c r="F467" s="106" t="s">
        <v>3292</v>
      </c>
      <c r="G467" s="116" t="str">
        <f>HYPERLINK("http://nsgreg.nga.mil/genc/view?v=112531&amp;gencs=T&amp;end_month=3&amp;end_day=31&amp;end_year=2014","Gasa")</f>
        <v>Gasa</v>
      </c>
      <c r="H467" s="87" t="str">
        <f>HYPERLINK("http://api.nsgreg.nga.mil/geo-division/ISO3166-2/6/ed3/BT-GA","BT-GA")</f>
        <v>BT-GA</v>
      </c>
    </row>
    <row r="468" spans="1:8" x14ac:dyDescent="0.2">
      <c r="A468" s="157"/>
      <c r="B468" s="31" t="s">
        <v>3293</v>
      </c>
      <c r="C468" s="31" t="s">
        <v>3294</v>
      </c>
      <c r="D468" s="31" t="s">
        <v>2026</v>
      </c>
      <c r="E468" s="61" t="b">
        <v>1</v>
      </c>
      <c r="F468" s="107" t="s">
        <v>3295</v>
      </c>
      <c r="G468" s="116" t="str">
        <f>HYPERLINK("http://nsgreg.nga.mil/genc/view?v=200931&amp;end_month=3&amp;end_day=31&amp;end_year=2014","Haa")</f>
        <v>Haa</v>
      </c>
      <c r="H468" s="87" t="str">
        <f>HYPERLINK("http://api.nsgreg.nga.mil/geo-division/GENC/6/ed2/BT-13","BT-13")</f>
        <v>BT-13</v>
      </c>
    </row>
    <row r="469" spans="1:8" x14ac:dyDescent="0.2">
      <c r="A469" s="157"/>
      <c r="B469" s="31" t="s">
        <v>3296</v>
      </c>
      <c r="C469" s="31" t="s">
        <v>3297</v>
      </c>
      <c r="D469" s="31" t="s">
        <v>2026</v>
      </c>
      <c r="E469" s="61" t="b">
        <v>1</v>
      </c>
      <c r="F469" s="106" t="s">
        <v>3298</v>
      </c>
      <c r="G469" s="116" t="str">
        <f>HYPERLINK("http://nsgreg.nga.mil/genc/view?v=112529&amp;gencs=T&amp;end_month=3&amp;end_day=31&amp;end_year=2014","Lhuentse")</f>
        <v>Lhuentse</v>
      </c>
      <c r="H469" s="87" t="str">
        <f>HYPERLINK("http://api.nsgreg.nga.mil/geo-division/ISO3166-2/6/ed3/BT-44","BT-44")</f>
        <v>BT-44</v>
      </c>
    </row>
    <row r="470" spans="1:8" x14ac:dyDescent="0.2">
      <c r="A470" s="157"/>
      <c r="B470" s="31" t="s">
        <v>3299</v>
      </c>
      <c r="C470" s="31" t="s">
        <v>3300</v>
      </c>
      <c r="D470" s="31" t="s">
        <v>2026</v>
      </c>
      <c r="E470" s="61" t="b">
        <v>1</v>
      </c>
      <c r="F470" s="107" t="s">
        <v>3301</v>
      </c>
      <c r="G470" s="116" t="str">
        <f>HYPERLINK("http://nsgreg.nga.mil/genc/view?v=200932&amp;end_month=3&amp;end_day=31&amp;end_year=2014","Mongar")</f>
        <v>Mongar</v>
      </c>
      <c r="H470" s="87" t="str">
        <f>HYPERLINK("http://api.nsgreg.nga.mil/geo-division/GENC/6/ed2/BT-42","BT-42")</f>
        <v>BT-42</v>
      </c>
    </row>
    <row r="471" spans="1:8" x14ac:dyDescent="0.2">
      <c r="A471" s="157"/>
      <c r="B471" s="31" t="s">
        <v>3302</v>
      </c>
      <c r="C471" s="31" t="s">
        <v>3303</v>
      </c>
      <c r="D471" s="31" t="s">
        <v>2026</v>
      </c>
      <c r="E471" s="61" t="b">
        <v>1</v>
      </c>
      <c r="F471" s="106" t="s">
        <v>3304</v>
      </c>
      <c r="G471" s="116" t="str">
        <f>HYPERLINK("http://nsgreg.nga.mil/genc/view?v=112513&amp;gencs=T&amp;end_month=3&amp;end_day=31&amp;end_year=2014","Paro")</f>
        <v>Paro</v>
      </c>
      <c r="H471" s="87" t="str">
        <f>HYPERLINK("http://api.nsgreg.nga.mil/geo-division/ISO3166-2/6/ed3/BT-11","BT-11")</f>
        <v>BT-11</v>
      </c>
    </row>
    <row r="472" spans="1:8" x14ac:dyDescent="0.2">
      <c r="A472" s="157"/>
      <c r="B472" s="31" t="s">
        <v>3305</v>
      </c>
      <c r="C472" s="31" t="s">
        <v>3306</v>
      </c>
      <c r="D472" s="31" t="s">
        <v>2026</v>
      </c>
      <c r="E472" s="61" t="b">
        <v>1</v>
      </c>
      <c r="F472" s="106" t="s">
        <v>3307</v>
      </c>
      <c r="G472" s="116" t="str">
        <f>HYPERLINK("http://nsgreg.nga.mil/genc/view?v=112528&amp;gencs=T&amp;end_month=3&amp;end_day=31&amp;end_year=2014","Pemagatshel")</f>
        <v>Pemagatshel</v>
      </c>
      <c r="H472" s="87" t="str">
        <f>HYPERLINK("http://api.nsgreg.nga.mil/geo-division/ISO3166-2/6/ed3/BT-43","BT-43")</f>
        <v>BT-43</v>
      </c>
    </row>
    <row r="473" spans="1:8" x14ac:dyDescent="0.2">
      <c r="A473" s="157"/>
      <c r="B473" s="31" t="s">
        <v>3308</v>
      </c>
      <c r="C473" s="31" t="s">
        <v>3309</v>
      </c>
      <c r="D473" s="31" t="s">
        <v>2026</v>
      </c>
      <c r="E473" s="61" t="b">
        <v>1</v>
      </c>
      <c r="F473" s="106" t="s">
        <v>3310</v>
      </c>
      <c r="G473" s="116" t="str">
        <f>HYPERLINK("http://nsgreg.nga.mil/genc/view?v=112520&amp;gencs=T&amp;end_month=3&amp;end_day=31&amp;end_year=2014","Punakha")</f>
        <v>Punakha</v>
      </c>
      <c r="H473" s="87" t="str">
        <f>HYPERLINK("http://api.nsgreg.nga.mil/geo-division/ISO3166-2/6/ed3/BT-23","BT-23")</f>
        <v>BT-23</v>
      </c>
    </row>
    <row r="474" spans="1:8" x14ac:dyDescent="0.2">
      <c r="A474" s="157"/>
      <c r="B474" s="31" t="s">
        <v>3311</v>
      </c>
      <c r="C474" s="31" t="s">
        <v>3312</v>
      </c>
      <c r="D474" s="31" t="s">
        <v>2026</v>
      </c>
      <c r="E474" s="61" t="b">
        <v>1</v>
      </c>
      <c r="F474" s="107" t="s">
        <v>3313</v>
      </c>
      <c r="G474" s="116" t="str">
        <f>HYPERLINK("http://nsgreg.nga.mil/genc/view?v=200933&amp;end_month=3&amp;end_day=31&amp;end_year=2014","Samdrup Jongkhar")</f>
        <v>Samdrup Jongkhar</v>
      </c>
      <c r="H474" s="87" t="str">
        <f>HYPERLINK("http://api.nsgreg.nga.mil/geo-division/GENC/6/ed2/BT-45","BT-45")</f>
        <v>BT-45</v>
      </c>
    </row>
    <row r="475" spans="1:8" x14ac:dyDescent="0.2">
      <c r="A475" s="157"/>
      <c r="B475" s="31" t="s">
        <v>3314</v>
      </c>
      <c r="C475" s="31" t="s">
        <v>3315</v>
      </c>
      <c r="D475" s="31" t="s">
        <v>2026</v>
      </c>
      <c r="E475" s="61" t="b">
        <v>1</v>
      </c>
      <c r="F475" s="106" t="s">
        <v>3316</v>
      </c>
      <c r="G475" s="116" t="str">
        <f>HYPERLINK("http://nsgreg.nga.mil/genc/view?v=112516&amp;gencs=T&amp;end_month=3&amp;end_day=31&amp;end_year=2014","Samtse")</f>
        <v>Samtse</v>
      </c>
      <c r="H475" s="87" t="str">
        <f>HYPERLINK("http://api.nsgreg.nga.mil/geo-division/ISO3166-2/6/ed3/BT-14","BT-14")</f>
        <v>BT-14</v>
      </c>
    </row>
    <row r="476" spans="1:8" x14ac:dyDescent="0.2">
      <c r="A476" s="157"/>
      <c r="B476" s="31" t="s">
        <v>3317</v>
      </c>
      <c r="C476" s="31" t="s">
        <v>3318</v>
      </c>
      <c r="D476" s="31" t="s">
        <v>2026</v>
      </c>
      <c r="E476" s="61" t="b">
        <v>1</v>
      </c>
      <c r="F476" s="106" t="s">
        <v>3319</v>
      </c>
      <c r="G476" s="116" t="str">
        <f>HYPERLINK("http://nsgreg.nga.mil/genc/view?v=112522&amp;gencs=T&amp;end_month=3&amp;end_day=31&amp;end_year=2014","Sarpang")</f>
        <v>Sarpang</v>
      </c>
      <c r="H476" s="87" t="str">
        <f>HYPERLINK("http://api.nsgreg.nga.mil/geo-division/ISO3166-2/6/ed3/BT-31","BT-31")</f>
        <v>BT-31</v>
      </c>
    </row>
    <row r="477" spans="1:8" x14ac:dyDescent="0.2">
      <c r="A477" s="157"/>
      <c r="B477" s="31" t="s">
        <v>3320</v>
      </c>
      <c r="C477" s="31" t="s">
        <v>3321</v>
      </c>
      <c r="D477" s="31" t="s">
        <v>2026</v>
      </c>
      <c r="E477" s="61" t="b">
        <v>1</v>
      </c>
      <c r="F477" s="106" t="s">
        <v>3322</v>
      </c>
      <c r="G477" s="116" t="str">
        <f>HYPERLINK("http://nsgreg.nga.mil/genc/view?v=112517&amp;gencs=T&amp;end_month=3&amp;end_day=31&amp;end_year=2014","Thimphu")</f>
        <v>Thimphu</v>
      </c>
      <c r="H477" s="87" t="str">
        <f>HYPERLINK("http://api.nsgreg.nga.mil/geo-division/ISO3166-2/6/ed3/BT-15","BT-15")</f>
        <v>BT-15</v>
      </c>
    </row>
    <row r="478" spans="1:8" x14ac:dyDescent="0.2">
      <c r="A478" s="157"/>
      <c r="B478" s="31" t="s">
        <v>3323</v>
      </c>
      <c r="C478" s="31" t="s">
        <v>3324</v>
      </c>
      <c r="D478" s="31" t="s">
        <v>2026</v>
      </c>
      <c r="E478" s="61" t="b">
        <v>1</v>
      </c>
      <c r="F478" s="106" t="s">
        <v>3325</v>
      </c>
      <c r="G478" s="116" t="str">
        <f>HYPERLINK("http://nsgreg.nga.mil/genc/view?v=112526&amp;gencs=T&amp;end_month=3&amp;end_day=31&amp;end_year=2014","Trashigang")</f>
        <v>Trashigang</v>
      </c>
      <c r="H478" s="87" t="str">
        <f>HYPERLINK("http://api.nsgreg.nga.mil/geo-division/ISO3166-2/6/ed3/BT-41","BT-41")</f>
        <v>BT-41</v>
      </c>
    </row>
    <row r="479" spans="1:8" x14ac:dyDescent="0.2">
      <c r="A479" s="157"/>
      <c r="B479" s="31" t="s">
        <v>3326</v>
      </c>
      <c r="C479" s="31" t="s">
        <v>3327</v>
      </c>
      <c r="D479" s="31" t="s">
        <v>2026</v>
      </c>
      <c r="E479" s="61" t="b">
        <v>1</v>
      </c>
      <c r="F479" s="106" t="s">
        <v>3328</v>
      </c>
      <c r="G479" s="116" t="str">
        <f>HYPERLINK("http://nsgreg.nga.mil/genc/view?v=112532&amp;gencs=T&amp;end_month=3&amp;end_day=31&amp;end_year=2014","Trashi Yangtse")</f>
        <v>Trashi Yangtse</v>
      </c>
      <c r="H479" s="87" t="str">
        <f>HYPERLINK("http://api.nsgreg.nga.mil/geo-division/ISO3166-2/6/ed3/BT-TY","BT-TY")</f>
        <v>BT-TY</v>
      </c>
    </row>
    <row r="480" spans="1:8" x14ac:dyDescent="0.2">
      <c r="A480" s="157"/>
      <c r="B480" s="31" t="s">
        <v>3329</v>
      </c>
      <c r="C480" s="31" t="s">
        <v>3330</v>
      </c>
      <c r="D480" s="31" t="s">
        <v>2026</v>
      </c>
      <c r="E480" s="61" t="b">
        <v>1</v>
      </c>
      <c r="F480" s="106" t="s">
        <v>3331</v>
      </c>
      <c r="G480" s="116" t="str">
        <f>HYPERLINK("http://nsgreg.nga.mil/genc/view?v=112523&amp;gencs=T&amp;end_month=3&amp;end_day=31&amp;end_year=2014","Trongsa")</f>
        <v>Trongsa</v>
      </c>
      <c r="H480" s="87" t="str">
        <f>HYPERLINK("http://api.nsgreg.nga.mil/geo-division/ISO3166-2/6/ed3/BT-32","BT-32")</f>
        <v>BT-32</v>
      </c>
    </row>
    <row r="481" spans="1:8" x14ac:dyDescent="0.2">
      <c r="A481" s="157"/>
      <c r="B481" s="31" t="s">
        <v>3332</v>
      </c>
      <c r="C481" s="31" t="s">
        <v>3333</v>
      </c>
      <c r="D481" s="31" t="s">
        <v>2026</v>
      </c>
      <c r="E481" s="61" t="b">
        <v>1</v>
      </c>
      <c r="F481" s="106" t="s">
        <v>3334</v>
      </c>
      <c r="G481" s="116" t="str">
        <f>HYPERLINK("http://nsgreg.nga.mil/genc/view?v=112518&amp;gencs=T&amp;end_month=3&amp;end_day=31&amp;end_year=2014","Tsirang")</f>
        <v>Tsirang</v>
      </c>
      <c r="H481" s="87" t="str">
        <f>HYPERLINK("http://api.nsgreg.nga.mil/geo-division/ISO3166-2/6/ed3/BT-21","BT-21")</f>
        <v>BT-21</v>
      </c>
    </row>
    <row r="482" spans="1:8" x14ac:dyDescent="0.2">
      <c r="A482" s="157"/>
      <c r="B482" s="31" t="s">
        <v>3335</v>
      </c>
      <c r="C482" s="31" t="s">
        <v>3336</v>
      </c>
      <c r="D482" s="31" t="s">
        <v>2026</v>
      </c>
      <c r="E482" s="61" t="b">
        <v>1</v>
      </c>
      <c r="F482" s="106" t="s">
        <v>3337</v>
      </c>
      <c r="G482" s="116" t="str">
        <f>HYPERLINK("http://nsgreg.nga.mil/genc/view?v=112521&amp;gencs=T&amp;end_month=3&amp;end_day=31&amp;end_year=2014","Wangdue Phodrang")</f>
        <v>Wangdue Phodrang</v>
      </c>
      <c r="H482" s="87" t="str">
        <f>HYPERLINK("http://api.nsgreg.nga.mil/geo-division/ISO3166-2/6/ed3/BT-24","BT-24")</f>
        <v>BT-24</v>
      </c>
    </row>
    <row r="483" spans="1:8" x14ac:dyDescent="0.2">
      <c r="A483" s="158"/>
      <c r="B483" s="58" t="s">
        <v>3338</v>
      </c>
      <c r="C483" s="58" t="s">
        <v>3339</v>
      </c>
      <c r="D483" s="58" t="s">
        <v>2026</v>
      </c>
      <c r="E483" s="62" t="b">
        <v>1</v>
      </c>
      <c r="F483" s="108" t="s">
        <v>3340</v>
      </c>
      <c r="G483" s="117" t="str">
        <f>HYPERLINK("http://nsgreg.nga.mil/genc/view?v=112525&amp;gencs=T&amp;end_month=3&amp;end_day=31&amp;end_year=2014","Zhemgang")</f>
        <v>Zhemgang</v>
      </c>
      <c r="H483" s="89" t="str">
        <f>HYPERLINK("http://api.nsgreg.nga.mil/geo-division/ISO3166-2/6/ed3/BT-34","BT-34")</f>
        <v>BT-34</v>
      </c>
    </row>
    <row r="484" spans="1:8" x14ac:dyDescent="0.2">
      <c r="A484" s="156" t="str">
        <f>HYPERLINK("[#]Geopolitical_Entities!A33:I33","BOLIVIA")</f>
        <v>BOLIVIA</v>
      </c>
      <c r="B484" s="52" t="s">
        <v>3341</v>
      </c>
      <c r="C484" s="52" t="s">
        <v>3342</v>
      </c>
      <c r="D484" s="52" t="s">
        <v>3214</v>
      </c>
      <c r="E484" s="60" t="b">
        <v>1</v>
      </c>
      <c r="F484" s="109" t="s">
        <v>3343</v>
      </c>
      <c r="G484" s="118" t="str">
        <f>HYPERLINK("http://nsgreg.nga.mil/genc/view?v=112445&amp;gencs=T&amp;end_month=3&amp;end_day=31&amp;end_year=2014","Chuquisaca")</f>
        <v>Chuquisaca</v>
      </c>
      <c r="H484" s="91" t="str">
        <f>HYPERLINK("http://api.nsgreg.nga.mil/geo-division/ISO3166-2/6/ed3/BO-H","BO-H")</f>
        <v>BO-H</v>
      </c>
    </row>
    <row r="485" spans="1:8" x14ac:dyDescent="0.2">
      <c r="A485" s="157"/>
      <c r="B485" s="31" t="s">
        <v>3344</v>
      </c>
      <c r="C485" s="31" t="s">
        <v>3345</v>
      </c>
      <c r="D485" s="31" t="s">
        <v>3214</v>
      </c>
      <c r="E485" s="61" t="b">
        <v>1</v>
      </c>
      <c r="F485" s="106" t="s">
        <v>3346</v>
      </c>
      <c r="G485" s="116" t="str">
        <f>HYPERLINK("http://nsgreg.nga.mil/genc/view?v=112444&amp;gencs=T&amp;end_month=3&amp;end_day=31&amp;end_year=2014","Cochabamba")</f>
        <v>Cochabamba</v>
      </c>
      <c r="H485" s="87" t="str">
        <f>HYPERLINK("http://api.nsgreg.nga.mil/geo-division/ISO3166-2/6/ed3/BO-C","BO-C")</f>
        <v>BO-C</v>
      </c>
    </row>
    <row r="486" spans="1:8" x14ac:dyDescent="0.2">
      <c r="A486" s="157"/>
      <c r="B486" s="31" t="s">
        <v>3347</v>
      </c>
      <c r="C486" s="31" t="s">
        <v>3348</v>
      </c>
      <c r="D486" s="31" t="s">
        <v>3214</v>
      </c>
      <c r="E486" s="61" t="b">
        <v>1</v>
      </c>
      <c r="F486" s="106" t="s">
        <v>3349</v>
      </c>
      <c r="G486" s="116" t="str">
        <f>HYPERLINK("http://nsgreg.nga.mil/genc/view?v=112443&amp;gencs=T&amp;end_month=3&amp;end_day=31&amp;end_year=2014","El Beni")</f>
        <v>El Beni</v>
      </c>
      <c r="H486" s="87" t="str">
        <f>HYPERLINK("http://api.nsgreg.nga.mil/geo-division/ISO3166-2/6/ed3/BO-B","BO-B")</f>
        <v>BO-B</v>
      </c>
    </row>
    <row r="487" spans="1:8" x14ac:dyDescent="0.2">
      <c r="A487" s="157"/>
      <c r="B487" s="31" t="s">
        <v>3350</v>
      </c>
      <c r="C487" s="31" t="s">
        <v>3351</v>
      </c>
      <c r="D487" s="31" t="s">
        <v>3214</v>
      </c>
      <c r="E487" s="61" t="b">
        <v>1</v>
      </c>
      <c r="F487" s="106" t="s">
        <v>3352</v>
      </c>
      <c r="G487" s="116" t="str">
        <f>HYPERLINK("http://nsgreg.nga.mil/genc/view?v=112446&amp;gencs=T&amp;end_month=3&amp;end_day=31&amp;end_year=2014","La Paz")</f>
        <v>La Paz</v>
      </c>
      <c r="H487" s="87" t="str">
        <f>HYPERLINK("http://api.nsgreg.nga.mil/geo-division/ISO3166-2/6/ed3/BO-L","BO-L")</f>
        <v>BO-L</v>
      </c>
    </row>
    <row r="488" spans="1:8" x14ac:dyDescent="0.2">
      <c r="A488" s="157"/>
      <c r="B488" s="31" t="s">
        <v>3353</v>
      </c>
      <c r="C488" s="31" t="s">
        <v>3354</v>
      </c>
      <c r="D488" s="31" t="s">
        <v>3214</v>
      </c>
      <c r="E488" s="61" t="b">
        <v>1</v>
      </c>
      <c r="F488" s="106" t="s">
        <v>3355</v>
      </c>
      <c r="G488" s="116" t="str">
        <f>HYPERLINK("http://nsgreg.nga.mil/genc/view?v=112448&amp;gencs=T&amp;end_month=3&amp;end_day=31&amp;end_year=2014","Oruro")</f>
        <v>Oruro</v>
      </c>
      <c r="H488" s="87" t="str">
        <f>HYPERLINK("http://api.nsgreg.nga.mil/geo-division/ISO3166-2/6/ed3/BO-O","BO-O")</f>
        <v>BO-O</v>
      </c>
    </row>
    <row r="489" spans="1:8" x14ac:dyDescent="0.2">
      <c r="A489" s="157"/>
      <c r="B489" s="31" t="s">
        <v>3356</v>
      </c>
      <c r="C489" s="31" t="s">
        <v>3357</v>
      </c>
      <c r="D489" s="31" t="s">
        <v>3214</v>
      </c>
      <c r="E489" s="61" t="b">
        <v>1</v>
      </c>
      <c r="F489" s="106" t="s">
        <v>3358</v>
      </c>
      <c r="G489" s="116" t="str">
        <f>HYPERLINK("http://nsgreg.nga.mil/genc/view?v=112447&amp;gencs=T&amp;end_month=3&amp;end_day=31&amp;end_year=2014","Pando")</f>
        <v>Pando</v>
      </c>
      <c r="H489" s="87" t="str">
        <f>HYPERLINK("http://api.nsgreg.nga.mil/geo-division/ISO3166-2/6/ed3/BO-N","BO-N")</f>
        <v>BO-N</v>
      </c>
    </row>
    <row r="490" spans="1:8" x14ac:dyDescent="0.2">
      <c r="A490" s="157"/>
      <c r="B490" s="31" t="s">
        <v>3359</v>
      </c>
      <c r="C490" s="31" t="s">
        <v>3360</v>
      </c>
      <c r="D490" s="31" t="s">
        <v>3214</v>
      </c>
      <c r="E490" s="61" t="b">
        <v>1</v>
      </c>
      <c r="F490" s="106" t="s">
        <v>3361</v>
      </c>
      <c r="G490" s="116" t="str">
        <f>HYPERLINK("http://nsgreg.nga.mil/genc/view?v=112449&amp;gencs=T&amp;end_month=3&amp;end_day=31&amp;end_year=2014","Potosí")</f>
        <v>Potosí</v>
      </c>
      <c r="H490" s="87" t="str">
        <f>HYPERLINK("http://api.nsgreg.nga.mil/geo-division/ISO3166-2/6/ed3/BO-P","BO-P")</f>
        <v>BO-P</v>
      </c>
    </row>
    <row r="491" spans="1:8" x14ac:dyDescent="0.2">
      <c r="A491" s="157"/>
      <c r="B491" s="31" t="s">
        <v>3362</v>
      </c>
      <c r="C491" s="31" t="s">
        <v>2459</v>
      </c>
      <c r="D491" s="31" t="s">
        <v>3214</v>
      </c>
      <c r="E491" s="61" t="b">
        <v>1</v>
      </c>
      <c r="F491" s="106" t="s">
        <v>3363</v>
      </c>
      <c r="G491" s="116" t="str">
        <f>HYPERLINK("http://nsgreg.nga.mil/genc/view?v=112450&amp;gencs=T&amp;end_month=3&amp;end_day=31&amp;end_year=2014","Santa Cruz")</f>
        <v>Santa Cruz</v>
      </c>
      <c r="H491" s="87" t="str">
        <f>HYPERLINK("http://api.nsgreg.nga.mil/geo-division/ISO3166-2/6/ed3/BO-S","BO-S")</f>
        <v>BO-S</v>
      </c>
    </row>
    <row r="492" spans="1:8" x14ac:dyDescent="0.2">
      <c r="A492" s="158"/>
      <c r="B492" s="58" t="s">
        <v>3364</v>
      </c>
      <c r="C492" s="58" t="s">
        <v>3365</v>
      </c>
      <c r="D492" s="58" t="s">
        <v>3214</v>
      </c>
      <c r="E492" s="62" t="b">
        <v>1</v>
      </c>
      <c r="F492" s="108" t="s">
        <v>3366</v>
      </c>
      <c r="G492" s="117" t="str">
        <f>HYPERLINK("http://nsgreg.nga.mil/genc/view?v=112451&amp;gencs=T&amp;end_month=3&amp;end_day=31&amp;end_year=2014","Tarija")</f>
        <v>Tarija</v>
      </c>
      <c r="H492" s="89" t="str">
        <f>HYPERLINK("http://api.nsgreg.nga.mil/geo-division/ISO3166-2/6/ed3/BO-T","BO-T")</f>
        <v>BO-T</v>
      </c>
    </row>
    <row r="493" spans="1:8" x14ac:dyDescent="0.2">
      <c r="A493" s="156" t="str">
        <f>HYPERLINK("[#]Geopolitical_Entities!A34:I34","BONAIRE, SINT EUSTATIUS, AND SABA")</f>
        <v>BONAIRE, SINT EUSTATIUS, AND SABA</v>
      </c>
      <c r="B493" s="52" t="s">
        <v>3367</v>
      </c>
      <c r="C493" s="52" t="s">
        <v>3368</v>
      </c>
      <c r="D493" s="102" t="s">
        <v>3369</v>
      </c>
      <c r="E493" s="103" t="b">
        <v>0</v>
      </c>
      <c r="F493" s="110" t="s">
        <v>3370</v>
      </c>
      <c r="G493" s="118" t="str">
        <f>HYPERLINK("http://nsgreg.nga.mil/genc/view?v=200927&amp;end_month=3&amp;end_day=31&amp;end_year=2014","Bonaire")</f>
        <v>Bonaire</v>
      </c>
      <c r="H493" s="91" t="str">
        <f>HYPERLINK("http://api.nsgreg.nga.mil/geo-division/GENC/6/ed2/BQ-BO","BQ-BO")</f>
        <v>BQ-BO</v>
      </c>
    </row>
    <row r="494" spans="1:8" x14ac:dyDescent="0.2">
      <c r="A494" s="157"/>
      <c r="B494" s="31" t="s">
        <v>3371</v>
      </c>
      <c r="C494" s="31" t="s">
        <v>3372</v>
      </c>
      <c r="D494" s="98" t="s">
        <v>3369</v>
      </c>
      <c r="E494" s="99" t="b">
        <v>0</v>
      </c>
      <c r="F494" s="107" t="s">
        <v>3373</v>
      </c>
      <c r="G494" s="116" t="str">
        <f>HYPERLINK("http://nsgreg.nga.mil/genc/view?v=200928&amp;end_month=3&amp;end_day=31&amp;end_year=2014","Saba")</f>
        <v>Saba</v>
      </c>
      <c r="H494" s="87" t="str">
        <f>HYPERLINK("http://api.nsgreg.nga.mil/geo-division/GENC/6/ed2/BQ-SA","BQ-SA")</f>
        <v>BQ-SA</v>
      </c>
    </row>
    <row r="495" spans="1:8" x14ac:dyDescent="0.2">
      <c r="A495" s="158"/>
      <c r="B495" s="58" t="s">
        <v>3374</v>
      </c>
      <c r="C495" s="58" t="s">
        <v>3375</v>
      </c>
      <c r="D495" s="100" t="s">
        <v>3369</v>
      </c>
      <c r="E495" s="101" t="b">
        <v>0</v>
      </c>
      <c r="F495" s="111" t="s">
        <v>3376</v>
      </c>
      <c r="G495" s="117" t="str">
        <f>HYPERLINK("http://nsgreg.nga.mil/genc/view?v=200929&amp;end_month=3&amp;end_day=31&amp;end_year=2014","Sint Eustatius")</f>
        <v>Sint Eustatius</v>
      </c>
      <c r="H495" s="89" t="str">
        <f>HYPERLINK("http://api.nsgreg.nga.mil/geo-division/GENC/6/ed2/BQ-SE","BQ-SE")</f>
        <v>BQ-SE</v>
      </c>
    </row>
    <row r="496" spans="1:8" x14ac:dyDescent="0.2">
      <c r="A496" s="156" t="str">
        <f>HYPERLINK("[#]Geopolitical_Entities!A35:I35","BOSNIA AND HERZEGOVINA")</f>
        <v>BOSNIA AND HERZEGOVINA</v>
      </c>
      <c r="B496" s="52" t="s">
        <v>3377</v>
      </c>
      <c r="C496" s="52" t="s">
        <v>3378</v>
      </c>
      <c r="D496" s="102" t="s">
        <v>3379</v>
      </c>
      <c r="E496" s="103" t="b">
        <v>0</v>
      </c>
      <c r="F496" s="110" t="s">
        <v>3380</v>
      </c>
      <c r="G496" s="118" t="str">
        <f>HYPERLINK("http://nsgreg.nga.mil/genc/view?v=200805&amp;end_month=3&amp;end_day=31&amp;end_year=2014","Bosansko-Podrinjski Kanton")</f>
        <v>Bosansko-Podrinjski Kanton</v>
      </c>
      <c r="H496" s="91" t="str">
        <f>HYPERLINK("http://api.nsgreg.nga.mil/geo-division/GENC/6/ed2/BA-05","BA-05")</f>
        <v>BA-05</v>
      </c>
    </row>
    <row r="497" spans="1:8" x14ac:dyDescent="0.2">
      <c r="A497" s="157"/>
      <c r="B497" s="31" t="s">
        <v>3381</v>
      </c>
      <c r="C497" s="31" t="s">
        <v>3382</v>
      </c>
      <c r="D497" s="31" t="s">
        <v>3383</v>
      </c>
      <c r="E497" s="61" t="b">
        <v>1</v>
      </c>
      <c r="F497" s="107" t="s">
        <v>3384</v>
      </c>
      <c r="G497" s="116" t="str">
        <f>HYPERLINK("http://nsgreg.nga.mil/genc/view?v=200811&amp;end_month=3&amp;end_day=31&amp;end_year=2014","Bosnia and Herzegovina, Federation of")</f>
        <v>Bosnia and Herzegovina, Federation of</v>
      </c>
      <c r="H497" s="87" t="str">
        <f>HYPERLINK("http://api.nsgreg.nga.mil/geo-division/GENC/6/ed2/BA-BIH","BA-BIH")</f>
        <v>BA-BIH</v>
      </c>
    </row>
    <row r="498" spans="1:8" x14ac:dyDescent="0.2">
      <c r="A498" s="157"/>
      <c r="B498" s="31" t="s">
        <v>3385</v>
      </c>
      <c r="C498" s="31" t="s">
        <v>3386</v>
      </c>
      <c r="D498" s="31" t="s">
        <v>2026</v>
      </c>
      <c r="E498" s="61" t="b">
        <v>1</v>
      </c>
      <c r="F498" s="107" t="s">
        <v>3387</v>
      </c>
      <c r="G498" s="116" t="str">
        <f>HYPERLINK("http://nsgreg.nga.mil/genc/view?v=200812&amp;end_month=3&amp;end_day=31&amp;end_year=2014","Brcko District")</f>
        <v>Brcko District</v>
      </c>
      <c r="H498" s="87" t="str">
        <f>HYPERLINK("http://api.nsgreg.nga.mil/geo-division/GENC/6/ed2/BA-BRC","BA-BRC")</f>
        <v>BA-BRC</v>
      </c>
    </row>
    <row r="499" spans="1:8" x14ac:dyDescent="0.2">
      <c r="A499" s="157"/>
      <c r="B499" s="31" t="s">
        <v>3388</v>
      </c>
      <c r="C499" s="31" t="s">
        <v>3389</v>
      </c>
      <c r="D499" s="98" t="s">
        <v>3379</v>
      </c>
      <c r="E499" s="99" t="b">
        <v>0</v>
      </c>
      <c r="F499" s="107" t="s">
        <v>3390</v>
      </c>
      <c r="G499" s="116" t="str">
        <f>HYPERLINK("http://nsgreg.nga.mil/genc/view?v=200810&amp;end_month=3&amp;end_day=31&amp;end_year=2014","Hercegovačko-Bosanski Kanton")</f>
        <v>Hercegovačko-Bosanski Kanton</v>
      </c>
      <c r="H499" s="87" t="str">
        <f>HYPERLINK("http://api.nsgreg.nga.mil/geo-division/GENC/6/ed2/BA-10","BA-10")</f>
        <v>BA-10</v>
      </c>
    </row>
    <row r="500" spans="1:8" x14ac:dyDescent="0.2">
      <c r="A500" s="157"/>
      <c r="B500" s="31" t="s">
        <v>3391</v>
      </c>
      <c r="C500" s="31" t="s">
        <v>3392</v>
      </c>
      <c r="D500" s="98" t="s">
        <v>3379</v>
      </c>
      <c r="E500" s="99" t="b">
        <v>0</v>
      </c>
      <c r="F500" s="107" t="s">
        <v>3393</v>
      </c>
      <c r="G500" s="116" t="str">
        <f>HYPERLINK("http://nsgreg.nga.mil/genc/view?v=200807&amp;end_month=3&amp;end_day=31&amp;end_year=2014","Hercegovačko-Neretvanski Kanton")</f>
        <v>Hercegovačko-Neretvanski Kanton</v>
      </c>
      <c r="H500" s="87" t="str">
        <f>HYPERLINK("http://api.nsgreg.nga.mil/geo-division/GENC/6/ed2/BA-07","BA-07")</f>
        <v>BA-07</v>
      </c>
    </row>
    <row r="501" spans="1:8" x14ac:dyDescent="0.2">
      <c r="A501" s="157"/>
      <c r="B501" s="31" t="s">
        <v>3394</v>
      </c>
      <c r="C501" s="31" t="s">
        <v>3395</v>
      </c>
      <c r="D501" s="98" t="s">
        <v>3379</v>
      </c>
      <c r="E501" s="99" t="b">
        <v>0</v>
      </c>
      <c r="F501" s="107" t="s">
        <v>3396</v>
      </c>
      <c r="G501" s="116" t="str">
        <f>HYPERLINK("http://nsgreg.nga.mil/genc/view?v=200802&amp;end_month=3&amp;end_day=31&amp;end_year=2014","Posavski Kanton")</f>
        <v>Posavski Kanton</v>
      </c>
      <c r="H501" s="87" t="str">
        <f>HYPERLINK("http://api.nsgreg.nga.mil/geo-division/GENC/6/ed2/BA-02","BA-02")</f>
        <v>BA-02</v>
      </c>
    </row>
    <row r="502" spans="1:8" x14ac:dyDescent="0.2">
      <c r="A502" s="157"/>
      <c r="B502" s="31" t="s">
        <v>3397</v>
      </c>
      <c r="C502" s="31" t="s">
        <v>3398</v>
      </c>
      <c r="D502" s="98" t="s">
        <v>3379</v>
      </c>
      <c r="E502" s="99" t="b">
        <v>0</v>
      </c>
      <c r="F502" s="107" t="s">
        <v>3399</v>
      </c>
      <c r="G502" s="116" t="str">
        <f>HYPERLINK("http://nsgreg.nga.mil/genc/view?v=200809&amp;end_month=3&amp;end_day=31&amp;end_year=2014","Sarajevo, Kanton")</f>
        <v>Sarajevo, Kanton</v>
      </c>
      <c r="H502" s="87" t="str">
        <f>HYPERLINK("http://api.nsgreg.nga.mil/geo-division/GENC/6/ed2/BA-09","BA-09")</f>
        <v>BA-09</v>
      </c>
    </row>
    <row r="503" spans="1:8" x14ac:dyDescent="0.2">
      <c r="A503" s="157"/>
      <c r="B503" s="31" t="s">
        <v>3400</v>
      </c>
      <c r="C503" s="31" t="s">
        <v>3401</v>
      </c>
      <c r="D503" s="98" t="s">
        <v>3379</v>
      </c>
      <c r="E503" s="99" t="b">
        <v>0</v>
      </c>
      <c r="F503" s="107" t="s">
        <v>3402</v>
      </c>
      <c r="G503" s="116" t="str">
        <f>HYPERLINK("http://nsgreg.nga.mil/genc/view?v=200806&amp;end_month=3&amp;end_day=31&amp;end_year=2014","Srednjobosanski Kanton")</f>
        <v>Srednjobosanski Kanton</v>
      </c>
      <c r="H503" s="87" t="str">
        <f>HYPERLINK("http://api.nsgreg.nga.mil/geo-division/GENC/6/ed2/BA-06","BA-06")</f>
        <v>BA-06</v>
      </c>
    </row>
    <row r="504" spans="1:8" x14ac:dyDescent="0.2">
      <c r="A504" s="157"/>
      <c r="B504" s="31" t="s">
        <v>3403</v>
      </c>
      <c r="C504" s="31" t="s">
        <v>3404</v>
      </c>
      <c r="D504" s="31" t="s">
        <v>3405</v>
      </c>
      <c r="E504" s="61" t="b">
        <v>1</v>
      </c>
      <c r="F504" s="107" t="s">
        <v>3406</v>
      </c>
      <c r="G504" s="116" t="str">
        <f>HYPERLINK("http://nsgreg.nga.mil/genc/view?v=200813&amp;end_month=3&amp;end_day=31&amp;end_year=2014","Srpska, Republika")</f>
        <v>Srpska, Republika</v>
      </c>
      <c r="H504" s="87" t="str">
        <f>HYPERLINK("http://api.nsgreg.nga.mil/geo-division/GENC/6/ed2/BA-SRP","BA-SRP")</f>
        <v>BA-SRP</v>
      </c>
    </row>
    <row r="505" spans="1:8" x14ac:dyDescent="0.2">
      <c r="A505" s="157"/>
      <c r="B505" s="31" t="s">
        <v>3407</v>
      </c>
      <c r="C505" s="31" t="s">
        <v>3408</v>
      </c>
      <c r="D505" s="98" t="s">
        <v>3379</v>
      </c>
      <c r="E505" s="99" t="b">
        <v>0</v>
      </c>
      <c r="F505" s="107" t="s">
        <v>3409</v>
      </c>
      <c r="G505" s="116" t="str">
        <f>HYPERLINK("http://nsgreg.nga.mil/genc/view?v=200803&amp;end_month=3&amp;end_day=31&amp;end_year=2014","Tuzlanski Kanton")</f>
        <v>Tuzlanski Kanton</v>
      </c>
      <c r="H505" s="87" t="str">
        <f>HYPERLINK("http://api.nsgreg.nga.mil/geo-division/GENC/6/ed2/BA-03","BA-03")</f>
        <v>BA-03</v>
      </c>
    </row>
    <row r="506" spans="1:8" x14ac:dyDescent="0.2">
      <c r="A506" s="157"/>
      <c r="B506" s="31" t="s">
        <v>3410</v>
      </c>
      <c r="C506" s="31" t="s">
        <v>3411</v>
      </c>
      <c r="D506" s="98" t="s">
        <v>3379</v>
      </c>
      <c r="E506" s="99" t="b">
        <v>0</v>
      </c>
      <c r="F506" s="107" t="s">
        <v>3412</v>
      </c>
      <c r="G506" s="116" t="str">
        <f>HYPERLINK("http://nsgreg.nga.mil/genc/view?v=200801&amp;end_month=3&amp;end_day=31&amp;end_year=2014","Unsko-Sanski Kanton")</f>
        <v>Unsko-Sanski Kanton</v>
      </c>
      <c r="H506" s="87" t="str">
        <f>HYPERLINK("http://api.nsgreg.nga.mil/geo-division/GENC/6/ed2/BA-01","BA-01")</f>
        <v>BA-01</v>
      </c>
    </row>
    <row r="507" spans="1:8" x14ac:dyDescent="0.2">
      <c r="A507" s="157"/>
      <c r="B507" s="31" t="s">
        <v>3413</v>
      </c>
      <c r="C507" s="31" t="s">
        <v>3414</v>
      </c>
      <c r="D507" s="98" t="s">
        <v>3379</v>
      </c>
      <c r="E507" s="99" t="b">
        <v>0</v>
      </c>
      <c r="F507" s="107" t="s">
        <v>3415</v>
      </c>
      <c r="G507" s="116" t="str">
        <f>HYPERLINK("http://nsgreg.nga.mil/genc/view?v=200808&amp;end_month=3&amp;end_day=31&amp;end_year=2014","Zapadno-Hercegovački Kanton")</f>
        <v>Zapadno-Hercegovački Kanton</v>
      </c>
      <c r="H507" s="87" t="str">
        <f>HYPERLINK("http://api.nsgreg.nga.mil/geo-division/GENC/6/ed2/BA-08","BA-08")</f>
        <v>BA-08</v>
      </c>
    </row>
    <row r="508" spans="1:8" x14ac:dyDescent="0.2">
      <c r="A508" s="158"/>
      <c r="B508" s="58" t="s">
        <v>3416</v>
      </c>
      <c r="C508" s="58" t="s">
        <v>3417</v>
      </c>
      <c r="D508" s="100" t="s">
        <v>3379</v>
      </c>
      <c r="E508" s="101" t="b">
        <v>0</v>
      </c>
      <c r="F508" s="111" t="s">
        <v>3418</v>
      </c>
      <c r="G508" s="117" t="str">
        <f>HYPERLINK("http://nsgreg.nga.mil/genc/view?v=200804&amp;end_month=3&amp;end_day=31&amp;end_year=2014","Zeničko-Dobojski Kanton")</f>
        <v>Zeničko-Dobojski Kanton</v>
      </c>
      <c r="H508" s="89" t="str">
        <f>HYPERLINK("http://api.nsgreg.nga.mil/geo-division/GENC/6/ed2/BA-04","BA-04")</f>
        <v>BA-04</v>
      </c>
    </row>
    <row r="509" spans="1:8" x14ac:dyDescent="0.2">
      <c r="A509" s="156" t="str">
        <f>HYPERLINK("[#]Geopolitical_Entities!A36:I36","BOTSWANA")</f>
        <v>BOTSWANA</v>
      </c>
      <c r="B509" s="52" t="s">
        <v>3419</v>
      </c>
      <c r="C509" s="52" t="s">
        <v>3420</v>
      </c>
      <c r="D509" s="52" t="s">
        <v>2026</v>
      </c>
      <c r="E509" s="60" t="b">
        <v>1</v>
      </c>
      <c r="F509" s="109" t="s">
        <v>3421</v>
      </c>
      <c r="G509" s="118" t="str">
        <f>HYPERLINK("http://nsgreg.nga.mil/genc/view?v=112533&amp;gencs=T&amp;end_month=3&amp;end_day=31&amp;end_year=2014","Central")</f>
        <v>Central</v>
      </c>
      <c r="H509" s="91" t="str">
        <f>HYPERLINK("http://api.nsgreg.nga.mil/geo-division/ISO3166-2/6/ed3/BW-CE","BW-CE")</f>
        <v>BW-CE</v>
      </c>
    </row>
    <row r="510" spans="1:8" x14ac:dyDescent="0.2">
      <c r="A510" s="157"/>
      <c r="B510" s="31" t="s">
        <v>3422</v>
      </c>
      <c r="C510" s="31" t="s">
        <v>3423</v>
      </c>
      <c r="D510" s="31" t="s">
        <v>2026</v>
      </c>
      <c r="E510" s="61" t="b">
        <v>1</v>
      </c>
      <c r="F510" s="107" t="s">
        <v>3424</v>
      </c>
      <c r="G510" s="116" t="str">
        <f>HYPERLINK("http://nsgreg.nga.mil/genc/view?v=204538&amp;end_month=3&amp;end_day=31&amp;end_year=2014","Chobe")</f>
        <v>Chobe</v>
      </c>
      <c r="H510" s="87" t="str">
        <f>HYPERLINK("http://api.nsgreg.nga.mil/geo-division/GENC/6/ed2/BW-CH","BW-CH")</f>
        <v>BW-CH</v>
      </c>
    </row>
    <row r="511" spans="1:8" x14ac:dyDescent="0.2">
      <c r="A511" s="157"/>
      <c r="B511" s="31" t="s">
        <v>3425</v>
      </c>
      <c r="C511" s="31" t="s">
        <v>3426</v>
      </c>
      <c r="D511" s="31" t="s">
        <v>2405</v>
      </c>
      <c r="E511" s="61" t="b">
        <v>1</v>
      </c>
      <c r="F511" s="107" t="s">
        <v>3427</v>
      </c>
      <c r="G511" s="116" t="str">
        <f>HYPERLINK("http://nsgreg.nga.mil/genc/view?v=204550&amp;end_month=3&amp;end_day=31&amp;end_year=2014","Francistown")</f>
        <v>Francistown</v>
      </c>
      <c r="H511" s="87" t="str">
        <f>HYPERLINK("http://api.nsgreg.nga.mil/geo-division/GENC/6/ed2/BW-FR","BW-FR")</f>
        <v>BW-FR</v>
      </c>
    </row>
    <row r="512" spans="1:8" x14ac:dyDescent="0.2">
      <c r="A512" s="157"/>
      <c r="B512" s="31" t="s">
        <v>3428</v>
      </c>
      <c r="C512" s="31" t="s">
        <v>3429</v>
      </c>
      <c r="D512" s="31" t="s">
        <v>2405</v>
      </c>
      <c r="E512" s="61" t="b">
        <v>1</v>
      </c>
      <c r="F512" s="107" t="s">
        <v>3430</v>
      </c>
      <c r="G512" s="116" t="str">
        <f>HYPERLINK("http://nsgreg.nga.mil/genc/view?v=204551&amp;end_month=3&amp;end_day=31&amp;end_year=2014","Gaborone")</f>
        <v>Gaborone</v>
      </c>
      <c r="H512" s="87" t="str">
        <f>HYPERLINK("http://api.nsgreg.nga.mil/geo-division/GENC/6/ed2/BW-GA","BW-GA")</f>
        <v>BW-GA</v>
      </c>
    </row>
    <row r="513" spans="1:8" x14ac:dyDescent="0.2">
      <c r="A513" s="157"/>
      <c r="B513" s="31" t="s">
        <v>3431</v>
      </c>
      <c r="C513" s="31" t="s">
        <v>3432</v>
      </c>
      <c r="D513" s="31" t="s">
        <v>2026</v>
      </c>
      <c r="E513" s="61" t="b">
        <v>1</v>
      </c>
      <c r="F513" s="106" t="s">
        <v>3433</v>
      </c>
      <c r="G513" s="116" t="str">
        <f>HYPERLINK("http://nsgreg.nga.mil/genc/view?v=112534&amp;gencs=T&amp;end_month=3&amp;end_day=31&amp;end_year=2014","Ghanzi")</f>
        <v>Ghanzi</v>
      </c>
      <c r="H513" s="87" t="str">
        <f>HYPERLINK("http://api.nsgreg.nga.mil/geo-division/ISO3166-2/6/ed3/BW-GH","BW-GH")</f>
        <v>BW-GH</v>
      </c>
    </row>
    <row r="514" spans="1:8" x14ac:dyDescent="0.2">
      <c r="A514" s="157"/>
      <c r="B514" s="31" t="s">
        <v>3434</v>
      </c>
      <c r="C514" s="31" t="s">
        <v>3435</v>
      </c>
      <c r="D514" s="31" t="s">
        <v>3436</v>
      </c>
      <c r="E514" s="61" t="b">
        <v>1</v>
      </c>
      <c r="F514" s="107" t="s">
        <v>3437</v>
      </c>
      <c r="G514" s="116" t="str">
        <f>HYPERLINK("http://nsgreg.nga.mil/genc/view?v=204552&amp;end_month=3&amp;end_day=31&amp;end_year=2014","Jwaneng")</f>
        <v>Jwaneng</v>
      </c>
      <c r="H514" s="87" t="str">
        <f>HYPERLINK("http://api.nsgreg.nga.mil/geo-division/GENC/6/ed2/BW-JW","BW-JW")</f>
        <v>BW-JW</v>
      </c>
    </row>
    <row r="515" spans="1:8" x14ac:dyDescent="0.2">
      <c r="A515" s="157"/>
      <c r="B515" s="31" t="s">
        <v>3438</v>
      </c>
      <c r="C515" s="31" t="s">
        <v>3439</v>
      </c>
      <c r="D515" s="31" t="s">
        <v>2026</v>
      </c>
      <c r="E515" s="61" t="b">
        <v>1</v>
      </c>
      <c r="F515" s="106" t="s">
        <v>3440</v>
      </c>
      <c r="G515" s="116" t="str">
        <f>HYPERLINK("http://nsgreg.nga.mil/genc/view?v=112535&amp;gencs=T&amp;end_month=3&amp;end_day=31&amp;end_year=2014","Kgalagadi")</f>
        <v>Kgalagadi</v>
      </c>
      <c r="H515" s="87" t="str">
        <f>HYPERLINK("http://api.nsgreg.nga.mil/geo-division/ISO3166-2/6/ed3/BW-KG","BW-KG")</f>
        <v>BW-KG</v>
      </c>
    </row>
    <row r="516" spans="1:8" x14ac:dyDescent="0.2">
      <c r="A516" s="157"/>
      <c r="B516" s="31" t="s">
        <v>3441</v>
      </c>
      <c r="C516" s="31" t="s">
        <v>3442</v>
      </c>
      <c r="D516" s="31" t="s">
        <v>2026</v>
      </c>
      <c r="E516" s="61" t="b">
        <v>1</v>
      </c>
      <c r="F516" s="106" t="s">
        <v>3443</v>
      </c>
      <c r="G516" s="116" t="str">
        <f>HYPERLINK("http://nsgreg.nga.mil/genc/view?v=112536&amp;gencs=T&amp;end_month=3&amp;end_day=31&amp;end_year=2014","Kgatleng")</f>
        <v>Kgatleng</v>
      </c>
      <c r="H516" s="87" t="str">
        <f>HYPERLINK("http://api.nsgreg.nga.mil/geo-division/ISO3166-2/6/ed3/BW-KL","BW-KL")</f>
        <v>BW-KL</v>
      </c>
    </row>
    <row r="517" spans="1:8" x14ac:dyDescent="0.2">
      <c r="A517" s="157"/>
      <c r="B517" s="31" t="s">
        <v>3444</v>
      </c>
      <c r="C517" s="31" t="s">
        <v>3445</v>
      </c>
      <c r="D517" s="31" t="s">
        <v>2026</v>
      </c>
      <c r="E517" s="61" t="b">
        <v>1</v>
      </c>
      <c r="F517" s="106" t="s">
        <v>3446</v>
      </c>
      <c r="G517" s="116" t="str">
        <f>HYPERLINK("http://nsgreg.nga.mil/genc/view?v=112537&amp;gencs=T&amp;end_month=3&amp;end_day=31&amp;end_year=2014","Kweneng")</f>
        <v>Kweneng</v>
      </c>
      <c r="H517" s="87" t="str">
        <f>HYPERLINK("http://api.nsgreg.nga.mil/geo-division/ISO3166-2/6/ed3/BW-KW","BW-KW")</f>
        <v>BW-KW</v>
      </c>
    </row>
    <row r="518" spans="1:8" x14ac:dyDescent="0.2">
      <c r="A518" s="157"/>
      <c r="B518" s="31" t="s">
        <v>3447</v>
      </c>
      <c r="C518" s="31" t="s">
        <v>3448</v>
      </c>
      <c r="D518" s="31" t="s">
        <v>3436</v>
      </c>
      <c r="E518" s="61" t="b">
        <v>1</v>
      </c>
      <c r="F518" s="107" t="s">
        <v>3449</v>
      </c>
      <c r="G518" s="116" t="str">
        <f>HYPERLINK("http://nsgreg.nga.mil/genc/view?v=204553&amp;end_month=3&amp;end_day=31&amp;end_year=2014","Lobatse")</f>
        <v>Lobatse</v>
      </c>
      <c r="H518" s="87" t="str">
        <f>HYPERLINK("http://api.nsgreg.nga.mil/geo-division/GENC/6/ed2/BW-LO","BW-LO")</f>
        <v>BW-LO</v>
      </c>
    </row>
    <row r="519" spans="1:8" x14ac:dyDescent="0.2">
      <c r="A519" s="157"/>
      <c r="B519" s="31" t="s">
        <v>3450</v>
      </c>
      <c r="C519" s="31" t="s">
        <v>3451</v>
      </c>
      <c r="D519" s="31" t="s">
        <v>2026</v>
      </c>
      <c r="E519" s="61" t="b">
        <v>1</v>
      </c>
      <c r="F519" s="107" t="s">
        <v>3452</v>
      </c>
      <c r="G519" s="116" t="str">
        <f>HYPERLINK("http://nsgreg.nga.mil/genc/view?v=200934&amp;end_month=3&amp;end_day=31&amp;end_year=2014","North East")</f>
        <v>North East</v>
      </c>
      <c r="H519" s="87" t="str">
        <f>HYPERLINK("http://api.nsgreg.nga.mil/geo-division/GENC/6/ed2/BW-NE","BW-NE")</f>
        <v>BW-NE</v>
      </c>
    </row>
    <row r="520" spans="1:8" x14ac:dyDescent="0.2">
      <c r="A520" s="157"/>
      <c r="B520" s="31" t="s">
        <v>3453</v>
      </c>
      <c r="C520" s="31" t="s">
        <v>3454</v>
      </c>
      <c r="D520" s="31" t="s">
        <v>2026</v>
      </c>
      <c r="E520" s="61" t="b">
        <v>1</v>
      </c>
      <c r="F520" s="107" t="s">
        <v>3455</v>
      </c>
      <c r="G520" s="116" t="str">
        <f>HYPERLINK("http://nsgreg.nga.mil/genc/view?v=200935&amp;end_month=3&amp;end_day=31&amp;end_year=2014","North West")</f>
        <v>North West</v>
      </c>
      <c r="H520" s="87" t="str">
        <f>HYPERLINK("http://api.nsgreg.nga.mil/geo-division/GENC/6/ed2/BW-NW","BW-NW")</f>
        <v>BW-NW</v>
      </c>
    </row>
    <row r="521" spans="1:8" x14ac:dyDescent="0.2">
      <c r="A521" s="157"/>
      <c r="B521" s="31" t="s">
        <v>3456</v>
      </c>
      <c r="C521" s="31" t="s">
        <v>3457</v>
      </c>
      <c r="D521" s="31" t="s">
        <v>3436</v>
      </c>
      <c r="E521" s="61" t="b">
        <v>1</v>
      </c>
      <c r="F521" s="107" t="s">
        <v>3458</v>
      </c>
      <c r="G521" s="116" t="str">
        <f>HYPERLINK("http://nsgreg.nga.mil/genc/view?v=204554&amp;end_month=3&amp;end_day=31&amp;end_year=2014","Selibe Phikwe")</f>
        <v>Selibe Phikwe</v>
      </c>
      <c r="H521" s="87" t="str">
        <f>HYPERLINK("http://api.nsgreg.nga.mil/geo-division/GENC/6/ed2/BW-SP","BW-SP")</f>
        <v>BW-SP</v>
      </c>
    </row>
    <row r="522" spans="1:8" x14ac:dyDescent="0.2">
      <c r="A522" s="157"/>
      <c r="B522" s="31" t="s">
        <v>3459</v>
      </c>
      <c r="C522" s="31" t="s">
        <v>3460</v>
      </c>
      <c r="D522" s="31" t="s">
        <v>2026</v>
      </c>
      <c r="E522" s="61" t="b">
        <v>1</v>
      </c>
      <c r="F522" s="107" t="s">
        <v>3461</v>
      </c>
      <c r="G522" s="116" t="str">
        <f>HYPERLINK("http://nsgreg.nga.mil/genc/view?v=200936&amp;end_month=3&amp;end_day=31&amp;end_year=2014","South East")</f>
        <v>South East</v>
      </c>
      <c r="H522" s="87" t="str">
        <f>HYPERLINK("http://api.nsgreg.nga.mil/geo-division/GENC/6/ed2/BW-SE","BW-SE")</f>
        <v>BW-SE</v>
      </c>
    </row>
    <row r="523" spans="1:8" x14ac:dyDescent="0.2">
      <c r="A523" s="157"/>
      <c r="B523" s="31" t="s">
        <v>3462</v>
      </c>
      <c r="C523" s="31" t="s">
        <v>3463</v>
      </c>
      <c r="D523" s="31" t="s">
        <v>2026</v>
      </c>
      <c r="E523" s="61" t="b">
        <v>1</v>
      </c>
      <c r="F523" s="106" t="s">
        <v>3464</v>
      </c>
      <c r="G523" s="116" t="str">
        <f>HYPERLINK("http://nsgreg.nga.mil/genc/view?v=112541&amp;gencs=T&amp;end_month=3&amp;end_day=31&amp;end_year=2014","Southern")</f>
        <v>Southern</v>
      </c>
      <c r="H523" s="87" t="str">
        <f>HYPERLINK("http://api.nsgreg.nga.mil/geo-division/ISO3166-2/6/ed3/BW-SO","BW-SO")</f>
        <v>BW-SO</v>
      </c>
    </row>
    <row r="524" spans="1:8" x14ac:dyDescent="0.2">
      <c r="A524" s="158"/>
      <c r="B524" s="58" t="s">
        <v>3465</v>
      </c>
      <c r="C524" s="58" t="s">
        <v>3466</v>
      </c>
      <c r="D524" s="58" t="s">
        <v>3436</v>
      </c>
      <c r="E524" s="62" t="b">
        <v>1</v>
      </c>
      <c r="F524" s="111" t="s">
        <v>3467</v>
      </c>
      <c r="G524" s="117" t="str">
        <f>HYPERLINK("http://nsgreg.nga.mil/genc/view?v=204555&amp;end_month=3&amp;end_day=31&amp;end_year=2014","Sowa Town")</f>
        <v>Sowa Town</v>
      </c>
      <c r="H524" s="89" t="str">
        <f>HYPERLINK("http://api.nsgreg.nga.mil/geo-division/GENC/6/ed2/BW-ST","BW-ST")</f>
        <v>BW-ST</v>
      </c>
    </row>
    <row r="525" spans="1:8" x14ac:dyDescent="0.2">
      <c r="A525" s="156" t="str">
        <f>HYPERLINK("[#]Geopolitical_Entities!A38:I38","BRAZIL")</f>
        <v>BRAZIL</v>
      </c>
      <c r="B525" s="52" t="s">
        <v>3468</v>
      </c>
      <c r="C525" s="52" t="s">
        <v>3469</v>
      </c>
      <c r="D525" s="52" t="s">
        <v>2512</v>
      </c>
      <c r="E525" s="60" t="b">
        <v>1</v>
      </c>
      <c r="F525" s="109" t="s">
        <v>3470</v>
      </c>
      <c r="G525" s="118" t="str">
        <f>HYPERLINK("http://nsgreg.nga.mil/genc/view?v=112455&amp;gencs=T&amp;end_month=3&amp;end_day=31&amp;end_year=2014","Acre")</f>
        <v>Acre</v>
      </c>
      <c r="H525" s="91" t="str">
        <f>HYPERLINK("http://api.nsgreg.nga.mil/geo-division/ISO3166-2/6/ed3/BR-AC","BR-AC")</f>
        <v>BR-AC</v>
      </c>
    </row>
    <row r="526" spans="1:8" x14ac:dyDescent="0.2">
      <c r="A526" s="157"/>
      <c r="B526" s="31" t="s">
        <v>3471</v>
      </c>
      <c r="C526" s="31" t="s">
        <v>3472</v>
      </c>
      <c r="D526" s="31" t="s">
        <v>2512</v>
      </c>
      <c r="E526" s="61" t="b">
        <v>1</v>
      </c>
      <c r="F526" s="106" t="s">
        <v>3473</v>
      </c>
      <c r="G526" s="116" t="str">
        <f>HYPERLINK("http://nsgreg.nga.mil/genc/view?v=112456&amp;gencs=T&amp;end_month=3&amp;end_day=31&amp;end_year=2014","Alagoas")</f>
        <v>Alagoas</v>
      </c>
      <c r="H526" s="87" t="str">
        <f>HYPERLINK("http://api.nsgreg.nga.mil/geo-division/ISO3166-2/6/ed3/BR-AL","BR-AL")</f>
        <v>BR-AL</v>
      </c>
    </row>
    <row r="527" spans="1:8" x14ac:dyDescent="0.2">
      <c r="A527" s="157"/>
      <c r="B527" s="31" t="s">
        <v>3474</v>
      </c>
      <c r="C527" s="31" t="s">
        <v>3475</v>
      </c>
      <c r="D527" s="31" t="s">
        <v>2512</v>
      </c>
      <c r="E527" s="61" t="b">
        <v>1</v>
      </c>
      <c r="F527" s="106" t="s">
        <v>3476</v>
      </c>
      <c r="G527" s="116" t="str">
        <f>HYPERLINK("http://nsgreg.nga.mil/genc/view?v=112458&amp;gencs=T&amp;end_month=3&amp;end_day=31&amp;end_year=2014","Amapá")</f>
        <v>Amapá</v>
      </c>
      <c r="H527" s="87" t="str">
        <f>HYPERLINK("http://api.nsgreg.nga.mil/geo-division/ISO3166-2/6/ed3/BR-AP","BR-AP")</f>
        <v>BR-AP</v>
      </c>
    </row>
    <row r="528" spans="1:8" x14ac:dyDescent="0.2">
      <c r="A528" s="157"/>
      <c r="B528" s="31" t="s">
        <v>3477</v>
      </c>
      <c r="C528" s="31" t="s">
        <v>3478</v>
      </c>
      <c r="D528" s="31" t="s">
        <v>2512</v>
      </c>
      <c r="E528" s="61" t="b">
        <v>1</v>
      </c>
      <c r="F528" s="106" t="s">
        <v>3479</v>
      </c>
      <c r="G528" s="116" t="str">
        <f>HYPERLINK("http://nsgreg.nga.mil/genc/view?v=112457&amp;gencs=T&amp;end_month=3&amp;end_day=31&amp;end_year=2014","Amazonas")</f>
        <v>Amazonas</v>
      </c>
      <c r="H528" s="87" t="str">
        <f>HYPERLINK("http://api.nsgreg.nga.mil/geo-division/ISO3166-2/6/ed3/BR-AM","BR-AM")</f>
        <v>BR-AM</v>
      </c>
    </row>
    <row r="529" spans="1:8" x14ac:dyDescent="0.2">
      <c r="A529" s="157"/>
      <c r="B529" s="31" t="s">
        <v>3480</v>
      </c>
      <c r="C529" s="31" t="s">
        <v>3481</v>
      </c>
      <c r="D529" s="31" t="s">
        <v>2512</v>
      </c>
      <c r="E529" s="61" t="b">
        <v>1</v>
      </c>
      <c r="F529" s="106" t="s">
        <v>3482</v>
      </c>
      <c r="G529" s="116" t="str">
        <f>HYPERLINK("http://nsgreg.nga.mil/genc/view?v=112459&amp;gencs=T&amp;end_month=3&amp;end_day=31&amp;end_year=2014","Bahia")</f>
        <v>Bahia</v>
      </c>
      <c r="H529" s="87" t="str">
        <f>HYPERLINK("http://api.nsgreg.nga.mil/geo-division/ISO3166-2/6/ed3/BR-BA","BR-BA")</f>
        <v>BR-BA</v>
      </c>
    </row>
    <row r="530" spans="1:8" x14ac:dyDescent="0.2">
      <c r="A530" s="157"/>
      <c r="B530" s="31" t="s">
        <v>3483</v>
      </c>
      <c r="C530" s="31" t="s">
        <v>3484</v>
      </c>
      <c r="D530" s="31" t="s">
        <v>2512</v>
      </c>
      <c r="E530" s="61" t="b">
        <v>1</v>
      </c>
      <c r="F530" s="106" t="s">
        <v>3485</v>
      </c>
      <c r="G530" s="116" t="str">
        <f>HYPERLINK("http://nsgreg.nga.mil/genc/view?v=112460&amp;gencs=T&amp;end_month=3&amp;end_day=31&amp;end_year=2014","Ceará")</f>
        <v>Ceará</v>
      </c>
      <c r="H530" s="87" t="str">
        <f>HYPERLINK("http://api.nsgreg.nga.mil/geo-division/ISO3166-2/6/ed3/BR-CE","BR-CE")</f>
        <v>BR-CE</v>
      </c>
    </row>
    <row r="531" spans="1:8" x14ac:dyDescent="0.2">
      <c r="A531" s="157"/>
      <c r="B531" s="31" t="s">
        <v>3486</v>
      </c>
      <c r="C531" s="31" t="s">
        <v>3487</v>
      </c>
      <c r="D531" s="31" t="s">
        <v>3488</v>
      </c>
      <c r="E531" s="61" t="b">
        <v>1</v>
      </c>
      <c r="F531" s="106" t="s">
        <v>3489</v>
      </c>
      <c r="G531" s="116" t="str">
        <f>HYPERLINK("http://nsgreg.nga.mil/genc/view?v=112461&amp;gencs=T&amp;end_month=3&amp;end_day=31&amp;end_year=2014","Distrito Federal")</f>
        <v>Distrito Federal</v>
      </c>
      <c r="H531" s="87" t="str">
        <f>HYPERLINK("http://api.nsgreg.nga.mil/geo-division/ISO3166-2/6/ed3/BR-DF","BR-DF")</f>
        <v>BR-DF</v>
      </c>
    </row>
    <row r="532" spans="1:8" x14ac:dyDescent="0.2">
      <c r="A532" s="157"/>
      <c r="B532" s="31" t="s">
        <v>3490</v>
      </c>
      <c r="C532" s="31" t="s">
        <v>3491</v>
      </c>
      <c r="D532" s="31" t="s">
        <v>2512</v>
      </c>
      <c r="E532" s="61" t="b">
        <v>1</v>
      </c>
      <c r="F532" s="106" t="s">
        <v>3492</v>
      </c>
      <c r="G532" s="116" t="str">
        <f>HYPERLINK("http://nsgreg.nga.mil/genc/view?v=112462&amp;gencs=T&amp;end_month=3&amp;end_day=31&amp;end_year=2014","Espírito Santo")</f>
        <v>Espírito Santo</v>
      </c>
      <c r="H532" s="87" t="str">
        <f>HYPERLINK("http://api.nsgreg.nga.mil/geo-division/ISO3166-2/6/ed3/BR-ES","BR-ES")</f>
        <v>BR-ES</v>
      </c>
    </row>
    <row r="533" spans="1:8" x14ac:dyDescent="0.2">
      <c r="A533" s="157"/>
      <c r="B533" s="31" t="s">
        <v>3493</v>
      </c>
      <c r="C533" s="31" t="s">
        <v>3494</v>
      </c>
      <c r="D533" s="31" t="s">
        <v>2512</v>
      </c>
      <c r="E533" s="61" t="b">
        <v>1</v>
      </c>
      <c r="F533" s="106" t="s">
        <v>3495</v>
      </c>
      <c r="G533" s="116" t="str">
        <f>HYPERLINK("http://nsgreg.nga.mil/genc/view?v=112463&amp;gencs=T&amp;end_month=3&amp;end_day=31&amp;end_year=2014","Goiás")</f>
        <v>Goiás</v>
      </c>
      <c r="H533" s="87" t="str">
        <f>HYPERLINK("http://api.nsgreg.nga.mil/geo-division/ISO3166-2/6/ed3/BR-GO","BR-GO")</f>
        <v>BR-GO</v>
      </c>
    </row>
    <row r="534" spans="1:8" x14ac:dyDescent="0.2">
      <c r="A534" s="157"/>
      <c r="B534" s="31" t="s">
        <v>3496</v>
      </c>
      <c r="C534" s="31" t="s">
        <v>3497</v>
      </c>
      <c r="D534" s="31" t="s">
        <v>2512</v>
      </c>
      <c r="E534" s="61" t="b">
        <v>1</v>
      </c>
      <c r="F534" s="106" t="s">
        <v>3498</v>
      </c>
      <c r="G534" s="116" t="str">
        <f>HYPERLINK("http://nsgreg.nga.mil/genc/view?v=112464&amp;gencs=T&amp;end_month=3&amp;end_day=31&amp;end_year=2014","Maranhão")</f>
        <v>Maranhão</v>
      </c>
      <c r="H534" s="87" t="str">
        <f>HYPERLINK("http://api.nsgreg.nga.mil/geo-division/ISO3166-2/6/ed3/BR-MA","BR-MA")</f>
        <v>BR-MA</v>
      </c>
    </row>
    <row r="535" spans="1:8" x14ac:dyDescent="0.2">
      <c r="A535" s="157"/>
      <c r="B535" s="31" t="s">
        <v>3499</v>
      </c>
      <c r="C535" s="31" t="s">
        <v>3500</v>
      </c>
      <c r="D535" s="31" t="s">
        <v>2512</v>
      </c>
      <c r="E535" s="61" t="b">
        <v>1</v>
      </c>
      <c r="F535" s="106" t="s">
        <v>3501</v>
      </c>
      <c r="G535" s="116" t="str">
        <f>HYPERLINK("http://nsgreg.nga.mil/genc/view?v=112467&amp;gencs=T&amp;end_month=3&amp;end_day=31&amp;end_year=2014","Mato Grosso")</f>
        <v>Mato Grosso</v>
      </c>
      <c r="H535" s="87" t="str">
        <f>HYPERLINK("http://api.nsgreg.nga.mil/geo-division/ISO3166-2/6/ed3/BR-MT","BR-MT")</f>
        <v>BR-MT</v>
      </c>
    </row>
    <row r="536" spans="1:8" x14ac:dyDescent="0.2">
      <c r="A536" s="157"/>
      <c r="B536" s="31" t="s">
        <v>3502</v>
      </c>
      <c r="C536" s="31" t="s">
        <v>3503</v>
      </c>
      <c r="D536" s="31" t="s">
        <v>2512</v>
      </c>
      <c r="E536" s="61" t="b">
        <v>1</v>
      </c>
      <c r="F536" s="106" t="s">
        <v>3504</v>
      </c>
      <c r="G536" s="116" t="str">
        <f>HYPERLINK("http://nsgreg.nga.mil/genc/view?v=112466&amp;gencs=T&amp;end_month=3&amp;end_day=31&amp;end_year=2014","Mato Grosso do Sul")</f>
        <v>Mato Grosso do Sul</v>
      </c>
      <c r="H536" s="87" t="str">
        <f>HYPERLINK("http://api.nsgreg.nga.mil/geo-division/ISO3166-2/6/ed3/BR-MS","BR-MS")</f>
        <v>BR-MS</v>
      </c>
    </row>
    <row r="537" spans="1:8" x14ac:dyDescent="0.2">
      <c r="A537" s="157"/>
      <c r="B537" s="31" t="s">
        <v>3505</v>
      </c>
      <c r="C537" s="31" t="s">
        <v>3506</v>
      </c>
      <c r="D537" s="31" t="s">
        <v>2512</v>
      </c>
      <c r="E537" s="61" t="b">
        <v>1</v>
      </c>
      <c r="F537" s="106" t="s">
        <v>3507</v>
      </c>
      <c r="G537" s="116" t="str">
        <f>HYPERLINK("http://nsgreg.nga.mil/genc/view?v=112465&amp;gencs=T&amp;end_month=3&amp;end_day=31&amp;end_year=2014","Minas Gerais")</f>
        <v>Minas Gerais</v>
      </c>
      <c r="H537" s="87" t="str">
        <f>HYPERLINK("http://api.nsgreg.nga.mil/geo-division/ISO3166-2/6/ed3/BR-MG","BR-MG")</f>
        <v>BR-MG</v>
      </c>
    </row>
    <row r="538" spans="1:8" x14ac:dyDescent="0.2">
      <c r="A538" s="157"/>
      <c r="B538" s="31" t="s">
        <v>3508</v>
      </c>
      <c r="C538" s="31" t="s">
        <v>3509</v>
      </c>
      <c r="D538" s="31" t="s">
        <v>2512</v>
      </c>
      <c r="E538" s="61" t="b">
        <v>1</v>
      </c>
      <c r="F538" s="106" t="s">
        <v>3510</v>
      </c>
      <c r="G538" s="116" t="str">
        <f>HYPERLINK("http://nsgreg.nga.mil/genc/view?v=112468&amp;gencs=T&amp;end_month=3&amp;end_day=31&amp;end_year=2014","Pará")</f>
        <v>Pará</v>
      </c>
      <c r="H538" s="87" t="str">
        <f>HYPERLINK("http://api.nsgreg.nga.mil/geo-division/ISO3166-2/6/ed3/BR-PA","BR-PA")</f>
        <v>BR-PA</v>
      </c>
    </row>
    <row r="539" spans="1:8" x14ac:dyDescent="0.2">
      <c r="A539" s="157"/>
      <c r="B539" s="31" t="s">
        <v>3511</v>
      </c>
      <c r="C539" s="31" t="s">
        <v>3512</v>
      </c>
      <c r="D539" s="31" t="s">
        <v>2512</v>
      </c>
      <c r="E539" s="61" t="b">
        <v>1</v>
      </c>
      <c r="F539" s="106" t="s">
        <v>3513</v>
      </c>
      <c r="G539" s="116" t="str">
        <f>HYPERLINK("http://nsgreg.nga.mil/genc/view?v=112469&amp;gencs=T&amp;end_month=3&amp;end_day=31&amp;end_year=2014","Paraíba")</f>
        <v>Paraíba</v>
      </c>
      <c r="H539" s="87" t="str">
        <f>HYPERLINK("http://api.nsgreg.nga.mil/geo-division/ISO3166-2/6/ed3/BR-PB","BR-PB")</f>
        <v>BR-PB</v>
      </c>
    </row>
    <row r="540" spans="1:8" x14ac:dyDescent="0.2">
      <c r="A540" s="157"/>
      <c r="B540" s="31" t="s">
        <v>3514</v>
      </c>
      <c r="C540" s="31" t="s">
        <v>3515</v>
      </c>
      <c r="D540" s="31" t="s">
        <v>2512</v>
      </c>
      <c r="E540" s="61" t="b">
        <v>1</v>
      </c>
      <c r="F540" s="106" t="s">
        <v>3516</v>
      </c>
      <c r="G540" s="116" t="str">
        <f>HYPERLINK("http://nsgreg.nga.mil/genc/view?v=112472&amp;gencs=T&amp;end_month=3&amp;end_day=31&amp;end_year=2014","Paraná")</f>
        <v>Paraná</v>
      </c>
      <c r="H540" s="87" t="str">
        <f>HYPERLINK("http://api.nsgreg.nga.mil/geo-division/ISO3166-2/6/ed3/BR-PR","BR-PR")</f>
        <v>BR-PR</v>
      </c>
    </row>
    <row r="541" spans="1:8" x14ac:dyDescent="0.2">
      <c r="A541" s="157"/>
      <c r="B541" s="31" t="s">
        <v>3517</v>
      </c>
      <c r="C541" s="31" t="s">
        <v>3518</v>
      </c>
      <c r="D541" s="31" t="s">
        <v>2512</v>
      </c>
      <c r="E541" s="61" t="b">
        <v>1</v>
      </c>
      <c r="F541" s="106" t="s">
        <v>3519</v>
      </c>
      <c r="G541" s="116" t="str">
        <f>HYPERLINK("http://nsgreg.nga.mil/genc/view?v=112470&amp;gencs=T&amp;end_month=3&amp;end_day=31&amp;end_year=2014","Pernambuco")</f>
        <v>Pernambuco</v>
      </c>
      <c r="H541" s="87" t="str">
        <f>HYPERLINK("http://api.nsgreg.nga.mil/geo-division/ISO3166-2/6/ed3/BR-PE","BR-PE")</f>
        <v>BR-PE</v>
      </c>
    </row>
    <row r="542" spans="1:8" x14ac:dyDescent="0.2">
      <c r="A542" s="157"/>
      <c r="B542" s="31" t="s">
        <v>3520</v>
      </c>
      <c r="C542" s="31" t="s">
        <v>3521</v>
      </c>
      <c r="D542" s="31" t="s">
        <v>2512</v>
      </c>
      <c r="E542" s="61" t="b">
        <v>1</v>
      </c>
      <c r="F542" s="106" t="s">
        <v>3522</v>
      </c>
      <c r="G542" s="116" t="str">
        <f>HYPERLINK("http://nsgreg.nga.mil/genc/view?v=112471&amp;gencs=T&amp;end_month=3&amp;end_day=31&amp;end_year=2014","Piauí")</f>
        <v>Piauí</v>
      </c>
      <c r="H542" s="87" t="str">
        <f>HYPERLINK("http://api.nsgreg.nga.mil/geo-division/ISO3166-2/6/ed3/BR-PI","BR-PI")</f>
        <v>BR-PI</v>
      </c>
    </row>
    <row r="543" spans="1:8" x14ac:dyDescent="0.2">
      <c r="A543" s="157"/>
      <c r="B543" s="31" t="s">
        <v>3523</v>
      </c>
      <c r="C543" s="31" t="s">
        <v>3524</v>
      </c>
      <c r="D543" s="31" t="s">
        <v>2512</v>
      </c>
      <c r="E543" s="61" t="b">
        <v>1</v>
      </c>
      <c r="F543" s="106" t="s">
        <v>3525</v>
      </c>
      <c r="G543" s="116" t="str">
        <f>HYPERLINK("http://nsgreg.nga.mil/genc/view?v=112473&amp;gencs=T&amp;end_month=3&amp;end_day=31&amp;end_year=2014","Rio de Janeiro")</f>
        <v>Rio de Janeiro</v>
      </c>
      <c r="H543" s="87" t="str">
        <f>HYPERLINK("http://api.nsgreg.nga.mil/geo-division/ISO3166-2/6/ed3/BR-RJ","BR-RJ")</f>
        <v>BR-RJ</v>
      </c>
    </row>
    <row r="544" spans="1:8" x14ac:dyDescent="0.2">
      <c r="A544" s="157"/>
      <c r="B544" s="31" t="s">
        <v>3526</v>
      </c>
      <c r="C544" s="31" t="s">
        <v>3527</v>
      </c>
      <c r="D544" s="31" t="s">
        <v>2512</v>
      </c>
      <c r="E544" s="61" t="b">
        <v>1</v>
      </c>
      <c r="F544" s="106" t="s">
        <v>3528</v>
      </c>
      <c r="G544" s="116" t="str">
        <f>HYPERLINK("http://nsgreg.nga.mil/genc/view?v=112474&amp;gencs=T&amp;end_month=3&amp;end_day=31&amp;end_year=2014","Rio Grande do Norte")</f>
        <v>Rio Grande do Norte</v>
      </c>
      <c r="H544" s="87" t="str">
        <f>HYPERLINK("http://api.nsgreg.nga.mil/geo-division/ISO3166-2/6/ed3/BR-RN","BR-RN")</f>
        <v>BR-RN</v>
      </c>
    </row>
    <row r="545" spans="1:8" x14ac:dyDescent="0.2">
      <c r="A545" s="157"/>
      <c r="B545" s="31" t="s">
        <v>3529</v>
      </c>
      <c r="C545" s="31" t="s">
        <v>3530</v>
      </c>
      <c r="D545" s="31" t="s">
        <v>2512</v>
      </c>
      <c r="E545" s="61" t="b">
        <v>1</v>
      </c>
      <c r="F545" s="106" t="s">
        <v>3531</v>
      </c>
      <c r="G545" s="116" t="str">
        <f>HYPERLINK("http://nsgreg.nga.mil/genc/view?v=112477&amp;gencs=T&amp;end_month=3&amp;end_day=31&amp;end_year=2014","Rio Grande do Sul")</f>
        <v>Rio Grande do Sul</v>
      </c>
      <c r="H545" s="87" t="str">
        <f>HYPERLINK("http://api.nsgreg.nga.mil/geo-division/ISO3166-2/6/ed3/BR-RS","BR-RS")</f>
        <v>BR-RS</v>
      </c>
    </row>
    <row r="546" spans="1:8" x14ac:dyDescent="0.2">
      <c r="A546" s="157"/>
      <c r="B546" s="31" t="s">
        <v>3532</v>
      </c>
      <c r="C546" s="31" t="s">
        <v>3533</v>
      </c>
      <c r="D546" s="31" t="s">
        <v>2512</v>
      </c>
      <c r="E546" s="61" t="b">
        <v>1</v>
      </c>
      <c r="F546" s="106" t="s">
        <v>3534</v>
      </c>
      <c r="G546" s="116" t="str">
        <f>HYPERLINK("http://nsgreg.nga.mil/genc/view?v=112475&amp;gencs=T&amp;end_month=3&amp;end_day=31&amp;end_year=2014","Rondônia")</f>
        <v>Rondônia</v>
      </c>
      <c r="H546" s="87" t="str">
        <f>HYPERLINK("http://api.nsgreg.nga.mil/geo-division/ISO3166-2/6/ed3/BR-RO","BR-RO")</f>
        <v>BR-RO</v>
      </c>
    </row>
    <row r="547" spans="1:8" x14ac:dyDescent="0.2">
      <c r="A547" s="157"/>
      <c r="B547" s="31" t="s">
        <v>3535</v>
      </c>
      <c r="C547" s="31" t="s">
        <v>3536</v>
      </c>
      <c r="D547" s="31" t="s">
        <v>2512</v>
      </c>
      <c r="E547" s="61" t="b">
        <v>1</v>
      </c>
      <c r="F547" s="106" t="s">
        <v>3537</v>
      </c>
      <c r="G547" s="116" t="str">
        <f>HYPERLINK("http://nsgreg.nga.mil/genc/view?v=112476&amp;gencs=T&amp;end_month=3&amp;end_day=31&amp;end_year=2014","Roraima")</f>
        <v>Roraima</v>
      </c>
      <c r="H547" s="87" t="str">
        <f>HYPERLINK("http://api.nsgreg.nga.mil/geo-division/ISO3166-2/6/ed3/BR-RR","BR-RR")</f>
        <v>BR-RR</v>
      </c>
    </row>
    <row r="548" spans="1:8" x14ac:dyDescent="0.2">
      <c r="A548" s="157"/>
      <c r="B548" s="31" t="s">
        <v>3538</v>
      </c>
      <c r="C548" s="31" t="s">
        <v>3539</v>
      </c>
      <c r="D548" s="31" t="s">
        <v>2512</v>
      </c>
      <c r="E548" s="61" t="b">
        <v>1</v>
      </c>
      <c r="F548" s="106" t="s">
        <v>3540</v>
      </c>
      <c r="G548" s="116" t="str">
        <f>HYPERLINK("http://nsgreg.nga.mil/genc/view?v=112478&amp;gencs=T&amp;end_month=3&amp;end_day=31&amp;end_year=2014","Santa Catarina")</f>
        <v>Santa Catarina</v>
      </c>
      <c r="H548" s="87" t="str">
        <f>HYPERLINK("http://api.nsgreg.nga.mil/geo-division/ISO3166-2/6/ed3/BR-SC","BR-SC")</f>
        <v>BR-SC</v>
      </c>
    </row>
    <row r="549" spans="1:8" x14ac:dyDescent="0.2">
      <c r="A549" s="157"/>
      <c r="B549" s="31" t="s">
        <v>3541</v>
      </c>
      <c r="C549" s="31" t="s">
        <v>3542</v>
      </c>
      <c r="D549" s="31" t="s">
        <v>2512</v>
      </c>
      <c r="E549" s="61" t="b">
        <v>1</v>
      </c>
      <c r="F549" s="106" t="s">
        <v>3543</v>
      </c>
      <c r="G549" s="116" t="str">
        <f>HYPERLINK("http://nsgreg.nga.mil/genc/view?v=112480&amp;gencs=T&amp;end_month=3&amp;end_day=31&amp;end_year=2014","São Paulo")</f>
        <v>São Paulo</v>
      </c>
      <c r="H549" s="87" t="str">
        <f>HYPERLINK("http://api.nsgreg.nga.mil/geo-division/ISO3166-2/6/ed3/BR-SP","BR-SP")</f>
        <v>BR-SP</v>
      </c>
    </row>
    <row r="550" spans="1:8" x14ac:dyDescent="0.2">
      <c r="A550" s="157"/>
      <c r="B550" s="31" t="s">
        <v>3544</v>
      </c>
      <c r="C550" s="31" t="s">
        <v>3545</v>
      </c>
      <c r="D550" s="31" t="s">
        <v>2512</v>
      </c>
      <c r="E550" s="61" t="b">
        <v>1</v>
      </c>
      <c r="F550" s="106" t="s">
        <v>3546</v>
      </c>
      <c r="G550" s="116" t="str">
        <f>HYPERLINK("http://nsgreg.nga.mil/genc/view?v=112479&amp;gencs=T&amp;end_month=3&amp;end_day=31&amp;end_year=2014","Sergipe")</f>
        <v>Sergipe</v>
      </c>
      <c r="H550" s="87" t="str">
        <f>HYPERLINK("http://api.nsgreg.nga.mil/geo-division/ISO3166-2/6/ed3/BR-SE","BR-SE")</f>
        <v>BR-SE</v>
      </c>
    </row>
    <row r="551" spans="1:8" x14ac:dyDescent="0.2">
      <c r="A551" s="158"/>
      <c r="B551" s="58" t="s">
        <v>3547</v>
      </c>
      <c r="C551" s="58" t="s">
        <v>3548</v>
      </c>
      <c r="D551" s="58" t="s">
        <v>2512</v>
      </c>
      <c r="E551" s="62" t="b">
        <v>1</v>
      </c>
      <c r="F551" s="108" t="s">
        <v>3549</v>
      </c>
      <c r="G551" s="117" t="str">
        <f>HYPERLINK("http://nsgreg.nga.mil/genc/view?v=112481&amp;gencs=T&amp;end_month=3&amp;end_day=31&amp;end_year=2014","Tocantins")</f>
        <v>Tocantins</v>
      </c>
      <c r="H551" s="89" t="str">
        <f>HYPERLINK("http://api.nsgreg.nga.mil/geo-division/ISO3166-2/6/ed3/BR-TO","BR-TO")</f>
        <v>BR-TO</v>
      </c>
    </row>
    <row r="552" spans="1:8" x14ac:dyDescent="0.2">
      <c r="A552" s="156" t="str">
        <f>HYPERLINK("[#]Geopolitical_Entities!A40:I40","BRUNEI")</f>
        <v>BRUNEI</v>
      </c>
      <c r="B552" s="52" t="s">
        <v>3550</v>
      </c>
      <c r="C552" s="52" t="s">
        <v>3551</v>
      </c>
      <c r="D552" s="52" t="s">
        <v>2026</v>
      </c>
      <c r="E552" s="60" t="b">
        <v>1</v>
      </c>
      <c r="F552" s="110" t="s">
        <v>3552</v>
      </c>
      <c r="G552" s="118" t="str">
        <f>HYPERLINK("http://nsgreg.nga.mil/genc/view?v=200923&amp;end_month=3&amp;end_day=31&amp;end_year=2014","Belait")</f>
        <v>Belait</v>
      </c>
      <c r="H552" s="91" t="str">
        <f>HYPERLINK("http://api.nsgreg.nga.mil/geo-division/GENC/6/ed2/BN-BE","BN-BE")</f>
        <v>BN-BE</v>
      </c>
    </row>
    <row r="553" spans="1:8" x14ac:dyDescent="0.2">
      <c r="A553" s="157"/>
      <c r="B553" s="31" t="s">
        <v>3553</v>
      </c>
      <c r="C553" s="31" t="s">
        <v>3554</v>
      </c>
      <c r="D553" s="31" t="s">
        <v>2026</v>
      </c>
      <c r="E553" s="61" t="b">
        <v>1</v>
      </c>
      <c r="F553" s="107" t="s">
        <v>3555</v>
      </c>
      <c r="G553" s="116" t="str">
        <f>HYPERLINK("http://nsgreg.nga.mil/genc/view?v=200924&amp;end_month=3&amp;end_day=31&amp;end_year=2014","Brunei and Muara")</f>
        <v>Brunei and Muara</v>
      </c>
      <c r="H553" s="87" t="str">
        <f>HYPERLINK("http://api.nsgreg.nga.mil/geo-division/GENC/6/ed2/BN-BM","BN-BM")</f>
        <v>BN-BM</v>
      </c>
    </row>
    <row r="554" spans="1:8" x14ac:dyDescent="0.2">
      <c r="A554" s="157"/>
      <c r="B554" s="31" t="s">
        <v>3556</v>
      </c>
      <c r="C554" s="31" t="s">
        <v>3557</v>
      </c>
      <c r="D554" s="31" t="s">
        <v>2026</v>
      </c>
      <c r="E554" s="61" t="b">
        <v>1</v>
      </c>
      <c r="F554" s="107" t="s">
        <v>3558</v>
      </c>
      <c r="G554" s="116" t="str">
        <f>HYPERLINK("http://nsgreg.nga.mil/genc/view?v=200925&amp;end_month=3&amp;end_day=31&amp;end_year=2014","Temburong")</f>
        <v>Temburong</v>
      </c>
      <c r="H554" s="87" t="str">
        <f>HYPERLINK("http://api.nsgreg.nga.mil/geo-division/GENC/6/ed2/BN-TE","BN-TE")</f>
        <v>BN-TE</v>
      </c>
    </row>
    <row r="555" spans="1:8" x14ac:dyDescent="0.2">
      <c r="A555" s="158"/>
      <c r="B555" s="58" t="s">
        <v>3559</v>
      </c>
      <c r="C555" s="58" t="s">
        <v>3560</v>
      </c>
      <c r="D555" s="58" t="s">
        <v>2026</v>
      </c>
      <c r="E555" s="62" t="b">
        <v>1</v>
      </c>
      <c r="F555" s="111" t="s">
        <v>3561</v>
      </c>
      <c r="G555" s="117" t="str">
        <f>HYPERLINK("http://nsgreg.nga.mil/genc/view?v=200926&amp;end_month=3&amp;end_day=31&amp;end_year=2014","Tutong")</f>
        <v>Tutong</v>
      </c>
      <c r="H555" s="89" t="str">
        <f>HYPERLINK("http://api.nsgreg.nga.mil/geo-division/GENC/6/ed2/BN-TU","BN-TU")</f>
        <v>BN-TU</v>
      </c>
    </row>
    <row r="556" spans="1:8" x14ac:dyDescent="0.2">
      <c r="A556" s="156" t="str">
        <f>HYPERLINK("[#]Geopolitical_Entities!A41:I41","BULGARIA")</f>
        <v>BULGARIA</v>
      </c>
      <c r="B556" s="52" t="s">
        <v>3562</v>
      </c>
      <c r="C556" s="52" t="s">
        <v>3563</v>
      </c>
      <c r="D556" s="52" t="s">
        <v>1920</v>
      </c>
      <c r="E556" s="60" t="b">
        <v>1</v>
      </c>
      <c r="F556" s="110" t="s">
        <v>3564</v>
      </c>
      <c r="G556" s="118" t="str">
        <f>HYPERLINK("http://nsgreg.nga.mil/genc/view?v=200866&amp;end_month=3&amp;end_day=31&amp;end_year=2014","Blagoevgrad")</f>
        <v>Blagoevgrad</v>
      </c>
      <c r="H556" s="91" t="str">
        <f>HYPERLINK("http://api.nsgreg.nga.mil/geo-division/GENC/6/ed2/BG-01","BG-01")</f>
        <v>BG-01</v>
      </c>
    </row>
    <row r="557" spans="1:8" x14ac:dyDescent="0.2">
      <c r="A557" s="157"/>
      <c r="B557" s="31" t="s">
        <v>3565</v>
      </c>
      <c r="C557" s="31" t="s">
        <v>3566</v>
      </c>
      <c r="D557" s="31" t="s">
        <v>1920</v>
      </c>
      <c r="E557" s="61" t="b">
        <v>1</v>
      </c>
      <c r="F557" s="107" t="s">
        <v>3567</v>
      </c>
      <c r="G557" s="116" t="str">
        <f>HYPERLINK("http://nsgreg.nga.mil/genc/view?v=200867&amp;end_month=3&amp;end_day=31&amp;end_year=2014","Burgas")</f>
        <v>Burgas</v>
      </c>
      <c r="H557" s="87" t="str">
        <f>HYPERLINK("http://api.nsgreg.nga.mil/geo-division/GENC/6/ed2/BG-02","BG-02")</f>
        <v>BG-02</v>
      </c>
    </row>
    <row r="558" spans="1:8" x14ac:dyDescent="0.2">
      <c r="A558" s="157"/>
      <c r="B558" s="31" t="s">
        <v>3568</v>
      </c>
      <c r="C558" s="31" t="s">
        <v>3569</v>
      </c>
      <c r="D558" s="31" t="s">
        <v>1920</v>
      </c>
      <c r="E558" s="61" t="b">
        <v>1</v>
      </c>
      <c r="F558" s="107" t="s">
        <v>3570</v>
      </c>
      <c r="G558" s="116" t="str">
        <f>HYPERLINK("http://nsgreg.nga.mil/genc/view?v=200873&amp;end_month=3&amp;end_day=31&amp;end_year=2014","Dobrich")</f>
        <v>Dobrich</v>
      </c>
      <c r="H558" s="87" t="str">
        <f>HYPERLINK("http://api.nsgreg.nga.mil/geo-division/GENC/6/ed2/BG-08","BG-08")</f>
        <v>BG-08</v>
      </c>
    </row>
    <row r="559" spans="1:8" x14ac:dyDescent="0.2">
      <c r="A559" s="157"/>
      <c r="B559" s="31" t="s">
        <v>3571</v>
      </c>
      <c r="C559" s="31" t="s">
        <v>3572</v>
      </c>
      <c r="D559" s="31" t="s">
        <v>1920</v>
      </c>
      <c r="E559" s="61" t="b">
        <v>1</v>
      </c>
      <c r="F559" s="107" t="s">
        <v>3573</v>
      </c>
      <c r="G559" s="116" t="str">
        <f>HYPERLINK("http://nsgreg.nga.mil/genc/view?v=200872&amp;end_month=3&amp;end_day=31&amp;end_year=2014","Gabrovo")</f>
        <v>Gabrovo</v>
      </c>
      <c r="H559" s="87" t="str">
        <f>HYPERLINK("http://api.nsgreg.nga.mil/geo-division/GENC/6/ed2/BG-07","BG-07")</f>
        <v>BG-07</v>
      </c>
    </row>
    <row r="560" spans="1:8" x14ac:dyDescent="0.2">
      <c r="A560" s="157"/>
      <c r="B560" s="31" t="s">
        <v>3574</v>
      </c>
      <c r="C560" s="31" t="s">
        <v>3575</v>
      </c>
      <c r="D560" s="31" t="s">
        <v>1920</v>
      </c>
      <c r="E560" s="61" t="b">
        <v>1</v>
      </c>
      <c r="F560" s="107" t="s">
        <v>3576</v>
      </c>
      <c r="G560" s="116" t="str">
        <f>HYPERLINK("http://nsgreg.nga.mil/genc/view?v=200891&amp;end_month=3&amp;end_day=31&amp;end_year=2014","Khaskovo")</f>
        <v>Khaskovo</v>
      </c>
      <c r="H560" s="87" t="str">
        <f>HYPERLINK("http://api.nsgreg.nga.mil/geo-division/GENC/6/ed2/BG-26","BG-26")</f>
        <v>BG-26</v>
      </c>
    </row>
    <row r="561" spans="1:8" x14ac:dyDescent="0.2">
      <c r="A561" s="157"/>
      <c r="B561" s="31" t="s">
        <v>3577</v>
      </c>
      <c r="C561" s="31" t="s">
        <v>3578</v>
      </c>
      <c r="D561" s="31" t="s">
        <v>1920</v>
      </c>
      <c r="E561" s="61" t="b">
        <v>1</v>
      </c>
      <c r="F561" s="107" t="s">
        <v>3579</v>
      </c>
      <c r="G561" s="116" t="str">
        <f>HYPERLINK("http://nsgreg.nga.mil/genc/view?v=200874&amp;end_month=3&amp;end_day=31&amp;end_year=2014","Kŭrdzhali")</f>
        <v>Kŭrdzhali</v>
      </c>
      <c r="H561" s="87" t="str">
        <f>HYPERLINK("http://api.nsgreg.nga.mil/geo-division/GENC/6/ed2/BG-09","BG-09")</f>
        <v>BG-09</v>
      </c>
    </row>
    <row r="562" spans="1:8" x14ac:dyDescent="0.2">
      <c r="A562" s="157"/>
      <c r="B562" s="31" t="s">
        <v>3580</v>
      </c>
      <c r="C562" s="31" t="s">
        <v>3581</v>
      </c>
      <c r="D562" s="31" t="s">
        <v>1920</v>
      </c>
      <c r="E562" s="61" t="b">
        <v>1</v>
      </c>
      <c r="F562" s="107" t="s">
        <v>3582</v>
      </c>
      <c r="G562" s="116" t="str">
        <f>HYPERLINK("http://nsgreg.nga.mil/genc/view?v=200875&amp;end_month=3&amp;end_day=31&amp;end_year=2014","Kyustendil")</f>
        <v>Kyustendil</v>
      </c>
      <c r="H562" s="87" t="str">
        <f>HYPERLINK("http://api.nsgreg.nga.mil/geo-division/GENC/6/ed2/BG-10","BG-10")</f>
        <v>BG-10</v>
      </c>
    </row>
    <row r="563" spans="1:8" x14ac:dyDescent="0.2">
      <c r="A563" s="157"/>
      <c r="B563" s="31" t="s">
        <v>3583</v>
      </c>
      <c r="C563" s="31" t="s">
        <v>3584</v>
      </c>
      <c r="D563" s="31" t="s">
        <v>1920</v>
      </c>
      <c r="E563" s="61" t="b">
        <v>1</v>
      </c>
      <c r="F563" s="107" t="s">
        <v>3585</v>
      </c>
      <c r="G563" s="116" t="str">
        <f>HYPERLINK("http://nsgreg.nga.mil/genc/view?v=200876&amp;end_month=3&amp;end_day=31&amp;end_year=2014","Lovech")</f>
        <v>Lovech</v>
      </c>
      <c r="H563" s="87" t="str">
        <f>HYPERLINK("http://api.nsgreg.nga.mil/geo-division/GENC/6/ed2/BG-11","BG-11")</f>
        <v>BG-11</v>
      </c>
    </row>
    <row r="564" spans="1:8" x14ac:dyDescent="0.2">
      <c r="A564" s="157"/>
      <c r="B564" s="31" t="s">
        <v>3586</v>
      </c>
      <c r="C564" s="31" t="s">
        <v>3587</v>
      </c>
      <c r="D564" s="31" t="s">
        <v>1920</v>
      </c>
      <c r="E564" s="61" t="b">
        <v>1</v>
      </c>
      <c r="F564" s="107" t="s">
        <v>3588</v>
      </c>
      <c r="G564" s="116" t="str">
        <f>HYPERLINK("http://nsgreg.nga.mil/genc/view?v=200877&amp;end_month=3&amp;end_day=31&amp;end_year=2014","Montana")</f>
        <v>Montana</v>
      </c>
      <c r="H564" s="87" t="str">
        <f>HYPERLINK("http://api.nsgreg.nga.mil/geo-division/GENC/6/ed2/BG-12","BG-12")</f>
        <v>BG-12</v>
      </c>
    </row>
    <row r="565" spans="1:8" x14ac:dyDescent="0.2">
      <c r="A565" s="157"/>
      <c r="B565" s="31" t="s">
        <v>3589</v>
      </c>
      <c r="C565" s="31" t="s">
        <v>3590</v>
      </c>
      <c r="D565" s="31" t="s">
        <v>1920</v>
      </c>
      <c r="E565" s="61" t="b">
        <v>1</v>
      </c>
      <c r="F565" s="107" t="s">
        <v>3591</v>
      </c>
      <c r="G565" s="116" t="str">
        <f>HYPERLINK("http://nsgreg.nga.mil/genc/view?v=200878&amp;end_month=3&amp;end_day=31&amp;end_year=2014","Pazardzhik")</f>
        <v>Pazardzhik</v>
      </c>
      <c r="H565" s="87" t="str">
        <f>HYPERLINK("http://api.nsgreg.nga.mil/geo-division/GENC/6/ed2/BG-13","BG-13")</f>
        <v>BG-13</v>
      </c>
    </row>
    <row r="566" spans="1:8" x14ac:dyDescent="0.2">
      <c r="A566" s="157"/>
      <c r="B566" s="31" t="s">
        <v>3592</v>
      </c>
      <c r="C566" s="31" t="s">
        <v>3593</v>
      </c>
      <c r="D566" s="31" t="s">
        <v>1920</v>
      </c>
      <c r="E566" s="61" t="b">
        <v>1</v>
      </c>
      <c r="F566" s="107" t="s">
        <v>3594</v>
      </c>
      <c r="G566" s="116" t="str">
        <f>HYPERLINK("http://nsgreg.nga.mil/genc/view?v=200879&amp;end_month=3&amp;end_day=31&amp;end_year=2014","Pernik")</f>
        <v>Pernik</v>
      </c>
      <c r="H566" s="87" t="str">
        <f>HYPERLINK("http://api.nsgreg.nga.mil/geo-division/GENC/6/ed2/BG-14","BG-14")</f>
        <v>BG-14</v>
      </c>
    </row>
    <row r="567" spans="1:8" x14ac:dyDescent="0.2">
      <c r="A567" s="157"/>
      <c r="B567" s="31" t="s">
        <v>3595</v>
      </c>
      <c r="C567" s="31" t="s">
        <v>3596</v>
      </c>
      <c r="D567" s="31" t="s">
        <v>1920</v>
      </c>
      <c r="E567" s="61" t="b">
        <v>1</v>
      </c>
      <c r="F567" s="107" t="s">
        <v>3597</v>
      </c>
      <c r="G567" s="116" t="str">
        <f>HYPERLINK("http://nsgreg.nga.mil/genc/view?v=200880&amp;end_month=3&amp;end_day=31&amp;end_year=2014","Pleven")</f>
        <v>Pleven</v>
      </c>
      <c r="H567" s="87" t="str">
        <f>HYPERLINK("http://api.nsgreg.nga.mil/geo-division/GENC/6/ed2/BG-15","BG-15")</f>
        <v>BG-15</v>
      </c>
    </row>
    <row r="568" spans="1:8" x14ac:dyDescent="0.2">
      <c r="A568" s="157"/>
      <c r="B568" s="31" t="s">
        <v>3598</v>
      </c>
      <c r="C568" s="31" t="s">
        <v>3599</v>
      </c>
      <c r="D568" s="31" t="s">
        <v>1920</v>
      </c>
      <c r="E568" s="61" t="b">
        <v>1</v>
      </c>
      <c r="F568" s="107" t="s">
        <v>3600</v>
      </c>
      <c r="G568" s="116" t="str">
        <f>HYPERLINK("http://nsgreg.nga.mil/genc/view?v=200881&amp;end_month=3&amp;end_day=31&amp;end_year=2014","Plovdiv")</f>
        <v>Plovdiv</v>
      </c>
      <c r="H568" s="87" t="str">
        <f>HYPERLINK("http://api.nsgreg.nga.mil/geo-division/GENC/6/ed2/BG-16","BG-16")</f>
        <v>BG-16</v>
      </c>
    </row>
    <row r="569" spans="1:8" x14ac:dyDescent="0.2">
      <c r="A569" s="157"/>
      <c r="B569" s="31" t="s">
        <v>3601</v>
      </c>
      <c r="C569" s="31" t="s">
        <v>3602</v>
      </c>
      <c r="D569" s="31" t="s">
        <v>1920</v>
      </c>
      <c r="E569" s="61" t="b">
        <v>1</v>
      </c>
      <c r="F569" s="107" t="s">
        <v>3603</v>
      </c>
      <c r="G569" s="116" t="str">
        <f>HYPERLINK("http://nsgreg.nga.mil/genc/view?v=200882&amp;end_month=3&amp;end_day=31&amp;end_year=2014","Razgrad")</f>
        <v>Razgrad</v>
      </c>
      <c r="H569" s="87" t="str">
        <f>HYPERLINK("http://api.nsgreg.nga.mil/geo-division/GENC/6/ed2/BG-17","BG-17")</f>
        <v>BG-17</v>
      </c>
    </row>
    <row r="570" spans="1:8" x14ac:dyDescent="0.2">
      <c r="A570" s="157"/>
      <c r="B570" s="31" t="s">
        <v>3604</v>
      </c>
      <c r="C570" s="31" t="s">
        <v>3605</v>
      </c>
      <c r="D570" s="31" t="s">
        <v>1920</v>
      </c>
      <c r="E570" s="61" t="b">
        <v>1</v>
      </c>
      <c r="F570" s="107" t="s">
        <v>3606</v>
      </c>
      <c r="G570" s="116" t="str">
        <f>HYPERLINK("http://nsgreg.nga.mil/genc/view?v=200883&amp;end_month=3&amp;end_day=31&amp;end_year=2014","Ruse")</f>
        <v>Ruse</v>
      </c>
      <c r="H570" s="87" t="str">
        <f>HYPERLINK("http://api.nsgreg.nga.mil/geo-division/GENC/6/ed2/BG-18","BG-18")</f>
        <v>BG-18</v>
      </c>
    </row>
    <row r="571" spans="1:8" x14ac:dyDescent="0.2">
      <c r="A571" s="157"/>
      <c r="B571" s="31" t="s">
        <v>3607</v>
      </c>
      <c r="C571" s="31" t="s">
        <v>3608</v>
      </c>
      <c r="D571" s="31" t="s">
        <v>1920</v>
      </c>
      <c r="E571" s="61" t="b">
        <v>1</v>
      </c>
      <c r="F571" s="107" t="s">
        <v>3609</v>
      </c>
      <c r="G571" s="116" t="str">
        <f>HYPERLINK("http://nsgreg.nga.mil/genc/view?v=200892&amp;end_month=3&amp;end_day=31&amp;end_year=2014","Shumen")</f>
        <v>Shumen</v>
      </c>
      <c r="H571" s="87" t="str">
        <f>HYPERLINK("http://api.nsgreg.nga.mil/geo-division/GENC/6/ed2/BG-27","BG-27")</f>
        <v>BG-27</v>
      </c>
    </row>
    <row r="572" spans="1:8" x14ac:dyDescent="0.2">
      <c r="A572" s="157"/>
      <c r="B572" s="31" t="s">
        <v>3610</v>
      </c>
      <c r="C572" s="31" t="s">
        <v>3611</v>
      </c>
      <c r="D572" s="31" t="s">
        <v>1920</v>
      </c>
      <c r="E572" s="61" t="b">
        <v>1</v>
      </c>
      <c r="F572" s="107" t="s">
        <v>3612</v>
      </c>
      <c r="G572" s="116" t="str">
        <f>HYPERLINK("http://nsgreg.nga.mil/genc/view?v=200884&amp;end_month=3&amp;end_day=31&amp;end_year=2014","Silistra")</f>
        <v>Silistra</v>
      </c>
      <c r="H572" s="87" t="str">
        <f>HYPERLINK("http://api.nsgreg.nga.mil/geo-division/GENC/6/ed2/BG-19","BG-19")</f>
        <v>BG-19</v>
      </c>
    </row>
    <row r="573" spans="1:8" x14ac:dyDescent="0.2">
      <c r="A573" s="157"/>
      <c r="B573" s="31" t="s">
        <v>3613</v>
      </c>
      <c r="C573" s="31" t="s">
        <v>3614</v>
      </c>
      <c r="D573" s="31" t="s">
        <v>1920</v>
      </c>
      <c r="E573" s="61" t="b">
        <v>1</v>
      </c>
      <c r="F573" s="107" t="s">
        <v>3615</v>
      </c>
      <c r="G573" s="116" t="str">
        <f>HYPERLINK("http://nsgreg.nga.mil/genc/view?v=200885&amp;end_month=3&amp;end_day=31&amp;end_year=2014","Sliven")</f>
        <v>Sliven</v>
      </c>
      <c r="H573" s="87" t="str">
        <f>HYPERLINK("http://api.nsgreg.nga.mil/geo-division/GENC/6/ed2/BG-20","BG-20")</f>
        <v>BG-20</v>
      </c>
    </row>
    <row r="574" spans="1:8" x14ac:dyDescent="0.2">
      <c r="A574" s="157"/>
      <c r="B574" s="31" t="s">
        <v>3616</v>
      </c>
      <c r="C574" s="31" t="s">
        <v>3617</v>
      </c>
      <c r="D574" s="31" t="s">
        <v>1920</v>
      </c>
      <c r="E574" s="61" t="b">
        <v>1</v>
      </c>
      <c r="F574" s="107" t="s">
        <v>3618</v>
      </c>
      <c r="G574" s="116" t="str">
        <f>HYPERLINK("http://nsgreg.nga.mil/genc/view?v=200886&amp;end_month=3&amp;end_day=31&amp;end_year=2014","Smolyan")</f>
        <v>Smolyan</v>
      </c>
      <c r="H574" s="87" t="str">
        <f>HYPERLINK("http://api.nsgreg.nga.mil/geo-division/GENC/6/ed2/BG-21","BG-21")</f>
        <v>BG-21</v>
      </c>
    </row>
    <row r="575" spans="1:8" x14ac:dyDescent="0.2">
      <c r="A575" s="157"/>
      <c r="B575" s="31" t="s">
        <v>3619</v>
      </c>
      <c r="C575" s="31" t="s">
        <v>3620</v>
      </c>
      <c r="D575" s="31" t="s">
        <v>1920</v>
      </c>
      <c r="E575" s="61" t="b">
        <v>1</v>
      </c>
      <c r="F575" s="107" t="s">
        <v>3621</v>
      </c>
      <c r="G575" s="116" t="str">
        <f>HYPERLINK("http://nsgreg.nga.mil/genc/view?v=200888&amp;end_month=3&amp;end_day=31&amp;end_year=2014","Sofiya")</f>
        <v>Sofiya</v>
      </c>
      <c r="H575" s="87" t="str">
        <f>HYPERLINK("http://api.nsgreg.nga.mil/geo-division/GENC/6/ed2/BG-23","BG-23")</f>
        <v>BG-23</v>
      </c>
    </row>
    <row r="576" spans="1:8" x14ac:dyDescent="0.2">
      <c r="A576" s="157"/>
      <c r="B576" s="31" t="s">
        <v>3622</v>
      </c>
      <c r="C576" s="31" t="s">
        <v>3623</v>
      </c>
      <c r="D576" s="31" t="s">
        <v>1920</v>
      </c>
      <c r="E576" s="61" t="b">
        <v>1</v>
      </c>
      <c r="F576" s="107" t="s">
        <v>3624</v>
      </c>
      <c r="G576" s="116" t="str">
        <f>HYPERLINK("http://nsgreg.nga.mil/genc/view?v=200887&amp;end_month=3&amp;end_day=31&amp;end_year=2014","Sofiya-Grad")</f>
        <v>Sofiya-Grad</v>
      </c>
      <c r="H576" s="87" t="str">
        <f>HYPERLINK("http://api.nsgreg.nga.mil/geo-division/GENC/6/ed2/BG-22","BG-22")</f>
        <v>BG-22</v>
      </c>
    </row>
    <row r="577" spans="1:8" x14ac:dyDescent="0.2">
      <c r="A577" s="157"/>
      <c r="B577" s="31" t="s">
        <v>3625</v>
      </c>
      <c r="C577" s="31" t="s">
        <v>3626</v>
      </c>
      <c r="D577" s="31" t="s">
        <v>1920</v>
      </c>
      <c r="E577" s="61" t="b">
        <v>1</v>
      </c>
      <c r="F577" s="107" t="s">
        <v>3627</v>
      </c>
      <c r="G577" s="116" t="str">
        <f>HYPERLINK("http://nsgreg.nga.mil/genc/view?v=200889&amp;end_month=3&amp;end_day=31&amp;end_year=2014","Stara Zagora")</f>
        <v>Stara Zagora</v>
      </c>
      <c r="H577" s="87" t="str">
        <f>HYPERLINK("http://api.nsgreg.nga.mil/geo-division/GENC/6/ed2/BG-24","BG-24")</f>
        <v>BG-24</v>
      </c>
    </row>
    <row r="578" spans="1:8" x14ac:dyDescent="0.2">
      <c r="A578" s="157"/>
      <c r="B578" s="31" t="s">
        <v>3628</v>
      </c>
      <c r="C578" s="31" t="s">
        <v>3629</v>
      </c>
      <c r="D578" s="31" t="s">
        <v>1920</v>
      </c>
      <c r="E578" s="61" t="b">
        <v>1</v>
      </c>
      <c r="F578" s="107" t="s">
        <v>3630</v>
      </c>
      <c r="G578" s="116" t="str">
        <f>HYPERLINK("http://nsgreg.nga.mil/genc/view?v=200890&amp;end_month=3&amp;end_day=31&amp;end_year=2014","Tŭrgovishte")</f>
        <v>Tŭrgovishte</v>
      </c>
      <c r="H578" s="87" t="str">
        <f>HYPERLINK("http://api.nsgreg.nga.mil/geo-division/GENC/6/ed2/BG-25","BG-25")</f>
        <v>BG-25</v>
      </c>
    </row>
    <row r="579" spans="1:8" x14ac:dyDescent="0.2">
      <c r="A579" s="157"/>
      <c r="B579" s="31" t="s">
        <v>3631</v>
      </c>
      <c r="C579" s="31" t="s">
        <v>3632</v>
      </c>
      <c r="D579" s="31" t="s">
        <v>1920</v>
      </c>
      <c r="E579" s="61" t="b">
        <v>1</v>
      </c>
      <c r="F579" s="107" t="s">
        <v>3633</v>
      </c>
      <c r="G579" s="116" t="str">
        <f>HYPERLINK("http://nsgreg.nga.mil/genc/view?v=200868&amp;end_month=3&amp;end_day=31&amp;end_year=2014","Varna")</f>
        <v>Varna</v>
      </c>
      <c r="H579" s="87" t="str">
        <f>HYPERLINK("http://api.nsgreg.nga.mil/geo-division/GENC/6/ed2/BG-03","BG-03")</f>
        <v>BG-03</v>
      </c>
    </row>
    <row r="580" spans="1:8" x14ac:dyDescent="0.2">
      <c r="A580" s="157"/>
      <c r="B580" s="31" t="s">
        <v>3634</v>
      </c>
      <c r="C580" s="31" t="s">
        <v>3635</v>
      </c>
      <c r="D580" s="31" t="s">
        <v>1920</v>
      </c>
      <c r="E580" s="61" t="b">
        <v>1</v>
      </c>
      <c r="F580" s="107" t="s">
        <v>3636</v>
      </c>
      <c r="G580" s="116" t="str">
        <f>HYPERLINK("http://nsgreg.nga.mil/genc/view?v=200869&amp;end_month=3&amp;end_day=31&amp;end_year=2014","Veliko Tŭrnovo")</f>
        <v>Veliko Tŭrnovo</v>
      </c>
      <c r="H580" s="87" t="str">
        <f>HYPERLINK("http://api.nsgreg.nga.mil/geo-division/GENC/6/ed2/BG-04","BG-04")</f>
        <v>BG-04</v>
      </c>
    </row>
    <row r="581" spans="1:8" x14ac:dyDescent="0.2">
      <c r="A581" s="157"/>
      <c r="B581" s="31" t="s">
        <v>3637</v>
      </c>
      <c r="C581" s="31" t="s">
        <v>3638</v>
      </c>
      <c r="D581" s="31" t="s">
        <v>1920</v>
      </c>
      <c r="E581" s="61" t="b">
        <v>1</v>
      </c>
      <c r="F581" s="107" t="s">
        <v>3639</v>
      </c>
      <c r="G581" s="116" t="str">
        <f>HYPERLINK("http://nsgreg.nga.mil/genc/view?v=200870&amp;end_month=3&amp;end_day=31&amp;end_year=2014","Vidin")</f>
        <v>Vidin</v>
      </c>
      <c r="H581" s="87" t="str">
        <f>HYPERLINK("http://api.nsgreg.nga.mil/geo-division/GENC/6/ed2/BG-05","BG-05")</f>
        <v>BG-05</v>
      </c>
    </row>
    <row r="582" spans="1:8" x14ac:dyDescent="0.2">
      <c r="A582" s="157"/>
      <c r="B582" s="31" t="s">
        <v>3640</v>
      </c>
      <c r="C582" s="31" t="s">
        <v>3641</v>
      </c>
      <c r="D582" s="31" t="s">
        <v>1920</v>
      </c>
      <c r="E582" s="61" t="b">
        <v>1</v>
      </c>
      <c r="F582" s="107" t="s">
        <v>3642</v>
      </c>
      <c r="G582" s="116" t="str">
        <f>HYPERLINK("http://nsgreg.nga.mil/genc/view?v=200871&amp;end_month=3&amp;end_day=31&amp;end_year=2014","Vratsa")</f>
        <v>Vratsa</v>
      </c>
      <c r="H582" s="87" t="str">
        <f>HYPERLINK("http://api.nsgreg.nga.mil/geo-division/GENC/6/ed2/BG-06","BG-06")</f>
        <v>BG-06</v>
      </c>
    </row>
    <row r="583" spans="1:8" x14ac:dyDescent="0.2">
      <c r="A583" s="158"/>
      <c r="B583" s="58" t="s">
        <v>3643</v>
      </c>
      <c r="C583" s="58" t="s">
        <v>3644</v>
      </c>
      <c r="D583" s="58" t="s">
        <v>1920</v>
      </c>
      <c r="E583" s="62" t="b">
        <v>1</v>
      </c>
      <c r="F583" s="111" t="s">
        <v>3645</v>
      </c>
      <c r="G583" s="117" t="str">
        <f>HYPERLINK("http://nsgreg.nga.mil/genc/view?v=200893&amp;end_month=3&amp;end_day=31&amp;end_year=2014","Yambol")</f>
        <v>Yambol</v>
      </c>
      <c r="H583" s="89" t="str">
        <f>HYPERLINK("http://api.nsgreg.nga.mil/geo-division/GENC/6/ed2/BG-28","BG-28")</f>
        <v>BG-28</v>
      </c>
    </row>
    <row r="584" spans="1:8" x14ac:dyDescent="0.2">
      <c r="A584" s="156" t="str">
        <f>HYPERLINK("[#]Geopolitical_Entities!A42:I42","BURKINA FASO")</f>
        <v>BURKINA FASO</v>
      </c>
      <c r="B584" s="52" t="s">
        <v>3646</v>
      </c>
      <c r="C584" s="52" t="s">
        <v>3647</v>
      </c>
      <c r="D584" s="102" t="s">
        <v>1920</v>
      </c>
      <c r="E584" s="103" t="b">
        <v>0</v>
      </c>
      <c r="F584" s="109" t="s">
        <v>3648</v>
      </c>
      <c r="G584" s="118" t="str">
        <f>HYPERLINK("http://nsgreg.nga.mil/genc/view?v=112332&amp;gencs=T&amp;end_month=3&amp;end_day=31&amp;end_year=2014","Balé")</f>
        <v>Balé</v>
      </c>
      <c r="H584" s="91" t="str">
        <f>HYPERLINK("http://api.nsgreg.nga.mil/geo-division/ISO3166-2/6/ed3/BF-BAL","BF-BAL")</f>
        <v>BF-BAL</v>
      </c>
    </row>
    <row r="585" spans="1:8" x14ac:dyDescent="0.2">
      <c r="A585" s="157"/>
      <c r="B585" s="31" t="s">
        <v>3649</v>
      </c>
      <c r="C585" s="31" t="s">
        <v>3650</v>
      </c>
      <c r="D585" s="98" t="s">
        <v>1920</v>
      </c>
      <c r="E585" s="99" t="b">
        <v>0</v>
      </c>
      <c r="F585" s="106" t="s">
        <v>3651</v>
      </c>
      <c r="G585" s="116" t="str">
        <f>HYPERLINK("http://nsgreg.nga.mil/genc/view?v=112333&amp;gencs=T&amp;end_month=3&amp;end_day=31&amp;end_year=2014","Bam")</f>
        <v>Bam</v>
      </c>
      <c r="H585" s="87" t="str">
        <f>HYPERLINK("http://api.nsgreg.nga.mil/geo-division/ISO3166-2/6/ed3/BF-BAM","BF-BAM")</f>
        <v>BF-BAM</v>
      </c>
    </row>
    <row r="586" spans="1:8" x14ac:dyDescent="0.2">
      <c r="A586" s="157"/>
      <c r="B586" s="31" t="s">
        <v>3652</v>
      </c>
      <c r="C586" s="31" t="s">
        <v>3653</v>
      </c>
      <c r="D586" s="98" t="s">
        <v>1920</v>
      </c>
      <c r="E586" s="99" t="b">
        <v>0</v>
      </c>
      <c r="F586" s="106" t="s">
        <v>3654</v>
      </c>
      <c r="G586" s="116" t="str">
        <f>HYPERLINK("http://nsgreg.nga.mil/genc/view?v=112334&amp;gencs=T&amp;end_month=3&amp;end_day=31&amp;end_year=2014","Banwa")</f>
        <v>Banwa</v>
      </c>
      <c r="H586" s="87" t="str">
        <f>HYPERLINK("http://api.nsgreg.nga.mil/geo-division/ISO3166-2/6/ed3/BF-BAN","BF-BAN")</f>
        <v>BF-BAN</v>
      </c>
    </row>
    <row r="587" spans="1:8" x14ac:dyDescent="0.2">
      <c r="A587" s="157"/>
      <c r="B587" s="31" t="s">
        <v>3655</v>
      </c>
      <c r="C587" s="31" t="s">
        <v>3656</v>
      </c>
      <c r="D587" s="98" t="s">
        <v>1920</v>
      </c>
      <c r="E587" s="99" t="b">
        <v>0</v>
      </c>
      <c r="F587" s="106" t="s">
        <v>3657</v>
      </c>
      <c r="G587" s="116" t="str">
        <f>HYPERLINK("http://nsgreg.nga.mil/genc/view?v=112335&amp;gencs=T&amp;end_month=3&amp;end_day=31&amp;end_year=2014","Bazèga")</f>
        <v>Bazèga</v>
      </c>
      <c r="H587" s="87" t="str">
        <f>HYPERLINK("http://api.nsgreg.nga.mil/geo-division/ISO3166-2/6/ed3/BF-BAZ","BF-BAZ")</f>
        <v>BF-BAZ</v>
      </c>
    </row>
    <row r="588" spans="1:8" x14ac:dyDescent="0.2">
      <c r="A588" s="157"/>
      <c r="B588" s="31" t="s">
        <v>3658</v>
      </c>
      <c r="C588" s="31" t="s">
        <v>3659</v>
      </c>
      <c r="D588" s="31" t="s">
        <v>3137</v>
      </c>
      <c r="E588" s="61" t="b">
        <v>1</v>
      </c>
      <c r="F588" s="106" t="s">
        <v>3660</v>
      </c>
      <c r="G588" s="116" t="str">
        <f>HYPERLINK("http://nsgreg.nga.mil/genc/view?v=112319&amp;gencs=T&amp;end_month=3&amp;end_day=31&amp;end_year=2014","Boucle du Mouhoun")</f>
        <v>Boucle du Mouhoun</v>
      </c>
      <c r="H588" s="87" t="str">
        <f>HYPERLINK("http://api.nsgreg.nga.mil/geo-division/ISO3166-2/6/ed3/BF-01","BF-01")</f>
        <v>BF-01</v>
      </c>
    </row>
    <row r="589" spans="1:8" x14ac:dyDescent="0.2">
      <c r="A589" s="157"/>
      <c r="B589" s="31" t="s">
        <v>3661</v>
      </c>
      <c r="C589" s="31" t="s">
        <v>3662</v>
      </c>
      <c r="D589" s="98" t="s">
        <v>1920</v>
      </c>
      <c r="E589" s="99" t="b">
        <v>0</v>
      </c>
      <c r="F589" s="106" t="s">
        <v>3663</v>
      </c>
      <c r="G589" s="116" t="str">
        <f>HYPERLINK("http://nsgreg.nga.mil/genc/view?v=112336&amp;gencs=T&amp;end_month=3&amp;end_day=31&amp;end_year=2014","Bougouriba")</f>
        <v>Bougouriba</v>
      </c>
      <c r="H589" s="87" t="str">
        <f>HYPERLINK("http://api.nsgreg.nga.mil/geo-division/ISO3166-2/6/ed3/BF-BGR","BF-BGR")</f>
        <v>BF-BGR</v>
      </c>
    </row>
    <row r="590" spans="1:8" x14ac:dyDescent="0.2">
      <c r="A590" s="157"/>
      <c r="B590" s="31" t="s">
        <v>3664</v>
      </c>
      <c r="C590" s="31" t="s">
        <v>3665</v>
      </c>
      <c r="D590" s="98" t="s">
        <v>1920</v>
      </c>
      <c r="E590" s="99" t="b">
        <v>0</v>
      </c>
      <c r="F590" s="106" t="s">
        <v>3666</v>
      </c>
      <c r="G590" s="116" t="str">
        <f>HYPERLINK("http://nsgreg.nga.mil/genc/view?v=112337&amp;gencs=T&amp;end_month=3&amp;end_day=31&amp;end_year=2014","Boulgou")</f>
        <v>Boulgou</v>
      </c>
      <c r="H590" s="87" t="str">
        <f>HYPERLINK("http://api.nsgreg.nga.mil/geo-division/ISO3166-2/6/ed3/BF-BLG","BF-BLG")</f>
        <v>BF-BLG</v>
      </c>
    </row>
    <row r="591" spans="1:8" x14ac:dyDescent="0.2">
      <c r="A591" s="157"/>
      <c r="B591" s="31" t="s">
        <v>3667</v>
      </c>
      <c r="C591" s="31" t="s">
        <v>3668</v>
      </c>
      <c r="D591" s="98" t="s">
        <v>1920</v>
      </c>
      <c r="E591" s="99" t="b">
        <v>0</v>
      </c>
      <c r="F591" s="106" t="s">
        <v>3669</v>
      </c>
      <c r="G591" s="116" t="str">
        <f>HYPERLINK("http://nsgreg.nga.mil/genc/view?v=112338&amp;gencs=T&amp;end_month=3&amp;end_day=31&amp;end_year=2014","Boulkiemdé")</f>
        <v>Boulkiemdé</v>
      </c>
      <c r="H591" s="87" t="str">
        <f>HYPERLINK("http://api.nsgreg.nga.mil/geo-division/ISO3166-2/6/ed3/BF-BLK","BF-BLK")</f>
        <v>BF-BLK</v>
      </c>
    </row>
    <row r="592" spans="1:8" x14ac:dyDescent="0.2">
      <c r="A592" s="157"/>
      <c r="B592" s="31" t="s">
        <v>3670</v>
      </c>
      <c r="C592" s="31" t="s">
        <v>3671</v>
      </c>
      <c r="D592" s="31" t="s">
        <v>3137</v>
      </c>
      <c r="E592" s="61" t="b">
        <v>1</v>
      </c>
      <c r="F592" s="106" t="s">
        <v>3672</v>
      </c>
      <c r="G592" s="116" t="str">
        <f>HYPERLINK("http://nsgreg.nga.mil/genc/view?v=112320&amp;gencs=T&amp;end_month=3&amp;end_day=31&amp;end_year=2014","Cascades")</f>
        <v>Cascades</v>
      </c>
      <c r="H592" s="87" t="str">
        <f>HYPERLINK("http://api.nsgreg.nga.mil/geo-division/ISO3166-2/6/ed3/BF-02","BF-02")</f>
        <v>BF-02</v>
      </c>
    </row>
    <row r="593" spans="1:8" x14ac:dyDescent="0.2">
      <c r="A593" s="157"/>
      <c r="B593" s="31" t="s">
        <v>3673</v>
      </c>
      <c r="C593" s="31" t="s">
        <v>3674</v>
      </c>
      <c r="D593" s="31" t="s">
        <v>3137</v>
      </c>
      <c r="E593" s="61" t="b">
        <v>1</v>
      </c>
      <c r="F593" s="106" t="s">
        <v>3675</v>
      </c>
      <c r="G593" s="116" t="str">
        <f>HYPERLINK("http://nsgreg.nga.mil/genc/view?v=112321&amp;gencs=T&amp;end_month=3&amp;end_day=31&amp;end_year=2014","Centre")</f>
        <v>Centre</v>
      </c>
      <c r="H593" s="87" t="str">
        <f>HYPERLINK("http://api.nsgreg.nga.mil/geo-division/ISO3166-2/6/ed3/BF-03","BF-03")</f>
        <v>BF-03</v>
      </c>
    </row>
    <row r="594" spans="1:8" x14ac:dyDescent="0.2">
      <c r="A594" s="157"/>
      <c r="B594" s="31" t="s">
        <v>3676</v>
      </c>
      <c r="C594" s="31" t="s">
        <v>3677</v>
      </c>
      <c r="D594" s="31" t="s">
        <v>3137</v>
      </c>
      <c r="E594" s="61" t="b">
        <v>1</v>
      </c>
      <c r="F594" s="106" t="s">
        <v>3678</v>
      </c>
      <c r="G594" s="116" t="str">
        <f>HYPERLINK("http://nsgreg.nga.mil/genc/view?v=112322&amp;gencs=T&amp;end_month=3&amp;end_day=31&amp;end_year=2014","Centre-Est")</f>
        <v>Centre-Est</v>
      </c>
      <c r="H594" s="87" t="str">
        <f>HYPERLINK("http://api.nsgreg.nga.mil/geo-division/ISO3166-2/6/ed3/BF-04","BF-04")</f>
        <v>BF-04</v>
      </c>
    </row>
    <row r="595" spans="1:8" x14ac:dyDescent="0.2">
      <c r="A595" s="157"/>
      <c r="B595" s="31" t="s">
        <v>3679</v>
      </c>
      <c r="C595" s="31" t="s">
        <v>3680</v>
      </c>
      <c r="D595" s="31" t="s">
        <v>3137</v>
      </c>
      <c r="E595" s="61" t="b">
        <v>1</v>
      </c>
      <c r="F595" s="106" t="s">
        <v>3681</v>
      </c>
      <c r="G595" s="116" t="str">
        <f>HYPERLINK("http://nsgreg.nga.mil/genc/view?v=112323&amp;gencs=T&amp;end_month=3&amp;end_day=31&amp;end_year=2014","Centre-Nord")</f>
        <v>Centre-Nord</v>
      </c>
      <c r="H595" s="87" t="str">
        <f>HYPERLINK("http://api.nsgreg.nga.mil/geo-division/ISO3166-2/6/ed3/BF-05","BF-05")</f>
        <v>BF-05</v>
      </c>
    </row>
    <row r="596" spans="1:8" x14ac:dyDescent="0.2">
      <c r="A596" s="157"/>
      <c r="B596" s="31" t="s">
        <v>3682</v>
      </c>
      <c r="C596" s="31" t="s">
        <v>3683</v>
      </c>
      <c r="D596" s="31" t="s">
        <v>3137</v>
      </c>
      <c r="E596" s="61" t="b">
        <v>1</v>
      </c>
      <c r="F596" s="106" t="s">
        <v>3684</v>
      </c>
      <c r="G596" s="116" t="str">
        <f>HYPERLINK("http://nsgreg.nga.mil/genc/view?v=112324&amp;gencs=T&amp;end_month=3&amp;end_day=31&amp;end_year=2014","Centre-Ouest")</f>
        <v>Centre-Ouest</v>
      </c>
      <c r="H596" s="87" t="str">
        <f>HYPERLINK("http://api.nsgreg.nga.mil/geo-division/ISO3166-2/6/ed3/BF-06","BF-06")</f>
        <v>BF-06</v>
      </c>
    </row>
    <row r="597" spans="1:8" x14ac:dyDescent="0.2">
      <c r="A597" s="157"/>
      <c r="B597" s="31" t="s">
        <v>3685</v>
      </c>
      <c r="C597" s="31" t="s">
        <v>3686</v>
      </c>
      <c r="D597" s="31" t="s">
        <v>3137</v>
      </c>
      <c r="E597" s="61" t="b">
        <v>1</v>
      </c>
      <c r="F597" s="106" t="s">
        <v>3687</v>
      </c>
      <c r="G597" s="116" t="str">
        <f>HYPERLINK("http://nsgreg.nga.mil/genc/view?v=112325&amp;gencs=T&amp;end_month=3&amp;end_day=31&amp;end_year=2014","Centre-Sud")</f>
        <v>Centre-Sud</v>
      </c>
      <c r="H597" s="87" t="str">
        <f>HYPERLINK("http://api.nsgreg.nga.mil/geo-division/ISO3166-2/6/ed3/BF-07","BF-07")</f>
        <v>BF-07</v>
      </c>
    </row>
    <row r="598" spans="1:8" x14ac:dyDescent="0.2">
      <c r="A598" s="157"/>
      <c r="B598" s="31" t="s">
        <v>3688</v>
      </c>
      <c r="C598" s="31" t="s">
        <v>3689</v>
      </c>
      <c r="D598" s="98" t="s">
        <v>1920</v>
      </c>
      <c r="E598" s="99" t="b">
        <v>0</v>
      </c>
      <c r="F598" s="106" t="s">
        <v>3690</v>
      </c>
      <c r="G598" s="116" t="str">
        <f>HYPERLINK("http://nsgreg.nga.mil/genc/view?v=112339&amp;gencs=T&amp;end_month=3&amp;end_day=31&amp;end_year=2014","Comoé")</f>
        <v>Comoé</v>
      </c>
      <c r="H598" s="87" t="str">
        <f>HYPERLINK("http://api.nsgreg.nga.mil/geo-division/ISO3166-2/6/ed3/BF-COM","BF-COM")</f>
        <v>BF-COM</v>
      </c>
    </row>
    <row r="599" spans="1:8" x14ac:dyDescent="0.2">
      <c r="A599" s="157"/>
      <c r="B599" s="31" t="s">
        <v>3691</v>
      </c>
      <c r="C599" s="31" t="s">
        <v>3692</v>
      </c>
      <c r="D599" s="31" t="s">
        <v>3137</v>
      </c>
      <c r="E599" s="61" t="b">
        <v>1</v>
      </c>
      <c r="F599" s="106" t="s">
        <v>3693</v>
      </c>
      <c r="G599" s="116" t="str">
        <f>HYPERLINK("http://nsgreg.nga.mil/genc/view?v=112326&amp;gencs=T&amp;end_month=3&amp;end_day=31&amp;end_year=2014","Est")</f>
        <v>Est</v>
      </c>
      <c r="H599" s="87" t="str">
        <f>HYPERLINK("http://api.nsgreg.nga.mil/geo-division/ISO3166-2/6/ed3/BF-08","BF-08")</f>
        <v>BF-08</v>
      </c>
    </row>
    <row r="600" spans="1:8" x14ac:dyDescent="0.2">
      <c r="A600" s="157"/>
      <c r="B600" s="31" t="s">
        <v>3694</v>
      </c>
      <c r="C600" s="31" t="s">
        <v>3695</v>
      </c>
      <c r="D600" s="98" t="s">
        <v>1920</v>
      </c>
      <c r="E600" s="99" t="b">
        <v>0</v>
      </c>
      <c r="F600" s="106" t="s">
        <v>3696</v>
      </c>
      <c r="G600" s="116" t="str">
        <f>HYPERLINK("http://nsgreg.nga.mil/genc/view?v=112340&amp;gencs=T&amp;end_month=3&amp;end_day=31&amp;end_year=2014","Ganzourgou")</f>
        <v>Ganzourgou</v>
      </c>
      <c r="H600" s="87" t="str">
        <f>HYPERLINK("http://api.nsgreg.nga.mil/geo-division/ISO3166-2/6/ed3/BF-GAN","BF-GAN")</f>
        <v>BF-GAN</v>
      </c>
    </row>
    <row r="601" spans="1:8" x14ac:dyDescent="0.2">
      <c r="A601" s="157"/>
      <c r="B601" s="31" t="s">
        <v>3697</v>
      </c>
      <c r="C601" s="31" t="s">
        <v>3698</v>
      </c>
      <c r="D601" s="98" t="s">
        <v>1920</v>
      </c>
      <c r="E601" s="99" t="b">
        <v>0</v>
      </c>
      <c r="F601" s="106" t="s">
        <v>3699</v>
      </c>
      <c r="G601" s="116" t="str">
        <f>HYPERLINK("http://nsgreg.nga.mil/genc/view?v=112341&amp;gencs=T&amp;end_month=3&amp;end_day=31&amp;end_year=2014","Gnagna")</f>
        <v>Gnagna</v>
      </c>
      <c r="H601" s="87" t="str">
        <f>HYPERLINK("http://api.nsgreg.nga.mil/geo-division/ISO3166-2/6/ed3/BF-GNA","BF-GNA")</f>
        <v>BF-GNA</v>
      </c>
    </row>
    <row r="602" spans="1:8" x14ac:dyDescent="0.2">
      <c r="A602" s="157"/>
      <c r="B602" s="31" t="s">
        <v>3700</v>
      </c>
      <c r="C602" s="31" t="s">
        <v>3701</v>
      </c>
      <c r="D602" s="98" t="s">
        <v>1920</v>
      </c>
      <c r="E602" s="99" t="b">
        <v>0</v>
      </c>
      <c r="F602" s="106" t="s">
        <v>3702</v>
      </c>
      <c r="G602" s="116" t="str">
        <f>HYPERLINK("http://nsgreg.nga.mil/genc/view?v=112342&amp;gencs=T&amp;end_month=3&amp;end_day=31&amp;end_year=2014","Gourma")</f>
        <v>Gourma</v>
      </c>
      <c r="H602" s="87" t="str">
        <f>HYPERLINK("http://api.nsgreg.nga.mil/geo-division/ISO3166-2/6/ed3/BF-GOU","BF-GOU")</f>
        <v>BF-GOU</v>
      </c>
    </row>
    <row r="603" spans="1:8" x14ac:dyDescent="0.2">
      <c r="A603" s="157"/>
      <c r="B603" s="31" t="s">
        <v>3703</v>
      </c>
      <c r="C603" s="31" t="s">
        <v>3704</v>
      </c>
      <c r="D603" s="31" t="s">
        <v>3137</v>
      </c>
      <c r="E603" s="61" t="b">
        <v>1</v>
      </c>
      <c r="F603" s="106" t="s">
        <v>3705</v>
      </c>
      <c r="G603" s="116" t="str">
        <f>HYPERLINK("http://nsgreg.nga.mil/genc/view?v=112327&amp;gencs=T&amp;end_month=3&amp;end_day=31&amp;end_year=2014","Hauts-Bassins")</f>
        <v>Hauts-Bassins</v>
      </c>
      <c r="H603" s="87" t="str">
        <f>HYPERLINK("http://api.nsgreg.nga.mil/geo-division/ISO3166-2/6/ed3/BF-09","BF-09")</f>
        <v>BF-09</v>
      </c>
    </row>
    <row r="604" spans="1:8" x14ac:dyDescent="0.2">
      <c r="A604" s="157"/>
      <c r="B604" s="31" t="s">
        <v>3706</v>
      </c>
      <c r="C604" s="31" t="s">
        <v>3707</v>
      </c>
      <c r="D604" s="98" t="s">
        <v>1920</v>
      </c>
      <c r="E604" s="99" t="b">
        <v>0</v>
      </c>
      <c r="F604" s="106" t="s">
        <v>3708</v>
      </c>
      <c r="G604" s="116" t="str">
        <f>HYPERLINK("http://nsgreg.nga.mil/genc/view?v=112343&amp;gencs=T&amp;end_month=3&amp;end_day=31&amp;end_year=2014","Houet")</f>
        <v>Houet</v>
      </c>
      <c r="H604" s="87" t="str">
        <f>HYPERLINK("http://api.nsgreg.nga.mil/geo-division/ISO3166-2/6/ed3/BF-HOU","BF-HOU")</f>
        <v>BF-HOU</v>
      </c>
    </row>
    <row r="605" spans="1:8" x14ac:dyDescent="0.2">
      <c r="A605" s="157"/>
      <c r="B605" s="31" t="s">
        <v>3709</v>
      </c>
      <c r="C605" s="31" t="s">
        <v>3710</v>
      </c>
      <c r="D605" s="98" t="s">
        <v>1920</v>
      </c>
      <c r="E605" s="99" t="b">
        <v>0</v>
      </c>
      <c r="F605" s="106" t="s">
        <v>3711</v>
      </c>
      <c r="G605" s="116" t="str">
        <f>HYPERLINK("http://nsgreg.nga.mil/genc/view?v=112344&amp;gencs=T&amp;end_month=3&amp;end_day=31&amp;end_year=2014","Ioba")</f>
        <v>Ioba</v>
      </c>
      <c r="H605" s="87" t="str">
        <f>HYPERLINK("http://api.nsgreg.nga.mil/geo-division/ISO3166-2/6/ed3/BF-IOB","BF-IOB")</f>
        <v>BF-IOB</v>
      </c>
    </row>
    <row r="606" spans="1:8" x14ac:dyDescent="0.2">
      <c r="A606" s="157"/>
      <c r="B606" s="31" t="s">
        <v>3712</v>
      </c>
      <c r="C606" s="31" t="s">
        <v>3713</v>
      </c>
      <c r="D606" s="98" t="s">
        <v>1920</v>
      </c>
      <c r="E606" s="99" t="b">
        <v>0</v>
      </c>
      <c r="F606" s="106" t="s">
        <v>3714</v>
      </c>
      <c r="G606" s="116" t="str">
        <f>HYPERLINK("http://nsgreg.nga.mil/genc/view?v=112345&amp;gencs=T&amp;end_month=3&amp;end_day=31&amp;end_year=2014","Kadiogo")</f>
        <v>Kadiogo</v>
      </c>
      <c r="H606" s="87" t="str">
        <f>HYPERLINK("http://api.nsgreg.nga.mil/geo-division/ISO3166-2/6/ed3/BF-KAD","BF-KAD")</f>
        <v>BF-KAD</v>
      </c>
    </row>
    <row r="607" spans="1:8" x14ac:dyDescent="0.2">
      <c r="A607" s="157"/>
      <c r="B607" s="31" t="s">
        <v>3715</v>
      </c>
      <c r="C607" s="31" t="s">
        <v>3716</v>
      </c>
      <c r="D607" s="98" t="s">
        <v>1920</v>
      </c>
      <c r="E607" s="99" t="b">
        <v>0</v>
      </c>
      <c r="F607" s="106" t="s">
        <v>3717</v>
      </c>
      <c r="G607" s="116" t="str">
        <f>HYPERLINK("http://nsgreg.nga.mil/genc/view?v=112346&amp;gencs=T&amp;end_month=3&amp;end_day=31&amp;end_year=2014","Kénédougou")</f>
        <v>Kénédougou</v>
      </c>
      <c r="H607" s="87" t="str">
        <f>HYPERLINK("http://api.nsgreg.nga.mil/geo-division/ISO3166-2/6/ed3/BF-KEN","BF-KEN")</f>
        <v>BF-KEN</v>
      </c>
    </row>
    <row r="608" spans="1:8" x14ac:dyDescent="0.2">
      <c r="A608" s="157"/>
      <c r="B608" s="31" t="s">
        <v>3718</v>
      </c>
      <c r="C608" s="31" t="s">
        <v>3719</v>
      </c>
      <c r="D608" s="98" t="s">
        <v>1920</v>
      </c>
      <c r="E608" s="99" t="b">
        <v>0</v>
      </c>
      <c r="F608" s="106" t="s">
        <v>3720</v>
      </c>
      <c r="G608" s="116" t="str">
        <f>HYPERLINK("http://nsgreg.nga.mil/genc/view?v=112347&amp;gencs=T&amp;end_month=3&amp;end_day=31&amp;end_year=2014","Komondjari")</f>
        <v>Komondjari</v>
      </c>
      <c r="H608" s="87" t="str">
        <f>HYPERLINK("http://api.nsgreg.nga.mil/geo-division/ISO3166-2/6/ed3/BF-KMD","BF-KMD")</f>
        <v>BF-KMD</v>
      </c>
    </row>
    <row r="609" spans="1:8" x14ac:dyDescent="0.2">
      <c r="A609" s="157"/>
      <c r="B609" s="31" t="s">
        <v>3721</v>
      </c>
      <c r="C609" s="31" t="s">
        <v>3722</v>
      </c>
      <c r="D609" s="98" t="s">
        <v>1920</v>
      </c>
      <c r="E609" s="99" t="b">
        <v>0</v>
      </c>
      <c r="F609" s="106" t="s">
        <v>3723</v>
      </c>
      <c r="G609" s="116" t="str">
        <f>HYPERLINK("http://nsgreg.nga.mil/genc/view?v=112348&amp;gencs=T&amp;end_month=3&amp;end_day=31&amp;end_year=2014","Kompienga")</f>
        <v>Kompienga</v>
      </c>
      <c r="H609" s="87" t="str">
        <f>HYPERLINK("http://api.nsgreg.nga.mil/geo-division/ISO3166-2/6/ed3/BF-KMP","BF-KMP")</f>
        <v>BF-KMP</v>
      </c>
    </row>
    <row r="610" spans="1:8" x14ac:dyDescent="0.2">
      <c r="A610" s="157"/>
      <c r="B610" s="31" t="s">
        <v>3724</v>
      </c>
      <c r="C610" s="31" t="s">
        <v>3725</v>
      </c>
      <c r="D610" s="98" t="s">
        <v>1920</v>
      </c>
      <c r="E610" s="99" t="b">
        <v>0</v>
      </c>
      <c r="F610" s="106" t="s">
        <v>3726</v>
      </c>
      <c r="G610" s="116" t="str">
        <f>HYPERLINK("http://nsgreg.nga.mil/genc/view?v=112350&amp;gencs=T&amp;end_month=3&amp;end_day=31&amp;end_year=2014","Kossi")</f>
        <v>Kossi</v>
      </c>
      <c r="H610" s="87" t="str">
        <f>HYPERLINK("http://api.nsgreg.nga.mil/geo-division/ISO3166-2/6/ed3/BF-KOS","BF-KOS")</f>
        <v>BF-KOS</v>
      </c>
    </row>
    <row r="611" spans="1:8" x14ac:dyDescent="0.2">
      <c r="A611" s="157"/>
      <c r="B611" s="31" t="s">
        <v>3727</v>
      </c>
      <c r="C611" s="31" t="s">
        <v>3728</v>
      </c>
      <c r="D611" s="98" t="s">
        <v>1920</v>
      </c>
      <c r="E611" s="99" t="b">
        <v>0</v>
      </c>
      <c r="F611" s="106" t="s">
        <v>3729</v>
      </c>
      <c r="G611" s="116" t="str">
        <f>HYPERLINK("http://nsgreg.nga.mil/genc/view?v=112349&amp;gencs=T&amp;end_month=3&amp;end_day=31&amp;end_year=2014","Koulpélogo")</f>
        <v>Koulpélogo</v>
      </c>
      <c r="H611" s="87" t="str">
        <f>HYPERLINK("http://api.nsgreg.nga.mil/geo-division/ISO3166-2/6/ed3/BF-KOP","BF-KOP")</f>
        <v>BF-KOP</v>
      </c>
    </row>
    <row r="612" spans="1:8" x14ac:dyDescent="0.2">
      <c r="A612" s="157"/>
      <c r="B612" s="31" t="s">
        <v>3730</v>
      </c>
      <c r="C612" s="31" t="s">
        <v>3731</v>
      </c>
      <c r="D612" s="98" t="s">
        <v>1920</v>
      </c>
      <c r="E612" s="99" t="b">
        <v>0</v>
      </c>
      <c r="F612" s="106" t="s">
        <v>3732</v>
      </c>
      <c r="G612" s="116" t="str">
        <f>HYPERLINK("http://nsgreg.nga.mil/genc/view?v=112351&amp;gencs=T&amp;end_month=3&amp;end_day=31&amp;end_year=2014","Kouritenga")</f>
        <v>Kouritenga</v>
      </c>
      <c r="H612" s="87" t="str">
        <f>HYPERLINK("http://api.nsgreg.nga.mil/geo-division/ISO3166-2/6/ed3/BF-KOT","BF-KOT")</f>
        <v>BF-KOT</v>
      </c>
    </row>
    <row r="613" spans="1:8" x14ac:dyDescent="0.2">
      <c r="A613" s="157"/>
      <c r="B613" s="31" t="s">
        <v>3733</v>
      </c>
      <c r="C613" s="31" t="s">
        <v>3734</v>
      </c>
      <c r="D613" s="98" t="s">
        <v>1920</v>
      </c>
      <c r="E613" s="99" t="b">
        <v>0</v>
      </c>
      <c r="F613" s="106" t="s">
        <v>3735</v>
      </c>
      <c r="G613" s="116" t="str">
        <f>HYPERLINK("http://nsgreg.nga.mil/genc/view?v=112352&amp;gencs=T&amp;end_month=3&amp;end_day=31&amp;end_year=2014","Kourwéogo")</f>
        <v>Kourwéogo</v>
      </c>
      <c r="H613" s="87" t="str">
        <f>HYPERLINK("http://api.nsgreg.nga.mil/geo-division/ISO3166-2/6/ed3/BF-KOW","BF-KOW")</f>
        <v>BF-KOW</v>
      </c>
    </row>
    <row r="614" spans="1:8" x14ac:dyDescent="0.2">
      <c r="A614" s="157"/>
      <c r="B614" s="31" t="s">
        <v>3736</v>
      </c>
      <c r="C614" s="31" t="s">
        <v>3737</v>
      </c>
      <c r="D614" s="98" t="s">
        <v>1920</v>
      </c>
      <c r="E614" s="99" t="b">
        <v>0</v>
      </c>
      <c r="F614" s="106" t="s">
        <v>3738</v>
      </c>
      <c r="G614" s="116" t="str">
        <f>HYPERLINK("http://nsgreg.nga.mil/genc/view?v=112353&amp;gencs=T&amp;end_month=3&amp;end_day=31&amp;end_year=2014","Léraba")</f>
        <v>Léraba</v>
      </c>
      <c r="H614" s="87" t="str">
        <f>HYPERLINK("http://api.nsgreg.nga.mil/geo-division/ISO3166-2/6/ed3/BF-LER","BF-LER")</f>
        <v>BF-LER</v>
      </c>
    </row>
    <row r="615" spans="1:8" x14ac:dyDescent="0.2">
      <c r="A615" s="157"/>
      <c r="B615" s="31" t="s">
        <v>3739</v>
      </c>
      <c r="C615" s="31" t="s">
        <v>3740</v>
      </c>
      <c r="D615" s="98" t="s">
        <v>1920</v>
      </c>
      <c r="E615" s="99" t="b">
        <v>0</v>
      </c>
      <c r="F615" s="106" t="s">
        <v>3741</v>
      </c>
      <c r="G615" s="116" t="str">
        <f>HYPERLINK("http://nsgreg.nga.mil/genc/view?v=112354&amp;gencs=T&amp;end_month=3&amp;end_day=31&amp;end_year=2014","Loroum")</f>
        <v>Loroum</v>
      </c>
      <c r="H615" s="87" t="str">
        <f>HYPERLINK("http://api.nsgreg.nga.mil/geo-division/ISO3166-2/6/ed3/BF-LOR","BF-LOR")</f>
        <v>BF-LOR</v>
      </c>
    </row>
    <row r="616" spans="1:8" x14ac:dyDescent="0.2">
      <c r="A616" s="157"/>
      <c r="B616" s="31" t="s">
        <v>3742</v>
      </c>
      <c r="C616" s="31" t="s">
        <v>3743</v>
      </c>
      <c r="D616" s="98" t="s">
        <v>1920</v>
      </c>
      <c r="E616" s="99" t="b">
        <v>0</v>
      </c>
      <c r="F616" s="106" t="s">
        <v>3744</v>
      </c>
      <c r="G616" s="116" t="str">
        <f>HYPERLINK("http://nsgreg.nga.mil/genc/view?v=112355&amp;gencs=T&amp;end_month=3&amp;end_day=31&amp;end_year=2014","Mouhoun")</f>
        <v>Mouhoun</v>
      </c>
      <c r="H616" s="87" t="str">
        <f>HYPERLINK("http://api.nsgreg.nga.mil/geo-division/ISO3166-2/6/ed3/BF-MOU","BF-MOU")</f>
        <v>BF-MOU</v>
      </c>
    </row>
    <row r="617" spans="1:8" x14ac:dyDescent="0.2">
      <c r="A617" s="157"/>
      <c r="B617" s="31" t="s">
        <v>3745</v>
      </c>
      <c r="C617" s="31" t="s">
        <v>3746</v>
      </c>
      <c r="D617" s="98" t="s">
        <v>1920</v>
      </c>
      <c r="E617" s="99" t="b">
        <v>0</v>
      </c>
      <c r="F617" s="106" t="s">
        <v>3747</v>
      </c>
      <c r="G617" s="116" t="str">
        <f>HYPERLINK("http://nsgreg.nga.mil/genc/view?v=112357&amp;gencs=T&amp;end_month=3&amp;end_day=31&amp;end_year=2014","Nahouri")</f>
        <v>Nahouri</v>
      </c>
      <c r="H617" s="87" t="str">
        <f>HYPERLINK("http://api.nsgreg.nga.mil/geo-division/ISO3166-2/6/ed3/BF-NAO","BF-NAO")</f>
        <v>BF-NAO</v>
      </c>
    </row>
    <row r="618" spans="1:8" x14ac:dyDescent="0.2">
      <c r="A618" s="157"/>
      <c r="B618" s="31" t="s">
        <v>3748</v>
      </c>
      <c r="C618" s="31" t="s">
        <v>3749</v>
      </c>
      <c r="D618" s="98" t="s">
        <v>1920</v>
      </c>
      <c r="E618" s="99" t="b">
        <v>0</v>
      </c>
      <c r="F618" s="106" t="s">
        <v>3750</v>
      </c>
      <c r="G618" s="116" t="str">
        <f>HYPERLINK("http://nsgreg.nga.mil/genc/view?v=112356&amp;gencs=T&amp;end_month=3&amp;end_day=31&amp;end_year=2014","Namentenga")</f>
        <v>Namentenga</v>
      </c>
      <c r="H618" s="87" t="str">
        <f>HYPERLINK("http://api.nsgreg.nga.mil/geo-division/ISO3166-2/6/ed3/BF-NAM","BF-NAM")</f>
        <v>BF-NAM</v>
      </c>
    </row>
    <row r="619" spans="1:8" x14ac:dyDescent="0.2">
      <c r="A619" s="157"/>
      <c r="B619" s="31" t="s">
        <v>3751</v>
      </c>
      <c r="C619" s="31" t="s">
        <v>3752</v>
      </c>
      <c r="D619" s="98" t="s">
        <v>1920</v>
      </c>
      <c r="E619" s="99" t="b">
        <v>0</v>
      </c>
      <c r="F619" s="106" t="s">
        <v>3753</v>
      </c>
      <c r="G619" s="116" t="str">
        <f>HYPERLINK("http://nsgreg.nga.mil/genc/view?v=112358&amp;gencs=T&amp;end_month=3&amp;end_day=31&amp;end_year=2014","Nayala")</f>
        <v>Nayala</v>
      </c>
      <c r="H619" s="87" t="str">
        <f>HYPERLINK("http://api.nsgreg.nga.mil/geo-division/ISO3166-2/6/ed3/BF-NAY","BF-NAY")</f>
        <v>BF-NAY</v>
      </c>
    </row>
    <row r="620" spans="1:8" x14ac:dyDescent="0.2">
      <c r="A620" s="157"/>
      <c r="B620" s="31" t="s">
        <v>3754</v>
      </c>
      <c r="C620" s="31" t="s">
        <v>3755</v>
      </c>
      <c r="D620" s="31" t="s">
        <v>3137</v>
      </c>
      <c r="E620" s="61" t="b">
        <v>1</v>
      </c>
      <c r="F620" s="106" t="s">
        <v>3756</v>
      </c>
      <c r="G620" s="116" t="str">
        <f>HYPERLINK("http://nsgreg.nga.mil/genc/view?v=112328&amp;gencs=T&amp;end_month=3&amp;end_day=31&amp;end_year=2014","Nord")</f>
        <v>Nord</v>
      </c>
      <c r="H620" s="87" t="str">
        <f>HYPERLINK("http://api.nsgreg.nga.mil/geo-division/ISO3166-2/6/ed3/BF-10","BF-10")</f>
        <v>BF-10</v>
      </c>
    </row>
    <row r="621" spans="1:8" x14ac:dyDescent="0.2">
      <c r="A621" s="157"/>
      <c r="B621" s="31" t="s">
        <v>3757</v>
      </c>
      <c r="C621" s="31" t="s">
        <v>3758</v>
      </c>
      <c r="D621" s="98" t="s">
        <v>1920</v>
      </c>
      <c r="E621" s="99" t="b">
        <v>0</v>
      </c>
      <c r="F621" s="106" t="s">
        <v>3759</v>
      </c>
      <c r="G621" s="116" t="str">
        <f>HYPERLINK("http://nsgreg.nga.mil/genc/view?v=112359&amp;gencs=T&amp;end_month=3&amp;end_day=31&amp;end_year=2014","Noumbiel")</f>
        <v>Noumbiel</v>
      </c>
      <c r="H621" s="87" t="str">
        <f>HYPERLINK("http://api.nsgreg.nga.mil/geo-division/ISO3166-2/6/ed3/BF-NOU","BF-NOU")</f>
        <v>BF-NOU</v>
      </c>
    </row>
    <row r="622" spans="1:8" x14ac:dyDescent="0.2">
      <c r="A622" s="157"/>
      <c r="B622" s="31" t="s">
        <v>3760</v>
      </c>
      <c r="C622" s="31" t="s">
        <v>3761</v>
      </c>
      <c r="D622" s="98" t="s">
        <v>1920</v>
      </c>
      <c r="E622" s="99" t="b">
        <v>0</v>
      </c>
      <c r="F622" s="106" t="s">
        <v>3762</v>
      </c>
      <c r="G622" s="116" t="str">
        <f>HYPERLINK("http://nsgreg.nga.mil/genc/view?v=112360&amp;gencs=T&amp;end_month=3&amp;end_day=31&amp;end_year=2014","Oubritenga")</f>
        <v>Oubritenga</v>
      </c>
      <c r="H622" s="87" t="str">
        <f>HYPERLINK("http://api.nsgreg.nga.mil/geo-division/ISO3166-2/6/ed3/BF-OUB","BF-OUB")</f>
        <v>BF-OUB</v>
      </c>
    </row>
    <row r="623" spans="1:8" x14ac:dyDescent="0.2">
      <c r="A623" s="157"/>
      <c r="B623" s="31" t="s">
        <v>3763</v>
      </c>
      <c r="C623" s="31" t="s">
        <v>3764</v>
      </c>
      <c r="D623" s="98" t="s">
        <v>1920</v>
      </c>
      <c r="E623" s="99" t="b">
        <v>0</v>
      </c>
      <c r="F623" s="106" t="s">
        <v>3765</v>
      </c>
      <c r="G623" s="116" t="str">
        <f>HYPERLINK("http://nsgreg.nga.mil/genc/view?v=112361&amp;gencs=T&amp;end_month=3&amp;end_day=31&amp;end_year=2014","Oudalan")</f>
        <v>Oudalan</v>
      </c>
      <c r="H623" s="87" t="str">
        <f>HYPERLINK("http://api.nsgreg.nga.mil/geo-division/ISO3166-2/6/ed3/BF-OUD","BF-OUD")</f>
        <v>BF-OUD</v>
      </c>
    </row>
    <row r="624" spans="1:8" x14ac:dyDescent="0.2">
      <c r="A624" s="157"/>
      <c r="B624" s="31" t="s">
        <v>3766</v>
      </c>
      <c r="C624" s="31" t="s">
        <v>3767</v>
      </c>
      <c r="D624" s="98" t="s">
        <v>1920</v>
      </c>
      <c r="E624" s="99" t="b">
        <v>0</v>
      </c>
      <c r="F624" s="106" t="s">
        <v>3768</v>
      </c>
      <c r="G624" s="116" t="str">
        <f>HYPERLINK("http://nsgreg.nga.mil/genc/view?v=112362&amp;gencs=T&amp;end_month=3&amp;end_day=31&amp;end_year=2014","Passoré")</f>
        <v>Passoré</v>
      </c>
      <c r="H624" s="87" t="str">
        <f>HYPERLINK("http://api.nsgreg.nga.mil/geo-division/ISO3166-2/6/ed3/BF-PAS","BF-PAS")</f>
        <v>BF-PAS</v>
      </c>
    </row>
    <row r="625" spans="1:8" x14ac:dyDescent="0.2">
      <c r="A625" s="157"/>
      <c r="B625" s="31" t="s">
        <v>3769</v>
      </c>
      <c r="C625" s="31" t="s">
        <v>3770</v>
      </c>
      <c r="D625" s="31" t="s">
        <v>3137</v>
      </c>
      <c r="E625" s="61" t="b">
        <v>1</v>
      </c>
      <c r="F625" s="106" t="s">
        <v>3771</v>
      </c>
      <c r="G625" s="116" t="str">
        <f>HYPERLINK("http://nsgreg.nga.mil/genc/view?v=112329&amp;gencs=T&amp;end_month=3&amp;end_day=31&amp;end_year=2014","Plateau-Central")</f>
        <v>Plateau-Central</v>
      </c>
      <c r="H625" s="87" t="str">
        <f>HYPERLINK("http://api.nsgreg.nga.mil/geo-division/ISO3166-2/6/ed3/BF-11","BF-11")</f>
        <v>BF-11</v>
      </c>
    </row>
    <row r="626" spans="1:8" x14ac:dyDescent="0.2">
      <c r="A626" s="157"/>
      <c r="B626" s="31" t="s">
        <v>3772</v>
      </c>
      <c r="C626" s="31" t="s">
        <v>3773</v>
      </c>
      <c r="D626" s="98" t="s">
        <v>1920</v>
      </c>
      <c r="E626" s="99" t="b">
        <v>0</v>
      </c>
      <c r="F626" s="106" t="s">
        <v>3774</v>
      </c>
      <c r="G626" s="116" t="str">
        <f>HYPERLINK("http://nsgreg.nga.mil/genc/view?v=112363&amp;gencs=T&amp;end_month=3&amp;end_day=31&amp;end_year=2014","Poni")</f>
        <v>Poni</v>
      </c>
      <c r="H626" s="87" t="str">
        <f>HYPERLINK("http://api.nsgreg.nga.mil/geo-division/ISO3166-2/6/ed3/BF-PON","BF-PON")</f>
        <v>BF-PON</v>
      </c>
    </row>
    <row r="627" spans="1:8" x14ac:dyDescent="0.2">
      <c r="A627" s="157"/>
      <c r="B627" s="31" t="s">
        <v>3775</v>
      </c>
      <c r="C627" s="31" t="s">
        <v>3776</v>
      </c>
      <c r="D627" s="31" t="s">
        <v>3137</v>
      </c>
      <c r="E627" s="61" t="b">
        <v>1</v>
      </c>
      <c r="F627" s="106" t="s">
        <v>3777</v>
      </c>
      <c r="G627" s="116" t="str">
        <f>HYPERLINK("http://nsgreg.nga.mil/genc/view?v=112330&amp;gencs=T&amp;end_month=3&amp;end_day=31&amp;end_year=2014","Sahel")</f>
        <v>Sahel</v>
      </c>
      <c r="H627" s="87" t="str">
        <f>HYPERLINK("http://api.nsgreg.nga.mil/geo-division/ISO3166-2/6/ed3/BF-12","BF-12")</f>
        <v>BF-12</v>
      </c>
    </row>
    <row r="628" spans="1:8" x14ac:dyDescent="0.2">
      <c r="A628" s="157"/>
      <c r="B628" s="31" t="s">
        <v>3778</v>
      </c>
      <c r="C628" s="31" t="s">
        <v>3779</v>
      </c>
      <c r="D628" s="98" t="s">
        <v>1920</v>
      </c>
      <c r="E628" s="99" t="b">
        <v>0</v>
      </c>
      <c r="F628" s="106" t="s">
        <v>3780</v>
      </c>
      <c r="G628" s="116" t="str">
        <f>HYPERLINK("http://nsgreg.nga.mil/genc/view?v=112367&amp;gencs=T&amp;end_month=3&amp;end_day=31&amp;end_year=2014","Sanguié")</f>
        <v>Sanguié</v>
      </c>
      <c r="H628" s="87" t="str">
        <f>HYPERLINK("http://api.nsgreg.nga.mil/geo-division/ISO3166-2/6/ed3/BF-SNG","BF-SNG")</f>
        <v>BF-SNG</v>
      </c>
    </row>
    <row r="629" spans="1:8" x14ac:dyDescent="0.2">
      <c r="A629" s="157"/>
      <c r="B629" s="31" t="s">
        <v>3781</v>
      </c>
      <c r="C629" s="31" t="s">
        <v>3782</v>
      </c>
      <c r="D629" s="98" t="s">
        <v>1920</v>
      </c>
      <c r="E629" s="99" t="b">
        <v>0</v>
      </c>
      <c r="F629" s="106" t="s">
        <v>3783</v>
      </c>
      <c r="G629" s="116" t="str">
        <f>HYPERLINK("http://nsgreg.nga.mil/genc/view?v=112366&amp;gencs=T&amp;end_month=3&amp;end_day=31&amp;end_year=2014","Sanmatenga")</f>
        <v>Sanmatenga</v>
      </c>
      <c r="H629" s="87" t="str">
        <f>HYPERLINK("http://api.nsgreg.nga.mil/geo-division/ISO3166-2/6/ed3/BF-SMT","BF-SMT")</f>
        <v>BF-SMT</v>
      </c>
    </row>
    <row r="630" spans="1:8" x14ac:dyDescent="0.2">
      <c r="A630" s="157"/>
      <c r="B630" s="31" t="s">
        <v>3784</v>
      </c>
      <c r="C630" s="31" t="s">
        <v>3785</v>
      </c>
      <c r="D630" s="98" t="s">
        <v>1920</v>
      </c>
      <c r="E630" s="99" t="b">
        <v>0</v>
      </c>
      <c r="F630" s="106" t="s">
        <v>3786</v>
      </c>
      <c r="G630" s="116" t="str">
        <f>HYPERLINK("http://nsgreg.nga.mil/genc/view?v=112364&amp;gencs=T&amp;end_month=3&amp;end_day=31&amp;end_year=2014","Séno")</f>
        <v>Séno</v>
      </c>
      <c r="H630" s="87" t="str">
        <f>HYPERLINK("http://api.nsgreg.nga.mil/geo-division/ISO3166-2/6/ed3/BF-SEN","BF-SEN")</f>
        <v>BF-SEN</v>
      </c>
    </row>
    <row r="631" spans="1:8" x14ac:dyDescent="0.2">
      <c r="A631" s="157"/>
      <c r="B631" s="31" t="s">
        <v>3787</v>
      </c>
      <c r="C631" s="31" t="s">
        <v>3788</v>
      </c>
      <c r="D631" s="98" t="s">
        <v>1920</v>
      </c>
      <c r="E631" s="99" t="b">
        <v>0</v>
      </c>
      <c r="F631" s="106" t="s">
        <v>3789</v>
      </c>
      <c r="G631" s="116" t="str">
        <f>HYPERLINK("http://nsgreg.nga.mil/genc/view?v=112365&amp;gencs=T&amp;end_month=3&amp;end_day=31&amp;end_year=2014","Sissili")</f>
        <v>Sissili</v>
      </c>
      <c r="H631" s="87" t="str">
        <f>HYPERLINK("http://api.nsgreg.nga.mil/geo-division/ISO3166-2/6/ed3/BF-SIS","BF-SIS")</f>
        <v>BF-SIS</v>
      </c>
    </row>
    <row r="632" spans="1:8" x14ac:dyDescent="0.2">
      <c r="A632" s="157"/>
      <c r="B632" s="31" t="s">
        <v>3790</v>
      </c>
      <c r="C632" s="31" t="s">
        <v>3791</v>
      </c>
      <c r="D632" s="98" t="s">
        <v>1920</v>
      </c>
      <c r="E632" s="99" t="b">
        <v>0</v>
      </c>
      <c r="F632" s="106" t="s">
        <v>3792</v>
      </c>
      <c r="G632" s="116" t="str">
        <f>HYPERLINK("http://nsgreg.nga.mil/genc/view?v=112368&amp;gencs=T&amp;end_month=3&amp;end_day=31&amp;end_year=2014","Soum")</f>
        <v>Soum</v>
      </c>
      <c r="H632" s="87" t="str">
        <f>HYPERLINK("http://api.nsgreg.nga.mil/geo-division/ISO3166-2/6/ed3/BF-SOM","BF-SOM")</f>
        <v>BF-SOM</v>
      </c>
    </row>
    <row r="633" spans="1:8" x14ac:dyDescent="0.2">
      <c r="A633" s="157"/>
      <c r="B633" s="31" t="s">
        <v>3793</v>
      </c>
      <c r="C633" s="31" t="s">
        <v>3794</v>
      </c>
      <c r="D633" s="98" t="s">
        <v>1920</v>
      </c>
      <c r="E633" s="99" t="b">
        <v>0</v>
      </c>
      <c r="F633" s="106" t="s">
        <v>3795</v>
      </c>
      <c r="G633" s="116" t="str">
        <f>HYPERLINK("http://nsgreg.nga.mil/genc/view?v=112369&amp;gencs=T&amp;end_month=3&amp;end_day=31&amp;end_year=2014","Sourou")</f>
        <v>Sourou</v>
      </c>
      <c r="H633" s="87" t="str">
        <f>HYPERLINK("http://api.nsgreg.nga.mil/geo-division/ISO3166-2/6/ed3/BF-SOR","BF-SOR")</f>
        <v>BF-SOR</v>
      </c>
    </row>
    <row r="634" spans="1:8" x14ac:dyDescent="0.2">
      <c r="A634" s="157"/>
      <c r="B634" s="31" t="s">
        <v>3796</v>
      </c>
      <c r="C634" s="31" t="s">
        <v>3797</v>
      </c>
      <c r="D634" s="31" t="s">
        <v>3137</v>
      </c>
      <c r="E634" s="61" t="b">
        <v>1</v>
      </c>
      <c r="F634" s="106" t="s">
        <v>3798</v>
      </c>
      <c r="G634" s="116" t="str">
        <f>HYPERLINK("http://nsgreg.nga.mil/genc/view?v=112331&amp;gencs=T&amp;end_month=3&amp;end_day=31&amp;end_year=2014","Sud-Ouest")</f>
        <v>Sud-Ouest</v>
      </c>
      <c r="H634" s="87" t="str">
        <f>HYPERLINK("http://api.nsgreg.nga.mil/geo-division/ISO3166-2/6/ed3/BF-13","BF-13")</f>
        <v>BF-13</v>
      </c>
    </row>
    <row r="635" spans="1:8" x14ac:dyDescent="0.2">
      <c r="A635" s="157"/>
      <c r="B635" s="31" t="s">
        <v>3799</v>
      </c>
      <c r="C635" s="31" t="s">
        <v>3800</v>
      </c>
      <c r="D635" s="98" t="s">
        <v>1920</v>
      </c>
      <c r="E635" s="99" t="b">
        <v>0</v>
      </c>
      <c r="F635" s="106" t="s">
        <v>3801</v>
      </c>
      <c r="G635" s="116" t="str">
        <f>HYPERLINK("http://nsgreg.nga.mil/genc/view?v=112370&amp;gencs=T&amp;end_month=3&amp;end_day=31&amp;end_year=2014","Tapoa")</f>
        <v>Tapoa</v>
      </c>
      <c r="H635" s="87" t="str">
        <f>HYPERLINK("http://api.nsgreg.nga.mil/geo-division/ISO3166-2/6/ed3/BF-TAP","BF-TAP")</f>
        <v>BF-TAP</v>
      </c>
    </row>
    <row r="636" spans="1:8" x14ac:dyDescent="0.2">
      <c r="A636" s="157"/>
      <c r="B636" s="31" t="s">
        <v>3802</v>
      </c>
      <c r="C636" s="31" t="s">
        <v>3803</v>
      </c>
      <c r="D636" s="98" t="s">
        <v>1920</v>
      </c>
      <c r="E636" s="99" t="b">
        <v>0</v>
      </c>
      <c r="F636" s="107" t="s">
        <v>3804</v>
      </c>
      <c r="G636" s="116" t="str">
        <f>HYPERLINK("http://nsgreg.nga.mil/genc/view?v=200865&amp;end_month=3&amp;end_day=31&amp;end_year=2014","Tuy")</f>
        <v>Tuy</v>
      </c>
      <c r="H636" s="87" t="str">
        <f>HYPERLINK("http://api.nsgreg.nga.mil/geo-division/GENC/6/ed2/BF-TUI","BF-TUI")</f>
        <v>BF-TUI</v>
      </c>
    </row>
    <row r="637" spans="1:8" x14ac:dyDescent="0.2">
      <c r="A637" s="157"/>
      <c r="B637" s="31" t="s">
        <v>3805</v>
      </c>
      <c r="C637" s="31" t="s">
        <v>3806</v>
      </c>
      <c r="D637" s="98" t="s">
        <v>1920</v>
      </c>
      <c r="E637" s="99" t="b">
        <v>0</v>
      </c>
      <c r="F637" s="106" t="s">
        <v>3807</v>
      </c>
      <c r="G637" s="116" t="str">
        <f>HYPERLINK("http://nsgreg.nga.mil/genc/view?v=112372&amp;gencs=T&amp;end_month=3&amp;end_day=31&amp;end_year=2014","Yagha")</f>
        <v>Yagha</v>
      </c>
      <c r="H637" s="87" t="str">
        <f>HYPERLINK("http://api.nsgreg.nga.mil/geo-division/ISO3166-2/6/ed3/BF-YAG","BF-YAG")</f>
        <v>BF-YAG</v>
      </c>
    </row>
    <row r="638" spans="1:8" x14ac:dyDescent="0.2">
      <c r="A638" s="157"/>
      <c r="B638" s="31" t="s">
        <v>3808</v>
      </c>
      <c r="C638" s="31" t="s">
        <v>3809</v>
      </c>
      <c r="D638" s="98" t="s">
        <v>1920</v>
      </c>
      <c r="E638" s="99" t="b">
        <v>0</v>
      </c>
      <c r="F638" s="106" t="s">
        <v>3810</v>
      </c>
      <c r="G638" s="116" t="str">
        <f>HYPERLINK("http://nsgreg.nga.mil/genc/view?v=112373&amp;gencs=T&amp;end_month=3&amp;end_day=31&amp;end_year=2014","Yatenga")</f>
        <v>Yatenga</v>
      </c>
      <c r="H638" s="87" t="str">
        <f>HYPERLINK("http://api.nsgreg.nga.mil/geo-division/ISO3166-2/6/ed3/BF-YAT","BF-YAT")</f>
        <v>BF-YAT</v>
      </c>
    </row>
    <row r="639" spans="1:8" x14ac:dyDescent="0.2">
      <c r="A639" s="157"/>
      <c r="B639" s="31" t="s">
        <v>3811</v>
      </c>
      <c r="C639" s="31" t="s">
        <v>3812</v>
      </c>
      <c r="D639" s="98" t="s">
        <v>1920</v>
      </c>
      <c r="E639" s="99" t="b">
        <v>0</v>
      </c>
      <c r="F639" s="106" t="s">
        <v>3813</v>
      </c>
      <c r="G639" s="116" t="str">
        <f>HYPERLINK("http://nsgreg.nga.mil/genc/view?v=112374&amp;gencs=T&amp;end_month=3&amp;end_day=31&amp;end_year=2014","Ziro")</f>
        <v>Ziro</v>
      </c>
      <c r="H639" s="87" t="str">
        <f>HYPERLINK("http://api.nsgreg.nga.mil/geo-division/ISO3166-2/6/ed3/BF-ZIR","BF-ZIR")</f>
        <v>BF-ZIR</v>
      </c>
    </row>
    <row r="640" spans="1:8" x14ac:dyDescent="0.2">
      <c r="A640" s="157"/>
      <c r="B640" s="31" t="s">
        <v>3814</v>
      </c>
      <c r="C640" s="31" t="s">
        <v>3815</v>
      </c>
      <c r="D640" s="98" t="s">
        <v>1920</v>
      </c>
      <c r="E640" s="99" t="b">
        <v>0</v>
      </c>
      <c r="F640" s="106" t="s">
        <v>3816</v>
      </c>
      <c r="G640" s="116" t="str">
        <f>HYPERLINK("http://nsgreg.nga.mil/genc/view?v=112375&amp;gencs=T&amp;end_month=3&amp;end_day=31&amp;end_year=2014","Zondoma")</f>
        <v>Zondoma</v>
      </c>
      <c r="H640" s="87" t="str">
        <f>HYPERLINK("http://api.nsgreg.nga.mil/geo-division/ISO3166-2/6/ed3/BF-ZON","BF-ZON")</f>
        <v>BF-ZON</v>
      </c>
    </row>
    <row r="641" spans="1:8" x14ac:dyDescent="0.2">
      <c r="A641" s="158"/>
      <c r="B641" s="58" t="s">
        <v>3817</v>
      </c>
      <c r="C641" s="58" t="s">
        <v>3818</v>
      </c>
      <c r="D641" s="100" t="s">
        <v>1920</v>
      </c>
      <c r="E641" s="101" t="b">
        <v>0</v>
      </c>
      <c r="F641" s="108" t="s">
        <v>3819</v>
      </c>
      <c r="G641" s="117" t="str">
        <f>HYPERLINK("http://nsgreg.nga.mil/genc/view?v=112376&amp;gencs=T&amp;end_month=3&amp;end_day=31&amp;end_year=2014","Zoundwéogo")</f>
        <v>Zoundwéogo</v>
      </c>
      <c r="H641" s="89" t="str">
        <f>HYPERLINK("http://api.nsgreg.nga.mil/geo-division/ISO3166-2/6/ed3/BF-ZOU","BF-ZOU")</f>
        <v>BF-ZOU</v>
      </c>
    </row>
    <row r="642" spans="1:8" x14ac:dyDescent="0.2">
      <c r="A642" s="156" t="str">
        <f>HYPERLINK("[#]Geopolitical_Entities!A43:I43","BURMA")</f>
        <v>BURMA</v>
      </c>
      <c r="B642" s="52" t="s">
        <v>3820</v>
      </c>
      <c r="C642" s="52" t="s">
        <v>3821</v>
      </c>
      <c r="D642" s="52" t="s">
        <v>3137</v>
      </c>
      <c r="E642" s="60" t="b">
        <v>1</v>
      </c>
      <c r="F642" s="110" t="s">
        <v>3822</v>
      </c>
      <c r="G642" s="118" t="str">
        <f>HYPERLINK("http://nsgreg.nga.mil/genc/view?v=202138&amp;end_month=3&amp;end_day=31&amp;end_year=2014","Ayeyawady")</f>
        <v>Ayeyawady</v>
      </c>
      <c r="H642" s="91" t="str">
        <f>HYPERLINK("http://api.nsgreg.nga.mil/geo-division/GENC/6/ed2/MM-07","MM-07")</f>
        <v>MM-07</v>
      </c>
    </row>
    <row r="643" spans="1:8" x14ac:dyDescent="0.2">
      <c r="A643" s="157"/>
      <c r="B643" s="31" t="s">
        <v>3823</v>
      </c>
      <c r="C643" s="31" t="s">
        <v>3824</v>
      </c>
      <c r="D643" s="31" t="s">
        <v>3137</v>
      </c>
      <c r="E643" s="61" t="b">
        <v>1</v>
      </c>
      <c r="F643" s="107" t="s">
        <v>3825</v>
      </c>
      <c r="G643" s="116" t="str">
        <f>HYPERLINK("http://nsgreg.nga.mil/genc/view?v=202133&amp;end_month=3&amp;end_day=31&amp;end_year=2014","Bago")</f>
        <v>Bago</v>
      </c>
      <c r="H643" s="87" t="str">
        <f>HYPERLINK("http://api.nsgreg.nga.mil/geo-division/GENC/6/ed2/MM-02","MM-02")</f>
        <v>MM-02</v>
      </c>
    </row>
    <row r="644" spans="1:8" x14ac:dyDescent="0.2">
      <c r="A644" s="157"/>
      <c r="B644" s="31" t="s">
        <v>3826</v>
      </c>
      <c r="C644" s="31" t="s">
        <v>3827</v>
      </c>
      <c r="D644" s="31" t="s">
        <v>2512</v>
      </c>
      <c r="E644" s="61" t="b">
        <v>1</v>
      </c>
      <c r="F644" s="107" t="s">
        <v>3828</v>
      </c>
      <c r="G644" s="116" t="str">
        <f>HYPERLINK("http://nsgreg.nga.mil/genc/view?v=202142&amp;end_month=3&amp;end_day=31&amp;end_year=2014","Chin State")</f>
        <v>Chin State</v>
      </c>
      <c r="H644" s="87" t="str">
        <f>HYPERLINK("http://api.nsgreg.nga.mil/geo-division/GENC/6/ed2/MM-14","MM-14")</f>
        <v>MM-14</v>
      </c>
    </row>
    <row r="645" spans="1:8" x14ac:dyDescent="0.2">
      <c r="A645" s="157"/>
      <c r="B645" s="31" t="s">
        <v>3829</v>
      </c>
      <c r="C645" s="31" t="s">
        <v>3830</v>
      </c>
      <c r="D645" s="31" t="s">
        <v>2512</v>
      </c>
      <c r="E645" s="61" t="b">
        <v>1</v>
      </c>
      <c r="F645" s="107" t="s">
        <v>3831</v>
      </c>
      <c r="G645" s="116" t="str">
        <f>HYPERLINK("http://nsgreg.nga.mil/genc/view?v=202139&amp;end_month=3&amp;end_day=31&amp;end_year=2014","Kachin State")</f>
        <v>Kachin State</v>
      </c>
      <c r="H645" s="87" t="str">
        <f>HYPERLINK("http://api.nsgreg.nga.mil/geo-division/GENC/6/ed2/MM-11","MM-11")</f>
        <v>MM-11</v>
      </c>
    </row>
    <row r="646" spans="1:8" x14ac:dyDescent="0.2">
      <c r="A646" s="157"/>
      <c r="B646" s="31" t="s">
        <v>3832</v>
      </c>
      <c r="C646" s="31" t="s">
        <v>3833</v>
      </c>
      <c r="D646" s="31" t="s">
        <v>2512</v>
      </c>
      <c r="E646" s="61" t="b">
        <v>1</v>
      </c>
      <c r="F646" s="107" t="s">
        <v>3834</v>
      </c>
      <c r="G646" s="116" t="str">
        <f>HYPERLINK("http://nsgreg.nga.mil/genc/view?v=202140&amp;end_month=3&amp;end_day=31&amp;end_year=2014","Kayah State")</f>
        <v>Kayah State</v>
      </c>
      <c r="H646" s="87" t="str">
        <f>HYPERLINK("http://api.nsgreg.nga.mil/geo-division/GENC/6/ed2/MM-12","MM-12")</f>
        <v>MM-12</v>
      </c>
    </row>
    <row r="647" spans="1:8" x14ac:dyDescent="0.2">
      <c r="A647" s="157"/>
      <c r="B647" s="31" t="s">
        <v>3835</v>
      </c>
      <c r="C647" s="31" t="s">
        <v>3836</v>
      </c>
      <c r="D647" s="31" t="s">
        <v>2512</v>
      </c>
      <c r="E647" s="61" t="b">
        <v>1</v>
      </c>
      <c r="F647" s="107" t="s">
        <v>3837</v>
      </c>
      <c r="G647" s="116" t="str">
        <f>HYPERLINK("http://nsgreg.nga.mil/genc/view?v=202141&amp;end_month=3&amp;end_day=31&amp;end_year=2014","Kayin State")</f>
        <v>Kayin State</v>
      </c>
      <c r="H647" s="87" t="str">
        <f>HYPERLINK("http://api.nsgreg.nga.mil/geo-division/GENC/6/ed2/MM-13","MM-13")</f>
        <v>MM-13</v>
      </c>
    </row>
    <row r="648" spans="1:8" x14ac:dyDescent="0.2">
      <c r="A648" s="157"/>
      <c r="B648" s="31" t="s">
        <v>3838</v>
      </c>
      <c r="C648" s="31" t="s">
        <v>3839</v>
      </c>
      <c r="D648" s="31" t="s">
        <v>3137</v>
      </c>
      <c r="E648" s="61" t="b">
        <v>1</v>
      </c>
      <c r="F648" s="107" t="s">
        <v>3840</v>
      </c>
      <c r="G648" s="116" t="str">
        <f>HYPERLINK("http://nsgreg.nga.mil/genc/view?v=202134&amp;end_month=3&amp;end_day=31&amp;end_year=2014","Magway")</f>
        <v>Magway</v>
      </c>
      <c r="H648" s="87" t="str">
        <f>HYPERLINK("http://api.nsgreg.nga.mil/geo-division/GENC/6/ed2/MM-03","MM-03")</f>
        <v>MM-03</v>
      </c>
    </row>
    <row r="649" spans="1:8" x14ac:dyDescent="0.2">
      <c r="A649" s="157"/>
      <c r="B649" s="31" t="s">
        <v>3841</v>
      </c>
      <c r="C649" s="31" t="s">
        <v>3842</v>
      </c>
      <c r="D649" s="31" t="s">
        <v>3137</v>
      </c>
      <c r="E649" s="61" t="b">
        <v>1</v>
      </c>
      <c r="F649" s="107" t="s">
        <v>3843</v>
      </c>
      <c r="G649" s="116" t="str">
        <f>HYPERLINK("http://nsgreg.nga.mil/genc/view?v=202135&amp;end_month=3&amp;end_day=31&amp;end_year=2014","Mandalay")</f>
        <v>Mandalay</v>
      </c>
      <c r="H649" s="87" t="str">
        <f>HYPERLINK("http://api.nsgreg.nga.mil/geo-division/GENC/6/ed2/MM-04","MM-04")</f>
        <v>MM-04</v>
      </c>
    </row>
    <row r="650" spans="1:8" x14ac:dyDescent="0.2">
      <c r="A650" s="157"/>
      <c r="B650" s="31" t="s">
        <v>3844</v>
      </c>
      <c r="C650" s="31" t="s">
        <v>3845</v>
      </c>
      <c r="D650" s="31" t="s">
        <v>2512</v>
      </c>
      <c r="E650" s="61" t="b">
        <v>1</v>
      </c>
      <c r="F650" s="107" t="s">
        <v>3846</v>
      </c>
      <c r="G650" s="116" t="str">
        <f>HYPERLINK("http://nsgreg.nga.mil/genc/view?v=202143&amp;end_month=3&amp;end_day=31&amp;end_year=2014","Mon State")</f>
        <v>Mon State</v>
      </c>
      <c r="H650" s="87" t="str">
        <f>HYPERLINK("http://api.nsgreg.nga.mil/geo-division/GENC/6/ed2/MM-15","MM-15")</f>
        <v>MM-15</v>
      </c>
    </row>
    <row r="651" spans="1:8" x14ac:dyDescent="0.2">
      <c r="A651" s="157"/>
      <c r="B651" s="31" t="s">
        <v>3847</v>
      </c>
      <c r="C651" s="31" t="s">
        <v>3848</v>
      </c>
      <c r="D651" s="31" t="s">
        <v>3849</v>
      </c>
      <c r="E651" s="61" t="b">
        <v>1</v>
      </c>
      <c r="F651" s="107" t="s">
        <v>3850</v>
      </c>
      <c r="G651" s="116" t="str">
        <f>HYPERLINK("http://nsgreg.nga.mil/genc/view?v=202146&amp;end_month=3&amp;end_day=31&amp;end_year=2014","Nay Pyi Taw")</f>
        <v>Nay Pyi Taw</v>
      </c>
      <c r="H651" s="87" t="str">
        <f>HYPERLINK("http://api.nsgreg.nga.mil/geo-division/GENC/6/ed2/MM-18","MM-18")</f>
        <v>MM-18</v>
      </c>
    </row>
    <row r="652" spans="1:8" x14ac:dyDescent="0.2">
      <c r="A652" s="157"/>
      <c r="B652" s="31" t="s">
        <v>3851</v>
      </c>
      <c r="C652" s="31" t="s">
        <v>3852</v>
      </c>
      <c r="D652" s="31" t="s">
        <v>2512</v>
      </c>
      <c r="E652" s="61" t="b">
        <v>1</v>
      </c>
      <c r="F652" s="107" t="s">
        <v>3853</v>
      </c>
      <c r="G652" s="116" t="str">
        <f>HYPERLINK("http://nsgreg.nga.mil/genc/view?v=202144&amp;end_month=3&amp;end_day=31&amp;end_year=2014","Rakhine State")</f>
        <v>Rakhine State</v>
      </c>
      <c r="H652" s="87" t="str">
        <f>HYPERLINK("http://api.nsgreg.nga.mil/geo-division/GENC/6/ed2/MM-16","MM-16")</f>
        <v>MM-16</v>
      </c>
    </row>
    <row r="653" spans="1:8" x14ac:dyDescent="0.2">
      <c r="A653" s="157"/>
      <c r="B653" s="31" t="s">
        <v>3854</v>
      </c>
      <c r="C653" s="31" t="s">
        <v>3855</v>
      </c>
      <c r="D653" s="31" t="s">
        <v>3137</v>
      </c>
      <c r="E653" s="61" t="b">
        <v>1</v>
      </c>
      <c r="F653" s="107" t="s">
        <v>3856</v>
      </c>
      <c r="G653" s="116" t="str">
        <f>HYPERLINK("http://nsgreg.nga.mil/genc/view?v=202132&amp;end_month=3&amp;end_day=31&amp;end_year=2014","Sagaing")</f>
        <v>Sagaing</v>
      </c>
      <c r="H653" s="87" t="str">
        <f>HYPERLINK("http://api.nsgreg.nga.mil/geo-division/GENC/6/ed2/MM-01","MM-01")</f>
        <v>MM-01</v>
      </c>
    </row>
    <row r="654" spans="1:8" x14ac:dyDescent="0.2">
      <c r="A654" s="157"/>
      <c r="B654" s="31" t="s">
        <v>3857</v>
      </c>
      <c r="C654" s="31" t="s">
        <v>3858</v>
      </c>
      <c r="D654" s="31" t="s">
        <v>2512</v>
      </c>
      <c r="E654" s="61" t="b">
        <v>1</v>
      </c>
      <c r="F654" s="107" t="s">
        <v>3859</v>
      </c>
      <c r="G654" s="116" t="str">
        <f>HYPERLINK("http://nsgreg.nga.mil/genc/view?v=202145&amp;end_month=3&amp;end_day=31&amp;end_year=2014","Shan State")</f>
        <v>Shan State</v>
      </c>
      <c r="H654" s="87" t="str">
        <f>HYPERLINK("http://api.nsgreg.nga.mil/geo-division/GENC/6/ed2/MM-17","MM-17")</f>
        <v>MM-17</v>
      </c>
    </row>
    <row r="655" spans="1:8" x14ac:dyDescent="0.2">
      <c r="A655" s="157"/>
      <c r="B655" s="31" t="s">
        <v>3860</v>
      </c>
      <c r="C655" s="31" t="s">
        <v>3861</v>
      </c>
      <c r="D655" s="31" t="s">
        <v>3137</v>
      </c>
      <c r="E655" s="61" t="b">
        <v>1</v>
      </c>
      <c r="F655" s="107" t="s">
        <v>3862</v>
      </c>
      <c r="G655" s="116" t="str">
        <f>HYPERLINK("http://nsgreg.nga.mil/genc/view?v=202136&amp;end_month=3&amp;end_day=31&amp;end_year=2014","Taninthayi")</f>
        <v>Taninthayi</v>
      </c>
      <c r="H655" s="87" t="str">
        <f>HYPERLINK("http://api.nsgreg.nga.mil/geo-division/GENC/6/ed2/MM-05","MM-05")</f>
        <v>MM-05</v>
      </c>
    </row>
    <row r="656" spans="1:8" x14ac:dyDescent="0.2">
      <c r="A656" s="158"/>
      <c r="B656" s="58" t="s">
        <v>3863</v>
      </c>
      <c r="C656" s="58" t="s">
        <v>3864</v>
      </c>
      <c r="D656" s="58" t="s">
        <v>3137</v>
      </c>
      <c r="E656" s="62" t="b">
        <v>1</v>
      </c>
      <c r="F656" s="111" t="s">
        <v>3865</v>
      </c>
      <c r="G656" s="117" t="str">
        <f>HYPERLINK("http://nsgreg.nga.mil/genc/view?v=202137&amp;end_month=3&amp;end_day=31&amp;end_year=2014","Yangon")</f>
        <v>Yangon</v>
      </c>
      <c r="H656" s="89" t="str">
        <f>HYPERLINK("http://api.nsgreg.nga.mil/geo-division/GENC/6/ed2/MM-06","MM-06")</f>
        <v>MM-06</v>
      </c>
    </row>
    <row r="657" spans="1:8" x14ac:dyDescent="0.2">
      <c r="A657" s="156" t="str">
        <f>HYPERLINK("[#]Geopolitical_Entities!A44:I44","BURUNDI")</f>
        <v>BURUNDI</v>
      </c>
      <c r="B657" s="52" t="s">
        <v>3866</v>
      </c>
      <c r="C657" s="52" t="s">
        <v>3867</v>
      </c>
      <c r="D657" s="52" t="s">
        <v>1920</v>
      </c>
      <c r="E657" s="60" t="b">
        <v>1</v>
      </c>
      <c r="F657" s="110" t="s">
        <v>3868</v>
      </c>
      <c r="G657" s="118" t="str">
        <f>HYPERLINK("http://nsgreg.nga.mil/genc/view?v=200895&amp;end_month=3&amp;end_day=31&amp;end_year=2014","Bubanza")</f>
        <v>Bubanza</v>
      </c>
      <c r="H657" s="91" t="str">
        <f>HYPERLINK("http://api.nsgreg.nga.mil/geo-division/GENC/6/ed2/BI-BB","BI-BB")</f>
        <v>BI-BB</v>
      </c>
    </row>
    <row r="658" spans="1:8" x14ac:dyDescent="0.2">
      <c r="A658" s="157"/>
      <c r="B658" s="31" t="s">
        <v>3869</v>
      </c>
      <c r="C658" s="31" t="s">
        <v>3870</v>
      </c>
      <c r="D658" s="31" t="s">
        <v>1920</v>
      </c>
      <c r="E658" s="61" t="b">
        <v>1</v>
      </c>
      <c r="F658" s="107" t="s">
        <v>3871</v>
      </c>
      <c r="G658" s="116" t="str">
        <f>HYPERLINK("http://nsgreg.nga.mil/genc/view?v=200897&amp;end_month=3&amp;end_day=31&amp;end_year=2014","Bujumbura Mairie")</f>
        <v>Bujumbura Mairie</v>
      </c>
      <c r="H658" s="87" t="str">
        <f>HYPERLINK("http://api.nsgreg.nga.mil/geo-division/GENC/6/ed2/BI-BM","BI-BM")</f>
        <v>BI-BM</v>
      </c>
    </row>
    <row r="659" spans="1:8" x14ac:dyDescent="0.2">
      <c r="A659" s="157"/>
      <c r="B659" s="31" t="s">
        <v>3872</v>
      </c>
      <c r="C659" s="31" t="s">
        <v>3873</v>
      </c>
      <c r="D659" s="31" t="s">
        <v>1920</v>
      </c>
      <c r="E659" s="61" t="b">
        <v>1</v>
      </c>
      <c r="F659" s="107" t="s">
        <v>3874</v>
      </c>
      <c r="G659" s="116" t="str">
        <f>HYPERLINK("http://nsgreg.nga.mil/genc/view?v=200896&amp;end_month=3&amp;end_day=31&amp;end_year=2014","Bujumbura Rural")</f>
        <v>Bujumbura Rural</v>
      </c>
      <c r="H659" s="87" t="str">
        <f>HYPERLINK("http://api.nsgreg.nga.mil/geo-division/GENC/6/ed2/BI-BL","BI-BL")</f>
        <v>BI-BL</v>
      </c>
    </row>
    <row r="660" spans="1:8" x14ac:dyDescent="0.2">
      <c r="A660" s="157"/>
      <c r="B660" s="31" t="s">
        <v>3875</v>
      </c>
      <c r="C660" s="31" t="s">
        <v>3876</v>
      </c>
      <c r="D660" s="31" t="s">
        <v>1920</v>
      </c>
      <c r="E660" s="61" t="b">
        <v>1</v>
      </c>
      <c r="F660" s="107" t="s">
        <v>3877</v>
      </c>
      <c r="G660" s="116" t="str">
        <f>HYPERLINK("http://nsgreg.nga.mil/genc/view?v=200898&amp;end_month=3&amp;end_day=31&amp;end_year=2014","Bururi")</f>
        <v>Bururi</v>
      </c>
      <c r="H660" s="87" t="str">
        <f>HYPERLINK("http://api.nsgreg.nga.mil/geo-division/GENC/6/ed2/BI-BR","BI-BR")</f>
        <v>BI-BR</v>
      </c>
    </row>
    <row r="661" spans="1:8" x14ac:dyDescent="0.2">
      <c r="A661" s="157"/>
      <c r="B661" s="31" t="s">
        <v>3878</v>
      </c>
      <c r="C661" s="31" t="s">
        <v>3879</v>
      </c>
      <c r="D661" s="31" t="s">
        <v>1920</v>
      </c>
      <c r="E661" s="61" t="b">
        <v>1</v>
      </c>
      <c r="F661" s="107" t="s">
        <v>3880</v>
      </c>
      <c r="G661" s="116" t="str">
        <f>HYPERLINK("http://nsgreg.nga.mil/genc/view?v=200899&amp;end_month=3&amp;end_day=31&amp;end_year=2014","Cankuzo")</f>
        <v>Cankuzo</v>
      </c>
      <c r="H661" s="87" t="str">
        <f>HYPERLINK("http://api.nsgreg.nga.mil/geo-division/GENC/6/ed2/BI-CA","BI-CA")</f>
        <v>BI-CA</v>
      </c>
    </row>
    <row r="662" spans="1:8" x14ac:dyDescent="0.2">
      <c r="A662" s="157"/>
      <c r="B662" s="31" t="s">
        <v>3881</v>
      </c>
      <c r="C662" s="31" t="s">
        <v>3882</v>
      </c>
      <c r="D662" s="31" t="s">
        <v>1920</v>
      </c>
      <c r="E662" s="61" t="b">
        <v>1</v>
      </c>
      <c r="F662" s="107" t="s">
        <v>3883</v>
      </c>
      <c r="G662" s="116" t="str">
        <f>HYPERLINK("http://nsgreg.nga.mil/genc/view?v=200900&amp;end_month=3&amp;end_day=31&amp;end_year=2014","Cibitoke")</f>
        <v>Cibitoke</v>
      </c>
      <c r="H662" s="87" t="str">
        <f>HYPERLINK("http://api.nsgreg.nga.mil/geo-division/GENC/6/ed2/BI-CI","BI-CI")</f>
        <v>BI-CI</v>
      </c>
    </row>
    <row r="663" spans="1:8" x14ac:dyDescent="0.2">
      <c r="A663" s="157"/>
      <c r="B663" s="31" t="s">
        <v>3884</v>
      </c>
      <c r="C663" s="31" t="s">
        <v>3885</v>
      </c>
      <c r="D663" s="31" t="s">
        <v>1920</v>
      </c>
      <c r="E663" s="61" t="b">
        <v>1</v>
      </c>
      <c r="F663" s="107" t="s">
        <v>3886</v>
      </c>
      <c r="G663" s="116" t="str">
        <f>HYPERLINK("http://nsgreg.nga.mil/genc/view?v=200901&amp;end_month=3&amp;end_day=31&amp;end_year=2014","Gitega")</f>
        <v>Gitega</v>
      </c>
      <c r="H663" s="87" t="str">
        <f>HYPERLINK("http://api.nsgreg.nga.mil/geo-division/GENC/6/ed2/BI-GI","BI-GI")</f>
        <v>BI-GI</v>
      </c>
    </row>
    <row r="664" spans="1:8" x14ac:dyDescent="0.2">
      <c r="A664" s="157"/>
      <c r="B664" s="31" t="s">
        <v>3887</v>
      </c>
      <c r="C664" s="31" t="s">
        <v>3888</v>
      </c>
      <c r="D664" s="31" t="s">
        <v>1920</v>
      </c>
      <c r="E664" s="61" t="b">
        <v>1</v>
      </c>
      <c r="F664" s="107" t="s">
        <v>3889</v>
      </c>
      <c r="G664" s="116" t="str">
        <f>HYPERLINK("http://nsgreg.nga.mil/genc/view?v=200903&amp;end_month=3&amp;end_day=31&amp;end_year=2014","Karuzi")</f>
        <v>Karuzi</v>
      </c>
      <c r="H664" s="87" t="str">
        <f>HYPERLINK("http://api.nsgreg.nga.mil/geo-division/GENC/6/ed2/BI-KR","BI-KR")</f>
        <v>BI-KR</v>
      </c>
    </row>
    <row r="665" spans="1:8" x14ac:dyDescent="0.2">
      <c r="A665" s="157"/>
      <c r="B665" s="31" t="s">
        <v>3890</v>
      </c>
      <c r="C665" s="31" t="s">
        <v>3891</v>
      </c>
      <c r="D665" s="31" t="s">
        <v>1920</v>
      </c>
      <c r="E665" s="61" t="b">
        <v>1</v>
      </c>
      <c r="F665" s="107" t="s">
        <v>3892</v>
      </c>
      <c r="G665" s="116" t="str">
        <f>HYPERLINK("http://nsgreg.nga.mil/genc/view?v=200904&amp;end_month=3&amp;end_day=31&amp;end_year=2014","Kayanza")</f>
        <v>Kayanza</v>
      </c>
      <c r="H665" s="87" t="str">
        <f>HYPERLINK("http://api.nsgreg.nga.mil/geo-division/GENC/6/ed2/BI-KY","BI-KY")</f>
        <v>BI-KY</v>
      </c>
    </row>
    <row r="666" spans="1:8" x14ac:dyDescent="0.2">
      <c r="A666" s="157"/>
      <c r="B666" s="31" t="s">
        <v>3893</v>
      </c>
      <c r="C666" s="31" t="s">
        <v>3894</v>
      </c>
      <c r="D666" s="31" t="s">
        <v>1920</v>
      </c>
      <c r="E666" s="61" t="b">
        <v>1</v>
      </c>
      <c r="F666" s="107" t="s">
        <v>3895</v>
      </c>
      <c r="G666" s="116" t="str">
        <f>HYPERLINK("http://nsgreg.nga.mil/genc/view?v=200902&amp;end_month=3&amp;end_day=31&amp;end_year=2014","Kirundo")</f>
        <v>Kirundo</v>
      </c>
      <c r="H666" s="87" t="str">
        <f>HYPERLINK("http://api.nsgreg.nga.mil/geo-division/GENC/6/ed2/BI-KI","BI-KI")</f>
        <v>BI-KI</v>
      </c>
    </row>
    <row r="667" spans="1:8" x14ac:dyDescent="0.2">
      <c r="A667" s="157"/>
      <c r="B667" s="31" t="s">
        <v>3896</v>
      </c>
      <c r="C667" s="31" t="s">
        <v>3897</v>
      </c>
      <c r="D667" s="31" t="s">
        <v>1920</v>
      </c>
      <c r="E667" s="61" t="b">
        <v>1</v>
      </c>
      <c r="F667" s="107" t="s">
        <v>3898</v>
      </c>
      <c r="G667" s="116" t="str">
        <f>HYPERLINK("http://nsgreg.nga.mil/genc/view?v=200905&amp;end_month=3&amp;end_day=31&amp;end_year=2014","Makamba")</f>
        <v>Makamba</v>
      </c>
      <c r="H667" s="87" t="str">
        <f>HYPERLINK("http://api.nsgreg.nga.mil/geo-division/GENC/6/ed2/BI-MA","BI-MA")</f>
        <v>BI-MA</v>
      </c>
    </row>
    <row r="668" spans="1:8" x14ac:dyDescent="0.2">
      <c r="A668" s="157"/>
      <c r="B668" s="31" t="s">
        <v>3899</v>
      </c>
      <c r="C668" s="31" t="s">
        <v>3900</v>
      </c>
      <c r="D668" s="31" t="s">
        <v>1920</v>
      </c>
      <c r="E668" s="61" t="b">
        <v>1</v>
      </c>
      <c r="F668" s="107" t="s">
        <v>3901</v>
      </c>
      <c r="G668" s="116" t="str">
        <f>HYPERLINK("http://nsgreg.nga.mil/genc/view?v=200906&amp;end_month=3&amp;end_day=31&amp;end_year=2014","Muramvya")</f>
        <v>Muramvya</v>
      </c>
      <c r="H668" s="87" t="str">
        <f>HYPERLINK("http://api.nsgreg.nga.mil/geo-division/GENC/6/ed2/BI-MU","BI-MU")</f>
        <v>BI-MU</v>
      </c>
    </row>
    <row r="669" spans="1:8" x14ac:dyDescent="0.2">
      <c r="A669" s="157"/>
      <c r="B669" s="31" t="s">
        <v>3902</v>
      </c>
      <c r="C669" s="31" t="s">
        <v>3903</v>
      </c>
      <c r="D669" s="31" t="s">
        <v>1920</v>
      </c>
      <c r="E669" s="61" t="b">
        <v>1</v>
      </c>
      <c r="F669" s="107" t="s">
        <v>3904</v>
      </c>
      <c r="G669" s="116" t="str">
        <f>HYPERLINK("http://nsgreg.nga.mil/genc/view?v=200908&amp;end_month=3&amp;end_day=31&amp;end_year=2014","Muyinga")</f>
        <v>Muyinga</v>
      </c>
      <c r="H669" s="87" t="str">
        <f>HYPERLINK("http://api.nsgreg.nga.mil/geo-division/GENC/6/ed2/BI-MY","BI-MY")</f>
        <v>BI-MY</v>
      </c>
    </row>
    <row r="670" spans="1:8" x14ac:dyDescent="0.2">
      <c r="A670" s="157"/>
      <c r="B670" s="31" t="s">
        <v>3905</v>
      </c>
      <c r="C670" s="31" t="s">
        <v>3906</v>
      </c>
      <c r="D670" s="31" t="s">
        <v>1920</v>
      </c>
      <c r="E670" s="61" t="b">
        <v>1</v>
      </c>
      <c r="F670" s="107" t="s">
        <v>3907</v>
      </c>
      <c r="G670" s="116" t="str">
        <f>HYPERLINK("http://nsgreg.nga.mil/genc/view?v=200907&amp;end_month=3&amp;end_day=31&amp;end_year=2014","Mwaro")</f>
        <v>Mwaro</v>
      </c>
      <c r="H670" s="87" t="str">
        <f>HYPERLINK("http://api.nsgreg.nga.mil/geo-division/GENC/6/ed2/BI-MW","BI-MW")</f>
        <v>BI-MW</v>
      </c>
    </row>
    <row r="671" spans="1:8" x14ac:dyDescent="0.2">
      <c r="A671" s="157"/>
      <c r="B671" s="31" t="s">
        <v>3908</v>
      </c>
      <c r="C671" s="31" t="s">
        <v>3909</v>
      </c>
      <c r="D671" s="31" t="s">
        <v>1920</v>
      </c>
      <c r="E671" s="61" t="b">
        <v>1</v>
      </c>
      <c r="F671" s="107" t="s">
        <v>3910</v>
      </c>
      <c r="G671" s="116" t="str">
        <f>HYPERLINK("http://nsgreg.nga.mil/genc/view?v=200909&amp;end_month=3&amp;end_day=31&amp;end_year=2014","Ngozi")</f>
        <v>Ngozi</v>
      </c>
      <c r="H671" s="87" t="str">
        <f>HYPERLINK("http://api.nsgreg.nga.mil/geo-division/GENC/6/ed2/BI-NG","BI-NG")</f>
        <v>BI-NG</v>
      </c>
    </row>
    <row r="672" spans="1:8" x14ac:dyDescent="0.2">
      <c r="A672" s="157"/>
      <c r="B672" s="31" t="s">
        <v>3911</v>
      </c>
      <c r="C672" s="31" t="s">
        <v>3912</v>
      </c>
      <c r="D672" s="31" t="s">
        <v>1920</v>
      </c>
      <c r="E672" s="61" t="b">
        <v>1</v>
      </c>
      <c r="F672" s="107" t="s">
        <v>3913</v>
      </c>
      <c r="G672" s="116" t="str">
        <f>HYPERLINK("http://nsgreg.nga.mil/genc/view?v=200910&amp;end_month=3&amp;end_day=31&amp;end_year=2014","Rutana")</f>
        <v>Rutana</v>
      </c>
      <c r="H672" s="87" t="str">
        <f>HYPERLINK("http://api.nsgreg.nga.mil/geo-division/GENC/6/ed2/BI-RT","BI-RT")</f>
        <v>BI-RT</v>
      </c>
    </row>
    <row r="673" spans="1:8" x14ac:dyDescent="0.2">
      <c r="A673" s="158"/>
      <c r="B673" s="58" t="s">
        <v>3914</v>
      </c>
      <c r="C673" s="58" t="s">
        <v>3915</v>
      </c>
      <c r="D673" s="58" t="s">
        <v>1920</v>
      </c>
      <c r="E673" s="62" t="b">
        <v>1</v>
      </c>
      <c r="F673" s="111" t="s">
        <v>3916</v>
      </c>
      <c r="G673" s="117" t="str">
        <f>HYPERLINK("http://nsgreg.nga.mil/genc/view?v=200911&amp;end_month=3&amp;end_day=31&amp;end_year=2014","Ruyigi")</f>
        <v>Ruyigi</v>
      </c>
      <c r="H673" s="89" t="str">
        <f>HYPERLINK("http://api.nsgreg.nga.mil/geo-division/GENC/6/ed2/BI-RY","BI-RY")</f>
        <v>BI-RY</v>
      </c>
    </row>
    <row r="674" spans="1:8" x14ac:dyDescent="0.2">
      <c r="A674" s="156" t="str">
        <f>HYPERLINK("[#]Geopolitical_Entities!A45:I45","CABO VERDE")</f>
        <v>CABO VERDE</v>
      </c>
      <c r="B674" s="52" t="s">
        <v>3917</v>
      </c>
      <c r="C674" s="52" t="s">
        <v>3918</v>
      </c>
      <c r="D674" s="52" t="s">
        <v>3254</v>
      </c>
      <c r="E674" s="60" t="b">
        <v>1</v>
      </c>
      <c r="F674" s="109" t="s">
        <v>3919</v>
      </c>
      <c r="G674" s="118" t="str">
        <f>HYPERLINK("http://nsgreg.nga.mil/genc/view?v=112768&amp;gencs=T&amp;end_month=3&amp;end_day=31&amp;end_year=2014","Boa Vista")</f>
        <v>Boa Vista</v>
      </c>
      <c r="H674" s="91" t="str">
        <f>HYPERLINK("http://api.nsgreg.nga.mil/geo-division/ISO3166-2/6/ed3/CV-BV","CV-BV")</f>
        <v>CV-BV</v>
      </c>
    </row>
    <row r="675" spans="1:8" x14ac:dyDescent="0.2">
      <c r="A675" s="157"/>
      <c r="B675" s="31" t="s">
        <v>3920</v>
      </c>
      <c r="C675" s="31" t="s">
        <v>3921</v>
      </c>
      <c r="D675" s="31" t="s">
        <v>3254</v>
      </c>
      <c r="E675" s="61" t="b">
        <v>1</v>
      </c>
      <c r="F675" s="106" t="s">
        <v>3922</v>
      </c>
      <c r="G675" s="116" t="str">
        <f>HYPERLINK("http://nsgreg.nga.mil/genc/view?v=112767&amp;gencs=T&amp;end_month=3&amp;end_day=31&amp;end_year=2014","Brava")</f>
        <v>Brava</v>
      </c>
      <c r="H675" s="87" t="str">
        <f>HYPERLINK("http://api.nsgreg.nga.mil/geo-division/ISO3166-2/6/ed3/CV-BR","CV-BR")</f>
        <v>CV-BR</v>
      </c>
    </row>
    <row r="676" spans="1:8" x14ac:dyDescent="0.2">
      <c r="A676" s="157"/>
      <c r="B676" s="31" t="s">
        <v>3923</v>
      </c>
      <c r="C676" s="31" t="s">
        <v>3924</v>
      </c>
      <c r="D676" s="98" t="s">
        <v>3925</v>
      </c>
      <c r="E676" s="99" t="b">
        <v>0</v>
      </c>
      <c r="F676" s="106" t="s">
        <v>3926</v>
      </c>
      <c r="G676" s="116" t="str">
        <f>HYPERLINK("http://nsgreg.nga.mil/genc/view?v=112766&amp;gencs=T&amp;end_month=3&amp;end_day=31&amp;end_year=2014","Ilhas de Barlavento")</f>
        <v>Ilhas de Barlavento</v>
      </c>
      <c r="H676" s="87" t="str">
        <f>HYPERLINK("http://api.nsgreg.nga.mil/geo-division/ISO3166-2/6/ed3/CV-B","CV-B")</f>
        <v>CV-B</v>
      </c>
    </row>
    <row r="677" spans="1:8" x14ac:dyDescent="0.2">
      <c r="A677" s="157"/>
      <c r="B677" s="31" t="s">
        <v>3927</v>
      </c>
      <c r="C677" s="31" t="s">
        <v>3928</v>
      </c>
      <c r="D677" s="98" t="s">
        <v>3925</v>
      </c>
      <c r="E677" s="99" t="b">
        <v>0</v>
      </c>
      <c r="F677" s="106" t="s">
        <v>3929</v>
      </c>
      <c r="G677" s="116" t="str">
        <f>HYPERLINK("http://nsgreg.nga.mil/genc/view?v=112780&amp;gencs=T&amp;end_month=3&amp;end_day=31&amp;end_year=2014","Ilhas de Sotavento")</f>
        <v>Ilhas de Sotavento</v>
      </c>
      <c r="H677" s="87" t="str">
        <f>HYPERLINK("http://api.nsgreg.nga.mil/geo-division/ISO3166-2/6/ed3/CV-S","CV-S")</f>
        <v>CV-S</v>
      </c>
    </row>
    <row r="678" spans="1:8" x14ac:dyDescent="0.2">
      <c r="A678" s="157"/>
      <c r="B678" s="31" t="s">
        <v>3930</v>
      </c>
      <c r="C678" s="31" t="s">
        <v>3931</v>
      </c>
      <c r="D678" s="31" t="s">
        <v>3254</v>
      </c>
      <c r="E678" s="61" t="b">
        <v>1</v>
      </c>
      <c r="F678" s="106" t="s">
        <v>3932</v>
      </c>
      <c r="G678" s="116" t="str">
        <f>HYPERLINK("http://nsgreg.nga.mil/genc/view?v=112772&amp;gencs=T&amp;end_month=3&amp;end_day=31&amp;end_year=2014","Maio")</f>
        <v>Maio</v>
      </c>
      <c r="H678" s="87" t="str">
        <f>HYPERLINK("http://api.nsgreg.nga.mil/geo-division/ISO3166-2/6/ed3/CV-MA","CV-MA")</f>
        <v>CV-MA</v>
      </c>
    </row>
    <row r="679" spans="1:8" x14ac:dyDescent="0.2">
      <c r="A679" s="157"/>
      <c r="B679" s="31" t="s">
        <v>3933</v>
      </c>
      <c r="C679" s="31" t="s">
        <v>3934</v>
      </c>
      <c r="D679" s="31" t="s">
        <v>3254</v>
      </c>
      <c r="E679" s="61" t="b">
        <v>1</v>
      </c>
      <c r="F679" s="106" t="s">
        <v>3935</v>
      </c>
      <c r="G679" s="116" t="str">
        <f>HYPERLINK("http://nsgreg.nga.mil/genc/view?v=112773&amp;gencs=T&amp;end_month=3&amp;end_day=31&amp;end_year=2014","Mosteiros")</f>
        <v>Mosteiros</v>
      </c>
      <c r="H679" s="87" t="str">
        <f>HYPERLINK("http://api.nsgreg.nga.mil/geo-division/ISO3166-2/6/ed3/CV-MO","CV-MO")</f>
        <v>CV-MO</v>
      </c>
    </row>
    <row r="680" spans="1:8" x14ac:dyDescent="0.2">
      <c r="A680" s="157"/>
      <c r="B680" s="31" t="s">
        <v>3936</v>
      </c>
      <c r="C680" s="31" t="s">
        <v>3937</v>
      </c>
      <c r="D680" s="31" t="s">
        <v>3254</v>
      </c>
      <c r="E680" s="61" t="b">
        <v>1</v>
      </c>
      <c r="F680" s="106" t="s">
        <v>3938</v>
      </c>
      <c r="G680" s="116" t="str">
        <f>HYPERLINK("http://nsgreg.nga.mil/genc/view?v=112774&amp;gencs=T&amp;end_month=3&amp;end_day=31&amp;end_year=2014","Paul")</f>
        <v>Paul</v>
      </c>
      <c r="H680" s="87" t="str">
        <f>HYPERLINK("http://api.nsgreg.nga.mil/geo-division/ISO3166-2/6/ed3/CV-PA","CV-PA")</f>
        <v>CV-PA</v>
      </c>
    </row>
    <row r="681" spans="1:8" x14ac:dyDescent="0.2">
      <c r="A681" s="157"/>
      <c r="B681" s="31" t="s">
        <v>3939</v>
      </c>
      <c r="C681" s="31" t="s">
        <v>3940</v>
      </c>
      <c r="D681" s="31" t="s">
        <v>3254</v>
      </c>
      <c r="E681" s="61" t="b">
        <v>1</v>
      </c>
      <c r="F681" s="106" t="s">
        <v>3941</v>
      </c>
      <c r="G681" s="116" t="str">
        <f>HYPERLINK("http://nsgreg.nga.mil/genc/view?v=112775&amp;gencs=T&amp;end_month=3&amp;end_day=31&amp;end_year=2014","Porto Novo")</f>
        <v>Porto Novo</v>
      </c>
      <c r="H681" s="87" t="str">
        <f>HYPERLINK("http://api.nsgreg.nga.mil/geo-division/ISO3166-2/6/ed3/CV-PN","CV-PN")</f>
        <v>CV-PN</v>
      </c>
    </row>
    <row r="682" spans="1:8" x14ac:dyDescent="0.2">
      <c r="A682" s="157"/>
      <c r="B682" s="31" t="s">
        <v>3942</v>
      </c>
      <c r="C682" s="31" t="s">
        <v>3943</v>
      </c>
      <c r="D682" s="31" t="s">
        <v>3254</v>
      </c>
      <c r="E682" s="61" t="b">
        <v>1</v>
      </c>
      <c r="F682" s="106" t="s">
        <v>3944</v>
      </c>
      <c r="G682" s="116" t="str">
        <f>HYPERLINK("http://nsgreg.nga.mil/genc/view?v=112776&amp;gencs=T&amp;end_month=3&amp;end_day=31&amp;end_year=2014","Praia")</f>
        <v>Praia</v>
      </c>
      <c r="H682" s="87" t="str">
        <f>HYPERLINK("http://api.nsgreg.nga.mil/geo-division/ISO3166-2/6/ed3/CV-PR","CV-PR")</f>
        <v>CV-PR</v>
      </c>
    </row>
    <row r="683" spans="1:8" x14ac:dyDescent="0.2">
      <c r="A683" s="157"/>
      <c r="B683" s="31" t="s">
        <v>3945</v>
      </c>
      <c r="C683" s="31" t="s">
        <v>3946</v>
      </c>
      <c r="D683" s="31" t="s">
        <v>3254</v>
      </c>
      <c r="E683" s="61" t="b">
        <v>1</v>
      </c>
      <c r="F683" s="106" t="s">
        <v>3947</v>
      </c>
      <c r="G683" s="116" t="str">
        <f>HYPERLINK("http://nsgreg.nga.mil/genc/view?v=112777&amp;gencs=T&amp;end_month=3&amp;end_day=31&amp;end_year=2014","Ribeira Brava")</f>
        <v>Ribeira Brava</v>
      </c>
      <c r="H683" s="87" t="str">
        <f>HYPERLINK("http://api.nsgreg.nga.mil/geo-division/ISO3166-2/6/ed3/CV-RB","CV-RB")</f>
        <v>CV-RB</v>
      </c>
    </row>
    <row r="684" spans="1:8" x14ac:dyDescent="0.2">
      <c r="A684" s="157"/>
      <c r="B684" s="31" t="s">
        <v>3948</v>
      </c>
      <c r="C684" s="31" t="s">
        <v>3949</v>
      </c>
      <c r="D684" s="31" t="s">
        <v>3254</v>
      </c>
      <c r="E684" s="61" t="b">
        <v>1</v>
      </c>
      <c r="F684" s="106" t="s">
        <v>3950</v>
      </c>
      <c r="G684" s="116" t="str">
        <f>HYPERLINK("http://nsgreg.nga.mil/genc/view?v=112778&amp;gencs=T&amp;end_month=3&amp;end_day=31&amp;end_year=2014","Ribeira Grande")</f>
        <v>Ribeira Grande</v>
      </c>
      <c r="H684" s="87" t="str">
        <f>HYPERLINK("http://api.nsgreg.nga.mil/geo-division/ISO3166-2/6/ed3/CV-RG","CV-RG")</f>
        <v>CV-RG</v>
      </c>
    </row>
    <row r="685" spans="1:8" x14ac:dyDescent="0.2">
      <c r="A685" s="157"/>
      <c r="B685" s="31" t="s">
        <v>3951</v>
      </c>
      <c r="C685" s="31" t="s">
        <v>3952</v>
      </c>
      <c r="D685" s="31" t="s">
        <v>3254</v>
      </c>
      <c r="E685" s="61" t="b">
        <v>1</v>
      </c>
      <c r="F685" s="106" t="s">
        <v>3953</v>
      </c>
      <c r="G685" s="116" t="str">
        <f>HYPERLINK("http://nsgreg.nga.mil/genc/view?v=112779&amp;gencs=T&amp;end_month=3&amp;end_day=31&amp;end_year=2014","Ribeira Grande de Santiago")</f>
        <v>Ribeira Grande de Santiago</v>
      </c>
      <c r="H685" s="87" t="str">
        <f>HYPERLINK("http://api.nsgreg.nga.mil/geo-division/ISO3166-2/6/ed3/CV-RS","CV-RS")</f>
        <v>CV-RS</v>
      </c>
    </row>
    <row r="686" spans="1:8" x14ac:dyDescent="0.2">
      <c r="A686" s="157"/>
      <c r="B686" s="31" t="s">
        <v>3954</v>
      </c>
      <c r="C686" s="31" t="s">
        <v>3955</v>
      </c>
      <c r="D686" s="31" t="s">
        <v>3254</v>
      </c>
      <c r="E686" s="61" t="b">
        <v>1</v>
      </c>
      <c r="F686" s="106" t="s">
        <v>3956</v>
      </c>
      <c r="G686" s="116" t="str">
        <f>HYPERLINK("http://nsgreg.nga.mil/genc/view?v=112783&amp;gencs=T&amp;end_month=3&amp;end_day=31&amp;end_year=2014","Sal")</f>
        <v>Sal</v>
      </c>
      <c r="H686" s="87" t="str">
        <f>HYPERLINK("http://api.nsgreg.nga.mil/geo-division/ISO3166-2/6/ed3/CV-SL","CV-SL")</f>
        <v>CV-SL</v>
      </c>
    </row>
    <row r="687" spans="1:8" x14ac:dyDescent="0.2">
      <c r="A687" s="157"/>
      <c r="B687" s="31" t="s">
        <v>3957</v>
      </c>
      <c r="C687" s="31" t="s">
        <v>3539</v>
      </c>
      <c r="D687" s="31" t="s">
        <v>3254</v>
      </c>
      <c r="E687" s="61" t="b">
        <v>1</v>
      </c>
      <c r="F687" s="106" t="s">
        <v>3958</v>
      </c>
      <c r="G687" s="116" t="str">
        <f>HYPERLINK("http://nsgreg.nga.mil/genc/view?v=112769&amp;gencs=T&amp;end_month=3&amp;end_day=31&amp;end_year=2014","Santa Catarina")</f>
        <v>Santa Catarina</v>
      </c>
      <c r="H687" s="87" t="str">
        <f>HYPERLINK("http://api.nsgreg.nga.mil/geo-division/ISO3166-2/6/ed3/CV-CA","CV-CA")</f>
        <v>CV-CA</v>
      </c>
    </row>
    <row r="688" spans="1:8" x14ac:dyDescent="0.2">
      <c r="A688" s="157"/>
      <c r="B688" s="31" t="s">
        <v>3959</v>
      </c>
      <c r="C688" s="31" t="s">
        <v>3960</v>
      </c>
      <c r="D688" s="31" t="s">
        <v>3254</v>
      </c>
      <c r="E688" s="61" t="b">
        <v>1</v>
      </c>
      <c r="F688" s="106" t="s">
        <v>3961</v>
      </c>
      <c r="G688" s="116" t="str">
        <f>HYPERLINK("http://nsgreg.nga.mil/genc/view?v=112770&amp;gencs=T&amp;end_month=3&amp;end_day=31&amp;end_year=2014","Santa Catarina do Fogo")</f>
        <v>Santa Catarina do Fogo</v>
      </c>
      <c r="H688" s="87" t="str">
        <f>HYPERLINK("http://api.nsgreg.nga.mil/geo-division/ISO3166-2/6/ed3/CV-CF","CV-CF")</f>
        <v>CV-CF</v>
      </c>
    </row>
    <row r="689" spans="1:8" x14ac:dyDescent="0.2">
      <c r="A689" s="157"/>
      <c r="B689" s="31" t="s">
        <v>3962</v>
      </c>
      <c r="C689" s="31" t="s">
        <v>2459</v>
      </c>
      <c r="D689" s="31" t="s">
        <v>3254</v>
      </c>
      <c r="E689" s="61" t="b">
        <v>1</v>
      </c>
      <c r="F689" s="106" t="s">
        <v>3963</v>
      </c>
      <c r="G689" s="116" t="str">
        <f>HYPERLINK("http://nsgreg.nga.mil/genc/view?v=112771&amp;gencs=T&amp;end_month=3&amp;end_day=31&amp;end_year=2014","Santa Cruz")</f>
        <v>Santa Cruz</v>
      </c>
      <c r="H689" s="87" t="str">
        <f>HYPERLINK("http://api.nsgreg.nga.mil/geo-division/ISO3166-2/6/ed3/CV-CR","CV-CR")</f>
        <v>CV-CR</v>
      </c>
    </row>
    <row r="690" spans="1:8" x14ac:dyDescent="0.2">
      <c r="A690" s="157"/>
      <c r="B690" s="31" t="s">
        <v>3964</v>
      </c>
      <c r="C690" s="31" t="s">
        <v>3965</v>
      </c>
      <c r="D690" s="31" t="s">
        <v>3254</v>
      </c>
      <c r="E690" s="61" t="b">
        <v>1</v>
      </c>
      <c r="F690" s="106" t="s">
        <v>3966</v>
      </c>
      <c r="G690" s="116" t="str">
        <f>HYPERLINK("http://nsgreg.nga.mil/genc/view?v=112781&amp;gencs=T&amp;end_month=3&amp;end_day=31&amp;end_year=2014","São Domingos")</f>
        <v>São Domingos</v>
      </c>
      <c r="H690" s="87" t="str">
        <f>HYPERLINK("http://api.nsgreg.nga.mil/geo-division/ISO3166-2/6/ed3/CV-SD","CV-SD")</f>
        <v>CV-SD</v>
      </c>
    </row>
    <row r="691" spans="1:8" x14ac:dyDescent="0.2">
      <c r="A691" s="157"/>
      <c r="B691" s="31" t="s">
        <v>3967</v>
      </c>
      <c r="C691" s="31" t="s">
        <v>3968</v>
      </c>
      <c r="D691" s="31" t="s">
        <v>3254</v>
      </c>
      <c r="E691" s="61" t="b">
        <v>1</v>
      </c>
      <c r="F691" s="106" t="s">
        <v>3969</v>
      </c>
      <c r="G691" s="116" t="str">
        <f>HYPERLINK("http://nsgreg.nga.mil/genc/view?v=112782&amp;gencs=T&amp;end_month=3&amp;end_day=31&amp;end_year=2014","São Filipe")</f>
        <v>São Filipe</v>
      </c>
      <c r="H691" s="87" t="str">
        <f>HYPERLINK("http://api.nsgreg.nga.mil/geo-division/ISO3166-2/6/ed3/CV-SF","CV-SF")</f>
        <v>CV-SF</v>
      </c>
    </row>
    <row r="692" spans="1:8" x14ac:dyDescent="0.2">
      <c r="A692" s="157"/>
      <c r="B692" s="31" t="s">
        <v>3970</v>
      </c>
      <c r="C692" s="31" t="s">
        <v>3971</v>
      </c>
      <c r="D692" s="31" t="s">
        <v>3254</v>
      </c>
      <c r="E692" s="61" t="b">
        <v>1</v>
      </c>
      <c r="F692" s="106" t="s">
        <v>3972</v>
      </c>
      <c r="G692" s="116" t="str">
        <f>HYPERLINK("http://nsgreg.nga.mil/genc/view?v=112785&amp;gencs=T&amp;end_month=3&amp;end_day=31&amp;end_year=2014","São Lourenço dos Órgãos")</f>
        <v>São Lourenço dos Órgãos</v>
      </c>
      <c r="H692" s="87" t="str">
        <f>HYPERLINK("http://api.nsgreg.nga.mil/geo-division/ISO3166-2/6/ed3/CV-SO","CV-SO")</f>
        <v>CV-SO</v>
      </c>
    </row>
    <row r="693" spans="1:8" x14ac:dyDescent="0.2">
      <c r="A693" s="157"/>
      <c r="B693" s="31" t="s">
        <v>3973</v>
      </c>
      <c r="C693" s="31" t="s">
        <v>3974</v>
      </c>
      <c r="D693" s="31" t="s">
        <v>3254</v>
      </c>
      <c r="E693" s="61" t="b">
        <v>1</v>
      </c>
      <c r="F693" s="106" t="s">
        <v>3975</v>
      </c>
      <c r="G693" s="116" t="str">
        <f>HYPERLINK("http://nsgreg.nga.mil/genc/view?v=112784&amp;gencs=T&amp;end_month=3&amp;end_day=31&amp;end_year=2014","São Miguel")</f>
        <v>São Miguel</v>
      </c>
      <c r="H693" s="87" t="str">
        <f>HYPERLINK("http://api.nsgreg.nga.mil/geo-division/ISO3166-2/6/ed3/CV-SM","CV-SM")</f>
        <v>CV-SM</v>
      </c>
    </row>
    <row r="694" spans="1:8" x14ac:dyDescent="0.2">
      <c r="A694" s="157"/>
      <c r="B694" s="31" t="s">
        <v>3976</v>
      </c>
      <c r="C694" s="31" t="s">
        <v>3977</v>
      </c>
      <c r="D694" s="31" t="s">
        <v>3254</v>
      </c>
      <c r="E694" s="61" t="b">
        <v>1</v>
      </c>
      <c r="F694" s="106" t="s">
        <v>3978</v>
      </c>
      <c r="G694" s="116" t="str">
        <f>HYPERLINK("http://nsgreg.nga.mil/genc/view?v=112786&amp;gencs=T&amp;end_month=3&amp;end_day=31&amp;end_year=2014","São Salvador do Mundo")</f>
        <v>São Salvador do Mundo</v>
      </c>
      <c r="H694" s="87" t="str">
        <f>HYPERLINK("http://api.nsgreg.nga.mil/geo-division/ISO3166-2/6/ed3/CV-SS","CV-SS")</f>
        <v>CV-SS</v>
      </c>
    </row>
    <row r="695" spans="1:8" x14ac:dyDescent="0.2">
      <c r="A695" s="157"/>
      <c r="B695" s="31" t="s">
        <v>3979</v>
      </c>
      <c r="C695" s="31" t="s">
        <v>3980</v>
      </c>
      <c r="D695" s="31" t="s">
        <v>3254</v>
      </c>
      <c r="E695" s="61" t="b">
        <v>1</v>
      </c>
      <c r="F695" s="106" t="s">
        <v>3981</v>
      </c>
      <c r="G695" s="116" t="str">
        <f>HYPERLINK("http://nsgreg.nga.mil/genc/view?v=112787&amp;gencs=T&amp;end_month=3&amp;end_day=31&amp;end_year=2014","São Vicente")</f>
        <v>São Vicente</v>
      </c>
      <c r="H695" s="87" t="str">
        <f>HYPERLINK("http://api.nsgreg.nga.mil/geo-division/ISO3166-2/6/ed3/CV-SV","CV-SV")</f>
        <v>CV-SV</v>
      </c>
    </row>
    <row r="696" spans="1:8" x14ac:dyDescent="0.2">
      <c r="A696" s="157"/>
      <c r="B696" s="31" t="s">
        <v>3982</v>
      </c>
      <c r="C696" s="31" t="s">
        <v>3983</v>
      </c>
      <c r="D696" s="31" t="s">
        <v>3254</v>
      </c>
      <c r="E696" s="61" t="b">
        <v>1</v>
      </c>
      <c r="F696" s="106" t="s">
        <v>3984</v>
      </c>
      <c r="G696" s="116" t="str">
        <f>HYPERLINK("http://nsgreg.nga.mil/genc/view?v=112788&amp;gencs=T&amp;end_month=3&amp;end_day=31&amp;end_year=2014","Tarrafal")</f>
        <v>Tarrafal</v>
      </c>
      <c r="H696" s="87" t="str">
        <f>HYPERLINK("http://api.nsgreg.nga.mil/geo-division/ISO3166-2/6/ed3/CV-TA","CV-TA")</f>
        <v>CV-TA</v>
      </c>
    </row>
    <row r="697" spans="1:8" x14ac:dyDescent="0.2">
      <c r="A697" s="158"/>
      <c r="B697" s="58" t="s">
        <v>3985</v>
      </c>
      <c r="C697" s="58" t="s">
        <v>3986</v>
      </c>
      <c r="D697" s="58" t="s">
        <v>3254</v>
      </c>
      <c r="E697" s="62" t="b">
        <v>1</v>
      </c>
      <c r="F697" s="108" t="s">
        <v>3987</v>
      </c>
      <c r="G697" s="117" t="str">
        <f>HYPERLINK("http://nsgreg.nga.mil/genc/view?v=112789&amp;gencs=T&amp;end_month=3&amp;end_day=31&amp;end_year=2014","Tarrafal de São Nicolau")</f>
        <v>Tarrafal de São Nicolau</v>
      </c>
      <c r="H697" s="89" t="str">
        <f>HYPERLINK("http://api.nsgreg.nga.mil/geo-division/ISO3166-2/6/ed3/CV-TS","CV-TS")</f>
        <v>CV-TS</v>
      </c>
    </row>
    <row r="698" spans="1:8" x14ac:dyDescent="0.2">
      <c r="A698" s="156" t="str">
        <f>HYPERLINK("[#]Geopolitical_Entities!A46:I46","CAMBODIA")</f>
        <v>CAMBODIA</v>
      </c>
      <c r="B698" s="52" t="s">
        <v>3988</v>
      </c>
      <c r="C698" s="52" t="s">
        <v>3989</v>
      </c>
      <c r="D698" s="52" t="s">
        <v>1920</v>
      </c>
      <c r="E698" s="60" t="b">
        <v>1</v>
      </c>
      <c r="F698" s="110" t="s">
        <v>3990</v>
      </c>
      <c r="G698" s="118" t="str">
        <f>HYPERLINK("http://nsgreg.nga.mil/genc/view?v=201673&amp;end_month=3&amp;end_day=31&amp;end_year=2014","Banteay Meanchey")</f>
        <v>Banteay Meanchey</v>
      </c>
      <c r="H698" s="91" t="str">
        <f>HYPERLINK("http://api.nsgreg.nga.mil/geo-division/GENC/6/ed2/KH-1","KH-1")</f>
        <v>KH-1</v>
      </c>
    </row>
    <row r="699" spans="1:8" x14ac:dyDescent="0.2">
      <c r="A699" s="157"/>
      <c r="B699" s="31" t="s">
        <v>3991</v>
      </c>
      <c r="C699" s="31" t="s">
        <v>3992</v>
      </c>
      <c r="D699" s="31" t="s">
        <v>1920</v>
      </c>
      <c r="E699" s="61" t="b">
        <v>1</v>
      </c>
      <c r="F699" s="107" t="s">
        <v>3993</v>
      </c>
      <c r="G699" s="116" t="str">
        <f>HYPERLINK("http://nsgreg.nga.mil/genc/view?v=201684&amp;end_month=3&amp;end_day=31&amp;end_year=2014","Battambang")</f>
        <v>Battambang</v>
      </c>
      <c r="H699" s="87" t="str">
        <f>HYPERLINK("http://api.nsgreg.nga.mil/geo-division/GENC/6/ed2/KH-2","KH-2")</f>
        <v>KH-2</v>
      </c>
    </row>
    <row r="700" spans="1:8" x14ac:dyDescent="0.2">
      <c r="A700" s="157"/>
      <c r="B700" s="31" t="s">
        <v>3994</v>
      </c>
      <c r="C700" s="31" t="s">
        <v>3995</v>
      </c>
      <c r="D700" s="31" t="s">
        <v>1920</v>
      </c>
      <c r="E700" s="61" t="b">
        <v>1</v>
      </c>
      <c r="F700" s="107" t="s">
        <v>3996</v>
      </c>
      <c r="G700" s="116" t="str">
        <f>HYPERLINK("http://nsgreg.nga.mil/genc/view?v=201690&amp;end_month=3&amp;end_day=31&amp;end_year=2014","Kampong Cham")</f>
        <v>Kampong Cham</v>
      </c>
      <c r="H700" s="87" t="str">
        <f>HYPERLINK("http://api.nsgreg.nga.mil/geo-division/GENC/6/ed2/KH-3","KH-3")</f>
        <v>KH-3</v>
      </c>
    </row>
    <row r="701" spans="1:8" x14ac:dyDescent="0.2">
      <c r="A701" s="157"/>
      <c r="B701" s="31" t="s">
        <v>3997</v>
      </c>
      <c r="C701" s="31" t="s">
        <v>3998</v>
      </c>
      <c r="D701" s="31" t="s">
        <v>1920</v>
      </c>
      <c r="E701" s="61" t="b">
        <v>1</v>
      </c>
      <c r="F701" s="107" t="s">
        <v>3999</v>
      </c>
      <c r="G701" s="116" t="str">
        <f>HYPERLINK("http://nsgreg.nga.mil/genc/view?v=201691&amp;end_month=3&amp;end_day=31&amp;end_year=2014","Kampong Chhnang")</f>
        <v>Kampong Chhnang</v>
      </c>
      <c r="H701" s="87" t="str">
        <f>HYPERLINK("http://api.nsgreg.nga.mil/geo-division/GENC/6/ed2/KH-4","KH-4")</f>
        <v>KH-4</v>
      </c>
    </row>
    <row r="702" spans="1:8" x14ac:dyDescent="0.2">
      <c r="A702" s="157"/>
      <c r="B702" s="31" t="s">
        <v>4000</v>
      </c>
      <c r="C702" s="31" t="s">
        <v>4001</v>
      </c>
      <c r="D702" s="31" t="s">
        <v>1920</v>
      </c>
      <c r="E702" s="61" t="b">
        <v>1</v>
      </c>
      <c r="F702" s="107" t="s">
        <v>4002</v>
      </c>
      <c r="G702" s="116" t="str">
        <f>HYPERLINK("http://nsgreg.nga.mil/genc/view?v=201692&amp;end_month=3&amp;end_day=31&amp;end_year=2014","Kampong Speu")</f>
        <v>Kampong Speu</v>
      </c>
      <c r="H702" s="87" t="str">
        <f>HYPERLINK("http://api.nsgreg.nga.mil/geo-division/GENC/6/ed2/KH-5","KH-5")</f>
        <v>KH-5</v>
      </c>
    </row>
    <row r="703" spans="1:8" x14ac:dyDescent="0.2">
      <c r="A703" s="157"/>
      <c r="B703" s="31" t="s">
        <v>4003</v>
      </c>
      <c r="C703" s="31" t="s">
        <v>4004</v>
      </c>
      <c r="D703" s="31" t="s">
        <v>1920</v>
      </c>
      <c r="E703" s="61" t="b">
        <v>1</v>
      </c>
      <c r="F703" s="107" t="s">
        <v>4005</v>
      </c>
      <c r="G703" s="116" t="str">
        <f>HYPERLINK("http://nsgreg.nga.mil/genc/view?v=201693&amp;end_month=3&amp;end_day=31&amp;end_year=2014","Kampong Thom")</f>
        <v>Kampong Thom</v>
      </c>
      <c r="H703" s="87" t="str">
        <f>HYPERLINK("http://api.nsgreg.nga.mil/geo-division/GENC/6/ed2/KH-6","KH-6")</f>
        <v>KH-6</v>
      </c>
    </row>
    <row r="704" spans="1:8" x14ac:dyDescent="0.2">
      <c r="A704" s="157"/>
      <c r="B704" s="31" t="s">
        <v>4006</v>
      </c>
      <c r="C704" s="31" t="s">
        <v>4007</v>
      </c>
      <c r="D704" s="31" t="s">
        <v>1920</v>
      </c>
      <c r="E704" s="61" t="b">
        <v>1</v>
      </c>
      <c r="F704" s="107" t="s">
        <v>4008</v>
      </c>
      <c r="G704" s="116" t="str">
        <f>HYPERLINK("http://nsgreg.nga.mil/genc/view?v=201694&amp;end_month=3&amp;end_day=31&amp;end_year=2014","Kampot")</f>
        <v>Kampot</v>
      </c>
      <c r="H704" s="87" t="str">
        <f>HYPERLINK("http://api.nsgreg.nga.mil/geo-division/GENC/6/ed2/KH-7","KH-7")</f>
        <v>KH-7</v>
      </c>
    </row>
    <row r="705" spans="1:8" x14ac:dyDescent="0.2">
      <c r="A705" s="157"/>
      <c r="B705" s="31" t="s">
        <v>4009</v>
      </c>
      <c r="C705" s="31" t="s">
        <v>4010</v>
      </c>
      <c r="D705" s="31" t="s">
        <v>1920</v>
      </c>
      <c r="E705" s="61" t="b">
        <v>1</v>
      </c>
      <c r="F705" s="107" t="s">
        <v>4011</v>
      </c>
      <c r="G705" s="116" t="str">
        <f>HYPERLINK("http://nsgreg.nga.mil/genc/view?v=201695&amp;end_month=3&amp;end_day=31&amp;end_year=2014","Kandal")</f>
        <v>Kandal</v>
      </c>
      <c r="H705" s="87" t="str">
        <f>HYPERLINK("http://api.nsgreg.nga.mil/geo-division/GENC/6/ed2/KH-8","KH-8")</f>
        <v>KH-8</v>
      </c>
    </row>
    <row r="706" spans="1:8" x14ac:dyDescent="0.2">
      <c r="A706" s="157"/>
      <c r="B706" s="31" t="s">
        <v>4012</v>
      </c>
      <c r="C706" s="31" t="s">
        <v>4013</v>
      </c>
      <c r="D706" s="31" t="s">
        <v>1920</v>
      </c>
      <c r="E706" s="61" t="b">
        <v>1</v>
      </c>
      <c r="F706" s="107" t="s">
        <v>4014</v>
      </c>
      <c r="G706" s="116" t="str">
        <f>HYPERLINK("http://nsgreg.nga.mil/genc/view?v=201688&amp;end_month=3&amp;end_day=31&amp;end_year=2014","Kep")</f>
        <v>Kep</v>
      </c>
      <c r="H706" s="87" t="str">
        <f>HYPERLINK("http://api.nsgreg.nga.mil/geo-division/GENC/6/ed2/KH-23","KH-23")</f>
        <v>KH-23</v>
      </c>
    </row>
    <row r="707" spans="1:8" x14ac:dyDescent="0.2">
      <c r="A707" s="157"/>
      <c r="B707" s="31" t="s">
        <v>4015</v>
      </c>
      <c r="C707" s="31" t="s">
        <v>4016</v>
      </c>
      <c r="D707" s="31" t="s">
        <v>1920</v>
      </c>
      <c r="E707" s="61" t="b">
        <v>1</v>
      </c>
      <c r="F707" s="107" t="s">
        <v>4017</v>
      </c>
      <c r="G707" s="116" t="str">
        <f>HYPERLINK("http://nsgreg.nga.mil/genc/view?v=201696&amp;end_month=3&amp;end_day=31&amp;end_year=2014","Koh Kong")</f>
        <v>Koh Kong</v>
      </c>
      <c r="H707" s="87" t="str">
        <f>HYPERLINK("http://api.nsgreg.nga.mil/geo-division/GENC/6/ed2/KH-9","KH-9")</f>
        <v>KH-9</v>
      </c>
    </row>
    <row r="708" spans="1:8" x14ac:dyDescent="0.2">
      <c r="A708" s="157"/>
      <c r="B708" s="31" t="s">
        <v>4018</v>
      </c>
      <c r="C708" s="31" t="s">
        <v>4019</v>
      </c>
      <c r="D708" s="31" t="s">
        <v>1920</v>
      </c>
      <c r="E708" s="61" t="b">
        <v>1</v>
      </c>
      <c r="F708" s="107" t="s">
        <v>4020</v>
      </c>
      <c r="G708" s="116" t="str">
        <f>HYPERLINK("http://nsgreg.nga.mil/genc/view?v=201674&amp;end_month=3&amp;end_day=31&amp;end_year=2014","Kratie")</f>
        <v>Kratie</v>
      </c>
      <c r="H708" s="87" t="str">
        <f>HYPERLINK("http://api.nsgreg.nga.mil/geo-division/GENC/6/ed2/KH-10","KH-10")</f>
        <v>KH-10</v>
      </c>
    </row>
    <row r="709" spans="1:8" x14ac:dyDescent="0.2">
      <c r="A709" s="157"/>
      <c r="B709" s="31" t="s">
        <v>4021</v>
      </c>
      <c r="C709" s="31" t="s">
        <v>4022</v>
      </c>
      <c r="D709" s="31" t="s">
        <v>1920</v>
      </c>
      <c r="E709" s="61" t="b">
        <v>1</v>
      </c>
      <c r="F709" s="107" t="s">
        <v>4023</v>
      </c>
      <c r="G709" s="116" t="str">
        <f>HYPERLINK("http://nsgreg.nga.mil/genc/view?v=201675&amp;end_month=3&amp;end_day=31&amp;end_year=2014","Mondolkiri")</f>
        <v>Mondolkiri</v>
      </c>
      <c r="H709" s="87" t="str">
        <f>HYPERLINK("http://api.nsgreg.nga.mil/geo-division/GENC/6/ed2/KH-11","KH-11")</f>
        <v>KH-11</v>
      </c>
    </row>
    <row r="710" spans="1:8" x14ac:dyDescent="0.2">
      <c r="A710" s="157"/>
      <c r="B710" s="31" t="s">
        <v>4024</v>
      </c>
      <c r="C710" s="31" t="s">
        <v>4025</v>
      </c>
      <c r="D710" s="31" t="s">
        <v>1920</v>
      </c>
      <c r="E710" s="61" t="b">
        <v>1</v>
      </c>
      <c r="F710" s="107" t="s">
        <v>4026</v>
      </c>
      <c r="G710" s="116" t="str">
        <f>HYPERLINK("http://nsgreg.nga.mil/genc/view?v=201687&amp;end_month=3&amp;end_day=31&amp;end_year=2014","Oddar Meanchey")</f>
        <v>Oddar Meanchey</v>
      </c>
      <c r="H710" s="87" t="str">
        <f>HYPERLINK("http://api.nsgreg.nga.mil/geo-division/GENC/6/ed2/KH-22","KH-22")</f>
        <v>KH-22</v>
      </c>
    </row>
    <row r="711" spans="1:8" x14ac:dyDescent="0.2">
      <c r="A711" s="157"/>
      <c r="B711" s="31" t="s">
        <v>4027</v>
      </c>
      <c r="C711" s="31" t="s">
        <v>4028</v>
      </c>
      <c r="D711" s="31" t="s">
        <v>1920</v>
      </c>
      <c r="E711" s="61" t="b">
        <v>1</v>
      </c>
      <c r="F711" s="107" t="s">
        <v>4029</v>
      </c>
      <c r="G711" s="116" t="str">
        <f>HYPERLINK("http://nsgreg.nga.mil/genc/view?v=201689&amp;end_month=3&amp;end_day=31&amp;end_year=2014","Pailin")</f>
        <v>Pailin</v>
      </c>
      <c r="H711" s="87" t="str">
        <f>HYPERLINK("http://api.nsgreg.nga.mil/geo-division/GENC/6/ed2/KH-24","KH-24")</f>
        <v>KH-24</v>
      </c>
    </row>
    <row r="712" spans="1:8" x14ac:dyDescent="0.2">
      <c r="A712" s="157"/>
      <c r="B712" s="31" t="s">
        <v>4030</v>
      </c>
      <c r="C712" s="31" t="s">
        <v>4031</v>
      </c>
      <c r="D712" s="31" t="s">
        <v>1920</v>
      </c>
      <c r="E712" s="61" t="b">
        <v>1</v>
      </c>
      <c r="F712" s="107" t="s">
        <v>4032</v>
      </c>
      <c r="G712" s="116" t="str">
        <f>HYPERLINK("http://nsgreg.nga.mil/genc/view?v=201676&amp;end_month=3&amp;end_day=31&amp;end_year=2014","Phnom Penh")</f>
        <v>Phnom Penh</v>
      </c>
      <c r="H712" s="87" t="str">
        <f>HYPERLINK("http://api.nsgreg.nga.mil/geo-division/GENC/6/ed2/KH-12","KH-12")</f>
        <v>KH-12</v>
      </c>
    </row>
    <row r="713" spans="1:8" x14ac:dyDescent="0.2">
      <c r="A713" s="157"/>
      <c r="B713" s="31" t="s">
        <v>4033</v>
      </c>
      <c r="C713" s="31" t="s">
        <v>4034</v>
      </c>
      <c r="D713" s="31" t="s">
        <v>1920</v>
      </c>
      <c r="E713" s="61" t="b">
        <v>1</v>
      </c>
      <c r="F713" s="107" t="s">
        <v>4035</v>
      </c>
      <c r="G713" s="116" t="str">
        <f>HYPERLINK("http://nsgreg.nga.mil/genc/view?v=201677&amp;end_month=3&amp;end_day=31&amp;end_year=2014","Preah Vihear")</f>
        <v>Preah Vihear</v>
      </c>
      <c r="H713" s="87" t="str">
        <f>HYPERLINK("http://api.nsgreg.nga.mil/geo-division/GENC/6/ed2/KH-13","KH-13")</f>
        <v>KH-13</v>
      </c>
    </row>
    <row r="714" spans="1:8" x14ac:dyDescent="0.2">
      <c r="A714" s="157"/>
      <c r="B714" s="31" t="s">
        <v>4036</v>
      </c>
      <c r="C714" s="31" t="s">
        <v>4037</v>
      </c>
      <c r="D714" s="31" t="s">
        <v>1920</v>
      </c>
      <c r="E714" s="61" t="b">
        <v>1</v>
      </c>
      <c r="F714" s="107" t="s">
        <v>4038</v>
      </c>
      <c r="G714" s="116" t="str">
        <f>HYPERLINK("http://nsgreg.nga.mil/genc/view?v=201678&amp;end_month=3&amp;end_day=31&amp;end_year=2014","Prey Veng")</f>
        <v>Prey Veng</v>
      </c>
      <c r="H714" s="87" t="str">
        <f>HYPERLINK("http://api.nsgreg.nga.mil/geo-division/GENC/6/ed2/KH-14","KH-14")</f>
        <v>KH-14</v>
      </c>
    </row>
    <row r="715" spans="1:8" x14ac:dyDescent="0.2">
      <c r="A715" s="157"/>
      <c r="B715" s="31" t="s">
        <v>4039</v>
      </c>
      <c r="C715" s="31" t="s">
        <v>4040</v>
      </c>
      <c r="D715" s="31" t="s">
        <v>1920</v>
      </c>
      <c r="E715" s="61" t="b">
        <v>1</v>
      </c>
      <c r="F715" s="107" t="s">
        <v>4041</v>
      </c>
      <c r="G715" s="116" t="str">
        <f>HYPERLINK("http://nsgreg.nga.mil/genc/view?v=201679&amp;end_month=3&amp;end_day=31&amp;end_year=2014","Pursat")</f>
        <v>Pursat</v>
      </c>
      <c r="H715" s="87" t="str">
        <f>HYPERLINK("http://api.nsgreg.nga.mil/geo-division/GENC/6/ed2/KH-15","KH-15")</f>
        <v>KH-15</v>
      </c>
    </row>
    <row r="716" spans="1:8" x14ac:dyDescent="0.2">
      <c r="A716" s="157"/>
      <c r="B716" s="31" t="s">
        <v>4042</v>
      </c>
      <c r="C716" s="31" t="s">
        <v>4043</v>
      </c>
      <c r="D716" s="31" t="s">
        <v>1920</v>
      </c>
      <c r="E716" s="61" t="b">
        <v>1</v>
      </c>
      <c r="F716" s="107" t="s">
        <v>4044</v>
      </c>
      <c r="G716" s="116" t="str">
        <f>HYPERLINK("http://nsgreg.nga.mil/genc/view?v=201680&amp;end_month=3&amp;end_day=31&amp;end_year=2014","Ratanakiri")</f>
        <v>Ratanakiri</v>
      </c>
      <c r="H716" s="87" t="str">
        <f>HYPERLINK("http://api.nsgreg.nga.mil/geo-division/GENC/6/ed2/KH-16","KH-16")</f>
        <v>KH-16</v>
      </c>
    </row>
    <row r="717" spans="1:8" x14ac:dyDescent="0.2">
      <c r="A717" s="157"/>
      <c r="B717" s="31" t="s">
        <v>4045</v>
      </c>
      <c r="C717" s="31" t="s">
        <v>4046</v>
      </c>
      <c r="D717" s="31" t="s">
        <v>1920</v>
      </c>
      <c r="E717" s="61" t="b">
        <v>1</v>
      </c>
      <c r="F717" s="107" t="s">
        <v>4047</v>
      </c>
      <c r="G717" s="116" t="str">
        <f>HYPERLINK("http://nsgreg.nga.mil/genc/view?v=201681&amp;end_month=3&amp;end_day=31&amp;end_year=2014","Siem Reap")</f>
        <v>Siem Reap</v>
      </c>
      <c r="H717" s="87" t="str">
        <f>HYPERLINK("http://api.nsgreg.nga.mil/geo-division/GENC/6/ed2/KH-17","KH-17")</f>
        <v>KH-17</v>
      </c>
    </row>
    <row r="718" spans="1:8" x14ac:dyDescent="0.2">
      <c r="A718" s="157"/>
      <c r="B718" s="31" t="s">
        <v>4048</v>
      </c>
      <c r="C718" s="31" t="s">
        <v>4049</v>
      </c>
      <c r="D718" s="31" t="s">
        <v>1920</v>
      </c>
      <c r="E718" s="61" t="b">
        <v>1</v>
      </c>
      <c r="F718" s="107" t="s">
        <v>4050</v>
      </c>
      <c r="G718" s="116" t="str">
        <f>HYPERLINK("http://nsgreg.nga.mil/genc/view?v=201682&amp;end_month=3&amp;end_day=31&amp;end_year=2014","Sihanoukville")</f>
        <v>Sihanoukville</v>
      </c>
      <c r="H718" s="87" t="str">
        <f>HYPERLINK("http://api.nsgreg.nga.mil/geo-division/GENC/6/ed2/KH-18","KH-18")</f>
        <v>KH-18</v>
      </c>
    </row>
    <row r="719" spans="1:8" x14ac:dyDescent="0.2">
      <c r="A719" s="157"/>
      <c r="B719" s="31" t="s">
        <v>4051</v>
      </c>
      <c r="C719" s="31" t="s">
        <v>4052</v>
      </c>
      <c r="D719" s="31" t="s">
        <v>1920</v>
      </c>
      <c r="E719" s="61" t="b">
        <v>1</v>
      </c>
      <c r="F719" s="107" t="s">
        <v>4053</v>
      </c>
      <c r="G719" s="116" t="str">
        <f>HYPERLINK("http://nsgreg.nga.mil/genc/view?v=201683&amp;end_month=3&amp;end_day=31&amp;end_year=2014","Stung Treng")</f>
        <v>Stung Treng</v>
      </c>
      <c r="H719" s="87" t="str">
        <f>HYPERLINK("http://api.nsgreg.nga.mil/geo-division/GENC/6/ed2/KH-19","KH-19")</f>
        <v>KH-19</v>
      </c>
    </row>
    <row r="720" spans="1:8" x14ac:dyDescent="0.2">
      <c r="A720" s="157"/>
      <c r="B720" s="31" t="s">
        <v>4054</v>
      </c>
      <c r="C720" s="31" t="s">
        <v>4055</v>
      </c>
      <c r="D720" s="31" t="s">
        <v>1920</v>
      </c>
      <c r="E720" s="61" t="b">
        <v>1</v>
      </c>
      <c r="F720" s="107" t="s">
        <v>4056</v>
      </c>
      <c r="G720" s="116" t="str">
        <f>HYPERLINK("http://nsgreg.nga.mil/genc/view?v=201685&amp;end_month=3&amp;end_day=31&amp;end_year=2014","Svay Rieng")</f>
        <v>Svay Rieng</v>
      </c>
      <c r="H720" s="87" t="str">
        <f>HYPERLINK("http://api.nsgreg.nga.mil/geo-division/GENC/6/ed2/KH-20","KH-20")</f>
        <v>KH-20</v>
      </c>
    </row>
    <row r="721" spans="1:8" x14ac:dyDescent="0.2">
      <c r="A721" s="158"/>
      <c r="B721" s="58" t="s">
        <v>4057</v>
      </c>
      <c r="C721" s="58" t="s">
        <v>4058</v>
      </c>
      <c r="D721" s="58" t="s">
        <v>1920</v>
      </c>
      <c r="E721" s="62" t="b">
        <v>1</v>
      </c>
      <c r="F721" s="111" t="s">
        <v>4059</v>
      </c>
      <c r="G721" s="117" t="str">
        <f>HYPERLINK("http://nsgreg.nga.mil/genc/view?v=201686&amp;end_month=3&amp;end_day=31&amp;end_year=2014","Takeo")</f>
        <v>Takeo</v>
      </c>
      <c r="H721" s="89" t="str">
        <f>HYPERLINK("http://api.nsgreg.nga.mil/geo-division/GENC/6/ed2/KH-21","KH-21")</f>
        <v>KH-21</v>
      </c>
    </row>
    <row r="722" spans="1:8" x14ac:dyDescent="0.2">
      <c r="A722" s="156" t="str">
        <f>HYPERLINK("[#]Geopolitical_Entities!A47:I47","CAMEROON")</f>
        <v>CAMEROON</v>
      </c>
      <c r="B722" s="52" t="s">
        <v>4060</v>
      </c>
      <c r="C722" s="52" t="s">
        <v>4061</v>
      </c>
      <c r="D722" s="52" t="s">
        <v>3137</v>
      </c>
      <c r="E722" s="60" t="b">
        <v>1</v>
      </c>
      <c r="F722" s="109" t="s">
        <v>4062</v>
      </c>
      <c r="G722" s="118" t="str">
        <f>HYPERLINK("http://nsgreg.nga.mil/genc/view?v=112667&amp;gencs=T&amp;end_month=3&amp;end_day=31&amp;end_year=2014","Adamaoua")</f>
        <v>Adamaoua</v>
      </c>
      <c r="H722" s="91" t="str">
        <f>HYPERLINK("http://api.nsgreg.nga.mil/geo-division/ISO3166-2/6/ed3/CM-AD","CM-AD")</f>
        <v>CM-AD</v>
      </c>
    </row>
    <row r="723" spans="1:8" x14ac:dyDescent="0.2">
      <c r="A723" s="157"/>
      <c r="B723" s="31" t="s">
        <v>4063</v>
      </c>
      <c r="C723" s="31" t="s">
        <v>3674</v>
      </c>
      <c r="D723" s="31" t="s">
        <v>3137</v>
      </c>
      <c r="E723" s="61" t="b">
        <v>1</v>
      </c>
      <c r="F723" s="106" t="s">
        <v>4064</v>
      </c>
      <c r="G723" s="116" t="str">
        <f>HYPERLINK("http://nsgreg.nga.mil/genc/view?v=112668&amp;gencs=T&amp;end_month=3&amp;end_day=31&amp;end_year=2014","Centre")</f>
        <v>Centre</v>
      </c>
      <c r="H723" s="87" t="str">
        <f>HYPERLINK("http://api.nsgreg.nga.mil/geo-division/ISO3166-2/6/ed3/CM-CE","CM-CE")</f>
        <v>CM-CE</v>
      </c>
    </row>
    <row r="724" spans="1:8" x14ac:dyDescent="0.2">
      <c r="A724" s="157"/>
      <c r="B724" s="31" t="s">
        <v>4065</v>
      </c>
      <c r="C724" s="31" t="s">
        <v>3692</v>
      </c>
      <c r="D724" s="31" t="s">
        <v>3137</v>
      </c>
      <c r="E724" s="61" t="b">
        <v>1</v>
      </c>
      <c r="F724" s="106" t="s">
        <v>4066</v>
      </c>
      <c r="G724" s="116" t="str">
        <f>HYPERLINK("http://nsgreg.nga.mil/genc/view?v=112670&amp;gencs=T&amp;end_month=3&amp;end_day=31&amp;end_year=2014","Est")</f>
        <v>Est</v>
      </c>
      <c r="H724" s="87" t="str">
        <f>HYPERLINK("http://api.nsgreg.nga.mil/geo-division/ISO3166-2/6/ed3/CM-ES","CM-ES")</f>
        <v>CM-ES</v>
      </c>
    </row>
    <row r="725" spans="1:8" x14ac:dyDescent="0.2">
      <c r="A725" s="157"/>
      <c r="B725" s="31" t="s">
        <v>4067</v>
      </c>
      <c r="C725" s="31" t="s">
        <v>4068</v>
      </c>
      <c r="D725" s="31" t="s">
        <v>3137</v>
      </c>
      <c r="E725" s="61" t="b">
        <v>1</v>
      </c>
      <c r="F725" s="106" t="s">
        <v>4069</v>
      </c>
      <c r="G725" s="116" t="str">
        <f>HYPERLINK("http://nsgreg.nga.mil/genc/view?v=112669&amp;gencs=T&amp;end_month=3&amp;end_day=31&amp;end_year=2014","Extrême-Nord")</f>
        <v>Extrême-Nord</v>
      </c>
      <c r="H725" s="87" t="str">
        <f>HYPERLINK("http://api.nsgreg.nga.mil/geo-division/ISO3166-2/6/ed3/CM-EN","CM-EN")</f>
        <v>CM-EN</v>
      </c>
    </row>
    <row r="726" spans="1:8" x14ac:dyDescent="0.2">
      <c r="A726" s="157"/>
      <c r="B726" s="31" t="s">
        <v>4070</v>
      </c>
      <c r="C726" s="31" t="s">
        <v>3235</v>
      </c>
      <c r="D726" s="31" t="s">
        <v>3137</v>
      </c>
      <c r="E726" s="61" t="b">
        <v>1</v>
      </c>
      <c r="F726" s="106" t="s">
        <v>4071</v>
      </c>
      <c r="G726" s="116" t="str">
        <f>HYPERLINK("http://nsgreg.nga.mil/genc/view?v=112671&amp;gencs=T&amp;end_month=3&amp;end_day=31&amp;end_year=2014","Littoral")</f>
        <v>Littoral</v>
      </c>
      <c r="H726" s="87" t="str">
        <f>HYPERLINK("http://api.nsgreg.nga.mil/geo-division/ISO3166-2/6/ed3/CM-LT","CM-LT")</f>
        <v>CM-LT</v>
      </c>
    </row>
    <row r="727" spans="1:8" x14ac:dyDescent="0.2">
      <c r="A727" s="157"/>
      <c r="B727" s="31" t="s">
        <v>4072</v>
      </c>
      <c r="C727" s="31" t="s">
        <v>3755</v>
      </c>
      <c r="D727" s="31" t="s">
        <v>3137</v>
      </c>
      <c r="E727" s="61" t="b">
        <v>1</v>
      </c>
      <c r="F727" s="106" t="s">
        <v>4073</v>
      </c>
      <c r="G727" s="116" t="str">
        <f>HYPERLINK("http://nsgreg.nga.mil/genc/view?v=112672&amp;gencs=T&amp;end_month=3&amp;end_day=31&amp;end_year=2014","Nord")</f>
        <v>Nord</v>
      </c>
      <c r="H727" s="87" t="str">
        <f>HYPERLINK("http://api.nsgreg.nga.mil/geo-division/ISO3166-2/6/ed3/CM-NO","CM-NO")</f>
        <v>CM-NO</v>
      </c>
    </row>
    <row r="728" spans="1:8" x14ac:dyDescent="0.2">
      <c r="A728" s="157"/>
      <c r="B728" s="31" t="s">
        <v>4074</v>
      </c>
      <c r="C728" s="31" t="s">
        <v>4075</v>
      </c>
      <c r="D728" s="31" t="s">
        <v>3137</v>
      </c>
      <c r="E728" s="61" t="b">
        <v>1</v>
      </c>
      <c r="F728" s="106" t="s">
        <v>4076</v>
      </c>
      <c r="G728" s="116" t="str">
        <f>HYPERLINK("http://nsgreg.nga.mil/genc/view?v=112673&amp;gencs=T&amp;end_month=3&amp;end_day=31&amp;end_year=2014","North-West")</f>
        <v>North-West</v>
      </c>
      <c r="H728" s="87" t="str">
        <f>HYPERLINK("http://api.nsgreg.nga.mil/geo-division/ISO3166-2/6/ed3/CM-NW","CM-NW")</f>
        <v>CM-NW</v>
      </c>
    </row>
    <row r="729" spans="1:8" x14ac:dyDescent="0.2">
      <c r="A729" s="157"/>
      <c r="B729" s="31" t="s">
        <v>4077</v>
      </c>
      <c r="C729" s="31" t="s">
        <v>4078</v>
      </c>
      <c r="D729" s="31" t="s">
        <v>3137</v>
      </c>
      <c r="E729" s="61" t="b">
        <v>1</v>
      </c>
      <c r="F729" s="106" t="s">
        <v>4079</v>
      </c>
      <c r="G729" s="116" t="str">
        <f>HYPERLINK("http://nsgreg.nga.mil/genc/view?v=112674&amp;gencs=T&amp;end_month=3&amp;end_day=31&amp;end_year=2014","Ouest")</f>
        <v>Ouest</v>
      </c>
      <c r="H729" s="87" t="str">
        <f>HYPERLINK("http://api.nsgreg.nga.mil/geo-division/ISO3166-2/6/ed3/CM-OU","CM-OU")</f>
        <v>CM-OU</v>
      </c>
    </row>
    <row r="730" spans="1:8" x14ac:dyDescent="0.2">
      <c r="A730" s="157"/>
      <c r="B730" s="31" t="s">
        <v>4080</v>
      </c>
      <c r="C730" s="31" t="s">
        <v>4081</v>
      </c>
      <c r="D730" s="31" t="s">
        <v>3137</v>
      </c>
      <c r="E730" s="61" t="b">
        <v>1</v>
      </c>
      <c r="F730" s="106" t="s">
        <v>4082</v>
      </c>
      <c r="G730" s="116" t="str">
        <f>HYPERLINK("http://nsgreg.nga.mil/genc/view?v=112676&amp;gencs=T&amp;end_month=3&amp;end_day=31&amp;end_year=2014","South-West")</f>
        <v>South-West</v>
      </c>
      <c r="H730" s="87" t="str">
        <f>HYPERLINK("http://api.nsgreg.nga.mil/geo-division/ISO3166-2/6/ed3/CM-SW","CM-SW")</f>
        <v>CM-SW</v>
      </c>
    </row>
    <row r="731" spans="1:8" x14ac:dyDescent="0.2">
      <c r="A731" s="158"/>
      <c r="B731" s="58" t="s">
        <v>4083</v>
      </c>
      <c r="C731" s="58" t="s">
        <v>4084</v>
      </c>
      <c r="D731" s="58" t="s">
        <v>3137</v>
      </c>
      <c r="E731" s="62" t="b">
        <v>1</v>
      </c>
      <c r="F731" s="108" t="s">
        <v>4085</v>
      </c>
      <c r="G731" s="117" t="str">
        <f>HYPERLINK("http://nsgreg.nga.mil/genc/view?v=112675&amp;gencs=T&amp;end_month=3&amp;end_day=31&amp;end_year=2014","Sud")</f>
        <v>Sud</v>
      </c>
      <c r="H731" s="89" t="str">
        <f>HYPERLINK("http://api.nsgreg.nga.mil/geo-division/ISO3166-2/6/ed3/CM-SU","CM-SU")</f>
        <v>CM-SU</v>
      </c>
    </row>
    <row r="732" spans="1:8" x14ac:dyDescent="0.2">
      <c r="A732" s="156" t="str">
        <f>HYPERLINK("[#]Geopolitical_Entities!A48:I48","CANADA")</f>
        <v>CANADA</v>
      </c>
      <c r="B732" s="52" t="s">
        <v>4086</v>
      </c>
      <c r="C732" s="52" t="s">
        <v>4087</v>
      </c>
      <c r="D732" s="52" t="s">
        <v>1920</v>
      </c>
      <c r="E732" s="60" t="b">
        <v>1</v>
      </c>
      <c r="F732" s="109" t="s">
        <v>4088</v>
      </c>
      <c r="G732" s="118" t="str">
        <f>HYPERLINK("http://nsgreg.nga.mil/genc/view?v=112555&amp;gencs=T&amp;end_month=3&amp;end_day=31&amp;end_year=2014","Alberta")</f>
        <v>Alberta</v>
      </c>
      <c r="H732" s="91" t="str">
        <f>HYPERLINK("http://api.nsgreg.nga.mil/geo-division/ISO3166-2/6/ed3/CA-AB","CA-AB")</f>
        <v>CA-AB</v>
      </c>
    </row>
    <row r="733" spans="1:8" x14ac:dyDescent="0.2">
      <c r="A733" s="157"/>
      <c r="B733" s="31" t="s">
        <v>4089</v>
      </c>
      <c r="C733" s="31" t="s">
        <v>4090</v>
      </c>
      <c r="D733" s="31" t="s">
        <v>1920</v>
      </c>
      <c r="E733" s="61" t="b">
        <v>1</v>
      </c>
      <c r="F733" s="106" t="s">
        <v>4091</v>
      </c>
      <c r="G733" s="116" t="str">
        <f>HYPERLINK("http://nsgreg.nga.mil/genc/view?v=112556&amp;gencs=T&amp;end_month=3&amp;end_day=31&amp;end_year=2014","British Columbia")</f>
        <v>British Columbia</v>
      </c>
      <c r="H733" s="87" t="str">
        <f>HYPERLINK("http://api.nsgreg.nga.mil/geo-division/ISO3166-2/6/ed3/CA-BC","CA-BC")</f>
        <v>CA-BC</v>
      </c>
    </row>
    <row r="734" spans="1:8" x14ac:dyDescent="0.2">
      <c r="A734" s="157"/>
      <c r="B734" s="31" t="s">
        <v>4092</v>
      </c>
      <c r="C734" s="31" t="s">
        <v>4093</v>
      </c>
      <c r="D734" s="31" t="s">
        <v>1920</v>
      </c>
      <c r="E734" s="61" t="b">
        <v>1</v>
      </c>
      <c r="F734" s="106" t="s">
        <v>4094</v>
      </c>
      <c r="G734" s="116" t="str">
        <f>HYPERLINK("http://nsgreg.nga.mil/genc/view?v=112557&amp;gencs=T&amp;end_month=3&amp;end_day=31&amp;end_year=2014","Manitoba")</f>
        <v>Manitoba</v>
      </c>
      <c r="H734" s="87" t="str">
        <f>HYPERLINK("http://api.nsgreg.nga.mil/geo-division/ISO3166-2/6/ed3/CA-MB","CA-MB")</f>
        <v>CA-MB</v>
      </c>
    </row>
    <row r="735" spans="1:8" x14ac:dyDescent="0.2">
      <c r="A735" s="157"/>
      <c r="B735" s="31" t="s">
        <v>4095</v>
      </c>
      <c r="C735" s="31" t="s">
        <v>4096</v>
      </c>
      <c r="D735" s="31" t="s">
        <v>1920</v>
      </c>
      <c r="E735" s="61" t="b">
        <v>1</v>
      </c>
      <c r="F735" s="106" t="s">
        <v>4097</v>
      </c>
      <c r="G735" s="116" t="str">
        <f>HYPERLINK("http://nsgreg.nga.mil/genc/view?v=112558&amp;gencs=T&amp;end_month=3&amp;end_day=31&amp;end_year=2014","New Brunswick")</f>
        <v>New Brunswick</v>
      </c>
      <c r="H735" s="87" t="str">
        <f>HYPERLINK("http://api.nsgreg.nga.mil/geo-division/ISO3166-2/6/ed3/CA-NB","CA-NB")</f>
        <v>CA-NB</v>
      </c>
    </row>
    <row r="736" spans="1:8" x14ac:dyDescent="0.2">
      <c r="A736" s="157"/>
      <c r="B736" s="31" t="s">
        <v>4098</v>
      </c>
      <c r="C736" s="31" t="s">
        <v>4099</v>
      </c>
      <c r="D736" s="31" t="s">
        <v>1920</v>
      </c>
      <c r="E736" s="61" t="b">
        <v>1</v>
      </c>
      <c r="F736" s="106" t="s">
        <v>4100</v>
      </c>
      <c r="G736" s="116" t="str">
        <f>HYPERLINK("http://nsgreg.nga.mil/genc/view?v=112559&amp;gencs=T&amp;end_month=3&amp;end_day=31&amp;end_year=2014","Newfoundland and Labrador")</f>
        <v>Newfoundland and Labrador</v>
      </c>
      <c r="H736" s="87" t="str">
        <f>HYPERLINK("http://api.nsgreg.nga.mil/geo-division/ISO3166-2/6/ed3/CA-NL","CA-NL")</f>
        <v>CA-NL</v>
      </c>
    </row>
    <row r="737" spans="1:8" x14ac:dyDescent="0.2">
      <c r="A737" s="157"/>
      <c r="B737" s="31" t="s">
        <v>4101</v>
      </c>
      <c r="C737" s="31" t="s">
        <v>4102</v>
      </c>
      <c r="D737" s="31" t="s">
        <v>2508</v>
      </c>
      <c r="E737" s="61" t="b">
        <v>1</v>
      </c>
      <c r="F737" s="106" t="s">
        <v>4103</v>
      </c>
      <c r="G737" s="116" t="str">
        <f>HYPERLINK("http://nsgreg.nga.mil/genc/view?v=112561&amp;gencs=T&amp;end_month=3&amp;end_day=31&amp;end_year=2014","Northwest Territories")</f>
        <v>Northwest Territories</v>
      </c>
      <c r="H737" s="87" t="str">
        <f>HYPERLINK("http://api.nsgreg.nga.mil/geo-division/ISO3166-2/6/ed3/CA-NT","CA-NT")</f>
        <v>CA-NT</v>
      </c>
    </row>
    <row r="738" spans="1:8" x14ac:dyDescent="0.2">
      <c r="A738" s="157"/>
      <c r="B738" s="31" t="s">
        <v>4104</v>
      </c>
      <c r="C738" s="31" t="s">
        <v>4105</v>
      </c>
      <c r="D738" s="31" t="s">
        <v>1920</v>
      </c>
      <c r="E738" s="61" t="b">
        <v>1</v>
      </c>
      <c r="F738" s="106" t="s">
        <v>4106</v>
      </c>
      <c r="G738" s="116" t="str">
        <f>HYPERLINK("http://nsgreg.nga.mil/genc/view?v=112560&amp;gencs=T&amp;end_month=3&amp;end_day=31&amp;end_year=2014","Nova Scotia")</f>
        <v>Nova Scotia</v>
      </c>
      <c r="H738" s="87" t="str">
        <f>HYPERLINK("http://api.nsgreg.nga.mil/geo-division/ISO3166-2/6/ed3/CA-NS","CA-NS")</f>
        <v>CA-NS</v>
      </c>
    </row>
    <row r="739" spans="1:8" x14ac:dyDescent="0.2">
      <c r="A739" s="157"/>
      <c r="B739" s="31" t="s">
        <v>4107</v>
      </c>
      <c r="C739" s="31" t="s">
        <v>4108</v>
      </c>
      <c r="D739" s="31" t="s">
        <v>2508</v>
      </c>
      <c r="E739" s="61" t="b">
        <v>1</v>
      </c>
      <c r="F739" s="106" t="s">
        <v>4109</v>
      </c>
      <c r="G739" s="116" t="str">
        <f>HYPERLINK("http://nsgreg.nga.mil/genc/view?v=112562&amp;gencs=T&amp;end_month=3&amp;end_day=31&amp;end_year=2014","Nunavut")</f>
        <v>Nunavut</v>
      </c>
      <c r="H739" s="87" t="str">
        <f>HYPERLINK("http://api.nsgreg.nga.mil/geo-division/ISO3166-2/6/ed3/CA-NU","CA-NU")</f>
        <v>CA-NU</v>
      </c>
    </row>
    <row r="740" spans="1:8" x14ac:dyDescent="0.2">
      <c r="A740" s="157"/>
      <c r="B740" s="31" t="s">
        <v>4110</v>
      </c>
      <c r="C740" s="31" t="s">
        <v>4111</v>
      </c>
      <c r="D740" s="31" t="s">
        <v>1920</v>
      </c>
      <c r="E740" s="61" t="b">
        <v>1</v>
      </c>
      <c r="F740" s="106" t="s">
        <v>4112</v>
      </c>
      <c r="G740" s="116" t="str">
        <f>HYPERLINK("http://nsgreg.nga.mil/genc/view?v=112563&amp;gencs=T&amp;end_month=3&amp;end_day=31&amp;end_year=2014","Ontario")</f>
        <v>Ontario</v>
      </c>
      <c r="H740" s="87" t="str">
        <f>HYPERLINK("http://api.nsgreg.nga.mil/geo-division/ISO3166-2/6/ed3/CA-ON","CA-ON")</f>
        <v>CA-ON</v>
      </c>
    </row>
    <row r="741" spans="1:8" x14ac:dyDescent="0.2">
      <c r="A741" s="157"/>
      <c r="B741" s="31" t="s">
        <v>4113</v>
      </c>
      <c r="C741" s="31" t="s">
        <v>4114</v>
      </c>
      <c r="D741" s="31" t="s">
        <v>1920</v>
      </c>
      <c r="E741" s="61" t="b">
        <v>1</v>
      </c>
      <c r="F741" s="106" t="s">
        <v>4115</v>
      </c>
      <c r="G741" s="116" t="str">
        <f>HYPERLINK("http://nsgreg.nga.mil/genc/view?v=112564&amp;gencs=T&amp;end_month=3&amp;end_day=31&amp;end_year=2014","Prince Edward Island")</f>
        <v>Prince Edward Island</v>
      </c>
      <c r="H741" s="87" t="str">
        <f>HYPERLINK("http://api.nsgreg.nga.mil/geo-division/ISO3166-2/6/ed3/CA-PE","CA-PE")</f>
        <v>CA-PE</v>
      </c>
    </row>
    <row r="742" spans="1:8" x14ac:dyDescent="0.2">
      <c r="A742" s="157"/>
      <c r="B742" s="31" t="s">
        <v>4116</v>
      </c>
      <c r="C742" s="31" t="s">
        <v>4117</v>
      </c>
      <c r="D742" s="31" t="s">
        <v>1920</v>
      </c>
      <c r="E742" s="61" t="b">
        <v>1</v>
      </c>
      <c r="F742" s="106" t="s">
        <v>4118</v>
      </c>
      <c r="G742" s="116" t="str">
        <f>HYPERLINK("http://nsgreg.nga.mil/genc/view?v=112565&amp;gencs=T&amp;end_month=3&amp;end_day=31&amp;end_year=2014","Québec")</f>
        <v>Québec</v>
      </c>
      <c r="H742" s="87" t="str">
        <f>HYPERLINK("http://api.nsgreg.nga.mil/geo-division/ISO3166-2/6/ed3/CA-QC","CA-QC")</f>
        <v>CA-QC</v>
      </c>
    </row>
    <row r="743" spans="1:8" x14ac:dyDescent="0.2">
      <c r="A743" s="157"/>
      <c r="B743" s="31" t="s">
        <v>4119</v>
      </c>
      <c r="C743" s="31" t="s">
        <v>4120</v>
      </c>
      <c r="D743" s="31" t="s">
        <v>1920</v>
      </c>
      <c r="E743" s="61" t="b">
        <v>1</v>
      </c>
      <c r="F743" s="106" t="s">
        <v>4121</v>
      </c>
      <c r="G743" s="116" t="str">
        <f>HYPERLINK("http://nsgreg.nga.mil/genc/view?v=112566&amp;gencs=T&amp;end_month=3&amp;end_day=31&amp;end_year=2014","Saskatchewan")</f>
        <v>Saskatchewan</v>
      </c>
      <c r="H743" s="87" t="str">
        <f>HYPERLINK("http://api.nsgreg.nga.mil/geo-division/ISO3166-2/6/ed3/CA-SK","CA-SK")</f>
        <v>CA-SK</v>
      </c>
    </row>
    <row r="744" spans="1:8" x14ac:dyDescent="0.2">
      <c r="A744" s="158"/>
      <c r="B744" s="58" t="s">
        <v>4122</v>
      </c>
      <c r="C744" s="58" t="s">
        <v>4123</v>
      </c>
      <c r="D744" s="58" t="s">
        <v>2508</v>
      </c>
      <c r="E744" s="62" t="b">
        <v>1</v>
      </c>
      <c r="F744" s="111" t="s">
        <v>4124</v>
      </c>
      <c r="G744" s="117" t="str">
        <f>HYPERLINK("http://nsgreg.nga.mil/genc/view?v=200944&amp;end_month=3&amp;end_day=31&amp;end_year=2014","Yukon")</f>
        <v>Yukon</v>
      </c>
      <c r="H744" s="89" t="str">
        <f>HYPERLINK("http://api.nsgreg.nga.mil/geo-division/GENC/6/ed2/CA-YT","CA-YT")</f>
        <v>CA-YT</v>
      </c>
    </row>
    <row r="745" spans="1:8" x14ac:dyDescent="0.2">
      <c r="A745" s="156" t="str">
        <f>HYPERLINK("[#]Geopolitical_Entities!A50:I50","CENTRAL AFRICAN REPUBLIC")</f>
        <v>CENTRAL AFRICAN REPUBLIC</v>
      </c>
      <c r="B745" s="52" t="s">
        <v>4125</v>
      </c>
      <c r="C745" s="52" t="s">
        <v>4126</v>
      </c>
      <c r="D745" s="52" t="s">
        <v>4127</v>
      </c>
      <c r="E745" s="60" t="b">
        <v>1</v>
      </c>
      <c r="F745" s="110" t="s">
        <v>4128</v>
      </c>
      <c r="G745" s="118" t="str">
        <f>HYPERLINK("http://nsgreg.nga.mil/genc/view?v=200949&amp;end_month=3&amp;end_day=31&amp;end_year=2014","Bamingui-Bangoran")</f>
        <v>Bamingui-Bangoran</v>
      </c>
      <c r="H745" s="91" t="str">
        <f>HYPERLINK("http://api.nsgreg.nga.mil/geo-division/GENC/6/ed2/CF-BB","CF-BB")</f>
        <v>CF-BB</v>
      </c>
    </row>
    <row r="746" spans="1:8" x14ac:dyDescent="0.2">
      <c r="A746" s="157"/>
      <c r="B746" s="31" t="s">
        <v>4129</v>
      </c>
      <c r="C746" s="31" t="s">
        <v>4130</v>
      </c>
      <c r="D746" s="31" t="s">
        <v>4131</v>
      </c>
      <c r="E746" s="61" t="b">
        <v>1</v>
      </c>
      <c r="F746" s="107" t="s">
        <v>4132</v>
      </c>
      <c r="G746" s="116" t="str">
        <f>HYPERLINK("http://nsgreg.nga.mil/genc/view?v=200950&amp;end_month=3&amp;end_day=31&amp;end_year=2014","Bangui")</f>
        <v>Bangui</v>
      </c>
      <c r="H746" s="87" t="str">
        <f>HYPERLINK("http://api.nsgreg.nga.mil/geo-division/GENC/6/ed2/CF-BGF","CF-BGF")</f>
        <v>CF-BGF</v>
      </c>
    </row>
    <row r="747" spans="1:8" x14ac:dyDescent="0.2">
      <c r="A747" s="157"/>
      <c r="B747" s="31" t="s">
        <v>4133</v>
      </c>
      <c r="C747" s="31" t="s">
        <v>4134</v>
      </c>
      <c r="D747" s="31" t="s">
        <v>4127</v>
      </c>
      <c r="E747" s="61" t="b">
        <v>1</v>
      </c>
      <c r="F747" s="107" t="s">
        <v>4135</v>
      </c>
      <c r="G747" s="116" t="str">
        <f>HYPERLINK("http://nsgreg.nga.mil/genc/view?v=200951&amp;end_month=3&amp;end_day=31&amp;end_year=2014","Basse-Kotto")</f>
        <v>Basse-Kotto</v>
      </c>
      <c r="H747" s="87" t="str">
        <f>HYPERLINK("http://api.nsgreg.nga.mil/geo-division/GENC/6/ed2/CF-BK","CF-BK")</f>
        <v>CF-BK</v>
      </c>
    </row>
    <row r="748" spans="1:8" x14ac:dyDescent="0.2">
      <c r="A748" s="157"/>
      <c r="B748" s="31" t="s">
        <v>4136</v>
      </c>
      <c r="C748" s="31" t="s">
        <v>4137</v>
      </c>
      <c r="D748" s="31" t="s">
        <v>4127</v>
      </c>
      <c r="E748" s="61" t="b">
        <v>1</v>
      </c>
      <c r="F748" s="107" t="s">
        <v>4138</v>
      </c>
      <c r="G748" s="116" t="str">
        <f>HYPERLINK("http://nsgreg.nga.mil/genc/view?v=200952&amp;end_month=3&amp;end_day=31&amp;end_year=2014","Haute-Kotto")</f>
        <v>Haute-Kotto</v>
      </c>
      <c r="H748" s="87" t="str">
        <f>HYPERLINK("http://api.nsgreg.nga.mil/geo-division/GENC/6/ed2/CF-HK","CF-HK")</f>
        <v>CF-HK</v>
      </c>
    </row>
    <row r="749" spans="1:8" x14ac:dyDescent="0.2">
      <c r="A749" s="157"/>
      <c r="B749" s="31" t="s">
        <v>4139</v>
      </c>
      <c r="C749" s="31" t="s">
        <v>4140</v>
      </c>
      <c r="D749" s="31" t="s">
        <v>4127</v>
      </c>
      <c r="E749" s="61" t="b">
        <v>1</v>
      </c>
      <c r="F749" s="107" t="s">
        <v>4141</v>
      </c>
      <c r="G749" s="116" t="str">
        <f>HYPERLINK("http://nsgreg.nga.mil/genc/view?v=200953&amp;end_month=3&amp;end_day=31&amp;end_year=2014","Haut-Mbomou")</f>
        <v>Haut-Mbomou</v>
      </c>
      <c r="H749" s="87" t="str">
        <f>HYPERLINK("http://api.nsgreg.nga.mil/geo-division/GENC/6/ed2/CF-HM","CF-HM")</f>
        <v>CF-HM</v>
      </c>
    </row>
    <row r="750" spans="1:8" x14ac:dyDescent="0.2">
      <c r="A750" s="157"/>
      <c r="B750" s="31" t="s">
        <v>4142</v>
      </c>
      <c r="C750" s="31" t="s">
        <v>4143</v>
      </c>
      <c r="D750" s="31" t="s">
        <v>4127</v>
      </c>
      <c r="E750" s="61" t="b">
        <v>1</v>
      </c>
      <c r="F750" s="107" t="s">
        <v>4144</v>
      </c>
      <c r="G750" s="116" t="str">
        <f>HYPERLINK("http://nsgreg.nga.mil/genc/view?v=200956&amp;end_month=3&amp;end_day=31&amp;end_year=2014","Kémo")</f>
        <v>Kémo</v>
      </c>
      <c r="H750" s="87" t="str">
        <f>HYPERLINK("http://api.nsgreg.nga.mil/geo-division/GENC/6/ed2/CF-KG","CF-KG")</f>
        <v>CF-KG</v>
      </c>
    </row>
    <row r="751" spans="1:8" x14ac:dyDescent="0.2">
      <c r="A751" s="157"/>
      <c r="B751" s="31" t="s">
        <v>4145</v>
      </c>
      <c r="C751" s="31" t="s">
        <v>4146</v>
      </c>
      <c r="D751" s="31" t="s">
        <v>4127</v>
      </c>
      <c r="E751" s="61" t="b">
        <v>1</v>
      </c>
      <c r="F751" s="107" t="s">
        <v>4147</v>
      </c>
      <c r="G751" s="116" t="str">
        <f>HYPERLINK("http://nsgreg.nga.mil/genc/view?v=200957&amp;end_month=3&amp;end_day=31&amp;end_year=2014","Lobaye")</f>
        <v>Lobaye</v>
      </c>
      <c r="H751" s="87" t="str">
        <f>HYPERLINK("http://api.nsgreg.nga.mil/geo-division/GENC/6/ed2/CF-LB","CF-LB")</f>
        <v>CF-LB</v>
      </c>
    </row>
    <row r="752" spans="1:8" x14ac:dyDescent="0.2">
      <c r="A752" s="157"/>
      <c r="B752" s="31" t="s">
        <v>4148</v>
      </c>
      <c r="C752" s="31" t="s">
        <v>4149</v>
      </c>
      <c r="D752" s="31" t="s">
        <v>4127</v>
      </c>
      <c r="E752" s="61" t="b">
        <v>1</v>
      </c>
      <c r="F752" s="107" t="s">
        <v>4150</v>
      </c>
      <c r="G752" s="116" t="str">
        <f>HYPERLINK("http://nsgreg.nga.mil/genc/view?v=200954&amp;end_month=3&amp;end_day=31&amp;end_year=2014","Mambéré-Kadéï")</f>
        <v>Mambéré-Kadéï</v>
      </c>
      <c r="H752" s="87" t="str">
        <f>HYPERLINK("http://api.nsgreg.nga.mil/geo-division/GENC/6/ed2/CF-HS","CF-HS")</f>
        <v>CF-HS</v>
      </c>
    </row>
    <row r="753" spans="1:8" x14ac:dyDescent="0.2">
      <c r="A753" s="157"/>
      <c r="B753" s="31" t="s">
        <v>4151</v>
      </c>
      <c r="C753" s="31" t="s">
        <v>4152</v>
      </c>
      <c r="D753" s="31" t="s">
        <v>4127</v>
      </c>
      <c r="E753" s="61" t="b">
        <v>1</v>
      </c>
      <c r="F753" s="107" t="s">
        <v>4153</v>
      </c>
      <c r="G753" s="116" t="str">
        <f>HYPERLINK("http://nsgreg.nga.mil/genc/view?v=200958&amp;end_month=3&amp;end_day=31&amp;end_year=2014","Mbomou")</f>
        <v>Mbomou</v>
      </c>
      <c r="H753" s="87" t="str">
        <f>HYPERLINK("http://api.nsgreg.nga.mil/geo-division/GENC/6/ed2/CF-MB","CF-MB")</f>
        <v>CF-MB</v>
      </c>
    </row>
    <row r="754" spans="1:8" x14ac:dyDescent="0.2">
      <c r="A754" s="157"/>
      <c r="B754" s="31" t="s">
        <v>4154</v>
      </c>
      <c r="C754" s="31" t="s">
        <v>4155</v>
      </c>
      <c r="D754" s="31" t="s">
        <v>4156</v>
      </c>
      <c r="E754" s="61" t="b">
        <v>1</v>
      </c>
      <c r="F754" s="107" t="s">
        <v>4157</v>
      </c>
      <c r="G754" s="116" t="str">
        <f>HYPERLINK("http://nsgreg.nga.mil/genc/view?v=200955&amp;end_month=3&amp;end_day=31&amp;end_year=2014","Nana-Grébizi")</f>
        <v>Nana-Grébizi</v>
      </c>
      <c r="H754" s="87" t="str">
        <f>HYPERLINK("http://api.nsgreg.nga.mil/geo-division/GENC/6/ed2/CF-KB","CF-KB")</f>
        <v>CF-KB</v>
      </c>
    </row>
    <row r="755" spans="1:8" x14ac:dyDescent="0.2">
      <c r="A755" s="157"/>
      <c r="B755" s="31" t="s">
        <v>4158</v>
      </c>
      <c r="C755" s="31" t="s">
        <v>4159</v>
      </c>
      <c r="D755" s="31" t="s">
        <v>4127</v>
      </c>
      <c r="E755" s="61" t="b">
        <v>1</v>
      </c>
      <c r="F755" s="107" t="s">
        <v>4160</v>
      </c>
      <c r="G755" s="116" t="str">
        <f>HYPERLINK("http://nsgreg.nga.mil/genc/view?v=200960&amp;end_month=3&amp;end_day=31&amp;end_year=2014","Nana-Mambéré")</f>
        <v>Nana-Mambéré</v>
      </c>
      <c r="H755" s="87" t="str">
        <f>HYPERLINK("http://api.nsgreg.nga.mil/geo-division/GENC/6/ed2/CF-NM","CF-NM")</f>
        <v>CF-NM</v>
      </c>
    </row>
    <row r="756" spans="1:8" x14ac:dyDescent="0.2">
      <c r="A756" s="157"/>
      <c r="B756" s="31" t="s">
        <v>4161</v>
      </c>
      <c r="C756" s="31" t="s">
        <v>4162</v>
      </c>
      <c r="D756" s="31" t="s">
        <v>4127</v>
      </c>
      <c r="E756" s="61" t="b">
        <v>1</v>
      </c>
      <c r="F756" s="107" t="s">
        <v>4163</v>
      </c>
      <c r="G756" s="116" t="str">
        <f>HYPERLINK("http://nsgreg.nga.mil/genc/view?v=200959&amp;end_month=3&amp;end_day=31&amp;end_year=2014","Ombella-Mpoko")</f>
        <v>Ombella-Mpoko</v>
      </c>
      <c r="H756" s="87" t="str">
        <f>HYPERLINK("http://api.nsgreg.nga.mil/geo-division/GENC/6/ed2/CF-MP","CF-MP")</f>
        <v>CF-MP</v>
      </c>
    </row>
    <row r="757" spans="1:8" x14ac:dyDescent="0.2">
      <c r="A757" s="157"/>
      <c r="B757" s="31" t="s">
        <v>4164</v>
      </c>
      <c r="C757" s="31" t="s">
        <v>4165</v>
      </c>
      <c r="D757" s="31" t="s">
        <v>4127</v>
      </c>
      <c r="E757" s="61" t="b">
        <v>1</v>
      </c>
      <c r="F757" s="107" t="s">
        <v>4166</v>
      </c>
      <c r="G757" s="116" t="str">
        <f>HYPERLINK("http://nsgreg.nga.mil/genc/view?v=200963&amp;end_month=3&amp;end_day=31&amp;end_year=2014","Ouaka")</f>
        <v>Ouaka</v>
      </c>
      <c r="H757" s="87" t="str">
        <f>HYPERLINK("http://api.nsgreg.nga.mil/geo-division/GENC/6/ed2/CF-UK","CF-UK")</f>
        <v>CF-UK</v>
      </c>
    </row>
    <row r="758" spans="1:8" x14ac:dyDescent="0.2">
      <c r="A758" s="157"/>
      <c r="B758" s="31" t="s">
        <v>4167</v>
      </c>
      <c r="C758" s="31" t="s">
        <v>4168</v>
      </c>
      <c r="D758" s="31" t="s">
        <v>4127</v>
      </c>
      <c r="E758" s="61" t="b">
        <v>1</v>
      </c>
      <c r="F758" s="107" t="s">
        <v>4169</v>
      </c>
      <c r="G758" s="116" t="str">
        <f>HYPERLINK("http://nsgreg.nga.mil/genc/view?v=200948&amp;end_month=3&amp;end_day=31&amp;end_year=2014","Ouham")</f>
        <v>Ouham</v>
      </c>
      <c r="H758" s="87" t="str">
        <f>HYPERLINK("http://api.nsgreg.nga.mil/geo-division/GENC/6/ed2/CF-AC","CF-AC")</f>
        <v>CF-AC</v>
      </c>
    </row>
    <row r="759" spans="1:8" x14ac:dyDescent="0.2">
      <c r="A759" s="157"/>
      <c r="B759" s="31" t="s">
        <v>4170</v>
      </c>
      <c r="C759" s="31" t="s">
        <v>4171</v>
      </c>
      <c r="D759" s="31" t="s">
        <v>4127</v>
      </c>
      <c r="E759" s="61" t="b">
        <v>1</v>
      </c>
      <c r="F759" s="107" t="s">
        <v>4172</v>
      </c>
      <c r="G759" s="116" t="str">
        <f>HYPERLINK("http://nsgreg.nga.mil/genc/view?v=200961&amp;end_month=3&amp;end_day=31&amp;end_year=2014","Ouham-Pendé")</f>
        <v>Ouham-Pendé</v>
      </c>
      <c r="H759" s="87" t="str">
        <f>HYPERLINK("http://api.nsgreg.nga.mil/geo-division/GENC/6/ed2/CF-OP","CF-OP")</f>
        <v>CF-OP</v>
      </c>
    </row>
    <row r="760" spans="1:8" x14ac:dyDescent="0.2">
      <c r="A760" s="157"/>
      <c r="B760" s="31" t="s">
        <v>4173</v>
      </c>
      <c r="C760" s="31" t="s">
        <v>4174</v>
      </c>
      <c r="D760" s="31" t="s">
        <v>4156</v>
      </c>
      <c r="E760" s="61" t="b">
        <v>1</v>
      </c>
      <c r="F760" s="107" t="s">
        <v>4175</v>
      </c>
      <c r="G760" s="116" t="str">
        <f>HYPERLINK("http://nsgreg.nga.mil/genc/view?v=200962&amp;end_month=3&amp;end_day=31&amp;end_year=2014","Sangha-Mbaéré")</f>
        <v>Sangha-Mbaéré</v>
      </c>
      <c r="H760" s="87" t="str">
        <f>HYPERLINK("http://api.nsgreg.nga.mil/geo-division/GENC/6/ed2/CF-SE","CF-SE")</f>
        <v>CF-SE</v>
      </c>
    </row>
    <row r="761" spans="1:8" x14ac:dyDescent="0.2">
      <c r="A761" s="158"/>
      <c r="B761" s="58" t="s">
        <v>4176</v>
      </c>
      <c r="C761" s="58" t="s">
        <v>4177</v>
      </c>
      <c r="D761" s="58" t="s">
        <v>4127</v>
      </c>
      <c r="E761" s="62" t="b">
        <v>1</v>
      </c>
      <c r="F761" s="111" t="s">
        <v>4178</v>
      </c>
      <c r="G761" s="117" t="str">
        <f>HYPERLINK("http://nsgreg.nga.mil/genc/view?v=200964&amp;end_month=3&amp;end_day=31&amp;end_year=2014","Vakaga")</f>
        <v>Vakaga</v>
      </c>
      <c r="H761" s="89" t="str">
        <f>HYPERLINK("http://api.nsgreg.nga.mil/geo-division/GENC/6/ed2/CF-VK","CF-VK")</f>
        <v>CF-VK</v>
      </c>
    </row>
    <row r="762" spans="1:8" x14ac:dyDescent="0.2">
      <c r="A762" s="156" t="str">
        <f>HYPERLINK("[#]Geopolitical_Entities!A51:I51","CHAD")</f>
        <v>CHAD</v>
      </c>
      <c r="B762" s="52" t="s">
        <v>4179</v>
      </c>
      <c r="C762" s="52" t="s">
        <v>4180</v>
      </c>
      <c r="D762" s="52" t="s">
        <v>3137</v>
      </c>
      <c r="E762" s="60" t="b">
        <v>1</v>
      </c>
      <c r="F762" s="110" t="s">
        <v>4181</v>
      </c>
      <c r="G762" s="118" t="str">
        <f>HYPERLINK("http://nsgreg.nga.mil/genc/view?v=203060&amp;end_month=3&amp;end_day=31&amp;end_year=2014","Barh el Gazel")</f>
        <v>Barh el Gazel</v>
      </c>
      <c r="H762" s="91" t="str">
        <f>HYPERLINK("http://api.nsgreg.nga.mil/geo-division/GENC/6/ed2/TD-BG","TD-BG")</f>
        <v>TD-BG</v>
      </c>
    </row>
    <row r="763" spans="1:8" x14ac:dyDescent="0.2">
      <c r="A763" s="157"/>
      <c r="B763" s="31" t="s">
        <v>4182</v>
      </c>
      <c r="C763" s="31" t="s">
        <v>4183</v>
      </c>
      <c r="D763" s="31" t="s">
        <v>3137</v>
      </c>
      <c r="E763" s="61" t="b">
        <v>1</v>
      </c>
      <c r="F763" s="107" t="s">
        <v>4184</v>
      </c>
      <c r="G763" s="116" t="str">
        <f>HYPERLINK("http://nsgreg.nga.mil/genc/view?v=203059&amp;end_month=3&amp;end_day=31&amp;end_year=2014","Batha")</f>
        <v>Batha</v>
      </c>
      <c r="H763" s="87" t="str">
        <f>HYPERLINK("http://api.nsgreg.nga.mil/geo-division/GENC/6/ed2/TD-BA","TD-BA")</f>
        <v>TD-BA</v>
      </c>
    </row>
    <row r="764" spans="1:8" x14ac:dyDescent="0.2">
      <c r="A764" s="157"/>
      <c r="B764" s="31" t="s">
        <v>4185</v>
      </c>
      <c r="C764" s="31" t="s">
        <v>4186</v>
      </c>
      <c r="D764" s="31" t="s">
        <v>3137</v>
      </c>
      <c r="E764" s="61" t="b">
        <v>1</v>
      </c>
      <c r="F764" s="107" t="s">
        <v>4187</v>
      </c>
      <c r="G764" s="116" t="str">
        <f>HYPERLINK("http://nsgreg.nga.mil/genc/view?v=203061&amp;end_month=3&amp;end_day=31&amp;end_year=2014","Borkou")</f>
        <v>Borkou</v>
      </c>
      <c r="H764" s="87" t="str">
        <f>HYPERLINK("http://api.nsgreg.nga.mil/geo-division/GENC/6/ed2/TD-BO","TD-BO")</f>
        <v>TD-BO</v>
      </c>
    </row>
    <row r="765" spans="1:8" x14ac:dyDescent="0.2">
      <c r="A765" s="157"/>
      <c r="B765" s="31" t="s">
        <v>4188</v>
      </c>
      <c r="C765" s="31" t="s">
        <v>4189</v>
      </c>
      <c r="D765" s="31" t="s">
        <v>3137</v>
      </c>
      <c r="E765" s="61" t="b">
        <v>1</v>
      </c>
      <c r="F765" s="107" t="s">
        <v>4190</v>
      </c>
      <c r="G765" s="116" t="str">
        <f>HYPERLINK("http://nsgreg.nga.mil/genc/view?v=203062&amp;end_month=3&amp;end_day=31&amp;end_year=2014","Chari-Baguirmi")</f>
        <v>Chari-Baguirmi</v>
      </c>
      <c r="H765" s="87" t="str">
        <f>HYPERLINK("http://api.nsgreg.nga.mil/geo-division/GENC/6/ed2/TD-CB","TD-CB")</f>
        <v>TD-CB</v>
      </c>
    </row>
    <row r="766" spans="1:8" x14ac:dyDescent="0.2">
      <c r="A766" s="157"/>
      <c r="B766" s="31" t="s">
        <v>4191</v>
      </c>
      <c r="C766" s="31" t="s">
        <v>4192</v>
      </c>
      <c r="D766" s="98" t="s">
        <v>3137</v>
      </c>
      <c r="E766" s="99" t="b">
        <v>0</v>
      </c>
      <c r="F766" s="107" t="s">
        <v>4193</v>
      </c>
      <c r="G766" s="116" t="str">
        <f>HYPERLINK("http://nsgreg.nga.mil/genc/view?v=203064&amp;end_month=3&amp;end_day=31&amp;end_year=2014","Ennedi")</f>
        <v>Ennedi</v>
      </c>
      <c r="H766" s="87" t="str">
        <f>HYPERLINK("http://api.nsgreg.nga.mil/geo-division/GENC/6/ed2/TD-EN","TD-EN")</f>
        <v>TD-EN</v>
      </c>
    </row>
    <row r="767" spans="1:8" x14ac:dyDescent="0.2">
      <c r="A767" s="157"/>
      <c r="B767" s="31" t="s">
        <v>4194</v>
      </c>
      <c r="C767" s="31" t="s">
        <v>4195</v>
      </c>
      <c r="D767" s="31" t="s">
        <v>3137</v>
      </c>
      <c r="E767" s="61" t="b">
        <v>1</v>
      </c>
      <c r="F767" s="107" t="s">
        <v>4196</v>
      </c>
      <c r="G767" s="116" t="str">
        <f>HYPERLINK("http://nsgreg.nga.mil/genc/view?v=203063&amp;end_month=3&amp;end_day=31&amp;end_year=2014","Ennedi-Est")</f>
        <v>Ennedi-Est</v>
      </c>
      <c r="H767" s="87" t="str">
        <f>HYPERLINK("http://api.nsgreg.nga.mil/geo-division/GENC/6/ed2/TD-EE","TD-EE")</f>
        <v>TD-EE</v>
      </c>
    </row>
    <row r="768" spans="1:8" x14ac:dyDescent="0.2">
      <c r="A768" s="157"/>
      <c r="B768" s="31" t="s">
        <v>4197</v>
      </c>
      <c r="C768" s="31" t="s">
        <v>4198</v>
      </c>
      <c r="D768" s="31" t="s">
        <v>3137</v>
      </c>
      <c r="E768" s="61" t="b">
        <v>1</v>
      </c>
      <c r="F768" s="107" t="s">
        <v>4199</v>
      </c>
      <c r="G768" s="116" t="str">
        <f>HYPERLINK("http://nsgreg.nga.mil/genc/view?v=203065&amp;end_month=3&amp;end_day=31&amp;end_year=2014","Ennedi-Ouest")</f>
        <v>Ennedi-Ouest</v>
      </c>
      <c r="H768" s="87" t="str">
        <f>HYPERLINK("http://api.nsgreg.nga.mil/geo-division/GENC/6/ed2/TD-EO","TD-EO")</f>
        <v>TD-EO</v>
      </c>
    </row>
    <row r="769" spans="1:8" x14ac:dyDescent="0.2">
      <c r="A769" s="157"/>
      <c r="B769" s="31" t="s">
        <v>4200</v>
      </c>
      <c r="C769" s="31" t="s">
        <v>4201</v>
      </c>
      <c r="D769" s="31" t="s">
        <v>3137</v>
      </c>
      <c r="E769" s="61" t="b">
        <v>1</v>
      </c>
      <c r="F769" s="107" t="s">
        <v>4202</v>
      </c>
      <c r="G769" s="116" t="str">
        <f>HYPERLINK("http://nsgreg.nga.mil/genc/view?v=203066&amp;end_month=3&amp;end_day=31&amp;end_year=2014","Guéra")</f>
        <v>Guéra</v>
      </c>
      <c r="H769" s="87" t="str">
        <f>HYPERLINK("http://api.nsgreg.nga.mil/geo-division/GENC/6/ed2/TD-GR","TD-GR")</f>
        <v>TD-GR</v>
      </c>
    </row>
    <row r="770" spans="1:8" x14ac:dyDescent="0.2">
      <c r="A770" s="157"/>
      <c r="B770" s="31" t="s">
        <v>4203</v>
      </c>
      <c r="C770" s="31" t="s">
        <v>4204</v>
      </c>
      <c r="D770" s="31" t="s">
        <v>3137</v>
      </c>
      <c r="E770" s="61" t="b">
        <v>1</v>
      </c>
      <c r="F770" s="107" t="s">
        <v>4205</v>
      </c>
      <c r="G770" s="116" t="str">
        <f>HYPERLINK("http://nsgreg.nga.mil/genc/view?v=203067&amp;end_month=3&amp;end_day=31&amp;end_year=2014","Hadjer-Lamis")</f>
        <v>Hadjer-Lamis</v>
      </c>
      <c r="H770" s="87" t="str">
        <f>HYPERLINK("http://api.nsgreg.nga.mil/geo-division/GENC/6/ed2/TD-HL","TD-HL")</f>
        <v>TD-HL</v>
      </c>
    </row>
    <row r="771" spans="1:8" x14ac:dyDescent="0.2">
      <c r="A771" s="157"/>
      <c r="B771" s="31" t="s">
        <v>4206</v>
      </c>
      <c r="C771" s="31" t="s">
        <v>4207</v>
      </c>
      <c r="D771" s="31" t="s">
        <v>3137</v>
      </c>
      <c r="E771" s="61" t="b">
        <v>1</v>
      </c>
      <c r="F771" s="107" t="s">
        <v>4208</v>
      </c>
      <c r="G771" s="116" t="str">
        <f>HYPERLINK("http://nsgreg.nga.mil/genc/view?v=203068&amp;end_month=3&amp;end_day=31&amp;end_year=2014","Kanem")</f>
        <v>Kanem</v>
      </c>
      <c r="H771" s="87" t="str">
        <f>HYPERLINK("http://api.nsgreg.nga.mil/geo-division/GENC/6/ed2/TD-KA","TD-KA")</f>
        <v>TD-KA</v>
      </c>
    </row>
    <row r="772" spans="1:8" x14ac:dyDescent="0.2">
      <c r="A772" s="157"/>
      <c r="B772" s="31" t="s">
        <v>4209</v>
      </c>
      <c r="C772" s="31" t="s">
        <v>4210</v>
      </c>
      <c r="D772" s="31" t="s">
        <v>3137</v>
      </c>
      <c r="E772" s="61" t="b">
        <v>1</v>
      </c>
      <c r="F772" s="107" t="s">
        <v>4211</v>
      </c>
      <c r="G772" s="116" t="str">
        <f>HYPERLINK("http://nsgreg.nga.mil/genc/view?v=203069&amp;end_month=3&amp;end_day=31&amp;end_year=2014","Lac")</f>
        <v>Lac</v>
      </c>
      <c r="H772" s="87" t="str">
        <f>HYPERLINK("http://api.nsgreg.nga.mil/geo-division/GENC/6/ed2/TD-LC","TD-LC")</f>
        <v>TD-LC</v>
      </c>
    </row>
    <row r="773" spans="1:8" x14ac:dyDescent="0.2">
      <c r="A773" s="157"/>
      <c r="B773" s="31" t="s">
        <v>4212</v>
      </c>
      <c r="C773" s="31" t="s">
        <v>4213</v>
      </c>
      <c r="D773" s="31" t="s">
        <v>3137</v>
      </c>
      <c r="E773" s="61" t="b">
        <v>1</v>
      </c>
      <c r="F773" s="107" t="s">
        <v>4214</v>
      </c>
      <c r="G773" s="116" t="str">
        <f>HYPERLINK("http://nsgreg.nga.mil/genc/view?v=203070&amp;end_month=3&amp;end_day=31&amp;end_year=2014","Logone Occidental")</f>
        <v>Logone Occidental</v>
      </c>
      <c r="H773" s="87" t="str">
        <f>HYPERLINK("http://api.nsgreg.nga.mil/geo-division/GENC/6/ed2/TD-LO","TD-LO")</f>
        <v>TD-LO</v>
      </c>
    </row>
    <row r="774" spans="1:8" x14ac:dyDescent="0.2">
      <c r="A774" s="157"/>
      <c r="B774" s="31" t="s">
        <v>4215</v>
      </c>
      <c r="C774" s="31" t="s">
        <v>4216</v>
      </c>
      <c r="D774" s="31" t="s">
        <v>3137</v>
      </c>
      <c r="E774" s="61" t="b">
        <v>1</v>
      </c>
      <c r="F774" s="107" t="s">
        <v>4217</v>
      </c>
      <c r="G774" s="116" t="str">
        <f>HYPERLINK("http://nsgreg.nga.mil/genc/view?v=203071&amp;end_month=3&amp;end_day=31&amp;end_year=2014","Logone Oriental")</f>
        <v>Logone Oriental</v>
      </c>
      <c r="H774" s="87" t="str">
        <f>HYPERLINK("http://api.nsgreg.nga.mil/geo-division/GENC/6/ed2/TD-LR","TD-LR")</f>
        <v>TD-LR</v>
      </c>
    </row>
    <row r="775" spans="1:8" x14ac:dyDescent="0.2">
      <c r="A775" s="157"/>
      <c r="B775" s="31" t="s">
        <v>4218</v>
      </c>
      <c r="C775" s="31" t="s">
        <v>4219</v>
      </c>
      <c r="D775" s="31" t="s">
        <v>3137</v>
      </c>
      <c r="E775" s="61" t="b">
        <v>1</v>
      </c>
      <c r="F775" s="107" t="s">
        <v>4220</v>
      </c>
      <c r="G775" s="116" t="str">
        <f>HYPERLINK("http://nsgreg.nga.mil/genc/view?v=203072&amp;end_month=3&amp;end_day=31&amp;end_year=2014","Mandoul")</f>
        <v>Mandoul</v>
      </c>
      <c r="H775" s="87" t="str">
        <f>HYPERLINK("http://api.nsgreg.nga.mil/geo-division/GENC/6/ed2/TD-MA","TD-MA")</f>
        <v>TD-MA</v>
      </c>
    </row>
    <row r="776" spans="1:8" x14ac:dyDescent="0.2">
      <c r="A776" s="157"/>
      <c r="B776" s="31" t="s">
        <v>4221</v>
      </c>
      <c r="C776" s="31" t="s">
        <v>4222</v>
      </c>
      <c r="D776" s="31" t="s">
        <v>3137</v>
      </c>
      <c r="E776" s="61" t="b">
        <v>1</v>
      </c>
      <c r="F776" s="107" t="s">
        <v>4223</v>
      </c>
      <c r="G776" s="116" t="str">
        <f>HYPERLINK("http://nsgreg.nga.mil/genc/view?v=203074&amp;end_month=3&amp;end_day=31&amp;end_year=2014","Mayo-Kébbi Est")</f>
        <v>Mayo-Kébbi Est</v>
      </c>
      <c r="H776" s="87" t="str">
        <f>HYPERLINK("http://api.nsgreg.nga.mil/geo-division/GENC/6/ed2/TD-ME","TD-ME")</f>
        <v>TD-ME</v>
      </c>
    </row>
    <row r="777" spans="1:8" x14ac:dyDescent="0.2">
      <c r="A777" s="157"/>
      <c r="B777" s="31" t="s">
        <v>4224</v>
      </c>
      <c r="C777" s="31" t="s">
        <v>4225</v>
      </c>
      <c r="D777" s="31" t="s">
        <v>3137</v>
      </c>
      <c r="E777" s="61" t="b">
        <v>1</v>
      </c>
      <c r="F777" s="107" t="s">
        <v>4226</v>
      </c>
      <c r="G777" s="116" t="str">
        <f>HYPERLINK("http://nsgreg.nga.mil/genc/view?v=203075&amp;end_month=3&amp;end_day=31&amp;end_year=2014","Mayo-Kébbi Ouest")</f>
        <v>Mayo-Kébbi Ouest</v>
      </c>
      <c r="H777" s="87" t="str">
        <f>HYPERLINK("http://api.nsgreg.nga.mil/geo-division/GENC/6/ed2/TD-MO","TD-MO")</f>
        <v>TD-MO</v>
      </c>
    </row>
    <row r="778" spans="1:8" x14ac:dyDescent="0.2">
      <c r="A778" s="157"/>
      <c r="B778" s="31" t="s">
        <v>4227</v>
      </c>
      <c r="C778" s="31" t="s">
        <v>4228</v>
      </c>
      <c r="D778" s="31" t="s">
        <v>3137</v>
      </c>
      <c r="E778" s="61" t="b">
        <v>1</v>
      </c>
      <c r="F778" s="107" t="s">
        <v>4229</v>
      </c>
      <c r="G778" s="116" t="str">
        <f>HYPERLINK("http://nsgreg.nga.mil/genc/view?v=203073&amp;end_month=3&amp;end_day=31&amp;end_year=2014","Moyen-Chari")</f>
        <v>Moyen-Chari</v>
      </c>
      <c r="H778" s="87" t="str">
        <f>HYPERLINK("http://api.nsgreg.nga.mil/geo-division/GENC/6/ed2/TD-MC","TD-MC")</f>
        <v>TD-MC</v>
      </c>
    </row>
    <row r="779" spans="1:8" x14ac:dyDescent="0.2">
      <c r="A779" s="157"/>
      <c r="B779" s="31" t="s">
        <v>4230</v>
      </c>
      <c r="C779" s="31" t="s">
        <v>4231</v>
      </c>
      <c r="D779" s="31" t="s">
        <v>3137</v>
      </c>
      <c r="E779" s="61" t="b">
        <v>1</v>
      </c>
      <c r="F779" s="107" t="s">
        <v>4232</v>
      </c>
      <c r="G779" s="116" t="str">
        <f>HYPERLINK("http://nsgreg.nga.mil/genc/view?v=203077&amp;end_month=3&amp;end_day=31&amp;end_year=2014","Ouaddaï")</f>
        <v>Ouaddaï</v>
      </c>
      <c r="H779" s="87" t="str">
        <f>HYPERLINK("http://api.nsgreg.nga.mil/geo-division/GENC/6/ed2/TD-OD","TD-OD")</f>
        <v>TD-OD</v>
      </c>
    </row>
    <row r="780" spans="1:8" x14ac:dyDescent="0.2">
      <c r="A780" s="157"/>
      <c r="B780" s="31" t="s">
        <v>4233</v>
      </c>
      <c r="C780" s="31" t="s">
        <v>4234</v>
      </c>
      <c r="D780" s="31" t="s">
        <v>3137</v>
      </c>
      <c r="E780" s="61" t="b">
        <v>1</v>
      </c>
      <c r="F780" s="107" t="s">
        <v>4235</v>
      </c>
      <c r="G780" s="116" t="str">
        <f>HYPERLINK("http://nsgreg.nga.mil/genc/view?v=203078&amp;end_month=3&amp;end_day=31&amp;end_year=2014","Salamat")</f>
        <v>Salamat</v>
      </c>
      <c r="H780" s="87" t="str">
        <f>HYPERLINK("http://api.nsgreg.nga.mil/geo-division/GENC/6/ed2/TD-SA","TD-SA")</f>
        <v>TD-SA</v>
      </c>
    </row>
    <row r="781" spans="1:8" x14ac:dyDescent="0.2">
      <c r="A781" s="157"/>
      <c r="B781" s="31" t="s">
        <v>4236</v>
      </c>
      <c r="C781" s="31" t="s">
        <v>4237</v>
      </c>
      <c r="D781" s="31" t="s">
        <v>3137</v>
      </c>
      <c r="E781" s="61" t="b">
        <v>1</v>
      </c>
      <c r="F781" s="107" t="s">
        <v>4238</v>
      </c>
      <c r="G781" s="116" t="str">
        <f>HYPERLINK("http://nsgreg.nga.mil/genc/view?v=203079&amp;end_month=3&amp;end_day=31&amp;end_year=2014","Sila")</f>
        <v>Sila</v>
      </c>
      <c r="H781" s="87" t="str">
        <f>HYPERLINK("http://api.nsgreg.nga.mil/geo-division/GENC/6/ed2/TD-SI","TD-SI")</f>
        <v>TD-SI</v>
      </c>
    </row>
    <row r="782" spans="1:8" x14ac:dyDescent="0.2">
      <c r="A782" s="157"/>
      <c r="B782" s="31" t="s">
        <v>4239</v>
      </c>
      <c r="C782" s="31" t="s">
        <v>4240</v>
      </c>
      <c r="D782" s="31" t="s">
        <v>3137</v>
      </c>
      <c r="E782" s="61" t="b">
        <v>1</v>
      </c>
      <c r="F782" s="107" t="s">
        <v>4241</v>
      </c>
      <c r="G782" s="116" t="str">
        <f>HYPERLINK("http://nsgreg.nga.mil/genc/view?v=203080&amp;end_month=3&amp;end_day=31&amp;end_year=2014","Tandjilé")</f>
        <v>Tandjilé</v>
      </c>
      <c r="H782" s="87" t="str">
        <f>HYPERLINK("http://api.nsgreg.nga.mil/geo-division/GENC/6/ed2/TD-TA","TD-TA")</f>
        <v>TD-TA</v>
      </c>
    </row>
    <row r="783" spans="1:8" x14ac:dyDescent="0.2">
      <c r="A783" s="157"/>
      <c r="B783" s="31" t="s">
        <v>4242</v>
      </c>
      <c r="C783" s="31" t="s">
        <v>4243</v>
      </c>
      <c r="D783" s="31" t="s">
        <v>3137</v>
      </c>
      <c r="E783" s="61" t="b">
        <v>1</v>
      </c>
      <c r="F783" s="107" t="s">
        <v>4244</v>
      </c>
      <c r="G783" s="116" t="str">
        <f>HYPERLINK("http://nsgreg.nga.mil/genc/view?v=203081&amp;end_month=3&amp;end_day=31&amp;end_year=2014","Tibesti")</f>
        <v>Tibesti</v>
      </c>
      <c r="H783" s="87" t="str">
        <f>HYPERLINK("http://api.nsgreg.nga.mil/geo-division/GENC/6/ed2/TD-TI","TD-TI")</f>
        <v>TD-TI</v>
      </c>
    </row>
    <row r="784" spans="1:8" x14ac:dyDescent="0.2">
      <c r="A784" s="157"/>
      <c r="B784" s="31" t="s">
        <v>4245</v>
      </c>
      <c r="C784" s="31" t="s">
        <v>4246</v>
      </c>
      <c r="D784" s="31" t="s">
        <v>3137</v>
      </c>
      <c r="E784" s="61" t="b">
        <v>1</v>
      </c>
      <c r="F784" s="107" t="s">
        <v>4247</v>
      </c>
      <c r="G784" s="116" t="str">
        <f>HYPERLINK("http://nsgreg.nga.mil/genc/view?v=203076&amp;end_month=3&amp;end_day=31&amp;end_year=2014","Ville de N’Djaména")</f>
        <v>Ville de N’Djaména</v>
      </c>
      <c r="H784" s="87" t="str">
        <f>HYPERLINK("http://api.nsgreg.nga.mil/geo-division/GENC/6/ed2/TD-ND","TD-ND")</f>
        <v>TD-ND</v>
      </c>
    </row>
    <row r="785" spans="1:8" x14ac:dyDescent="0.2">
      <c r="A785" s="158"/>
      <c r="B785" s="58" t="s">
        <v>4248</v>
      </c>
      <c r="C785" s="58" t="s">
        <v>4249</v>
      </c>
      <c r="D785" s="58" t="s">
        <v>3137</v>
      </c>
      <c r="E785" s="62" t="b">
        <v>1</v>
      </c>
      <c r="F785" s="111" t="s">
        <v>4250</v>
      </c>
      <c r="G785" s="117" t="str">
        <f>HYPERLINK("http://nsgreg.nga.mil/genc/view?v=203082&amp;end_month=3&amp;end_day=31&amp;end_year=2014","Wadi Fira")</f>
        <v>Wadi Fira</v>
      </c>
      <c r="H785" s="89" t="str">
        <f>HYPERLINK("http://api.nsgreg.nga.mil/geo-division/GENC/6/ed2/TD-WF","TD-WF")</f>
        <v>TD-WF</v>
      </c>
    </row>
    <row r="786" spans="1:8" x14ac:dyDescent="0.2">
      <c r="A786" s="156" t="str">
        <f>HYPERLINK("[#]Geopolitical_Entities!A52:I52","CHILE")</f>
        <v>CHILE</v>
      </c>
      <c r="B786" s="52" t="s">
        <v>4251</v>
      </c>
      <c r="C786" s="52" t="s">
        <v>4252</v>
      </c>
      <c r="D786" s="52" t="s">
        <v>3137</v>
      </c>
      <c r="E786" s="60" t="b">
        <v>1</v>
      </c>
      <c r="F786" s="109" t="s">
        <v>4253</v>
      </c>
      <c r="G786" s="118" t="str">
        <f>HYPERLINK("http://nsgreg.nga.mil/genc/view?v=112653&amp;gencs=T&amp;end_month=3&amp;end_day=31&amp;end_year=2014","Antofagasta")</f>
        <v>Antofagasta</v>
      </c>
      <c r="H786" s="91" t="str">
        <f>HYPERLINK("http://api.nsgreg.nga.mil/geo-division/ISO3166-2/6/ed3/CL-AN","CL-AN")</f>
        <v>CL-AN</v>
      </c>
    </row>
    <row r="787" spans="1:8" x14ac:dyDescent="0.2">
      <c r="A787" s="157"/>
      <c r="B787" s="31" t="s">
        <v>4254</v>
      </c>
      <c r="C787" s="31" t="s">
        <v>4255</v>
      </c>
      <c r="D787" s="31" t="s">
        <v>3137</v>
      </c>
      <c r="E787" s="61" t="b">
        <v>1</v>
      </c>
      <c r="F787" s="106" t="s">
        <v>4256</v>
      </c>
      <c r="G787" s="116" t="str">
        <f>HYPERLINK("http://nsgreg.nga.mil/genc/view?v=112655&amp;gencs=T&amp;end_month=3&amp;end_day=31&amp;end_year=2014","Araucanía")</f>
        <v>Araucanía</v>
      </c>
      <c r="H787" s="87" t="str">
        <f>HYPERLINK("http://api.nsgreg.nga.mil/geo-division/ISO3166-2/6/ed3/CL-AR","CL-AR")</f>
        <v>CL-AR</v>
      </c>
    </row>
    <row r="788" spans="1:8" x14ac:dyDescent="0.2">
      <c r="A788" s="157"/>
      <c r="B788" s="31" t="s">
        <v>4257</v>
      </c>
      <c r="C788" s="31" t="s">
        <v>4258</v>
      </c>
      <c r="D788" s="31" t="s">
        <v>3137</v>
      </c>
      <c r="E788" s="61" t="b">
        <v>1</v>
      </c>
      <c r="F788" s="106" t="s">
        <v>4259</v>
      </c>
      <c r="G788" s="116" t="str">
        <f>HYPERLINK("http://nsgreg.nga.mil/genc/view?v=112654&amp;gencs=T&amp;end_month=3&amp;end_day=31&amp;end_year=2014","Arica y Parinacota")</f>
        <v>Arica y Parinacota</v>
      </c>
      <c r="H788" s="87" t="str">
        <f>HYPERLINK("http://api.nsgreg.nga.mil/geo-division/ISO3166-2/6/ed3/CL-AP","CL-AP")</f>
        <v>CL-AP</v>
      </c>
    </row>
    <row r="789" spans="1:8" x14ac:dyDescent="0.2">
      <c r="A789" s="157"/>
      <c r="B789" s="31" t="s">
        <v>4260</v>
      </c>
      <c r="C789" s="31" t="s">
        <v>4261</v>
      </c>
      <c r="D789" s="31" t="s">
        <v>3137</v>
      </c>
      <c r="E789" s="61" t="b">
        <v>1</v>
      </c>
      <c r="F789" s="106" t="s">
        <v>4262</v>
      </c>
      <c r="G789" s="116" t="str">
        <f>HYPERLINK("http://nsgreg.nga.mil/genc/view?v=112656&amp;gencs=T&amp;end_month=3&amp;end_day=31&amp;end_year=2014","Atacama")</f>
        <v>Atacama</v>
      </c>
      <c r="H789" s="87" t="str">
        <f>HYPERLINK("http://api.nsgreg.nga.mil/geo-division/ISO3166-2/6/ed3/CL-AT","CL-AT")</f>
        <v>CL-AT</v>
      </c>
    </row>
    <row r="790" spans="1:8" x14ac:dyDescent="0.2">
      <c r="A790" s="157"/>
      <c r="B790" s="31" t="s">
        <v>4263</v>
      </c>
      <c r="C790" s="31" t="s">
        <v>4264</v>
      </c>
      <c r="D790" s="31" t="s">
        <v>3137</v>
      </c>
      <c r="E790" s="61" t="b">
        <v>1</v>
      </c>
      <c r="F790" s="107" t="s">
        <v>4265</v>
      </c>
      <c r="G790" s="116" t="str">
        <f>HYPERLINK("http://nsgreg.nga.mil/genc/view?v=200930&amp;end_month=3&amp;end_day=31&amp;end_year=2014","Aysén")</f>
        <v>Aysén</v>
      </c>
      <c r="H790" s="87" t="str">
        <f>HYPERLINK("http://api.nsgreg.nga.mil/geo-division/GENC/6/ed2/CL-AI","CL-AI")</f>
        <v>CL-AI</v>
      </c>
    </row>
    <row r="791" spans="1:8" x14ac:dyDescent="0.2">
      <c r="A791" s="157"/>
      <c r="B791" s="31" t="s">
        <v>4266</v>
      </c>
      <c r="C791" s="31" t="s">
        <v>4267</v>
      </c>
      <c r="D791" s="31" t="s">
        <v>3137</v>
      </c>
      <c r="E791" s="61" t="b">
        <v>1</v>
      </c>
      <c r="F791" s="107" t="s">
        <v>4268</v>
      </c>
      <c r="G791" s="116" t="str">
        <f>HYPERLINK("http://nsgreg.nga.mil/genc/view?v=201130&amp;end_month=3&amp;end_day=31&amp;end_year=2014","Biobío")</f>
        <v>Biobío</v>
      </c>
      <c r="H791" s="87" t="str">
        <f>HYPERLINK("http://api.nsgreg.nga.mil/geo-division/GENC/6/ed2/CL-BI","CL-BI")</f>
        <v>CL-BI</v>
      </c>
    </row>
    <row r="792" spans="1:8" x14ac:dyDescent="0.2">
      <c r="A792" s="157"/>
      <c r="B792" s="31" t="s">
        <v>4269</v>
      </c>
      <c r="C792" s="31" t="s">
        <v>4270</v>
      </c>
      <c r="D792" s="31" t="s">
        <v>3137</v>
      </c>
      <c r="E792" s="61" t="b">
        <v>1</v>
      </c>
      <c r="F792" s="106" t="s">
        <v>4271</v>
      </c>
      <c r="G792" s="116" t="str">
        <f>HYPERLINK("http://nsgreg.nga.mil/genc/view?v=112658&amp;gencs=T&amp;end_month=3&amp;end_day=31&amp;end_year=2014","Coquimbo")</f>
        <v>Coquimbo</v>
      </c>
      <c r="H792" s="87" t="str">
        <f>HYPERLINK("http://api.nsgreg.nga.mil/geo-division/ISO3166-2/6/ed3/CL-CO","CL-CO")</f>
        <v>CL-CO</v>
      </c>
    </row>
    <row r="793" spans="1:8" x14ac:dyDescent="0.2">
      <c r="A793" s="157"/>
      <c r="B793" s="31" t="s">
        <v>4272</v>
      </c>
      <c r="C793" s="31" t="s">
        <v>4273</v>
      </c>
      <c r="D793" s="31" t="s">
        <v>3137</v>
      </c>
      <c r="E793" s="61" t="b">
        <v>1</v>
      </c>
      <c r="F793" s="107" t="s">
        <v>4274</v>
      </c>
      <c r="G793" s="116" t="str">
        <f>HYPERLINK("http://nsgreg.nga.mil/genc/view?v=203390&amp;end_month=3&amp;end_day=31&amp;end_year=2014","Libertador General Bernardo O’Higgins")</f>
        <v>Libertador General Bernardo O’Higgins</v>
      </c>
      <c r="H793" s="87" t="str">
        <f>HYPERLINK("http://api.nsgreg.nga.mil/geo-division/GENC/6/ed2/CL-LI","CL-LI")</f>
        <v>CL-LI</v>
      </c>
    </row>
    <row r="794" spans="1:8" x14ac:dyDescent="0.2">
      <c r="A794" s="157"/>
      <c r="B794" s="31" t="s">
        <v>4275</v>
      </c>
      <c r="C794" s="31" t="s">
        <v>4276</v>
      </c>
      <c r="D794" s="31" t="s">
        <v>3137</v>
      </c>
      <c r="E794" s="61" t="b">
        <v>1</v>
      </c>
      <c r="F794" s="106" t="s">
        <v>4277</v>
      </c>
      <c r="G794" s="116" t="str">
        <f>HYPERLINK("http://nsgreg.nga.mil/genc/view?v=112660&amp;gencs=T&amp;end_month=3&amp;end_day=31&amp;end_year=2014","Los Lagos")</f>
        <v>Los Lagos</v>
      </c>
      <c r="H794" s="87" t="str">
        <f>HYPERLINK("http://api.nsgreg.nga.mil/geo-division/ISO3166-2/6/ed3/CL-LL","CL-LL")</f>
        <v>CL-LL</v>
      </c>
    </row>
    <row r="795" spans="1:8" x14ac:dyDescent="0.2">
      <c r="A795" s="157"/>
      <c r="B795" s="31" t="s">
        <v>4278</v>
      </c>
      <c r="C795" s="31" t="s">
        <v>4279</v>
      </c>
      <c r="D795" s="31" t="s">
        <v>3137</v>
      </c>
      <c r="E795" s="61" t="b">
        <v>1</v>
      </c>
      <c r="F795" s="106" t="s">
        <v>4280</v>
      </c>
      <c r="G795" s="116" t="str">
        <f>HYPERLINK("http://nsgreg.nga.mil/genc/view?v=112661&amp;gencs=T&amp;end_month=3&amp;end_day=31&amp;end_year=2014","Los Ríos")</f>
        <v>Los Ríos</v>
      </c>
      <c r="H795" s="87" t="str">
        <f>HYPERLINK("http://api.nsgreg.nga.mil/geo-division/ISO3166-2/6/ed3/CL-LR","CL-LR")</f>
        <v>CL-LR</v>
      </c>
    </row>
    <row r="796" spans="1:8" x14ac:dyDescent="0.2">
      <c r="A796" s="157"/>
      <c r="B796" s="31" t="s">
        <v>4281</v>
      </c>
      <c r="C796" s="31" t="s">
        <v>4282</v>
      </c>
      <c r="D796" s="31" t="s">
        <v>3137</v>
      </c>
      <c r="E796" s="61" t="b">
        <v>1</v>
      </c>
      <c r="F796" s="107" t="s">
        <v>4283</v>
      </c>
      <c r="G796" s="116" t="str">
        <f>HYPERLINK("http://nsgreg.nga.mil/genc/view?v=201011&amp;end_month=3&amp;end_day=31&amp;end_year=2014","Magallanes y de la Antártica Chilena")</f>
        <v>Magallanes y de la Antártica Chilena</v>
      </c>
      <c r="H796" s="87" t="str">
        <f>HYPERLINK("http://api.nsgreg.nga.mil/geo-division/GENC/6/ed2/CL-MA","CL-MA")</f>
        <v>CL-MA</v>
      </c>
    </row>
    <row r="797" spans="1:8" x14ac:dyDescent="0.2">
      <c r="A797" s="157"/>
      <c r="B797" s="31" t="s">
        <v>4284</v>
      </c>
      <c r="C797" s="31" t="s">
        <v>4285</v>
      </c>
      <c r="D797" s="31" t="s">
        <v>3137</v>
      </c>
      <c r="E797" s="61" t="b">
        <v>1</v>
      </c>
      <c r="F797" s="106" t="s">
        <v>4286</v>
      </c>
      <c r="G797" s="116" t="str">
        <f>HYPERLINK("http://nsgreg.nga.mil/genc/view?v=112663&amp;gencs=T&amp;end_month=3&amp;end_day=31&amp;end_year=2014","Maule")</f>
        <v>Maule</v>
      </c>
      <c r="H797" s="87" t="str">
        <f>HYPERLINK("http://api.nsgreg.nga.mil/geo-division/ISO3166-2/6/ed3/CL-ML","CL-ML")</f>
        <v>CL-ML</v>
      </c>
    </row>
    <row r="798" spans="1:8" x14ac:dyDescent="0.2">
      <c r="A798" s="157"/>
      <c r="B798" s="31" t="s">
        <v>4287</v>
      </c>
      <c r="C798" s="31" t="s">
        <v>4288</v>
      </c>
      <c r="D798" s="31" t="s">
        <v>3137</v>
      </c>
      <c r="E798" s="61" t="b">
        <v>1</v>
      </c>
      <c r="F798" s="107" t="s">
        <v>4289</v>
      </c>
      <c r="G798" s="116" t="str">
        <f>HYPERLINK("http://nsgreg.nga.mil/genc/view?v=201012&amp;end_month=3&amp;end_day=31&amp;end_year=2014","Región Metropolitana")</f>
        <v>Región Metropolitana</v>
      </c>
      <c r="H798" s="87" t="str">
        <f>HYPERLINK("http://api.nsgreg.nga.mil/geo-division/GENC/6/ed2/CL-RM","CL-RM")</f>
        <v>CL-RM</v>
      </c>
    </row>
    <row r="799" spans="1:8" x14ac:dyDescent="0.2">
      <c r="A799" s="157"/>
      <c r="B799" s="31" t="s">
        <v>4290</v>
      </c>
      <c r="C799" s="31" t="s">
        <v>4291</v>
      </c>
      <c r="D799" s="31" t="s">
        <v>3137</v>
      </c>
      <c r="E799" s="61" t="b">
        <v>1</v>
      </c>
      <c r="F799" s="106" t="s">
        <v>4292</v>
      </c>
      <c r="G799" s="116" t="str">
        <f>HYPERLINK("http://nsgreg.nga.mil/genc/view?v=112665&amp;gencs=T&amp;end_month=3&amp;end_day=31&amp;end_year=2014","Tarapacá")</f>
        <v>Tarapacá</v>
      </c>
      <c r="H799" s="87" t="str">
        <f>HYPERLINK("http://api.nsgreg.nga.mil/geo-division/ISO3166-2/6/ed3/CL-TA","CL-TA")</f>
        <v>CL-TA</v>
      </c>
    </row>
    <row r="800" spans="1:8" x14ac:dyDescent="0.2">
      <c r="A800" s="158"/>
      <c r="B800" s="58" t="s">
        <v>4293</v>
      </c>
      <c r="C800" s="58" t="s">
        <v>4294</v>
      </c>
      <c r="D800" s="58" t="s">
        <v>3137</v>
      </c>
      <c r="E800" s="62" t="b">
        <v>1</v>
      </c>
      <c r="F800" s="108" t="s">
        <v>4295</v>
      </c>
      <c r="G800" s="117" t="str">
        <f>HYPERLINK("http://nsgreg.nga.mil/genc/view?v=112666&amp;gencs=T&amp;end_month=3&amp;end_day=31&amp;end_year=2014","Valparaíso")</f>
        <v>Valparaíso</v>
      </c>
      <c r="H800" s="89" t="str">
        <f>HYPERLINK("http://api.nsgreg.nga.mil/geo-division/ISO3166-2/6/ed3/CL-VS","CL-VS")</f>
        <v>CL-VS</v>
      </c>
    </row>
    <row r="801" spans="1:8" x14ac:dyDescent="0.2">
      <c r="A801" s="156" t="str">
        <f>HYPERLINK("[#]Geopolitical_Entities!A53:I53","CHINA")</f>
        <v>CHINA</v>
      </c>
      <c r="B801" s="52" t="s">
        <v>4296</v>
      </c>
      <c r="C801" s="52" t="s">
        <v>4297</v>
      </c>
      <c r="D801" s="52" t="s">
        <v>1920</v>
      </c>
      <c r="E801" s="60" t="b">
        <v>1</v>
      </c>
      <c r="F801" s="109" t="s">
        <v>4298</v>
      </c>
      <c r="G801" s="118" t="str">
        <f>HYPERLINK("http://nsgreg.nga.mil/genc/view?v=112688&amp;gencs=T&amp;end_month=3&amp;end_day=31&amp;end_year=2014","Anhui")</f>
        <v>Anhui</v>
      </c>
      <c r="H801" s="91" t="str">
        <f>HYPERLINK("http://api.nsgreg.nga.mil/geo-division/ISO3166-2/6/ed3/CN-34","CN-34")</f>
        <v>CN-34</v>
      </c>
    </row>
    <row r="802" spans="1:8" x14ac:dyDescent="0.2">
      <c r="A802" s="157"/>
      <c r="B802" s="31" t="s">
        <v>4299</v>
      </c>
      <c r="C802" s="31" t="s">
        <v>4300</v>
      </c>
      <c r="D802" s="31" t="s">
        <v>3254</v>
      </c>
      <c r="E802" s="61" t="b">
        <v>1</v>
      </c>
      <c r="F802" s="106" t="s">
        <v>4301</v>
      </c>
      <c r="G802" s="116" t="str">
        <f>HYPERLINK("http://nsgreg.nga.mil/genc/view?v=112677&amp;gencs=T&amp;end_month=3&amp;end_day=31&amp;end_year=2014","Beijing")</f>
        <v>Beijing</v>
      </c>
      <c r="H802" s="87" t="str">
        <f>HYPERLINK("http://api.nsgreg.nga.mil/geo-division/ISO3166-2/6/ed3/CN-11","CN-11")</f>
        <v>CN-11</v>
      </c>
    </row>
    <row r="803" spans="1:8" x14ac:dyDescent="0.2">
      <c r="A803" s="157"/>
      <c r="B803" s="31" t="s">
        <v>4302</v>
      </c>
      <c r="C803" s="31" t="s">
        <v>4303</v>
      </c>
      <c r="D803" s="31" t="s">
        <v>3254</v>
      </c>
      <c r="E803" s="61" t="b">
        <v>1</v>
      </c>
      <c r="F803" s="106" t="s">
        <v>4304</v>
      </c>
      <c r="G803" s="116" t="str">
        <f>HYPERLINK("http://nsgreg.nga.mil/genc/view?v=112698&amp;gencs=T&amp;end_month=3&amp;end_day=31&amp;end_year=2014","Chongqing")</f>
        <v>Chongqing</v>
      </c>
      <c r="H803" s="87" t="str">
        <f>HYPERLINK("http://api.nsgreg.nga.mil/geo-division/ISO3166-2/6/ed3/CN-50","CN-50")</f>
        <v>CN-50</v>
      </c>
    </row>
    <row r="804" spans="1:8" x14ac:dyDescent="0.2">
      <c r="A804" s="157"/>
      <c r="B804" s="31" t="s">
        <v>4305</v>
      </c>
      <c r="C804" s="31" t="s">
        <v>4306</v>
      </c>
      <c r="D804" s="31" t="s">
        <v>1920</v>
      </c>
      <c r="E804" s="61" t="b">
        <v>1</v>
      </c>
      <c r="F804" s="106" t="s">
        <v>4307</v>
      </c>
      <c r="G804" s="116" t="str">
        <f>HYPERLINK("http://nsgreg.nga.mil/genc/view?v=112689&amp;gencs=T&amp;end_month=3&amp;end_day=31&amp;end_year=2014","Fujian")</f>
        <v>Fujian</v>
      </c>
      <c r="H804" s="87" t="str">
        <f>HYPERLINK("http://api.nsgreg.nga.mil/geo-division/ISO3166-2/6/ed3/CN-35","CN-35")</f>
        <v>CN-35</v>
      </c>
    </row>
    <row r="805" spans="1:8" x14ac:dyDescent="0.2">
      <c r="A805" s="157"/>
      <c r="B805" s="31" t="s">
        <v>4308</v>
      </c>
      <c r="C805" s="31" t="s">
        <v>4309</v>
      </c>
      <c r="D805" s="31" t="s">
        <v>1920</v>
      </c>
      <c r="E805" s="61" t="b">
        <v>1</v>
      </c>
      <c r="F805" s="106" t="s">
        <v>4310</v>
      </c>
      <c r="G805" s="116" t="str">
        <f>HYPERLINK("http://nsgreg.nga.mil/genc/view?v=112704&amp;gencs=T&amp;end_month=3&amp;end_day=31&amp;end_year=2014","Gansu")</f>
        <v>Gansu</v>
      </c>
      <c r="H805" s="87" t="str">
        <f>HYPERLINK("http://api.nsgreg.nga.mil/geo-division/ISO3166-2/6/ed3/CN-62","CN-62")</f>
        <v>CN-62</v>
      </c>
    </row>
    <row r="806" spans="1:8" x14ac:dyDescent="0.2">
      <c r="A806" s="157"/>
      <c r="B806" s="31" t="s">
        <v>4311</v>
      </c>
      <c r="C806" s="31" t="s">
        <v>4312</v>
      </c>
      <c r="D806" s="31" t="s">
        <v>1920</v>
      </c>
      <c r="E806" s="61" t="b">
        <v>1</v>
      </c>
      <c r="F806" s="106" t="s">
        <v>4313</v>
      </c>
      <c r="G806" s="116" t="str">
        <f>HYPERLINK("http://nsgreg.nga.mil/genc/view?v=112695&amp;gencs=T&amp;end_month=3&amp;end_day=31&amp;end_year=2014","Guangdong")</f>
        <v>Guangdong</v>
      </c>
      <c r="H806" s="87" t="str">
        <f>HYPERLINK("http://api.nsgreg.nga.mil/geo-division/ISO3166-2/6/ed3/CN-44","CN-44")</f>
        <v>CN-44</v>
      </c>
    </row>
    <row r="807" spans="1:8" x14ac:dyDescent="0.2">
      <c r="A807" s="157"/>
      <c r="B807" s="31" t="s">
        <v>4314</v>
      </c>
      <c r="C807" s="31" t="s">
        <v>4315</v>
      </c>
      <c r="D807" s="31" t="s">
        <v>4316</v>
      </c>
      <c r="E807" s="61" t="b">
        <v>1</v>
      </c>
      <c r="F807" s="106" t="s">
        <v>4317</v>
      </c>
      <c r="G807" s="116" t="str">
        <f>HYPERLINK("http://nsgreg.nga.mil/genc/view?v=112696&amp;gencs=T&amp;end_month=3&amp;end_day=31&amp;end_year=2014","Guangxi")</f>
        <v>Guangxi</v>
      </c>
      <c r="H807" s="87" t="str">
        <f>HYPERLINK("http://api.nsgreg.nga.mil/geo-division/ISO3166-2/6/ed3/CN-45","CN-45")</f>
        <v>CN-45</v>
      </c>
    </row>
    <row r="808" spans="1:8" x14ac:dyDescent="0.2">
      <c r="A808" s="157"/>
      <c r="B808" s="31" t="s">
        <v>4318</v>
      </c>
      <c r="C808" s="31" t="s">
        <v>4319</v>
      </c>
      <c r="D808" s="31" t="s">
        <v>1920</v>
      </c>
      <c r="E808" s="61" t="b">
        <v>1</v>
      </c>
      <c r="F808" s="106" t="s">
        <v>4320</v>
      </c>
      <c r="G808" s="116" t="str">
        <f>HYPERLINK("http://nsgreg.nga.mil/genc/view?v=112700&amp;gencs=T&amp;end_month=3&amp;end_day=31&amp;end_year=2014","Guizhou")</f>
        <v>Guizhou</v>
      </c>
      <c r="H808" s="87" t="str">
        <f>HYPERLINK("http://api.nsgreg.nga.mil/geo-division/ISO3166-2/6/ed3/CN-52","CN-52")</f>
        <v>CN-52</v>
      </c>
    </row>
    <row r="809" spans="1:8" x14ac:dyDescent="0.2">
      <c r="A809" s="157"/>
      <c r="B809" s="31" t="s">
        <v>4321</v>
      </c>
      <c r="C809" s="31" t="s">
        <v>4322</v>
      </c>
      <c r="D809" s="31" t="s">
        <v>1920</v>
      </c>
      <c r="E809" s="61" t="b">
        <v>1</v>
      </c>
      <c r="F809" s="106" t="s">
        <v>4323</v>
      </c>
      <c r="G809" s="116" t="str">
        <f>HYPERLINK("http://nsgreg.nga.mil/genc/view?v=112697&amp;gencs=T&amp;end_month=3&amp;end_day=31&amp;end_year=2014","Hainan")</f>
        <v>Hainan</v>
      </c>
      <c r="H809" s="87" t="str">
        <f>HYPERLINK("http://api.nsgreg.nga.mil/geo-division/ISO3166-2/6/ed3/CN-46","CN-46")</f>
        <v>CN-46</v>
      </c>
    </row>
    <row r="810" spans="1:8" x14ac:dyDescent="0.2">
      <c r="A810" s="157"/>
      <c r="B810" s="31" t="s">
        <v>4324</v>
      </c>
      <c r="C810" s="31" t="s">
        <v>4325</v>
      </c>
      <c r="D810" s="31" t="s">
        <v>1920</v>
      </c>
      <c r="E810" s="61" t="b">
        <v>1</v>
      </c>
      <c r="F810" s="106" t="s">
        <v>4326</v>
      </c>
      <c r="G810" s="116" t="str">
        <f>HYPERLINK("http://nsgreg.nga.mil/genc/view?v=112679&amp;gencs=T&amp;end_month=3&amp;end_day=31&amp;end_year=2014","Hebei")</f>
        <v>Hebei</v>
      </c>
      <c r="H810" s="87" t="str">
        <f>HYPERLINK("http://api.nsgreg.nga.mil/geo-division/ISO3166-2/6/ed3/CN-13","CN-13")</f>
        <v>CN-13</v>
      </c>
    </row>
    <row r="811" spans="1:8" x14ac:dyDescent="0.2">
      <c r="A811" s="157"/>
      <c r="B811" s="31" t="s">
        <v>4327</v>
      </c>
      <c r="C811" s="31" t="s">
        <v>4328</v>
      </c>
      <c r="D811" s="31" t="s">
        <v>1920</v>
      </c>
      <c r="E811" s="61" t="b">
        <v>1</v>
      </c>
      <c r="F811" s="106" t="s">
        <v>4329</v>
      </c>
      <c r="G811" s="116" t="str">
        <f>HYPERLINK("http://nsgreg.nga.mil/genc/view?v=112684&amp;gencs=T&amp;end_month=3&amp;end_day=31&amp;end_year=2014","Heilongjiang")</f>
        <v>Heilongjiang</v>
      </c>
      <c r="H811" s="87" t="str">
        <f>HYPERLINK("http://api.nsgreg.nga.mil/geo-division/ISO3166-2/6/ed3/CN-23","CN-23")</f>
        <v>CN-23</v>
      </c>
    </row>
    <row r="812" spans="1:8" x14ac:dyDescent="0.2">
      <c r="A812" s="157"/>
      <c r="B812" s="31" t="s">
        <v>4330</v>
      </c>
      <c r="C812" s="31" t="s">
        <v>4331</v>
      </c>
      <c r="D812" s="31" t="s">
        <v>1920</v>
      </c>
      <c r="E812" s="61" t="b">
        <v>1</v>
      </c>
      <c r="F812" s="106" t="s">
        <v>4332</v>
      </c>
      <c r="G812" s="116" t="str">
        <f>HYPERLINK("http://nsgreg.nga.mil/genc/view?v=112692&amp;gencs=T&amp;end_month=3&amp;end_day=31&amp;end_year=2014","Henan")</f>
        <v>Henan</v>
      </c>
      <c r="H812" s="87" t="str">
        <f>HYPERLINK("http://api.nsgreg.nga.mil/geo-division/ISO3166-2/6/ed3/CN-41","CN-41")</f>
        <v>CN-41</v>
      </c>
    </row>
    <row r="813" spans="1:8" x14ac:dyDescent="0.2">
      <c r="A813" s="157"/>
      <c r="B813" s="31" t="s">
        <v>4333</v>
      </c>
      <c r="C813" s="31" t="s">
        <v>835</v>
      </c>
      <c r="D813" s="98" t="s">
        <v>4334</v>
      </c>
      <c r="E813" s="99" t="b">
        <v>0</v>
      </c>
      <c r="F813" s="107" t="s">
        <v>4335</v>
      </c>
      <c r="G813" s="116" t="str">
        <f>HYPERLINK("http://nsgreg.nga.mil/genc/view?v=201016&amp;end_month=3&amp;end_day=31&amp;end_year=2014","Hong Kong")</f>
        <v>Hong Kong</v>
      </c>
      <c r="H813" s="87" t="str">
        <f>HYPERLINK("http://api.nsgreg.nga.mil/geo-division/GENC/6/ed2/CN-91","CN-91")</f>
        <v>CN-91</v>
      </c>
    </row>
    <row r="814" spans="1:8" x14ac:dyDescent="0.2">
      <c r="A814" s="157"/>
      <c r="B814" s="31" t="s">
        <v>4336</v>
      </c>
      <c r="C814" s="31" t="s">
        <v>4337</v>
      </c>
      <c r="D814" s="31" t="s">
        <v>1920</v>
      </c>
      <c r="E814" s="61" t="b">
        <v>1</v>
      </c>
      <c r="F814" s="106" t="s">
        <v>4338</v>
      </c>
      <c r="G814" s="116" t="str">
        <f>HYPERLINK("http://nsgreg.nga.mil/genc/view?v=112693&amp;gencs=T&amp;end_month=3&amp;end_day=31&amp;end_year=2014","Hubei")</f>
        <v>Hubei</v>
      </c>
      <c r="H814" s="87" t="str">
        <f>HYPERLINK("http://api.nsgreg.nga.mil/geo-division/ISO3166-2/6/ed3/CN-42","CN-42")</f>
        <v>CN-42</v>
      </c>
    </row>
    <row r="815" spans="1:8" x14ac:dyDescent="0.2">
      <c r="A815" s="157"/>
      <c r="B815" s="31" t="s">
        <v>4339</v>
      </c>
      <c r="C815" s="31" t="s">
        <v>4340</v>
      </c>
      <c r="D815" s="31" t="s">
        <v>1920</v>
      </c>
      <c r="E815" s="61" t="b">
        <v>1</v>
      </c>
      <c r="F815" s="106" t="s">
        <v>4341</v>
      </c>
      <c r="G815" s="116" t="str">
        <f>HYPERLINK("http://nsgreg.nga.mil/genc/view?v=112694&amp;gencs=T&amp;end_month=3&amp;end_day=31&amp;end_year=2014","Hunan")</f>
        <v>Hunan</v>
      </c>
      <c r="H815" s="87" t="str">
        <f>HYPERLINK("http://api.nsgreg.nga.mil/geo-division/ISO3166-2/6/ed3/CN-43","CN-43")</f>
        <v>CN-43</v>
      </c>
    </row>
    <row r="816" spans="1:8" x14ac:dyDescent="0.2">
      <c r="A816" s="157"/>
      <c r="B816" s="31" t="s">
        <v>4342</v>
      </c>
      <c r="C816" s="31" t="s">
        <v>4343</v>
      </c>
      <c r="D816" s="31" t="s">
        <v>4316</v>
      </c>
      <c r="E816" s="61" t="b">
        <v>1</v>
      </c>
      <c r="F816" s="107" t="s">
        <v>4344</v>
      </c>
      <c r="G816" s="116" t="str">
        <f>HYPERLINK("http://nsgreg.nga.mil/genc/view?v=201013&amp;end_month=3&amp;end_day=31&amp;end_year=2014","Inner Mongolia")</f>
        <v>Inner Mongolia</v>
      </c>
      <c r="H816" s="87" t="str">
        <f>HYPERLINK("http://api.nsgreg.nga.mil/geo-division/GENC/6/ed2/CN-15","CN-15")</f>
        <v>CN-15</v>
      </c>
    </row>
    <row r="817" spans="1:8" x14ac:dyDescent="0.2">
      <c r="A817" s="157"/>
      <c r="B817" s="31" t="s">
        <v>4345</v>
      </c>
      <c r="C817" s="31" t="s">
        <v>4346</v>
      </c>
      <c r="D817" s="31" t="s">
        <v>1920</v>
      </c>
      <c r="E817" s="61" t="b">
        <v>1</v>
      </c>
      <c r="F817" s="106" t="s">
        <v>4347</v>
      </c>
      <c r="G817" s="116" t="str">
        <f>HYPERLINK("http://nsgreg.nga.mil/genc/view?v=112686&amp;gencs=T&amp;end_month=3&amp;end_day=31&amp;end_year=2014","Jiangsu")</f>
        <v>Jiangsu</v>
      </c>
      <c r="H817" s="87" t="str">
        <f>HYPERLINK("http://api.nsgreg.nga.mil/geo-division/ISO3166-2/6/ed3/CN-32","CN-32")</f>
        <v>CN-32</v>
      </c>
    </row>
    <row r="818" spans="1:8" x14ac:dyDescent="0.2">
      <c r="A818" s="157"/>
      <c r="B818" s="31" t="s">
        <v>4348</v>
      </c>
      <c r="C818" s="31" t="s">
        <v>4349</v>
      </c>
      <c r="D818" s="31" t="s">
        <v>1920</v>
      </c>
      <c r="E818" s="61" t="b">
        <v>1</v>
      </c>
      <c r="F818" s="106" t="s">
        <v>4350</v>
      </c>
      <c r="G818" s="116" t="str">
        <f>HYPERLINK("http://nsgreg.nga.mil/genc/view?v=112690&amp;gencs=T&amp;end_month=3&amp;end_day=31&amp;end_year=2014","Jiangxi")</f>
        <v>Jiangxi</v>
      </c>
      <c r="H818" s="87" t="str">
        <f>HYPERLINK("http://api.nsgreg.nga.mil/geo-division/ISO3166-2/6/ed3/CN-36","CN-36")</f>
        <v>CN-36</v>
      </c>
    </row>
    <row r="819" spans="1:8" x14ac:dyDescent="0.2">
      <c r="A819" s="157"/>
      <c r="B819" s="31" t="s">
        <v>4351</v>
      </c>
      <c r="C819" s="31" t="s">
        <v>4352</v>
      </c>
      <c r="D819" s="31" t="s">
        <v>1920</v>
      </c>
      <c r="E819" s="61" t="b">
        <v>1</v>
      </c>
      <c r="F819" s="106" t="s">
        <v>4353</v>
      </c>
      <c r="G819" s="116" t="str">
        <f>HYPERLINK("http://nsgreg.nga.mil/genc/view?v=112683&amp;gencs=T&amp;end_month=3&amp;end_day=31&amp;end_year=2014","Jilin")</f>
        <v>Jilin</v>
      </c>
      <c r="H819" s="87" t="str">
        <f>HYPERLINK("http://api.nsgreg.nga.mil/geo-division/ISO3166-2/6/ed3/CN-22","CN-22")</f>
        <v>CN-22</v>
      </c>
    </row>
    <row r="820" spans="1:8" x14ac:dyDescent="0.2">
      <c r="A820" s="157"/>
      <c r="B820" s="31" t="s">
        <v>4354</v>
      </c>
      <c r="C820" s="31" t="s">
        <v>4355</v>
      </c>
      <c r="D820" s="31" t="s">
        <v>1920</v>
      </c>
      <c r="E820" s="61" t="b">
        <v>1</v>
      </c>
      <c r="F820" s="106" t="s">
        <v>4356</v>
      </c>
      <c r="G820" s="116" t="str">
        <f>HYPERLINK("http://nsgreg.nga.mil/genc/view?v=112682&amp;gencs=T&amp;end_month=3&amp;end_day=31&amp;end_year=2014","Liaoning")</f>
        <v>Liaoning</v>
      </c>
      <c r="H820" s="87" t="str">
        <f>HYPERLINK("http://api.nsgreg.nga.mil/geo-division/ISO3166-2/6/ed3/CN-21","CN-21")</f>
        <v>CN-21</v>
      </c>
    </row>
    <row r="821" spans="1:8" x14ac:dyDescent="0.2">
      <c r="A821" s="157"/>
      <c r="B821" s="31" t="s">
        <v>4357</v>
      </c>
      <c r="C821" s="31" t="s">
        <v>4358</v>
      </c>
      <c r="D821" s="98" t="s">
        <v>4334</v>
      </c>
      <c r="E821" s="99" t="b">
        <v>0</v>
      </c>
      <c r="F821" s="107" t="s">
        <v>4359</v>
      </c>
      <c r="G821" s="116" t="str">
        <f>HYPERLINK("http://nsgreg.nga.mil/genc/view?v=201017&amp;end_month=3&amp;end_day=31&amp;end_year=2014","Macao")</f>
        <v>Macao</v>
      </c>
      <c r="H821" s="87" t="str">
        <f>HYPERLINK("http://api.nsgreg.nga.mil/geo-division/GENC/6/ed2/CN-92","CN-92")</f>
        <v>CN-92</v>
      </c>
    </row>
    <row r="822" spans="1:8" x14ac:dyDescent="0.2">
      <c r="A822" s="157"/>
      <c r="B822" s="31" t="s">
        <v>4360</v>
      </c>
      <c r="C822" s="31" t="s">
        <v>4361</v>
      </c>
      <c r="D822" s="31" t="s">
        <v>4316</v>
      </c>
      <c r="E822" s="61" t="b">
        <v>1</v>
      </c>
      <c r="F822" s="106" t="s">
        <v>4362</v>
      </c>
      <c r="G822" s="116" t="str">
        <f>HYPERLINK("http://nsgreg.nga.mil/genc/view?v=112706&amp;gencs=T&amp;end_month=3&amp;end_day=31&amp;end_year=2014","Ningxia")</f>
        <v>Ningxia</v>
      </c>
      <c r="H822" s="87" t="str">
        <f>HYPERLINK("http://api.nsgreg.nga.mil/geo-division/ISO3166-2/6/ed3/CN-64","CN-64")</f>
        <v>CN-64</v>
      </c>
    </row>
    <row r="823" spans="1:8" x14ac:dyDescent="0.2">
      <c r="A823" s="157"/>
      <c r="B823" s="31" t="s">
        <v>4363</v>
      </c>
      <c r="C823" s="31" t="s">
        <v>4364</v>
      </c>
      <c r="D823" s="31" t="s">
        <v>1920</v>
      </c>
      <c r="E823" s="61" t="b">
        <v>1</v>
      </c>
      <c r="F823" s="106" t="s">
        <v>4365</v>
      </c>
      <c r="G823" s="116" t="str">
        <f>HYPERLINK("http://nsgreg.nga.mil/genc/view?v=112705&amp;gencs=T&amp;end_month=3&amp;end_day=31&amp;end_year=2014","Qinghai")</f>
        <v>Qinghai</v>
      </c>
      <c r="H823" s="87" t="str">
        <f>HYPERLINK("http://api.nsgreg.nga.mil/geo-division/ISO3166-2/6/ed3/CN-63","CN-63")</f>
        <v>CN-63</v>
      </c>
    </row>
    <row r="824" spans="1:8" x14ac:dyDescent="0.2">
      <c r="A824" s="157"/>
      <c r="B824" s="31" t="s">
        <v>4366</v>
      </c>
      <c r="C824" s="31" t="s">
        <v>4367</v>
      </c>
      <c r="D824" s="31" t="s">
        <v>1920</v>
      </c>
      <c r="E824" s="61" t="b">
        <v>1</v>
      </c>
      <c r="F824" s="106" t="s">
        <v>4368</v>
      </c>
      <c r="G824" s="116" t="str">
        <f>HYPERLINK("http://nsgreg.nga.mil/genc/view?v=112703&amp;gencs=T&amp;end_month=3&amp;end_day=31&amp;end_year=2014","Shaanxi")</f>
        <v>Shaanxi</v>
      </c>
      <c r="H824" s="87" t="str">
        <f>HYPERLINK("http://api.nsgreg.nga.mil/geo-division/ISO3166-2/6/ed3/CN-61","CN-61")</f>
        <v>CN-61</v>
      </c>
    </row>
    <row r="825" spans="1:8" x14ac:dyDescent="0.2">
      <c r="A825" s="157"/>
      <c r="B825" s="31" t="s">
        <v>4369</v>
      </c>
      <c r="C825" s="31" t="s">
        <v>4370</v>
      </c>
      <c r="D825" s="31" t="s">
        <v>1920</v>
      </c>
      <c r="E825" s="61" t="b">
        <v>1</v>
      </c>
      <c r="F825" s="106" t="s">
        <v>4371</v>
      </c>
      <c r="G825" s="116" t="str">
        <f>HYPERLINK("http://nsgreg.nga.mil/genc/view?v=112691&amp;gencs=T&amp;end_month=3&amp;end_day=31&amp;end_year=2014","Shandong")</f>
        <v>Shandong</v>
      </c>
      <c r="H825" s="87" t="str">
        <f>HYPERLINK("http://api.nsgreg.nga.mil/geo-division/ISO3166-2/6/ed3/CN-37","CN-37")</f>
        <v>CN-37</v>
      </c>
    </row>
    <row r="826" spans="1:8" x14ac:dyDescent="0.2">
      <c r="A826" s="157"/>
      <c r="B826" s="31" t="s">
        <v>4372</v>
      </c>
      <c r="C826" s="31" t="s">
        <v>4373</v>
      </c>
      <c r="D826" s="31" t="s">
        <v>3254</v>
      </c>
      <c r="E826" s="61" t="b">
        <v>1</v>
      </c>
      <c r="F826" s="106" t="s">
        <v>4374</v>
      </c>
      <c r="G826" s="116" t="str">
        <f>HYPERLINK("http://nsgreg.nga.mil/genc/view?v=112685&amp;gencs=T&amp;end_month=3&amp;end_day=31&amp;end_year=2014","Shanghai")</f>
        <v>Shanghai</v>
      </c>
      <c r="H826" s="87" t="str">
        <f>HYPERLINK("http://api.nsgreg.nga.mil/geo-division/ISO3166-2/6/ed3/CN-31","CN-31")</f>
        <v>CN-31</v>
      </c>
    </row>
    <row r="827" spans="1:8" x14ac:dyDescent="0.2">
      <c r="A827" s="157"/>
      <c r="B827" s="31" t="s">
        <v>4375</v>
      </c>
      <c r="C827" s="31" t="s">
        <v>4376</v>
      </c>
      <c r="D827" s="31" t="s">
        <v>1920</v>
      </c>
      <c r="E827" s="61" t="b">
        <v>1</v>
      </c>
      <c r="F827" s="106" t="s">
        <v>4377</v>
      </c>
      <c r="G827" s="116" t="str">
        <f>HYPERLINK("http://nsgreg.nga.mil/genc/view?v=112680&amp;gencs=T&amp;end_month=3&amp;end_day=31&amp;end_year=2014","Shanxi")</f>
        <v>Shanxi</v>
      </c>
      <c r="H827" s="87" t="str">
        <f>HYPERLINK("http://api.nsgreg.nga.mil/geo-division/ISO3166-2/6/ed3/CN-14","CN-14")</f>
        <v>CN-14</v>
      </c>
    </row>
    <row r="828" spans="1:8" x14ac:dyDescent="0.2">
      <c r="A828" s="157"/>
      <c r="B828" s="31" t="s">
        <v>4378</v>
      </c>
      <c r="C828" s="31" t="s">
        <v>4379</v>
      </c>
      <c r="D828" s="31" t="s">
        <v>1920</v>
      </c>
      <c r="E828" s="61" t="b">
        <v>1</v>
      </c>
      <c r="F828" s="106" t="s">
        <v>4380</v>
      </c>
      <c r="G828" s="116" t="str">
        <f>HYPERLINK("http://nsgreg.nga.mil/genc/view?v=112699&amp;gencs=T&amp;end_month=3&amp;end_day=31&amp;end_year=2014","Sichuan")</f>
        <v>Sichuan</v>
      </c>
      <c r="H828" s="87" t="str">
        <f>HYPERLINK("http://api.nsgreg.nga.mil/geo-division/ISO3166-2/6/ed3/CN-51","CN-51")</f>
        <v>CN-51</v>
      </c>
    </row>
    <row r="829" spans="1:8" x14ac:dyDescent="0.2">
      <c r="A829" s="157"/>
      <c r="B829" s="31" t="s">
        <v>4381</v>
      </c>
      <c r="C829" s="31" t="s">
        <v>1685</v>
      </c>
      <c r="D829" s="98" t="s">
        <v>1920</v>
      </c>
      <c r="E829" s="99" t="b">
        <v>0</v>
      </c>
      <c r="F829" s="107" t="s">
        <v>4382</v>
      </c>
      <c r="G829" s="116" t="str">
        <f>HYPERLINK("http://nsgreg.nga.mil/genc/view?v=201015&amp;end_month=3&amp;end_day=31&amp;end_year=2014","Taiwan")</f>
        <v>Taiwan</v>
      </c>
      <c r="H829" s="87" t="str">
        <f>HYPERLINK("http://api.nsgreg.nga.mil/geo-division/GENC/6/ed2/CN-71","CN-71")</f>
        <v>CN-71</v>
      </c>
    </row>
    <row r="830" spans="1:8" x14ac:dyDescent="0.2">
      <c r="A830" s="157"/>
      <c r="B830" s="31" t="s">
        <v>4383</v>
      </c>
      <c r="C830" s="31" t="s">
        <v>4384</v>
      </c>
      <c r="D830" s="31" t="s">
        <v>3254</v>
      </c>
      <c r="E830" s="61" t="b">
        <v>1</v>
      </c>
      <c r="F830" s="106" t="s">
        <v>4385</v>
      </c>
      <c r="G830" s="116" t="str">
        <f>HYPERLINK("http://nsgreg.nga.mil/genc/view?v=112678&amp;gencs=T&amp;end_month=3&amp;end_day=31&amp;end_year=2014","Tianjin")</f>
        <v>Tianjin</v>
      </c>
      <c r="H830" s="87" t="str">
        <f>HYPERLINK("http://api.nsgreg.nga.mil/geo-division/ISO3166-2/6/ed3/CN-12","CN-12")</f>
        <v>CN-12</v>
      </c>
    </row>
    <row r="831" spans="1:8" x14ac:dyDescent="0.2">
      <c r="A831" s="157"/>
      <c r="B831" s="31" t="s">
        <v>4386</v>
      </c>
      <c r="C831" s="31" t="s">
        <v>4387</v>
      </c>
      <c r="D831" s="31" t="s">
        <v>4316</v>
      </c>
      <c r="E831" s="61" t="b">
        <v>1</v>
      </c>
      <c r="F831" s="107" t="s">
        <v>4388</v>
      </c>
      <c r="G831" s="116" t="str">
        <f>HYPERLINK("http://nsgreg.nga.mil/genc/view?v=201014&amp;end_month=3&amp;end_day=31&amp;end_year=2014","Tibet")</f>
        <v>Tibet</v>
      </c>
      <c r="H831" s="87" t="str">
        <f>HYPERLINK("http://api.nsgreg.nga.mil/geo-division/GENC/6/ed2/CN-54","CN-54")</f>
        <v>CN-54</v>
      </c>
    </row>
    <row r="832" spans="1:8" x14ac:dyDescent="0.2">
      <c r="A832" s="157"/>
      <c r="B832" s="31" t="s">
        <v>4389</v>
      </c>
      <c r="C832" s="31" t="s">
        <v>4390</v>
      </c>
      <c r="D832" s="31" t="s">
        <v>4316</v>
      </c>
      <c r="E832" s="61" t="b">
        <v>1</v>
      </c>
      <c r="F832" s="106" t="s">
        <v>4391</v>
      </c>
      <c r="G832" s="116" t="str">
        <f>HYPERLINK("http://nsgreg.nga.mil/genc/view?v=112707&amp;gencs=T&amp;end_month=3&amp;end_day=31&amp;end_year=2014","Xinjiang")</f>
        <v>Xinjiang</v>
      </c>
      <c r="H832" s="87" t="str">
        <f>HYPERLINK("http://api.nsgreg.nga.mil/geo-division/ISO3166-2/6/ed3/CN-65","CN-65")</f>
        <v>CN-65</v>
      </c>
    </row>
    <row r="833" spans="1:8" x14ac:dyDescent="0.2">
      <c r="A833" s="157"/>
      <c r="B833" s="31" t="s">
        <v>4392</v>
      </c>
      <c r="C833" s="31" t="s">
        <v>4393</v>
      </c>
      <c r="D833" s="31" t="s">
        <v>1920</v>
      </c>
      <c r="E833" s="61" t="b">
        <v>1</v>
      </c>
      <c r="F833" s="106" t="s">
        <v>4394</v>
      </c>
      <c r="G833" s="116" t="str">
        <f>HYPERLINK("http://nsgreg.nga.mil/genc/view?v=112701&amp;gencs=T&amp;end_month=3&amp;end_day=31&amp;end_year=2014","Yunnan")</f>
        <v>Yunnan</v>
      </c>
      <c r="H833" s="87" t="str">
        <f>HYPERLINK("http://api.nsgreg.nga.mil/geo-division/ISO3166-2/6/ed3/CN-53","CN-53")</f>
        <v>CN-53</v>
      </c>
    </row>
    <row r="834" spans="1:8" x14ac:dyDescent="0.2">
      <c r="A834" s="158"/>
      <c r="B834" s="58" t="s">
        <v>4395</v>
      </c>
      <c r="C834" s="58" t="s">
        <v>4396</v>
      </c>
      <c r="D834" s="58" t="s">
        <v>1920</v>
      </c>
      <c r="E834" s="62" t="b">
        <v>1</v>
      </c>
      <c r="F834" s="108" t="s">
        <v>4397</v>
      </c>
      <c r="G834" s="117" t="str">
        <f>HYPERLINK("http://nsgreg.nga.mil/genc/view?v=112687&amp;gencs=T&amp;end_month=3&amp;end_day=31&amp;end_year=2014","Zhejiang")</f>
        <v>Zhejiang</v>
      </c>
      <c r="H834" s="89" t="str">
        <f>HYPERLINK("http://api.nsgreg.nga.mil/geo-division/ISO3166-2/6/ed3/CN-33","CN-33")</f>
        <v>CN-33</v>
      </c>
    </row>
    <row r="835" spans="1:8" x14ac:dyDescent="0.2">
      <c r="A835" s="156" t="str">
        <f>HYPERLINK("[#]Geopolitical_Entities!A57:I57","COLOMBIA")</f>
        <v>COLOMBIA</v>
      </c>
      <c r="B835" s="52" t="s">
        <v>4398</v>
      </c>
      <c r="C835" s="52" t="s">
        <v>3478</v>
      </c>
      <c r="D835" s="52" t="s">
        <v>3214</v>
      </c>
      <c r="E835" s="60" t="b">
        <v>1</v>
      </c>
      <c r="F835" s="109" t="s">
        <v>4399</v>
      </c>
      <c r="G835" s="118" t="str">
        <f>HYPERLINK("http://nsgreg.nga.mil/genc/view?v=112711&amp;gencs=T&amp;end_month=3&amp;end_day=31&amp;end_year=2014","Amazonas")</f>
        <v>Amazonas</v>
      </c>
      <c r="H835" s="91" t="str">
        <f>HYPERLINK("http://api.nsgreg.nga.mil/geo-division/ISO3166-2/6/ed3/CO-AMA","CO-AMA")</f>
        <v>CO-AMA</v>
      </c>
    </row>
    <row r="836" spans="1:8" x14ac:dyDescent="0.2">
      <c r="A836" s="157"/>
      <c r="B836" s="31" t="s">
        <v>4400</v>
      </c>
      <c r="C836" s="31" t="s">
        <v>4401</v>
      </c>
      <c r="D836" s="31" t="s">
        <v>3214</v>
      </c>
      <c r="E836" s="61" t="b">
        <v>1</v>
      </c>
      <c r="F836" s="106" t="s">
        <v>4402</v>
      </c>
      <c r="G836" s="116" t="str">
        <f>HYPERLINK("http://nsgreg.nga.mil/genc/view?v=112712&amp;gencs=T&amp;end_month=3&amp;end_day=31&amp;end_year=2014","Antioquia")</f>
        <v>Antioquia</v>
      </c>
      <c r="H836" s="87" t="str">
        <f>HYPERLINK("http://api.nsgreg.nga.mil/geo-division/ISO3166-2/6/ed3/CO-ANT","CO-ANT")</f>
        <v>CO-ANT</v>
      </c>
    </row>
    <row r="837" spans="1:8" x14ac:dyDescent="0.2">
      <c r="A837" s="157"/>
      <c r="B837" s="31" t="s">
        <v>4403</v>
      </c>
      <c r="C837" s="31" t="s">
        <v>4404</v>
      </c>
      <c r="D837" s="31" t="s">
        <v>3214</v>
      </c>
      <c r="E837" s="61" t="b">
        <v>1</v>
      </c>
      <c r="F837" s="106" t="s">
        <v>4405</v>
      </c>
      <c r="G837" s="116" t="str">
        <f>HYPERLINK("http://nsgreg.nga.mil/genc/view?v=112713&amp;gencs=T&amp;end_month=3&amp;end_day=31&amp;end_year=2014","Arauca")</f>
        <v>Arauca</v>
      </c>
      <c r="H837" s="87" t="str">
        <f>HYPERLINK("http://api.nsgreg.nga.mil/geo-division/ISO3166-2/6/ed3/CO-ARA","CO-ARA")</f>
        <v>CO-ARA</v>
      </c>
    </row>
    <row r="838" spans="1:8" x14ac:dyDescent="0.2">
      <c r="A838" s="157"/>
      <c r="B838" s="31" t="s">
        <v>4406</v>
      </c>
      <c r="C838" s="31" t="s">
        <v>4407</v>
      </c>
      <c r="D838" s="31" t="s">
        <v>3214</v>
      </c>
      <c r="E838" s="61" t="b">
        <v>1</v>
      </c>
      <c r="F838" s="106" t="s">
        <v>4408</v>
      </c>
      <c r="G838" s="116" t="str">
        <f>HYPERLINK("http://nsgreg.nga.mil/genc/view?v=112714&amp;gencs=T&amp;end_month=3&amp;end_day=31&amp;end_year=2014","Atlántico")</f>
        <v>Atlántico</v>
      </c>
      <c r="H838" s="87" t="str">
        <f>HYPERLINK("http://api.nsgreg.nga.mil/geo-division/ISO3166-2/6/ed3/CO-ATL","CO-ATL")</f>
        <v>CO-ATL</v>
      </c>
    </row>
    <row r="839" spans="1:8" x14ac:dyDescent="0.2">
      <c r="A839" s="157"/>
      <c r="B839" s="31" t="s">
        <v>4409</v>
      </c>
      <c r="C839" s="31" t="s">
        <v>4410</v>
      </c>
      <c r="D839" s="31" t="s">
        <v>4411</v>
      </c>
      <c r="E839" s="61" t="b">
        <v>1</v>
      </c>
      <c r="F839" s="107" t="s">
        <v>4412</v>
      </c>
      <c r="G839" s="116" t="str">
        <f>HYPERLINK("http://nsgreg.nga.mil/genc/view?v=201018&amp;end_month=3&amp;end_day=31&amp;end_year=2014","Bogotá")</f>
        <v>Bogotá</v>
      </c>
      <c r="H839" s="87" t="str">
        <f>HYPERLINK("http://api.nsgreg.nga.mil/geo-division/GENC/6/ed2/CO-DC","CO-DC")</f>
        <v>CO-DC</v>
      </c>
    </row>
    <row r="840" spans="1:8" x14ac:dyDescent="0.2">
      <c r="A840" s="157"/>
      <c r="B840" s="31" t="s">
        <v>4413</v>
      </c>
      <c r="C840" s="31" t="s">
        <v>4414</v>
      </c>
      <c r="D840" s="31" t="s">
        <v>3214</v>
      </c>
      <c r="E840" s="61" t="b">
        <v>1</v>
      </c>
      <c r="F840" s="106" t="s">
        <v>4415</v>
      </c>
      <c r="G840" s="116" t="str">
        <f>HYPERLINK("http://nsgreg.nga.mil/genc/view?v=112715&amp;gencs=T&amp;end_month=3&amp;end_day=31&amp;end_year=2014","Bolívar")</f>
        <v>Bolívar</v>
      </c>
      <c r="H840" s="87" t="str">
        <f>HYPERLINK("http://api.nsgreg.nga.mil/geo-division/ISO3166-2/6/ed3/CO-BOL","CO-BOL")</f>
        <v>CO-BOL</v>
      </c>
    </row>
    <row r="841" spans="1:8" x14ac:dyDescent="0.2">
      <c r="A841" s="157"/>
      <c r="B841" s="31" t="s">
        <v>4416</v>
      </c>
      <c r="C841" s="31" t="s">
        <v>4417</v>
      </c>
      <c r="D841" s="31" t="s">
        <v>3214</v>
      </c>
      <c r="E841" s="61" t="b">
        <v>1</v>
      </c>
      <c r="F841" s="106" t="s">
        <v>4418</v>
      </c>
      <c r="G841" s="116" t="str">
        <f>HYPERLINK("http://nsgreg.nga.mil/genc/view?v=112716&amp;gencs=T&amp;end_month=3&amp;end_day=31&amp;end_year=2014","Boyacá")</f>
        <v>Boyacá</v>
      </c>
      <c r="H841" s="87" t="str">
        <f>HYPERLINK("http://api.nsgreg.nga.mil/geo-division/ISO3166-2/6/ed3/CO-BOY","CO-BOY")</f>
        <v>CO-BOY</v>
      </c>
    </row>
    <row r="842" spans="1:8" x14ac:dyDescent="0.2">
      <c r="A842" s="157"/>
      <c r="B842" s="31" t="s">
        <v>4419</v>
      </c>
      <c r="C842" s="31" t="s">
        <v>4420</v>
      </c>
      <c r="D842" s="31" t="s">
        <v>3214</v>
      </c>
      <c r="E842" s="61" t="b">
        <v>1</v>
      </c>
      <c r="F842" s="106" t="s">
        <v>4421</v>
      </c>
      <c r="G842" s="116" t="str">
        <f>HYPERLINK("http://nsgreg.nga.mil/genc/view?v=112717&amp;gencs=T&amp;end_month=3&amp;end_day=31&amp;end_year=2014","Caldas")</f>
        <v>Caldas</v>
      </c>
      <c r="H842" s="87" t="str">
        <f>HYPERLINK("http://api.nsgreg.nga.mil/geo-division/ISO3166-2/6/ed3/CO-CAL","CO-CAL")</f>
        <v>CO-CAL</v>
      </c>
    </row>
    <row r="843" spans="1:8" x14ac:dyDescent="0.2">
      <c r="A843" s="157"/>
      <c r="B843" s="31" t="s">
        <v>4422</v>
      </c>
      <c r="C843" s="31" t="s">
        <v>4423</v>
      </c>
      <c r="D843" s="31" t="s">
        <v>3214</v>
      </c>
      <c r="E843" s="61" t="b">
        <v>1</v>
      </c>
      <c r="F843" s="106" t="s">
        <v>4424</v>
      </c>
      <c r="G843" s="116" t="str">
        <f>HYPERLINK("http://nsgreg.nga.mil/genc/view?v=112718&amp;gencs=T&amp;end_month=3&amp;end_day=31&amp;end_year=2014","Caquetá")</f>
        <v>Caquetá</v>
      </c>
      <c r="H843" s="87" t="str">
        <f>HYPERLINK("http://api.nsgreg.nga.mil/geo-division/ISO3166-2/6/ed3/CO-CAQ","CO-CAQ")</f>
        <v>CO-CAQ</v>
      </c>
    </row>
    <row r="844" spans="1:8" x14ac:dyDescent="0.2">
      <c r="A844" s="157"/>
      <c r="B844" s="31" t="s">
        <v>4425</v>
      </c>
      <c r="C844" s="31" t="s">
        <v>4426</v>
      </c>
      <c r="D844" s="31" t="s">
        <v>3214</v>
      </c>
      <c r="E844" s="61" t="b">
        <v>1</v>
      </c>
      <c r="F844" s="106" t="s">
        <v>4427</v>
      </c>
      <c r="G844" s="116" t="str">
        <f>HYPERLINK("http://nsgreg.nga.mil/genc/view?v=112719&amp;gencs=T&amp;end_month=3&amp;end_day=31&amp;end_year=2014","Casanare")</f>
        <v>Casanare</v>
      </c>
      <c r="H844" s="87" t="str">
        <f>HYPERLINK("http://api.nsgreg.nga.mil/geo-division/ISO3166-2/6/ed3/CO-CAS","CO-CAS")</f>
        <v>CO-CAS</v>
      </c>
    </row>
    <row r="845" spans="1:8" x14ac:dyDescent="0.2">
      <c r="A845" s="157"/>
      <c r="B845" s="31" t="s">
        <v>4428</v>
      </c>
      <c r="C845" s="31" t="s">
        <v>4429</v>
      </c>
      <c r="D845" s="31" t="s">
        <v>3214</v>
      </c>
      <c r="E845" s="61" t="b">
        <v>1</v>
      </c>
      <c r="F845" s="106" t="s">
        <v>4430</v>
      </c>
      <c r="G845" s="116" t="str">
        <f>HYPERLINK("http://nsgreg.nga.mil/genc/view?v=112720&amp;gencs=T&amp;end_month=3&amp;end_day=31&amp;end_year=2014","Cauca")</f>
        <v>Cauca</v>
      </c>
      <c r="H845" s="87" t="str">
        <f>HYPERLINK("http://api.nsgreg.nga.mil/geo-division/ISO3166-2/6/ed3/CO-CAU","CO-CAU")</f>
        <v>CO-CAU</v>
      </c>
    </row>
    <row r="846" spans="1:8" x14ac:dyDescent="0.2">
      <c r="A846" s="157"/>
      <c r="B846" s="31" t="s">
        <v>4431</v>
      </c>
      <c r="C846" s="31" t="s">
        <v>4432</v>
      </c>
      <c r="D846" s="31" t="s">
        <v>3214</v>
      </c>
      <c r="E846" s="61" t="b">
        <v>1</v>
      </c>
      <c r="F846" s="106" t="s">
        <v>4433</v>
      </c>
      <c r="G846" s="116" t="str">
        <f>HYPERLINK("http://nsgreg.nga.mil/genc/view?v=112721&amp;gencs=T&amp;end_month=3&amp;end_day=31&amp;end_year=2014","Cesar")</f>
        <v>Cesar</v>
      </c>
      <c r="H846" s="87" t="str">
        <f>HYPERLINK("http://api.nsgreg.nga.mil/geo-division/ISO3166-2/6/ed3/CO-CES","CO-CES")</f>
        <v>CO-CES</v>
      </c>
    </row>
    <row r="847" spans="1:8" x14ac:dyDescent="0.2">
      <c r="A847" s="157"/>
      <c r="B847" s="31" t="s">
        <v>4434</v>
      </c>
      <c r="C847" s="31" t="s">
        <v>4435</v>
      </c>
      <c r="D847" s="31" t="s">
        <v>3214</v>
      </c>
      <c r="E847" s="61" t="b">
        <v>1</v>
      </c>
      <c r="F847" s="106" t="s">
        <v>4436</v>
      </c>
      <c r="G847" s="116" t="str">
        <f>HYPERLINK("http://nsgreg.nga.mil/genc/view?v=112722&amp;gencs=T&amp;end_month=3&amp;end_day=31&amp;end_year=2014","Chocó")</f>
        <v>Chocó</v>
      </c>
      <c r="H847" s="87" t="str">
        <f>HYPERLINK("http://api.nsgreg.nga.mil/geo-division/ISO3166-2/6/ed3/CO-CHO","CO-CHO")</f>
        <v>CO-CHO</v>
      </c>
    </row>
    <row r="848" spans="1:8" x14ac:dyDescent="0.2">
      <c r="A848" s="157"/>
      <c r="B848" s="31" t="s">
        <v>4437</v>
      </c>
      <c r="C848" s="31" t="s">
        <v>2417</v>
      </c>
      <c r="D848" s="31" t="s">
        <v>3214</v>
      </c>
      <c r="E848" s="61" t="b">
        <v>1</v>
      </c>
      <c r="F848" s="106" t="s">
        <v>4438</v>
      </c>
      <c r="G848" s="116" t="str">
        <f>HYPERLINK("http://nsgreg.nga.mil/genc/view?v=112723&amp;gencs=T&amp;end_month=3&amp;end_day=31&amp;end_year=2014","Córdoba")</f>
        <v>Córdoba</v>
      </c>
      <c r="H848" s="87" t="str">
        <f>HYPERLINK("http://api.nsgreg.nga.mil/geo-division/ISO3166-2/6/ed3/CO-COR","CO-COR")</f>
        <v>CO-COR</v>
      </c>
    </row>
    <row r="849" spans="1:8" x14ac:dyDescent="0.2">
      <c r="A849" s="157"/>
      <c r="B849" s="31" t="s">
        <v>4439</v>
      </c>
      <c r="C849" s="31" t="s">
        <v>4440</v>
      </c>
      <c r="D849" s="31" t="s">
        <v>3214</v>
      </c>
      <c r="E849" s="61" t="b">
        <v>1</v>
      </c>
      <c r="F849" s="106" t="s">
        <v>4441</v>
      </c>
      <c r="G849" s="116" t="str">
        <f>HYPERLINK("http://nsgreg.nga.mil/genc/view?v=112724&amp;gencs=T&amp;end_month=3&amp;end_day=31&amp;end_year=2014","Cundinamarca")</f>
        <v>Cundinamarca</v>
      </c>
      <c r="H849" s="87" t="str">
        <f>HYPERLINK("http://api.nsgreg.nga.mil/geo-division/ISO3166-2/6/ed3/CO-CUN","CO-CUN")</f>
        <v>CO-CUN</v>
      </c>
    </row>
    <row r="850" spans="1:8" x14ac:dyDescent="0.2">
      <c r="A850" s="157"/>
      <c r="B850" s="31" t="s">
        <v>4442</v>
      </c>
      <c r="C850" s="31" t="s">
        <v>4443</v>
      </c>
      <c r="D850" s="31" t="s">
        <v>3214</v>
      </c>
      <c r="E850" s="61" t="b">
        <v>1</v>
      </c>
      <c r="F850" s="106" t="s">
        <v>4444</v>
      </c>
      <c r="G850" s="116" t="str">
        <f>HYPERLINK("http://nsgreg.nga.mil/genc/view?v=112726&amp;gencs=T&amp;end_month=3&amp;end_day=31&amp;end_year=2014","Guainía")</f>
        <v>Guainía</v>
      </c>
      <c r="H850" s="87" t="str">
        <f>HYPERLINK("http://api.nsgreg.nga.mil/geo-division/ISO3166-2/6/ed3/CO-GUA","CO-GUA")</f>
        <v>CO-GUA</v>
      </c>
    </row>
    <row r="851" spans="1:8" x14ac:dyDescent="0.2">
      <c r="A851" s="157"/>
      <c r="B851" s="31" t="s">
        <v>4445</v>
      </c>
      <c r="C851" s="31" t="s">
        <v>4446</v>
      </c>
      <c r="D851" s="31" t="s">
        <v>3214</v>
      </c>
      <c r="E851" s="61" t="b">
        <v>1</v>
      </c>
      <c r="F851" s="106" t="s">
        <v>4447</v>
      </c>
      <c r="G851" s="116" t="str">
        <f>HYPERLINK("http://nsgreg.nga.mil/genc/view?v=112727&amp;gencs=T&amp;end_month=3&amp;end_day=31&amp;end_year=2014","Guaviare")</f>
        <v>Guaviare</v>
      </c>
      <c r="H851" s="87" t="str">
        <f>HYPERLINK("http://api.nsgreg.nga.mil/geo-division/ISO3166-2/6/ed3/CO-GUV","CO-GUV")</f>
        <v>CO-GUV</v>
      </c>
    </row>
    <row r="852" spans="1:8" x14ac:dyDescent="0.2">
      <c r="A852" s="157"/>
      <c r="B852" s="31" t="s">
        <v>4448</v>
      </c>
      <c r="C852" s="31" t="s">
        <v>4449</v>
      </c>
      <c r="D852" s="31" t="s">
        <v>3214</v>
      </c>
      <c r="E852" s="61" t="b">
        <v>1</v>
      </c>
      <c r="F852" s="106" t="s">
        <v>4450</v>
      </c>
      <c r="G852" s="116" t="str">
        <f>HYPERLINK("http://nsgreg.nga.mil/genc/view?v=112728&amp;gencs=T&amp;end_month=3&amp;end_day=31&amp;end_year=2014","Huila")</f>
        <v>Huila</v>
      </c>
      <c r="H852" s="87" t="str">
        <f>HYPERLINK("http://api.nsgreg.nga.mil/geo-division/ISO3166-2/6/ed3/CO-HUI","CO-HUI")</f>
        <v>CO-HUI</v>
      </c>
    </row>
    <row r="853" spans="1:8" x14ac:dyDescent="0.2">
      <c r="A853" s="157"/>
      <c r="B853" s="31" t="s">
        <v>4451</v>
      </c>
      <c r="C853" s="31" t="s">
        <v>4452</v>
      </c>
      <c r="D853" s="31" t="s">
        <v>3214</v>
      </c>
      <c r="E853" s="61" t="b">
        <v>1</v>
      </c>
      <c r="F853" s="106" t="s">
        <v>4453</v>
      </c>
      <c r="G853" s="116" t="str">
        <f>HYPERLINK("http://nsgreg.nga.mil/genc/view?v=112729&amp;gencs=T&amp;end_month=3&amp;end_day=31&amp;end_year=2014","La Guajira")</f>
        <v>La Guajira</v>
      </c>
      <c r="H853" s="87" t="str">
        <f>HYPERLINK("http://api.nsgreg.nga.mil/geo-division/ISO3166-2/6/ed3/CO-LAG","CO-LAG")</f>
        <v>CO-LAG</v>
      </c>
    </row>
    <row r="854" spans="1:8" x14ac:dyDescent="0.2">
      <c r="A854" s="157"/>
      <c r="B854" s="31" t="s">
        <v>4454</v>
      </c>
      <c r="C854" s="31" t="s">
        <v>4455</v>
      </c>
      <c r="D854" s="31" t="s">
        <v>3214</v>
      </c>
      <c r="E854" s="61" t="b">
        <v>1</v>
      </c>
      <c r="F854" s="106" t="s">
        <v>4456</v>
      </c>
      <c r="G854" s="116" t="str">
        <f>HYPERLINK("http://nsgreg.nga.mil/genc/view?v=112730&amp;gencs=T&amp;end_month=3&amp;end_day=31&amp;end_year=2014","Magdalena")</f>
        <v>Magdalena</v>
      </c>
      <c r="H854" s="87" t="str">
        <f>HYPERLINK("http://api.nsgreg.nga.mil/geo-division/ISO3166-2/6/ed3/CO-MAG","CO-MAG")</f>
        <v>CO-MAG</v>
      </c>
    </row>
    <row r="855" spans="1:8" x14ac:dyDescent="0.2">
      <c r="A855" s="157"/>
      <c r="B855" s="31" t="s">
        <v>4457</v>
      </c>
      <c r="C855" s="31" t="s">
        <v>4458</v>
      </c>
      <c r="D855" s="31" t="s">
        <v>3214</v>
      </c>
      <c r="E855" s="61" t="b">
        <v>1</v>
      </c>
      <c r="F855" s="106" t="s">
        <v>4459</v>
      </c>
      <c r="G855" s="116" t="str">
        <f>HYPERLINK("http://nsgreg.nga.mil/genc/view?v=112731&amp;gencs=T&amp;end_month=3&amp;end_day=31&amp;end_year=2014","Meta")</f>
        <v>Meta</v>
      </c>
      <c r="H855" s="87" t="str">
        <f>HYPERLINK("http://api.nsgreg.nga.mil/geo-division/ISO3166-2/6/ed3/CO-MET","CO-MET")</f>
        <v>CO-MET</v>
      </c>
    </row>
    <row r="856" spans="1:8" x14ac:dyDescent="0.2">
      <c r="A856" s="157"/>
      <c r="B856" s="31" t="s">
        <v>4460</v>
      </c>
      <c r="C856" s="31" t="s">
        <v>4461</v>
      </c>
      <c r="D856" s="31" t="s">
        <v>3214</v>
      </c>
      <c r="E856" s="61" t="b">
        <v>1</v>
      </c>
      <c r="F856" s="106" t="s">
        <v>4462</v>
      </c>
      <c r="G856" s="116" t="str">
        <f>HYPERLINK("http://nsgreg.nga.mil/genc/view?v=112732&amp;gencs=T&amp;end_month=3&amp;end_day=31&amp;end_year=2014","Nariño")</f>
        <v>Nariño</v>
      </c>
      <c r="H856" s="87" t="str">
        <f>HYPERLINK("http://api.nsgreg.nga.mil/geo-division/ISO3166-2/6/ed3/CO-NAR","CO-NAR")</f>
        <v>CO-NAR</v>
      </c>
    </row>
    <row r="857" spans="1:8" x14ac:dyDescent="0.2">
      <c r="A857" s="157"/>
      <c r="B857" s="31" t="s">
        <v>4463</v>
      </c>
      <c r="C857" s="31" t="s">
        <v>4464</v>
      </c>
      <c r="D857" s="31" t="s">
        <v>3214</v>
      </c>
      <c r="E857" s="61" t="b">
        <v>1</v>
      </c>
      <c r="F857" s="106" t="s">
        <v>4465</v>
      </c>
      <c r="G857" s="116" t="str">
        <f>HYPERLINK("http://nsgreg.nga.mil/genc/view?v=112733&amp;gencs=T&amp;end_month=3&amp;end_day=31&amp;end_year=2014","Norte de Santander")</f>
        <v>Norte de Santander</v>
      </c>
      <c r="H857" s="87" t="str">
        <f>HYPERLINK("http://api.nsgreg.nga.mil/geo-division/ISO3166-2/6/ed3/CO-NSA","CO-NSA")</f>
        <v>CO-NSA</v>
      </c>
    </row>
    <row r="858" spans="1:8" x14ac:dyDescent="0.2">
      <c r="A858" s="157"/>
      <c r="B858" s="31" t="s">
        <v>4466</v>
      </c>
      <c r="C858" s="31" t="s">
        <v>4467</v>
      </c>
      <c r="D858" s="31" t="s">
        <v>3214</v>
      </c>
      <c r="E858" s="61" t="b">
        <v>1</v>
      </c>
      <c r="F858" s="106" t="s">
        <v>4468</v>
      </c>
      <c r="G858" s="116" t="str">
        <f>HYPERLINK("http://nsgreg.nga.mil/genc/view?v=112734&amp;gencs=T&amp;end_month=3&amp;end_day=31&amp;end_year=2014","Putumayo")</f>
        <v>Putumayo</v>
      </c>
      <c r="H858" s="87" t="str">
        <f>HYPERLINK("http://api.nsgreg.nga.mil/geo-division/ISO3166-2/6/ed3/CO-PUT","CO-PUT")</f>
        <v>CO-PUT</v>
      </c>
    </row>
    <row r="859" spans="1:8" x14ac:dyDescent="0.2">
      <c r="A859" s="157"/>
      <c r="B859" s="31" t="s">
        <v>4469</v>
      </c>
      <c r="C859" s="31" t="s">
        <v>4470</v>
      </c>
      <c r="D859" s="31" t="s">
        <v>3214</v>
      </c>
      <c r="E859" s="61" t="b">
        <v>1</v>
      </c>
      <c r="F859" s="106" t="s">
        <v>4471</v>
      </c>
      <c r="G859" s="116" t="str">
        <f>HYPERLINK("http://nsgreg.nga.mil/genc/view?v=112735&amp;gencs=T&amp;end_month=3&amp;end_day=31&amp;end_year=2014","Quindío")</f>
        <v>Quindío</v>
      </c>
      <c r="H859" s="87" t="str">
        <f>HYPERLINK("http://api.nsgreg.nga.mil/geo-division/ISO3166-2/6/ed3/CO-QUI","CO-QUI")</f>
        <v>CO-QUI</v>
      </c>
    </row>
    <row r="860" spans="1:8" x14ac:dyDescent="0.2">
      <c r="A860" s="157"/>
      <c r="B860" s="31" t="s">
        <v>4472</v>
      </c>
      <c r="C860" s="31" t="s">
        <v>4473</v>
      </c>
      <c r="D860" s="31" t="s">
        <v>3214</v>
      </c>
      <c r="E860" s="61" t="b">
        <v>1</v>
      </c>
      <c r="F860" s="106" t="s">
        <v>4474</v>
      </c>
      <c r="G860" s="116" t="str">
        <f>HYPERLINK("http://nsgreg.nga.mil/genc/view?v=112736&amp;gencs=T&amp;end_month=3&amp;end_day=31&amp;end_year=2014","Risaralda")</f>
        <v>Risaralda</v>
      </c>
      <c r="H860" s="87" t="str">
        <f>HYPERLINK("http://api.nsgreg.nga.mil/geo-division/ISO3166-2/6/ed3/CO-RIS","CO-RIS")</f>
        <v>CO-RIS</v>
      </c>
    </row>
    <row r="861" spans="1:8" x14ac:dyDescent="0.2">
      <c r="A861" s="157"/>
      <c r="B861" s="31" t="s">
        <v>4475</v>
      </c>
      <c r="C861" s="31" t="s">
        <v>4476</v>
      </c>
      <c r="D861" s="31" t="s">
        <v>3214</v>
      </c>
      <c r="E861" s="61" t="b">
        <v>1</v>
      </c>
      <c r="F861" s="107" t="s">
        <v>4477</v>
      </c>
      <c r="G861" s="116" t="str">
        <f>HYPERLINK("http://nsgreg.nga.mil/genc/view?v=201019&amp;end_month=3&amp;end_day=31&amp;end_year=2014","San Andrés y Providencia")</f>
        <v>San Andrés y Providencia</v>
      </c>
      <c r="H861" s="87" t="str">
        <f>HYPERLINK("http://api.nsgreg.nga.mil/geo-division/GENC/6/ed2/CO-SAP","CO-SAP")</f>
        <v>CO-SAP</v>
      </c>
    </row>
    <row r="862" spans="1:8" x14ac:dyDescent="0.2">
      <c r="A862" s="157"/>
      <c r="B862" s="31" t="s">
        <v>4478</v>
      </c>
      <c r="C862" s="31" t="s">
        <v>4479</v>
      </c>
      <c r="D862" s="31" t="s">
        <v>3214</v>
      </c>
      <c r="E862" s="61" t="b">
        <v>1</v>
      </c>
      <c r="F862" s="106" t="s">
        <v>4480</v>
      </c>
      <c r="G862" s="116" t="str">
        <f>HYPERLINK("http://nsgreg.nga.mil/genc/view?v=112737&amp;gencs=T&amp;end_month=3&amp;end_day=31&amp;end_year=2014","Santander")</f>
        <v>Santander</v>
      </c>
      <c r="H862" s="87" t="str">
        <f>HYPERLINK("http://api.nsgreg.nga.mil/geo-division/ISO3166-2/6/ed3/CO-SAN","CO-SAN")</f>
        <v>CO-SAN</v>
      </c>
    </row>
    <row r="863" spans="1:8" x14ac:dyDescent="0.2">
      <c r="A863" s="157"/>
      <c r="B863" s="31" t="s">
        <v>4481</v>
      </c>
      <c r="C863" s="31" t="s">
        <v>4482</v>
      </c>
      <c r="D863" s="31" t="s">
        <v>3214</v>
      </c>
      <c r="E863" s="61" t="b">
        <v>1</v>
      </c>
      <c r="F863" s="106" t="s">
        <v>4483</v>
      </c>
      <c r="G863" s="116" t="str">
        <f>HYPERLINK("http://nsgreg.nga.mil/genc/view?v=112739&amp;gencs=T&amp;end_month=3&amp;end_day=31&amp;end_year=2014","Sucre")</f>
        <v>Sucre</v>
      </c>
      <c r="H863" s="87" t="str">
        <f>HYPERLINK("http://api.nsgreg.nga.mil/geo-division/ISO3166-2/6/ed3/CO-SUC","CO-SUC")</f>
        <v>CO-SUC</v>
      </c>
    </row>
    <row r="864" spans="1:8" x14ac:dyDescent="0.2">
      <c r="A864" s="157"/>
      <c r="B864" s="31" t="s">
        <v>4484</v>
      </c>
      <c r="C864" s="31" t="s">
        <v>4485</v>
      </c>
      <c r="D864" s="31" t="s">
        <v>3214</v>
      </c>
      <c r="E864" s="61" t="b">
        <v>1</v>
      </c>
      <c r="F864" s="106" t="s">
        <v>4486</v>
      </c>
      <c r="G864" s="116" t="str">
        <f>HYPERLINK("http://nsgreg.nga.mil/genc/view?v=112740&amp;gencs=T&amp;end_month=3&amp;end_day=31&amp;end_year=2014","Tolima")</f>
        <v>Tolima</v>
      </c>
      <c r="H864" s="87" t="str">
        <f>HYPERLINK("http://api.nsgreg.nga.mil/geo-division/ISO3166-2/6/ed3/CO-TOL","CO-TOL")</f>
        <v>CO-TOL</v>
      </c>
    </row>
    <row r="865" spans="1:8" x14ac:dyDescent="0.2">
      <c r="A865" s="157"/>
      <c r="B865" s="31" t="s">
        <v>4487</v>
      </c>
      <c r="C865" s="31" t="s">
        <v>4488</v>
      </c>
      <c r="D865" s="31" t="s">
        <v>3214</v>
      </c>
      <c r="E865" s="61" t="b">
        <v>1</v>
      </c>
      <c r="F865" s="106" t="s">
        <v>4489</v>
      </c>
      <c r="G865" s="116" t="str">
        <f>HYPERLINK("http://nsgreg.nga.mil/genc/view?v=112741&amp;gencs=T&amp;end_month=3&amp;end_day=31&amp;end_year=2014","Valle del Cauca")</f>
        <v>Valle del Cauca</v>
      </c>
      <c r="H865" s="87" t="str">
        <f>HYPERLINK("http://api.nsgreg.nga.mil/geo-division/ISO3166-2/6/ed3/CO-VAC","CO-VAC")</f>
        <v>CO-VAC</v>
      </c>
    </row>
    <row r="866" spans="1:8" x14ac:dyDescent="0.2">
      <c r="A866" s="157"/>
      <c r="B866" s="31" t="s">
        <v>4490</v>
      </c>
      <c r="C866" s="31" t="s">
        <v>4491</v>
      </c>
      <c r="D866" s="31" t="s">
        <v>3214</v>
      </c>
      <c r="E866" s="61" t="b">
        <v>1</v>
      </c>
      <c r="F866" s="106" t="s">
        <v>4492</v>
      </c>
      <c r="G866" s="116" t="str">
        <f>HYPERLINK("http://nsgreg.nga.mil/genc/view?v=112742&amp;gencs=T&amp;end_month=3&amp;end_day=31&amp;end_year=2014","Vaupés")</f>
        <v>Vaupés</v>
      </c>
      <c r="H866" s="87" t="str">
        <f>HYPERLINK("http://api.nsgreg.nga.mil/geo-division/ISO3166-2/6/ed3/CO-VAU","CO-VAU")</f>
        <v>CO-VAU</v>
      </c>
    </row>
    <row r="867" spans="1:8" x14ac:dyDescent="0.2">
      <c r="A867" s="158"/>
      <c r="B867" s="58" t="s">
        <v>4493</v>
      </c>
      <c r="C867" s="58" t="s">
        <v>4494</v>
      </c>
      <c r="D867" s="58" t="s">
        <v>3214</v>
      </c>
      <c r="E867" s="62" t="b">
        <v>1</v>
      </c>
      <c r="F867" s="108" t="s">
        <v>4495</v>
      </c>
      <c r="G867" s="117" t="str">
        <f>HYPERLINK("http://nsgreg.nga.mil/genc/view?v=112743&amp;gencs=T&amp;end_month=3&amp;end_day=31&amp;end_year=2014","Vichada")</f>
        <v>Vichada</v>
      </c>
      <c r="H867" s="89" t="str">
        <f>HYPERLINK("http://api.nsgreg.nga.mil/geo-division/ISO3166-2/6/ed3/CO-VID","CO-VID")</f>
        <v>CO-VID</v>
      </c>
    </row>
    <row r="868" spans="1:8" x14ac:dyDescent="0.2">
      <c r="A868" s="156" t="str">
        <f>HYPERLINK("[#]Geopolitical_Entities!A58:I58","COMOROS")</f>
        <v>COMOROS</v>
      </c>
      <c r="B868" s="52" t="s">
        <v>4496</v>
      </c>
      <c r="C868" s="52" t="s">
        <v>4497</v>
      </c>
      <c r="D868" s="52" t="s">
        <v>4498</v>
      </c>
      <c r="E868" s="60" t="b">
        <v>1</v>
      </c>
      <c r="F868" s="110" t="s">
        <v>4499</v>
      </c>
      <c r="G868" s="118" t="str">
        <f>HYPERLINK("http://nsgreg.nga.mil/genc/view?v=201700&amp;end_month=3&amp;end_day=31&amp;end_year=2014","Anjouan")</f>
        <v>Anjouan</v>
      </c>
      <c r="H868" s="91" t="str">
        <f>HYPERLINK("http://api.nsgreg.nga.mil/geo-division/GENC/6/ed2/KM-A","KM-A")</f>
        <v>KM-A</v>
      </c>
    </row>
    <row r="869" spans="1:8" x14ac:dyDescent="0.2">
      <c r="A869" s="157"/>
      <c r="B869" s="31" t="s">
        <v>4500</v>
      </c>
      <c r="C869" s="31" t="s">
        <v>4501</v>
      </c>
      <c r="D869" s="31" t="s">
        <v>4498</v>
      </c>
      <c r="E869" s="61" t="b">
        <v>1</v>
      </c>
      <c r="F869" s="107" t="s">
        <v>4502</v>
      </c>
      <c r="G869" s="116" t="str">
        <f>HYPERLINK("http://nsgreg.nga.mil/genc/view?v=201701&amp;end_month=3&amp;end_day=31&amp;end_year=2014","Grande Comore")</f>
        <v>Grande Comore</v>
      </c>
      <c r="H869" s="87" t="str">
        <f>HYPERLINK("http://api.nsgreg.nga.mil/geo-division/GENC/6/ed2/KM-G","KM-G")</f>
        <v>KM-G</v>
      </c>
    </row>
    <row r="870" spans="1:8" x14ac:dyDescent="0.2">
      <c r="A870" s="158"/>
      <c r="B870" s="58" t="s">
        <v>4503</v>
      </c>
      <c r="C870" s="58" t="s">
        <v>4504</v>
      </c>
      <c r="D870" s="58" t="s">
        <v>4498</v>
      </c>
      <c r="E870" s="62" t="b">
        <v>1</v>
      </c>
      <c r="F870" s="111" t="s">
        <v>4505</v>
      </c>
      <c r="G870" s="117" t="str">
        <f>HYPERLINK("http://nsgreg.nga.mil/genc/view?v=201702&amp;end_month=3&amp;end_day=31&amp;end_year=2014","Mohéli")</f>
        <v>Mohéli</v>
      </c>
      <c r="H870" s="89" t="str">
        <f>HYPERLINK("http://api.nsgreg.nga.mil/geo-division/GENC/6/ed2/KM-M","KM-M")</f>
        <v>KM-M</v>
      </c>
    </row>
    <row r="871" spans="1:8" x14ac:dyDescent="0.2">
      <c r="A871" s="156" t="str">
        <f>HYPERLINK("[#]Geopolitical_Entities!A59:I59","CONGO (BRAZZAVILLE)")</f>
        <v>CONGO (BRAZZAVILLE)</v>
      </c>
      <c r="B871" s="52" t="s">
        <v>4506</v>
      </c>
      <c r="C871" s="52" t="s">
        <v>4507</v>
      </c>
      <c r="D871" s="52" t="s">
        <v>3214</v>
      </c>
      <c r="E871" s="60" t="b">
        <v>1</v>
      </c>
      <c r="F871" s="110" t="s">
        <v>4508</v>
      </c>
      <c r="G871" s="118" t="str">
        <f>HYPERLINK("http://nsgreg.nga.mil/genc/view?v=201315&amp;end_month=3&amp;end_day=31&amp;end_year=2014","Bouenza")</f>
        <v>Bouenza</v>
      </c>
      <c r="H871" s="91" t="str">
        <f>HYPERLINK("http://api.nsgreg.nga.mil/geo-division/GENC/6/ed2/CG-11","CG-11")</f>
        <v>CG-11</v>
      </c>
    </row>
    <row r="872" spans="1:8" x14ac:dyDescent="0.2">
      <c r="A872" s="157"/>
      <c r="B872" s="31" t="s">
        <v>4509</v>
      </c>
      <c r="C872" s="31" t="s">
        <v>4510</v>
      </c>
      <c r="D872" s="31" t="s">
        <v>3214</v>
      </c>
      <c r="E872" s="61" t="b">
        <v>1</v>
      </c>
      <c r="F872" s="107" t="s">
        <v>4511</v>
      </c>
      <c r="G872" s="116" t="str">
        <f>HYPERLINK("http://nsgreg.nga.mil/genc/view?v=200965&amp;end_month=3&amp;end_day=31&amp;end_year=2014","Brazzaville")</f>
        <v>Brazzaville</v>
      </c>
      <c r="H872" s="87" t="str">
        <f>HYPERLINK("http://api.nsgreg.nga.mil/geo-division/GENC/6/ed2/CG-BZV","CG-BZV")</f>
        <v>CG-BZV</v>
      </c>
    </row>
    <row r="873" spans="1:8" x14ac:dyDescent="0.2">
      <c r="A873" s="157"/>
      <c r="B873" s="31" t="s">
        <v>4512</v>
      </c>
      <c r="C873" s="31" t="s">
        <v>4513</v>
      </c>
      <c r="D873" s="31" t="s">
        <v>3214</v>
      </c>
      <c r="E873" s="61" t="b">
        <v>1</v>
      </c>
      <c r="F873" s="107" t="s">
        <v>4514</v>
      </c>
      <c r="G873" s="116" t="str">
        <f>HYPERLINK("http://nsgreg.nga.mil/genc/view?v=201316&amp;end_month=3&amp;end_day=31&amp;end_year=2014","Cuvette")</f>
        <v>Cuvette</v>
      </c>
      <c r="H873" s="87" t="str">
        <f>HYPERLINK("http://api.nsgreg.nga.mil/geo-division/GENC/6/ed2/CG-8","CG-8")</f>
        <v>CG-8</v>
      </c>
    </row>
    <row r="874" spans="1:8" x14ac:dyDescent="0.2">
      <c r="A874" s="157"/>
      <c r="B874" s="31" t="s">
        <v>4515</v>
      </c>
      <c r="C874" s="31" t="s">
        <v>4516</v>
      </c>
      <c r="D874" s="31" t="s">
        <v>3214</v>
      </c>
      <c r="E874" s="61" t="b">
        <v>1</v>
      </c>
      <c r="F874" s="107" t="s">
        <v>4517</v>
      </c>
      <c r="G874" s="116" t="str">
        <f>HYPERLINK("http://nsgreg.nga.mil/genc/view?v=201317&amp;end_month=3&amp;end_day=31&amp;end_year=2014","Cuvette-Ouest")</f>
        <v>Cuvette-Ouest</v>
      </c>
      <c r="H874" s="87" t="str">
        <f>HYPERLINK("http://api.nsgreg.nga.mil/geo-division/GENC/6/ed2/CG-15","CG-15")</f>
        <v>CG-15</v>
      </c>
    </row>
    <row r="875" spans="1:8" x14ac:dyDescent="0.2">
      <c r="A875" s="157"/>
      <c r="B875" s="31" t="s">
        <v>4518</v>
      </c>
      <c r="C875" s="31" t="s">
        <v>4519</v>
      </c>
      <c r="D875" s="31" t="s">
        <v>3214</v>
      </c>
      <c r="E875" s="61" t="b">
        <v>1</v>
      </c>
      <c r="F875" s="107" t="s">
        <v>4520</v>
      </c>
      <c r="G875" s="116" t="str">
        <f>HYPERLINK("http://nsgreg.nga.mil/genc/view?v=201318&amp;end_month=3&amp;end_day=31&amp;end_year=2014","Kouilou")</f>
        <v>Kouilou</v>
      </c>
      <c r="H875" s="87" t="str">
        <f>HYPERLINK("http://api.nsgreg.nga.mil/geo-division/GENC/6/ed2/CG-5","CG-5")</f>
        <v>CG-5</v>
      </c>
    </row>
    <row r="876" spans="1:8" x14ac:dyDescent="0.2">
      <c r="A876" s="157"/>
      <c r="B876" s="31" t="s">
        <v>4521</v>
      </c>
      <c r="C876" s="31" t="s">
        <v>4522</v>
      </c>
      <c r="D876" s="31" t="s">
        <v>3214</v>
      </c>
      <c r="E876" s="61" t="b">
        <v>1</v>
      </c>
      <c r="F876" s="107" t="s">
        <v>4523</v>
      </c>
      <c r="G876" s="116" t="str">
        <f>HYPERLINK("http://nsgreg.nga.mil/genc/view?v=201319&amp;end_month=3&amp;end_day=31&amp;end_year=2014","Lékoumou")</f>
        <v>Lékoumou</v>
      </c>
      <c r="H876" s="87" t="str">
        <f>HYPERLINK("http://api.nsgreg.nga.mil/geo-division/GENC/6/ed2/CG-2","CG-2")</f>
        <v>CG-2</v>
      </c>
    </row>
    <row r="877" spans="1:8" x14ac:dyDescent="0.2">
      <c r="A877" s="157"/>
      <c r="B877" s="31" t="s">
        <v>4524</v>
      </c>
      <c r="C877" s="31" t="s">
        <v>4525</v>
      </c>
      <c r="D877" s="31" t="s">
        <v>3214</v>
      </c>
      <c r="E877" s="61" t="b">
        <v>1</v>
      </c>
      <c r="F877" s="107" t="s">
        <v>4526</v>
      </c>
      <c r="G877" s="116" t="str">
        <f>HYPERLINK("http://nsgreg.nga.mil/genc/view?v=201320&amp;end_month=3&amp;end_day=31&amp;end_year=2014","Likouala")</f>
        <v>Likouala</v>
      </c>
      <c r="H877" s="87" t="str">
        <f>HYPERLINK("http://api.nsgreg.nga.mil/geo-division/GENC/6/ed2/CG-7","CG-7")</f>
        <v>CG-7</v>
      </c>
    </row>
    <row r="878" spans="1:8" x14ac:dyDescent="0.2">
      <c r="A878" s="157"/>
      <c r="B878" s="31" t="s">
        <v>4527</v>
      </c>
      <c r="C878" s="31" t="s">
        <v>4528</v>
      </c>
      <c r="D878" s="31" t="s">
        <v>3214</v>
      </c>
      <c r="E878" s="61" t="b">
        <v>1</v>
      </c>
      <c r="F878" s="107" t="s">
        <v>4529</v>
      </c>
      <c r="G878" s="116" t="str">
        <f>HYPERLINK("http://nsgreg.nga.mil/genc/view?v=201321&amp;end_month=3&amp;end_day=31&amp;end_year=2014","Niari")</f>
        <v>Niari</v>
      </c>
      <c r="H878" s="87" t="str">
        <f>HYPERLINK("http://api.nsgreg.nga.mil/geo-division/GENC/6/ed2/CG-9","CG-9")</f>
        <v>CG-9</v>
      </c>
    </row>
    <row r="879" spans="1:8" x14ac:dyDescent="0.2">
      <c r="A879" s="157"/>
      <c r="B879" s="31" t="s">
        <v>4530</v>
      </c>
      <c r="C879" s="31" t="s">
        <v>4531</v>
      </c>
      <c r="D879" s="31" t="s">
        <v>3214</v>
      </c>
      <c r="E879" s="61" t="b">
        <v>1</v>
      </c>
      <c r="F879" s="107" t="s">
        <v>4532</v>
      </c>
      <c r="G879" s="116" t="str">
        <f>HYPERLINK("http://nsgreg.nga.mil/genc/view?v=201322&amp;end_month=3&amp;end_day=31&amp;end_year=2014","Plateaux")</f>
        <v>Plateaux</v>
      </c>
      <c r="H879" s="87" t="str">
        <f>HYPERLINK("http://api.nsgreg.nga.mil/geo-division/GENC/6/ed2/CG-14","CG-14")</f>
        <v>CG-14</v>
      </c>
    </row>
    <row r="880" spans="1:8" x14ac:dyDescent="0.2">
      <c r="A880" s="157"/>
      <c r="B880" s="31" t="s">
        <v>4533</v>
      </c>
      <c r="C880" s="31" t="s">
        <v>4534</v>
      </c>
      <c r="D880" s="31" t="s">
        <v>3214</v>
      </c>
      <c r="E880" s="61" t="b">
        <v>1</v>
      </c>
      <c r="F880" s="107" t="s">
        <v>4535</v>
      </c>
      <c r="G880" s="116" t="str">
        <f>HYPERLINK("http://nsgreg.nga.mil/genc/view?v=203407&amp;end_month=3&amp;end_day=31&amp;end_year=2014","Pointe-Noire")</f>
        <v>Pointe-Noire</v>
      </c>
      <c r="H880" s="87" t="str">
        <f>HYPERLINK("http://api.nsgreg.nga.mil/geo-division/GENC/6/ed2/CG-16","CG-16")</f>
        <v>CG-16</v>
      </c>
    </row>
    <row r="881" spans="1:8" x14ac:dyDescent="0.2">
      <c r="A881" s="157"/>
      <c r="B881" s="31" t="s">
        <v>4536</v>
      </c>
      <c r="C881" s="31" t="s">
        <v>4537</v>
      </c>
      <c r="D881" s="31" t="s">
        <v>3214</v>
      </c>
      <c r="E881" s="61" t="b">
        <v>1</v>
      </c>
      <c r="F881" s="107" t="s">
        <v>4538</v>
      </c>
      <c r="G881" s="116" t="str">
        <f>HYPERLINK("http://nsgreg.nga.mil/genc/view?v=201732&amp;end_month=3&amp;end_day=31&amp;end_year=2014","Pool")</f>
        <v>Pool</v>
      </c>
      <c r="H881" s="87" t="str">
        <f>HYPERLINK("http://api.nsgreg.nga.mil/geo-division/GENC/6/ed2/CG-12","CG-12")</f>
        <v>CG-12</v>
      </c>
    </row>
    <row r="882" spans="1:8" x14ac:dyDescent="0.2">
      <c r="A882" s="158"/>
      <c r="B882" s="58" t="s">
        <v>4539</v>
      </c>
      <c r="C882" s="58" t="s">
        <v>4540</v>
      </c>
      <c r="D882" s="58" t="s">
        <v>3214</v>
      </c>
      <c r="E882" s="62" t="b">
        <v>1</v>
      </c>
      <c r="F882" s="111" t="s">
        <v>4541</v>
      </c>
      <c r="G882" s="117" t="str">
        <f>HYPERLINK("http://nsgreg.nga.mil/genc/view?v=201733&amp;end_month=3&amp;end_day=31&amp;end_year=2014","Sangha")</f>
        <v>Sangha</v>
      </c>
      <c r="H882" s="89" t="str">
        <f>HYPERLINK("http://api.nsgreg.nga.mil/geo-division/GENC/6/ed2/CG-13","CG-13")</f>
        <v>CG-13</v>
      </c>
    </row>
    <row r="883" spans="1:8" x14ac:dyDescent="0.2">
      <c r="A883" s="156" t="str">
        <f>HYPERLINK("[#]Geopolitical_Entities!A60:I60","CONGO (KINSHASA)")</f>
        <v>CONGO (KINSHASA)</v>
      </c>
      <c r="B883" s="52" t="s">
        <v>4542</v>
      </c>
      <c r="C883" s="52" t="s">
        <v>4543</v>
      </c>
      <c r="D883" s="52" t="s">
        <v>1920</v>
      </c>
      <c r="E883" s="60" t="b">
        <v>1</v>
      </c>
      <c r="F883" s="109" t="s">
        <v>4544</v>
      </c>
      <c r="G883" s="118" t="str">
        <f>HYPERLINK("http://nsgreg.nga.mil/genc/view?v=112569&amp;gencs=T&amp;end_month=3&amp;end_day=31&amp;end_year=2014","Bandundu")</f>
        <v>Bandundu</v>
      </c>
      <c r="H883" s="91" t="str">
        <f>HYPERLINK("http://api.nsgreg.nga.mil/geo-division/ISO3166-2/6/ed3/CD-BN","CD-BN")</f>
        <v>CD-BN</v>
      </c>
    </row>
    <row r="884" spans="1:8" x14ac:dyDescent="0.2">
      <c r="A884" s="157"/>
      <c r="B884" s="31" t="s">
        <v>4545</v>
      </c>
      <c r="C884" s="31" t="s">
        <v>4546</v>
      </c>
      <c r="D884" s="31" t="s">
        <v>1920</v>
      </c>
      <c r="E884" s="61" t="b">
        <v>1</v>
      </c>
      <c r="F884" s="106" t="s">
        <v>4547</v>
      </c>
      <c r="G884" s="116" t="str">
        <f>HYPERLINK("http://nsgreg.nga.mil/genc/view?v=112568&amp;gencs=T&amp;end_month=3&amp;end_day=31&amp;end_year=2014","Bas-Congo")</f>
        <v>Bas-Congo</v>
      </c>
      <c r="H884" s="87" t="str">
        <f>HYPERLINK("http://api.nsgreg.nga.mil/geo-division/ISO3166-2/6/ed3/CD-BC","CD-BC")</f>
        <v>CD-BC</v>
      </c>
    </row>
    <row r="885" spans="1:8" x14ac:dyDescent="0.2">
      <c r="A885" s="157"/>
      <c r="B885" s="31" t="s">
        <v>4548</v>
      </c>
      <c r="C885" s="31" t="s">
        <v>4549</v>
      </c>
      <c r="D885" s="31" t="s">
        <v>1920</v>
      </c>
      <c r="E885" s="61" t="b">
        <v>1</v>
      </c>
      <c r="F885" s="106" t="s">
        <v>4550</v>
      </c>
      <c r="G885" s="116" t="str">
        <f>HYPERLINK("http://nsgreg.nga.mil/genc/view?v=112570&amp;gencs=T&amp;end_month=3&amp;end_day=31&amp;end_year=2014","Équateur")</f>
        <v>Équateur</v>
      </c>
      <c r="H885" s="87" t="str">
        <f>HYPERLINK("http://api.nsgreg.nga.mil/geo-division/ISO3166-2/6/ed3/CD-EQ","CD-EQ")</f>
        <v>CD-EQ</v>
      </c>
    </row>
    <row r="886" spans="1:8" x14ac:dyDescent="0.2">
      <c r="A886" s="157"/>
      <c r="B886" s="31" t="s">
        <v>4551</v>
      </c>
      <c r="C886" s="31" t="s">
        <v>4552</v>
      </c>
      <c r="D886" s="31" t="s">
        <v>1920</v>
      </c>
      <c r="E886" s="61" t="b">
        <v>1</v>
      </c>
      <c r="F886" s="107" t="s">
        <v>4553</v>
      </c>
      <c r="G886" s="116" t="str">
        <f>HYPERLINK("http://nsgreg.nga.mil/genc/view?v=200947&amp;end_month=3&amp;end_day=31&amp;end_year=2014","Kasaï-Occidental")</f>
        <v>Kasaï-Occidental</v>
      </c>
      <c r="H886" s="87" t="str">
        <f>HYPERLINK("http://api.nsgreg.nga.mil/geo-division/GENC/6/ed2/CD-KW","CD-KW")</f>
        <v>CD-KW</v>
      </c>
    </row>
    <row r="887" spans="1:8" x14ac:dyDescent="0.2">
      <c r="A887" s="157"/>
      <c r="B887" s="31" t="s">
        <v>4554</v>
      </c>
      <c r="C887" s="31" t="s">
        <v>4555</v>
      </c>
      <c r="D887" s="31" t="s">
        <v>1920</v>
      </c>
      <c r="E887" s="61" t="b">
        <v>1</v>
      </c>
      <c r="F887" s="107" t="s">
        <v>4556</v>
      </c>
      <c r="G887" s="116" t="str">
        <f>HYPERLINK("http://nsgreg.nga.mil/genc/view?v=200945&amp;end_month=3&amp;end_day=31&amp;end_year=2014","Kasaï-Oriental")</f>
        <v>Kasaï-Oriental</v>
      </c>
      <c r="H887" s="87" t="str">
        <f>HYPERLINK("http://api.nsgreg.nga.mil/geo-division/GENC/6/ed2/CD-KE","CD-KE")</f>
        <v>CD-KE</v>
      </c>
    </row>
    <row r="888" spans="1:8" x14ac:dyDescent="0.2">
      <c r="A888" s="157"/>
      <c r="B888" s="31" t="s">
        <v>4557</v>
      </c>
      <c r="C888" s="31" t="s">
        <v>4558</v>
      </c>
      <c r="D888" s="31" t="s">
        <v>1920</v>
      </c>
      <c r="E888" s="61" t="b">
        <v>1</v>
      </c>
      <c r="F888" s="106" t="s">
        <v>4559</v>
      </c>
      <c r="G888" s="116" t="str">
        <f>HYPERLINK("http://nsgreg.nga.mil/genc/view?v=112571&amp;gencs=T&amp;end_month=3&amp;end_day=31&amp;end_year=2014","Katanga")</f>
        <v>Katanga</v>
      </c>
      <c r="H888" s="87" t="str">
        <f>HYPERLINK("http://api.nsgreg.nga.mil/geo-division/ISO3166-2/6/ed3/CD-KA","CD-KA")</f>
        <v>CD-KA</v>
      </c>
    </row>
    <row r="889" spans="1:8" x14ac:dyDescent="0.2">
      <c r="A889" s="157"/>
      <c r="B889" s="31" t="s">
        <v>4560</v>
      </c>
      <c r="C889" s="31" t="s">
        <v>4561</v>
      </c>
      <c r="D889" s="31" t="s">
        <v>3436</v>
      </c>
      <c r="E889" s="61" t="b">
        <v>1</v>
      </c>
      <c r="F889" s="107" t="s">
        <v>4562</v>
      </c>
      <c r="G889" s="116" t="str">
        <f>HYPERLINK("http://nsgreg.nga.mil/genc/view?v=200946&amp;end_month=3&amp;end_day=31&amp;end_year=2014","Kinshasa")</f>
        <v>Kinshasa</v>
      </c>
      <c r="H889" s="87" t="str">
        <f>HYPERLINK("http://api.nsgreg.nga.mil/geo-division/GENC/6/ed2/CD-KN","CD-KN")</f>
        <v>CD-KN</v>
      </c>
    </row>
    <row r="890" spans="1:8" x14ac:dyDescent="0.2">
      <c r="A890" s="157"/>
      <c r="B890" s="31" t="s">
        <v>4563</v>
      </c>
      <c r="C890" s="31" t="s">
        <v>4564</v>
      </c>
      <c r="D890" s="31" t="s">
        <v>1920</v>
      </c>
      <c r="E890" s="61" t="b">
        <v>1</v>
      </c>
      <c r="F890" s="106" t="s">
        <v>4565</v>
      </c>
      <c r="G890" s="116" t="str">
        <f>HYPERLINK("http://nsgreg.nga.mil/genc/view?v=112575&amp;gencs=T&amp;end_month=3&amp;end_day=31&amp;end_year=2014","Maniema")</f>
        <v>Maniema</v>
      </c>
      <c r="H890" s="87" t="str">
        <f>HYPERLINK("http://api.nsgreg.nga.mil/geo-division/ISO3166-2/6/ed3/CD-MA","CD-MA")</f>
        <v>CD-MA</v>
      </c>
    </row>
    <row r="891" spans="1:8" x14ac:dyDescent="0.2">
      <c r="A891" s="157"/>
      <c r="B891" s="31" t="s">
        <v>4566</v>
      </c>
      <c r="C891" s="31" t="s">
        <v>4567</v>
      </c>
      <c r="D891" s="31" t="s">
        <v>1920</v>
      </c>
      <c r="E891" s="61" t="b">
        <v>1</v>
      </c>
      <c r="F891" s="106" t="s">
        <v>4568</v>
      </c>
      <c r="G891" s="116" t="str">
        <f>HYPERLINK("http://nsgreg.nga.mil/genc/view?v=112576&amp;gencs=T&amp;end_month=3&amp;end_day=31&amp;end_year=2014","Nord-Kivu")</f>
        <v>Nord-Kivu</v>
      </c>
      <c r="H891" s="87" t="str">
        <f>HYPERLINK("http://api.nsgreg.nga.mil/geo-division/ISO3166-2/6/ed3/CD-NK","CD-NK")</f>
        <v>CD-NK</v>
      </c>
    </row>
    <row r="892" spans="1:8" x14ac:dyDescent="0.2">
      <c r="A892" s="157"/>
      <c r="B892" s="31" t="s">
        <v>4569</v>
      </c>
      <c r="C892" s="31" t="s">
        <v>4570</v>
      </c>
      <c r="D892" s="31" t="s">
        <v>1920</v>
      </c>
      <c r="E892" s="61" t="b">
        <v>1</v>
      </c>
      <c r="F892" s="106" t="s">
        <v>4571</v>
      </c>
      <c r="G892" s="116" t="str">
        <f>HYPERLINK("http://nsgreg.nga.mil/genc/view?v=112577&amp;gencs=T&amp;end_month=3&amp;end_day=31&amp;end_year=2014","Orientale")</f>
        <v>Orientale</v>
      </c>
      <c r="H892" s="87" t="str">
        <f>HYPERLINK("http://api.nsgreg.nga.mil/geo-division/ISO3166-2/6/ed3/CD-OR","CD-OR")</f>
        <v>CD-OR</v>
      </c>
    </row>
    <row r="893" spans="1:8" x14ac:dyDescent="0.2">
      <c r="A893" s="158"/>
      <c r="B893" s="58" t="s">
        <v>4572</v>
      </c>
      <c r="C893" s="58" t="s">
        <v>4573</v>
      </c>
      <c r="D893" s="58" t="s">
        <v>1920</v>
      </c>
      <c r="E893" s="62" t="b">
        <v>1</v>
      </c>
      <c r="F893" s="108" t="s">
        <v>4574</v>
      </c>
      <c r="G893" s="117" t="str">
        <f>HYPERLINK("http://nsgreg.nga.mil/genc/view?v=112578&amp;gencs=T&amp;end_month=3&amp;end_day=31&amp;end_year=2014","Sud-Kivu")</f>
        <v>Sud-Kivu</v>
      </c>
      <c r="H893" s="89" t="str">
        <f>HYPERLINK("http://api.nsgreg.nga.mil/geo-division/ISO3166-2/6/ed3/CD-SK","CD-SK")</f>
        <v>CD-SK</v>
      </c>
    </row>
    <row r="894" spans="1:8" x14ac:dyDescent="0.2">
      <c r="A894" s="156" t="str">
        <f>HYPERLINK("[#]Geopolitical_Entities!A63:I63","COSTA RICA")</f>
        <v>COSTA RICA</v>
      </c>
      <c r="B894" s="52" t="s">
        <v>4575</v>
      </c>
      <c r="C894" s="52" t="s">
        <v>4576</v>
      </c>
      <c r="D894" s="52" t="s">
        <v>1920</v>
      </c>
      <c r="E894" s="60" t="b">
        <v>1</v>
      </c>
      <c r="F894" s="109" t="s">
        <v>4577</v>
      </c>
      <c r="G894" s="118" t="str">
        <f>HYPERLINK("http://nsgreg.nga.mil/genc/view?v=112744&amp;gencs=T&amp;end_month=3&amp;end_day=31&amp;end_year=2014","Alajuela")</f>
        <v>Alajuela</v>
      </c>
      <c r="H894" s="91" t="str">
        <f>HYPERLINK("http://api.nsgreg.nga.mil/geo-division/ISO3166-2/6/ed3/CR-A","CR-A")</f>
        <v>CR-A</v>
      </c>
    </row>
    <row r="895" spans="1:8" x14ac:dyDescent="0.2">
      <c r="A895" s="157"/>
      <c r="B895" s="31" t="s">
        <v>4578</v>
      </c>
      <c r="C895" s="31" t="s">
        <v>4579</v>
      </c>
      <c r="D895" s="31" t="s">
        <v>1920</v>
      </c>
      <c r="E895" s="61" t="b">
        <v>1</v>
      </c>
      <c r="F895" s="106" t="s">
        <v>4580</v>
      </c>
      <c r="G895" s="116" t="str">
        <f>HYPERLINK("http://nsgreg.nga.mil/genc/view?v=112745&amp;gencs=T&amp;end_month=3&amp;end_day=31&amp;end_year=2014","Cartago")</f>
        <v>Cartago</v>
      </c>
      <c r="H895" s="87" t="str">
        <f>HYPERLINK("http://api.nsgreg.nga.mil/geo-division/ISO3166-2/6/ed3/CR-C","CR-C")</f>
        <v>CR-C</v>
      </c>
    </row>
    <row r="896" spans="1:8" x14ac:dyDescent="0.2">
      <c r="A896" s="157"/>
      <c r="B896" s="31" t="s">
        <v>4581</v>
      </c>
      <c r="C896" s="31" t="s">
        <v>4582</v>
      </c>
      <c r="D896" s="31" t="s">
        <v>1920</v>
      </c>
      <c r="E896" s="61" t="b">
        <v>1</v>
      </c>
      <c r="F896" s="106" t="s">
        <v>4583</v>
      </c>
      <c r="G896" s="116" t="str">
        <f>HYPERLINK("http://nsgreg.nga.mil/genc/view?v=112746&amp;gencs=T&amp;end_month=3&amp;end_day=31&amp;end_year=2014","Guanacaste")</f>
        <v>Guanacaste</v>
      </c>
      <c r="H896" s="87" t="str">
        <f>HYPERLINK("http://api.nsgreg.nga.mil/geo-division/ISO3166-2/6/ed3/CR-G","CR-G")</f>
        <v>CR-G</v>
      </c>
    </row>
    <row r="897" spans="1:8" x14ac:dyDescent="0.2">
      <c r="A897" s="157"/>
      <c r="B897" s="31" t="s">
        <v>4584</v>
      </c>
      <c r="C897" s="31" t="s">
        <v>4585</v>
      </c>
      <c r="D897" s="31" t="s">
        <v>1920</v>
      </c>
      <c r="E897" s="61" t="b">
        <v>1</v>
      </c>
      <c r="F897" s="106" t="s">
        <v>4586</v>
      </c>
      <c r="G897" s="116" t="str">
        <f>HYPERLINK("http://nsgreg.nga.mil/genc/view?v=112747&amp;gencs=T&amp;end_month=3&amp;end_day=31&amp;end_year=2014","Heredia")</f>
        <v>Heredia</v>
      </c>
      <c r="H897" s="87" t="str">
        <f>HYPERLINK("http://api.nsgreg.nga.mil/geo-division/ISO3166-2/6/ed3/CR-H","CR-H")</f>
        <v>CR-H</v>
      </c>
    </row>
    <row r="898" spans="1:8" x14ac:dyDescent="0.2">
      <c r="A898" s="157"/>
      <c r="B898" s="31" t="s">
        <v>4587</v>
      </c>
      <c r="C898" s="31" t="s">
        <v>4588</v>
      </c>
      <c r="D898" s="31" t="s">
        <v>1920</v>
      </c>
      <c r="E898" s="61" t="b">
        <v>1</v>
      </c>
      <c r="F898" s="106" t="s">
        <v>4589</v>
      </c>
      <c r="G898" s="116" t="str">
        <f>HYPERLINK("http://nsgreg.nga.mil/genc/view?v=112748&amp;gencs=T&amp;end_month=3&amp;end_day=31&amp;end_year=2014","Limón")</f>
        <v>Limón</v>
      </c>
      <c r="H898" s="87" t="str">
        <f>HYPERLINK("http://api.nsgreg.nga.mil/geo-division/ISO3166-2/6/ed3/CR-L","CR-L")</f>
        <v>CR-L</v>
      </c>
    </row>
    <row r="899" spans="1:8" x14ac:dyDescent="0.2">
      <c r="A899" s="157"/>
      <c r="B899" s="31" t="s">
        <v>4590</v>
      </c>
      <c r="C899" s="31" t="s">
        <v>4591</v>
      </c>
      <c r="D899" s="31" t="s">
        <v>1920</v>
      </c>
      <c r="E899" s="61" t="b">
        <v>1</v>
      </c>
      <c r="F899" s="106" t="s">
        <v>4592</v>
      </c>
      <c r="G899" s="116" t="str">
        <f>HYPERLINK("http://nsgreg.nga.mil/genc/view?v=112749&amp;gencs=T&amp;end_month=3&amp;end_day=31&amp;end_year=2014","Puntarenas")</f>
        <v>Puntarenas</v>
      </c>
      <c r="H899" s="87" t="str">
        <f>HYPERLINK("http://api.nsgreg.nga.mil/geo-division/ISO3166-2/6/ed3/CR-P","CR-P")</f>
        <v>CR-P</v>
      </c>
    </row>
    <row r="900" spans="1:8" x14ac:dyDescent="0.2">
      <c r="A900" s="158"/>
      <c r="B900" s="58" t="s">
        <v>4593</v>
      </c>
      <c r="C900" s="58" t="s">
        <v>4594</v>
      </c>
      <c r="D900" s="58" t="s">
        <v>1920</v>
      </c>
      <c r="E900" s="62" t="b">
        <v>1</v>
      </c>
      <c r="F900" s="108" t="s">
        <v>4595</v>
      </c>
      <c r="G900" s="117" t="str">
        <f>HYPERLINK("http://nsgreg.nga.mil/genc/view?v=112750&amp;gencs=T&amp;end_month=3&amp;end_day=31&amp;end_year=2014","San José")</f>
        <v>San José</v>
      </c>
      <c r="H900" s="89" t="str">
        <f>HYPERLINK("http://api.nsgreg.nga.mil/geo-division/ISO3166-2/6/ed3/CR-SJ","CR-SJ")</f>
        <v>CR-SJ</v>
      </c>
    </row>
    <row r="901" spans="1:8" x14ac:dyDescent="0.2">
      <c r="A901" s="156" t="str">
        <f>HYPERLINK("[#]Geopolitical_Entities!A64:I64","CÔTE D’IVOIRE")</f>
        <v>CÔTE D’IVOIRE</v>
      </c>
      <c r="B901" s="52" t="s">
        <v>4596</v>
      </c>
      <c r="C901" s="52" t="s">
        <v>4597</v>
      </c>
      <c r="D901" s="52" t="s">
        <v>4598</v>
      </c>
      <c r="E901" s="60" t="b">
        <v>1</v>
      </c>
      <c r="F901" s="110" t="s">
        <v>4599</v>
      </c>
      <c r="G901" s="118" t="str">
        <f>HYPERLINK("http://nsgreg.nga.mil/genc/view?v=203408&amp;end_month=3&amp;end_day=31&amp;end_year=2014","Abidjan")</f>
        <v>Abidjan</v>
      </c>
      <c r="H901" s="91" t="str">
        <f>HYPERLINK("http://api.nsgreg.nga.mil/geo-division/GENC/6/ed2/CI-20","CI-20")</f>
        <v>CI-20</v>
      </c>
    </row>
    <row r="902" spans="1:8" x14ac:dyDescent="0.2">
      <c r="A902" s="157"/>
      <c r="B902" s="31" t="s">
        <v>4600</v>
      </c>
      <c r="C902" s="31" t="s">
        <v>4601</v>
      </c>
      <c r="D902" s="98" t="s">
        <v>3137</v>
      </c>
      <c r="E902" s="99" t="b">
        <v>0</v>
      </c>
      <c r="F902" s="107" t="s">
        <v>4602</v>
      </c>
      <c r="G902" s="116" t="str">
        <f>HYPERLINK("http://nsgreg.nga.mil/genc/view?v=201007&amp;end_month=3&amp;end_day=31&amp;end_year=2014","Agnébi (Région de l')")</f>
        <v>Agnébi (Région de l')</v>
      </c>
      <c r="H902" s="87" t="str">
        <f>HYPERLINK("http://api.nsgreg.nga.mil/geo-division/GENC/6/ed2/CI-16","CI-16")</f>
        <v>CI-16</v>
      </c>
    </row>
    <row r="903" spans="1:8" x14ac:dyDescent="0.2">
      <c r="A903" s="157"/>
      <c r="B903" s="31" t="s">
        <v>4603</v>
      </c>
      <c r="C903" s="31" t="s">
        <v>4604</v>
      </c>
      <c r="D903" s="98" t="s">
        <v>3137</v>
      </c>
      <c r="E903" s="99" t="b">
        <v>0</v>
      </c>
      <c r="F903" s="107" t="s">
        <v>4605</v>
      </c>
      <c r="G903" s="116" t="str">
        <f>HYPERLINK("http://nsgreg.nga.mil/genc/view?v=201008&amp;end_month=3&amp;end_day=31&amp;end_year=2014","Bafing (Région du)")</f>
        <v>Bafing (Région du)</v>
      </c>
      <c r="H903" s="87" t="str">
        <f>HYPERLINK("http://api.nsgreg.nga.mil/geo-division/GENC/6/ed2/CI-17","CI-17")</f>
        <v>CI-17</v>
      </c>
    </row>
    <row r="904" spans="1:8" x14ac:dyDescent="0.2">
      <c r="A904" s="157"/>
      <c r="B904" s="31" t="s">
        <v>4606</v>
      </c>
      <c r="C904" s="31" t="s">
        <v>4607</v>
      </c>
      <c r="D904" s="31" t="s">
        <v>2026</v>
      </c>
      <c r="E904" s="61" t="b">
        <v>1</v>
      </c>
      <c r="F904" s="107" t="s">
        <v>4608</v>
      </c>
      <c r="G904" s="116" t="str">
        <f>HYPERLINK("http://nsgreg.nga.mil/genc/view?v=201000&amp;end_month=3&amp;end_day=31&amp;end_year=2014","Bas-Sassandra")</f>
        <v>Bas-Sassandra</v>
      </c>
      <c r="H904" s="87" t="str">
        <f>HYPERLINK("http://api.nsgreg.nga.mil/geo-division/GENC/6/ed2/CI-09","CI-09")</f>
        <v>CI-09</v>
      </c>
    </row>
    <row r="905" spans="1:8" x14ac:dyDescent="0.2">
      <c r="A905" s="157"/>
      <c r="B905" s="31" t="s">
        <v>4609</v>
      </c>
      <c r="C905" s="31" t="s">
        <v>3689</v>
      </c>
      <c r="D905" s="31" t="s">
        <v>2026</v>
      </c>
      <c r="E905" s="61" t="b">
        <v>1</v>
      </c>
      <c r="F905" s="107" t="s">
        <v>4610</v>
      </c>
      <c r="G905" s="116" t="str">
        <f>HYPERLINK("http://nsgreg.nga.mil/genc/view?v=203409&amp;end_month=3&amp;end_day=31&amp;end_year=2014","Comoé")</f>
        <v>Comoé</v>
      </c>
      <c r="H905" s="87" t="str">
        <f>HYPERLINK("http://api.nsgreg.nga.mil/geo-division/GENC/6/ed2/CI-21","CI-21")</f>
        <v>CI-21</v>
      </c>
    </row>
    <row r="906" spans="1:8" x14ac:dyDescent="0.2">
      <c r="A906" s="157"/>
      <c r="B906" s="31" t="s">
        <v>4611</v>
      </c>
      <c r="C906" s="31" t="s">
        <v>4612</v>
      </c>
      <c r="D906" s="31" t="s">
        <v>2026</v>
      </c>
      <c r="E906" s="61" t="b">
        <v>1</v>
      </c>
      <c r="F906" s="107" t="s">
        <v>4613</v>
      </c>
      <c r="G906" s="116" t="str">
        <f>HYPERLINK("http://nsgreg.nga.mil/genc/view?v=201001&amp;end_month=3&amp;end_day=31&amp;end_year=2014","Denguélé")</f>
        <v>Denguélé</v>
      </c>
      <c r="H906" s="87" t="str">
        <f>HYPERLINK("http://api.nsgreg.nga.mil/geo-division/GENC/6/ed2/CI-10","CI-10")</f>
        <v>CI-10</v>
      </c>
    </row>
    <row r="907" spans="1:8" x14ac:dyDescent="0.2">
      <c r="A907" s="157"/>
      <c r="B907" s="31" t="s">
        <v>4614</v>
      </c>
      <c r="C907" s="31" t="s">
        <v>4615</v>
      </c>
      <c r="D907" s="98" t="s">
        <v>3137</v>
      </c>
      <c r="E907" s="99" t="b">
        <v>0</v>
      </c>
      <c r="F907" s="107" t="s">
        <v>4616</v>
      </c>
      <c r="G907" s="116" t="str">
        <f>HYPERLINK("http://nsgreg.nga.mil/genc/view?v=201009&amp;end_month=3&amp;end_day=31&amp;end_year=2014","Fromager (Région du)")</f>
        <v>Fromager (Région du)</v>
      </c>
      <c r="H907" s="87" t="str">
        <f>HYPERLINK("http://api.nsgreg.nga.mil/geo-division/GENC/6/ed2/CI-18","CI-18")</f>
        <v>CI-18</v>
      </c>
    </row>
    <row r="908" spans="1:8" x14ac:dyDescent="0.2">
      <c r="A908" s="157"/>
      <c r="B908" s="31" t="s">
        <v>4617</v>
      </c>
      <c r="C908" s="31" t="s">
        <v>4618</v>
      </c>
      <c r="D908" s="31" t="s">
        <v>2026</v>
      </c>
      <c r="E908" s="61" t="b">
        <v>1</v>
      </c>
      <c r="F908" s="107" t="s">
        <v>4619</v>
      </c>
      <c r="G908" s="116" t="str">
        <f>HYPERLINK("http://nsgreg.nga.mil/genc/view?v=204398&amp;end_month=3&amp;end_day=31&amp;end_year=2014","Gôh-Djiboua")</f>
        <v>Gôh-Djiboua</v>
      </c>
      <c r="H908" s="87" t="str">
        <f>HYPERLINK("http://api.nsgreg.nga.mil/geo-division/GENC/6/ed2/CI-22","CI-22")</f>
        <v>CI-22</v>
      </c>
    </row>
    <row r="909" spans="1:8" x14ac:dyDescent="0.2">
      <c r="A909" s="157"/>
      <c r="B909" s="31" t="s">
        <v>4620</v>
      </c>
      <c r="C909" s="31" t="s">
        <v>4621</v>
      </c>
      <c r="D909" s="98" t="s">
        <v>3137</v>
      </c>
      <c r="E909" s="99" t="b">
        <v>0</v>
      </c>
      <c r="F909" s="107" t="s">
        <v>4622</v>
      </c>
      <c r="G909" s="116" t="str">
        <f>HYPERLINK("http://nsgreg.nga.mil/genc/view?v=200993&amp;end_month=3&amp;end_day=31&amp;end_year=2014","Haut-Sassandra (Région du)")</f>
        <v>Haut-Sassandra (Région du)</v>
      </c>
      <c r="H909" s="87" t="str">
        <f>HYPERLINK("http://api.nsgreg.nga.mil/geo-division/GENC/6/ed2/CI-02","CI-02")</f>
        <v>CI-02</v>
      </c>
    </row>
    <row r="910" spans="1:8" x14ac:dyDescent="0.2">
      <c r="A910" s="157"/>
      <c r="B910" s="31" t="s">
        <v>4623</v>
      </c>
      <c r="C910" s="31" t="s">
        <v>4624</v>
      </c>
      <c r="D910" s="31" t="s">
        <v>2026</v>
      </c>
      <c r="E910" s="61" t="b">
        <v>1</v>
      </c>
      <c r="F910" s="107" t="s">
        <v>4625</v>
      </c>
      <c r="G910" s="116" t="str">
        <f>HYPERLINK("http://nsgreg.nga.mil/genc/view?v=200998&amp;end_month=3&amp;end_day=31&amp;end_year=2014","Lacs")</f>
        <v>Lacs</v>
      </c>
      <c r="H910" s="87" t="str">
        <f>HYPERLINK("http://api.nsgreg.nga.mil/geo-division/GENC/6/ed2/CI-07","CI-07")</f>
        <v>CI-07</v>
      </c>
    </row>
    <row r="911" spans="1:8" x14ac:dyDescent="0.2">
      <c r="A911" s="157"/>
      <c r="B911" s="31" t="s">
        <v>4626</v>
      </c>
      <c r="C911" s="31" t="s">
        <v>4627</v>
      </c>
      <c r="D911" s="31" t="s">
        <v>2026</v>
      </c>
      <c r="E911" s="61" t="b">
        <v>1</v>
      </c>
      <c r="F911" s="107" t="s">
        <v>4628</v>
      </c>
      <c r="G911" s="116" t="str">
        <f>HYPERLINK("http://nsgreg.nga.mil/genc/view?v=200992&amp;end_month=3&amp;end_day=31&amp;end_year=2014","Lagunes")</f>
        <v>Lagunes</v>
      </c>
      <c r="H911" s="87" t="str">
        <f>HYPERLINK("http://api.nsgreg.nga.mil/geo-division/GENC/6/ed2/CI-01","CI-01")</f>
        <v>CI-01</v>
      </c>
    </row>
    <row r="912" spans="1:8" x14ac:dyDescent="0.2">
      <c r="A912" s="157"/>
      <c r="B912" s="31" t="s">
        <v>4629</v>
      </c>
      <c r="C912" s="31" t="s">
        <v>4630</v>
      </c>
      <c r="D912" s="98" t="s">
        <v>3137</v>
      </c>
      <c r="E912" s="99" t="b">
        <v>0</v>
      </c>
      <c r="F912" s="107" t="s">
        <v>4631</v>
      </c>
      <c r="G912" s="116" t="str">
        <f>HYPERLINK("http://nsgreg.nga.mil/genc/view?v=201003&amp;end_month=3&amp;end_day=31&amp;end_year=2014","Marahoué (Région de la)")</f>
        <v>Marahoué (Région de la)</v>
      </c>
      <c r="H912" s="87" t="str">
        <f>HYPERLINK("http://api.nsgreg.nga.mil/geo-division/GENC/6/ed2/CI-12","CI-12")</f>
        <v>CI-12</v>
      </c>
    </row>
    <row r="913" spans="1:8" x14ac:dyDescent="0.2">
      <c r="A913" s="157"/>
      <c r="B913" s="31" t="s">
        <v>4632</v>
      </c>
      <c r="C913" s="31" t="s">
        <v>4633</v>
      </c>
      <c r="D913" s="31" t="s">
        <v>2026</v>
      </c>
      <c r="E913" s="61" t="b">
        <v>1</v>
      </c>
      <c r="F913" s="107" t="s">
        <v>4634</v>
      </c>
      <c r="G913" s="116" t="str">
        <f>HYPERLINK("http://nsgreg.nga.mil/genc/view?v=200997&amp;end_month=3&amp;end_day=31&amp;end_year=2014","Montagnes")</f>
        <v>Montagnes</v>
      </c>
      <c r="H913" s="87" t="str">
        <f>HYPERLINK("http://api.nsgreg.nga.mil/geo-division/GENC/6/ed2/CI-06","CI-06")</f>
        <v>CI-06</v>
      </c>
    </row>
    <row r="914" spans="1:8" x14ac:dyDescent="0.2">
      <c r="A914" s="157"/>
      <c r="B914" s="31" t="s">
        <v>4635</v>
      </c>
      <c r="C914" s="31" t="s">
        <v>4636</v>
      </c>
      <c r="D914" s="98" t="s">
        <v>3137</v>
      </c>
      <c r="E914" s="99" t="b">
        <v>0</v>
      </c>
      <c r="F914" s="107" t="s">
        <v>4637</v>
      </c>
      <c r="G914" s="116" t="str">
        <f>HYPERLINK("http://nsgreg.nga.mil/genc/view?v=201010&amp;end_month=3&amp;end_day=31&amp;end_year=2014","Moyen-Cavally (Région du)")</f>
        <v>Moyen-Cavally (Région du)</v>
      </c>
      <c r="H914" s="87" t="str">
        <f>HYPERLINK("http://api.nsgreg.nga.mil/geo-division/GENC/6/ed2/CI-19","CI-19")</f>
        <v>CI-19</v>
      </c>
    </row>
    <row r="915" spans="1:8" x14ac:dyDescent="0.2">
      <c r="A915" s="157"/>
      <c r="B915" s="31" t="s">
        <v>4638</v>
      </c>
      <c r="C915" s="31" t="s">
        <v>4639</v>
      </c>
      <c r="D915" s="98" t="s">
        <v>3137</v>
      </c>
      <c r="E915" s="99" t="b">
        <v>0</v>
      </c>
      <c r="F915" s="107" t="s">
        <v>4640</v>
      </c>
      <c r="G915" s="116" t="str">
        <f>HYPERLINK("http://nsgreg.nga.mil/genc/view?v=200996&amp;end_month=3&amp;end_day=31&amp;end_year=2014","Moyen-Comoé (Région du)")</f>
        <v>Moyen-Comoé (Région du)</v>
      </c>
      <c r="H915" s="87" t="str">
        <f>HYPERLINK("http://api.nsgreg.nga.mil/geo-division/GENC/6/ed2/CI-05","CI-05")</f>
        <v>CI-05</v>
      </c>
    </row>
    <row r="916" spans="1:8" x14ac:dyDescent="0.2">
      <c r="A916" s="157"/>
      <c r="B916" s="31" t="s">
        <v>4641</v>
      </c>
      <c r="C916" s="31" t="s">
        <v>4642</v>
      </c>
      <c r="D916" s="98" t="s">
        <v>3137</v>
      </c>
      <c r="E916" s="99" t="b">
        <v>0</v>
      </c>
      <c r="F916" s="107" t="s">
        <v>4643</v>
      </c>
      <c r="G916" s="116" t="str">
        <f>HYPERLINK("http://nsgreg.nga.mil/genc/view?v=201002&amp;end_month=3&amp;end_day=31&amp;end_year=2014","Nzi-Comoé (Région)")</f>
        <v>Nzi-Comoé (Région)</v>
      </c>
      <c r="H916" s="87" t="str">
        <f>HYPERLINK("http://api.nsgreg.nga.mil/geo-division/GENC/6/ed2/CI-11","CI-11")</f>
        <v>CI-11</v>
      </c>
    </row>
    <row r="917" spans="1:8" x14ac:dyDescent="0.2">
      <c r="A917" s="157"/>
      <c r="B917" s="31" t="s">
        <v>4644</v>
      </c>
      <c r="C917" s="31" t="s">
        <v>4645</v>
      </c>
      <c r="D917" s="31" t="s">
        <v>2026</v>
      </c>
      <c r="E917" s="61" t="b">
        <v>1</v>
      </c>
      <c r="F917" s="107" t="s">
        <v>4646</v>
      </c>
      <c r="G917" s="116" t="str">
        <f>HYPERLINK("http://nsgreg.nga.mil/genc/view?v=204487&amp;end_month=3&amp;end_day=31&amp;end_year=2014","Sassandra-Marahoué")</f>
        <v>Sassandra-Marahoué</v>
      </c>
      <c r="H917" s="87" t="str">
        <f>HYPERLINK("http://api.nsgreg.nga.mil/geo-division/GENC/6/ed2/CI-23","CI-23")</f>
        <v>CI-23</v>
      </c>
    </row>
    <row r="918" spans="1:8" x14ac:dyDescent="0.2">
      <c r="A918" s="157"/>
      <c r="B918" s="31" t="s">
        <v>4647</v>
      </c>
      <c r="C918" s="31" t="s">
        <v>4648</v>
      </c>
      <c r="D918" s="31" t="s">
        <v>2026</v>
      </c>
      <c r="E918" s="61" t="b">
        <v>1</v>
      </c>
      <c r="F918" s="107" t="s">
        <v>4649</v>
      </c>
      <c r="G918" s="116" t="str">
        <f>HYPERLINK("http://nsgreg.nga.mil/genc/view?v=200994&amp;end_month=3&amp;end_day=31&amp;end_year=2014","Savanes")</f>
        <v>Savanes</v>
      </c>
      <c r="H918" s="87" t="str">
        <f>HYPERLINK("http://api.nsgreg.nga.mil/geo-division/GENC/6/ed2/CI-03","CI-03")</f>
        <v>CI-03</v>
      </c>
    </row>
    <row r="919" spans="1:8" x14ac:dyDescent="0.2">
      <c r="A919" s="157"/>
      <c r="B919" s="31" t="s">
        <v>4650</v>
      </c>
      <c r="C919" s="31" t="s">
        <v>4651</v>
      </c>
      <c r="D919" s="98" t="s">
        <v>3137</v>
      </c>
      <c r="E919" s="99" t="b">
        <v>0</v>
      </c>
      <c r="F919" s="107" t="s">
        <v>4652</v>
      </c>
      <c r="G919" s="116" t="str">
        <f>HYPERLINK("http://nsgreg.nga.mil/genc/view?v=201006&amp;end_month=3&amp;end_day=31&amp;end_year=2014","Sud-Bandama (Région du)")</f>
        <v>Sud-Bandama (Région du)</v>
      </c>
      <c r="H919" s="87" t="str">
        <f>HYPERLINK("http://api.nsgreg.nga.mil/geo-division/GENC/6/ed2/CI-15","CI-15")</f>
        <v>CI-15</v>
      </c>
    </row>
    <row r="920" spans="1:8" x14ac:dyDescent="0.2">
      <c r="A920" s="157"/>
      <c r="B920" s="31" t="s">
        <v>4653</v>
      </c>
      <c r="C920" s="31" t="s">
        <v>4654</v>
      </c>
      <c r="D920" s="98" t="s">
        <v>3137</v>
      </c>
      <c r="E920" s="99" t="b">
        <v>0</v>
      </c>
      <c r="F920" s="107" t="s">
        <v>4655</v>
      </c>
      <c r="G920" s="116" t="str">
        <f>HYPERLINK("http://nsgreg.nga.mil/genc/view?v=201004&amp;end_month=3&amp;end_day=31&amp;end_year=2014","Sud-Comoé (Région du)")</f>
        <v>Sud-Comoé (Région du)</v>
      </c>
      <c r="H920" s="87" t="str">
        <f>HYPERLINK("http://api.nsgreg.nga.mil/geo-division/GENC/6/ed2/CI-13","CI-13")</f>
        <v>CI-13</v>
      </c>
    </row>
    <row r="921" spans="1:8" x14ac:dyDescent="0.2">
      <c r="A921" s="157"/>
      <c r="B921" s="31" t="s">
        <v>4656</v>
      </c>
      <c r="C921" s="31" t="s">
        <v>4657</v>
      </c>
      <c r="D921" s="31" t="s">
        <v>2026</v>
      </c>
      <c r="E921" s="61" t="b">
        <v>1</v>
      </c>
      <c r="F921" s="107" t="s">
        <v>4658</v>
      </c>
      <c r="G921" s="116" t="str">
        <f>HYPERLINK("http://nsgreg.nga.mil/genc/view?v=200995&amp;end_month=3&amp;end_day=31&amp;end_year=2014","Vallée du Bandama")</f>
        <v>Vallée du Bandama</v>
      </c>
      <c r="H921" s="87" t="str">
        <f>HYPERLINK("http://api.nsgreg.nga.mil/geo-division/GENC/6/ed2/CI-04","CI-04")</f>
        <v>CI-04</v>
      </c>
    </row>
    <row r="922" spans="1:8" x14ac:dyDescent="0.2">
      <c r="A922" s="157"/>
      <c r="B922" s="31" t="s">
        <v>4659</v>
      </c>
      <c r="C922" s="31" t="s">
        <v>4660</v>
      </c>
      <c r="D922" s="31" t="s">
        <v>2026</v>
      </c>
      <c r="E922" s="61" t="b">
        <v>1</v>
      </c>
      <c r="F922" s="107" t="s">
        <v>4661</v>
      </c>
      <c r="G922" s="116" t="str">
        <f>HYPERLINK("http://nsgreg.nga.mil/genc/view?v=204488&amp;end_month=3&amp;end_day=31&amp;end_year=2014","Woroba")</f>
        <v>Woroba</v>
      </c>
      <c r="H922" s="87" t="str">
        <f>HYPERLINK("http://api.nsgreg.nga.mil/geo-division/GENC/6/ed2/CI-24","CI-24")</f>
        <v>CI-24</v>
      </c>
    </row>
    <row r="923" spans="1:8" x14ac:dyDescent="0.2">
      <c r="A923" s="157"/>
      <c r="B923" s="31" t="s">
        <v>4662</v>
      </c>
      <c r="C923" s="31" t="s">
        <v>4663</v>
      </c>
      <c r="D923" s="98" t="s">
        <v>3137</v>
      </c>
      <c r="E923" s="99" t="b">
        <v>0</v>
      </c>
      <c r="F923" s="107" t="s">
        <v>4664</v>
      </c>
      <c r="G923" s="116" t="str">
        <f>HYPERLINK("http://nsgreg.nga.mil/genc/view?v=201005&amp;end_month=3&amp;end_day=31&amp;end_year=2014","Worodougou (Région du)")</f>
        <v>Worodougou (Région du)</v>
      </c>
      <c r="H923" s="87" t="str">
        <f>HYPERLINK("http://api.nsgreg.nga.mil/geo-division/GENC/6/ed2/CI-14","CI-14")</f>
        <v>CI-14</v>
      </c>
    </row>
    <row r="924" spans="1:8" x14ac:dyDescent="0.2">
      <c r="A924" s="157"/>
      <c r="B924" s="31" t="s">
        <v>4665</v>
      </c>
      <c r="C924" s="31" t="s">
        <v>4666</v>
      </c>
      <c r="D924" s="31" t="s">
        <v>4598</v>
      </c>
      <c r="E924" s="61" t="b">
        <v>1</v>
      </c>
      <c r="F924" s="107" t="s">
        <v>4667</v>
      </c>
      <c r="G924" s="116" t="str">
        <f>HYPERLINK("http://nsgreg.nga.mil/genc/view?v=204489&amp;end_month=3&amp;end_day=31&amp;end_year=2014","Yamoussoukro")</f>
        <v>Yamoussoukro</v>
      </c>
      <c r="H924" s="87" t="str">
        <f>HYPERLINK("http://api.nsgreg.nga.mil/geo-division/GENC/6/ed2/CI-25","CI-25")</f>
        <v>CI-25</v>
      </c>
    </row>
    <row r="925" spans="1:8" x14ac:dyDescent="0.2">
      <c r="A925" s="158"/>
      <c r="B925" s="58" t="s">
        <v>4668</v>
      </c>
      <c r="C925" s="58" t="s">
        <v>4669</v>
      </c>
      <c r="D925" s="58" t="s">
        <v>2026</v>
      </c>
      <c r="E925" s="62" t="b">
        <v>1</v>
      </c>
      <c r="F925" s="111" t="s">
        <v>4670</v>
      </c>
      <c r="G925" s="117" t="str">
        <f>HYPERLINK("http://nsgreg.nga.mil/genc/view?v=200999&amp;end_month=3&amp;end_day=31&amp;end_year=2014","Zanzan")</f>
        <v>Zanzan</v>
      </c>
      <c r="H925" s="89" t="str">
        <f>HYPERLINK("http://api.nsgreg.nga.mil/geo-division/GENC/6/ed2/CI-08","CI-08")</f>
        <v>CI-08</v>
      </c>
    </row>
    <row r="926" spans="1:8" x14ac:dyDescent="0.2">
      <c r="A926" s="156" t="str">
        <f>HYPERLINK("[#]Geopolitical_Entities!A65:I65","CROATIA")</f>
        <v>CROATIA</v>
      </c>
      <c r="B926" s="52" t="s">
        <v>4671</v>
      </c>
      <c r="C926" s="52" t="s">
        <v>4672</v>
      </c>
      <c r="D926" s="52" t="s">
        <v>2023</v>
      </c>
      <c r="E926" s="60" t="b">
        <v>1</v>
      </c>
      <c r="F926" s="110" t="s">
        <v>4673</v>
      </c>
      <c r="G926" s="118" t="str">
        <f>HYPERLINK("http://nsgreg.nga.mil/genc/view?v=201421&amp;end_month=3&amp;end_day=31&amp;end_year=2014","Bjelovarsko-Bilogorska Županija")</f>
        <v>Bjelovarsko-Bilogorska Županija</v>
      </c>
      <c r="H926" s="91" t="str">
        <f>HYPERLINK("http://api.nsgreg.nga.mil/geo-division/GENC/6/ed2/HR-07","HR-07")</f>
        <v>HR-07</v>
      </c>
    </row>
    <row r="927" spans="1:8" x14ac:dyDescent="0.2">
      <c r="A927" s="157"/>
      <c r="B927" s="31" t="s">
        <v>4674</v>
      </c>
      <c r="C927" s="31" t="s">
        <v>4675</v>
      </c>
      <c r="D927" s="31" t="s">
        <v>2023</v>
      </c>
      <c r="E927" s="61" t="b">
        <v>1</v>
      </c>
      <c r="F927" s="107" t="s">
        <v>4676</v>
      </c>
      <c r="G927" s="116" t="str">
        <f>HYPERLINK("http://nsgreg.nga.mil/genc/view?v=201426&amp;end_month=3&amp;end_day=31&amp;end_year=2014","Brodsko-Posavska Županija")</f>
        <v>Brodsko-Posavska Županija</v>
      </c>
      <c r="H927" s="87" t="str">
        <f>HYPERLINK("http://api.nsgreg.nga.mil/geo-division/GENC/6/ed2/HR-12","HR-12")</f>
        <v>HR-12</v>
      </c>
    </row>
    <row r="928" spans="1:8" x14ac:dyDescent="0.2">
      <c r="A928" s="157"/>
      <c r="B928" s="31" t="s">
        <v>4677</v>
      </c>
      <c r="C928" s="31" t="s">
        <v>4678</v>
      </c>
      <c r="D928" s="31" t="s">
        <v>2023</v>
      </c>
      <c r="E928" s="61" t="b">
        <v>1</v>
      </c>
      <c r="F928" s="107" t="s">
        <v>4679</v>
      </c>
      <c r="G928" s="116" t="str">
        <f>HYPERLINK("http://nsgreg.nga.mil/genc/view?v=201433&amp;end_month=3&amp;end_day=31&amp;end_year=2014","Dubrovačko-Neretvanska Županija")</f>
        <v>Dubrovačko-Neretvanska Županija</v>
      </c>
      <c r="H928" s="87" t="str">
        <f>HYPERLINK("http://api.nsgreg.nga.mil/geo-division/GENC/6/ed2/HR-19","HR-19")</f>
        <v>HR-19</v>
      </c>
    </row>
    <row r="929" spans="1:8" x14ac:dyDescent="0.2">
      <c r="A929" s="157"/>
      <c r="B929" s="31" t="s">
        <v>4680</v>
      </c>
      <c r="C929" s="31" t="s">
        <v>4681</v>
      </c>
      <c r="D929" s="31" t="s">
        <v>2023</v>
      </c>
      <c r="E929" s="61" t="b">
        <v>1</v>
      </c>
      <c r="F929" s="107" t="s">
        <v>4682</v>
      </c>
      <c r="G929" s="116" t="str">
        <f>HYPERLINK("http://nsgreg.nga.mil/genc/view?v=201432&amp;end_month=3&amp;end_day=31&amp;end_year=2014","Istarska Županija")</f>
        <v>Istarska Županija</v>
      </c>
      <c r="H929" s="87" t="str">
        <f>HYPERLINK("http://api.nsgreg.nga.mil/geo-division/GENC/6/ed2/HR-18","HR-18")</f>
        <v>HR-18</v>
      </c>
    </row>
    <row r="930" spans="1:8" x14ac:dyDescent="0.2">
      <c r="A930" s="157"/>
      <c r="B930" s="31" t="s">
        <v>4683</v>
      </c>
      <c r="C930" s="31" t="s">
        <v>4684</v>
      </c>
      <c r="D930" s="31" t="s">
        <v>2023</v>
      </c>
      <c r="E930" s="61" t="b">
        <v>1</v>
      </c>
      <c r="F930" s="107" t="s">
        <v>4685</v>
      </c>
      <c r="G930" s="116" t="str">
        <f>HYPERLINK("http://nsgreg.nga.mil/genc/view?v=201418&amp;end_month=3&amp;end_day=31&amp;end_year=2014","Karlovačka Županija")</f>
        <v>Karlovačka Županija</v>
      </c>
      <c r="H930" s="87" t="str">
        <f>HYPERLINK("http://api.nsgreg.nga.mil/geo-division/GENC/6/ed2/HR-04","HR-04")</f>
        <v>HR-04</v>
      </c>
    </row>
    <row r="931" spans="1:8" x14ac:dyDescent="0.2">
      <c r="A931" s="157"/>
      <c r="B931" s="31" t="s">
        <v>4686</v>
      </c>
      <c r="C931" s="31" t="s">
        <v>4687</v>
      </c>
      <c r="D931" s="31" t="s">
        <v>2023</v>
      </c>
      <c r="E931" s="61" t="b">
        <v>1</v>
      </c>
      <c r="F931" s="107" t="s">
        <v>4688</v>
      </c>
      <c r="G931" s="116" t="str">
        <f>HYPERLINK("http://nsgreg.nga.mil/genc/view?v=201420&amp;end_month=3&amp;end_day=31&amp;end_year=2014","Koprivničko-Križevačka Županija")</f>
        <v>Koprivničko-Križevačka Županija</v>
      </c>
      <c r="H931" s="87" t="str">
        <f>HYPERLINK("http://api.nsgreg.nga.mil/geo-division/GENC/6/ed2/HR-06","HR-06")</f>
        <v>HR-06</v>
      </c>
    </row>
    <row r="932" spans="1:8" x14ac:dyDescent="0.2">
      <c r="A932" s="157"/>
      <c r="B932" s="31" t="s">
        <v>4689</v>
      </c>
      <c r="C932" s="31" t="s">
        <v>4690</v>
      </c>
      <c r="D932" s="31" t="s">
        <v>2023</v>
      </c>
      <c r="E932" s="61" t="b">
        <v>1</v>
      </c>
      <c r="F932" s="107" t="s">
        <v>4691</v>
      </c>
      <c r="G932" s="116" t="str">
        <f>HYPERLINK("http://nsgreg.nga.mil/genc/view?v=201416&amp;end_month=3&amp;end_day=31&amp;end_year=2014","Krapinsko-Zagorska Županija")</f>
        <v>Krapinsko-Zagorska Županija</v>
      </c>
      <c r="H932" s="87" t="str">
        <f>HYPERLINK("http://api.nsgreg.nga.mil/geo-division/GENC/6/ed2/HR-02","HR-02")</f>
        <v>HR-02</v>
      </c>
    </row>
    <row r="933" spans="1:8" x14ac:dyDescent="0.2">
      <c r="A933" s="157"/>
      <c r="B933" s="31" t="s">
        <v>4692</v>
      </c>
      <c r="C933" s="31" t="s">
        <v>4693</v>
      </c>
      <c r="D933" s="31" t="s">
        <v>2023</v>
      </c>
      <c r="E933" s="61" t="b">
        <v>1</v>
      </c>
      <c r="F933" s="107" t="s">
        <v>4694</v>
      </c>
      <c r="G933" s="116" t="str">
        <f>HYPERLINK("http://nsgreg.nga.mil/genc/view?v=201423&amp;end_month=3&amp;end_day=31&amp;end_year=2014","Ličko-Senjska Županija")</f>
        <v>Ličko-Senjska Županija</v>
      </c>
      <c r="H933" s="87" t="str">
        <f>HYPERLINK("http://api.nsgreg.nga.mil/geo-division/GENC/6/ed2/HR-09","HR-09")</f>
        <v>HR-09</v>
      </c>
    </row>
    <row r="934" spans="1:8" x14ac:dyDescent="0.2">
      <c r="A934" s="157"/>
      <c r="B934" s="31" t="s">
        <v>4695</v>
      </c>
      <c r="C934" s="31" t="s">
        <v>4696</v>
      </c>
      <c r="D934" s="31" t="s">
        <v>2023</v>
      </c>
      <c r="E934" s="61" t="b">
        <v>1</v>
      </c>
      <c r="F934" s="107" t="s">
        <v>4697</v>
      </c>
      <c r="G934" s="116" t="str">
        <f>HYPERLINK("http://nsgreg.nga.mil/genc/view?v=201434&amp;end_month=3&amp;end_day=31&amp;end_year=2014","Međimurska Županija")</f>
        <v>Međimurska Županija</v>
      </c>
      <c r="H934" s="87" t="str">
        <f>HYPERLINK("http://api.nsgreg.nga.mil/geo-division/GENC/6/ed2/HR-20","HR-20")</f>
        <v>HR-20</v>
      </c>
    </row>
    <row r="935" spans="1:8" x14ac:dyDescent="0.2">
      <c r="A935" s="157"/>
      <c r="B935" s="31" t="s">
        <v>4698</v>
      </c>
      <c r="C935" s="31" t="s">
        <v>4699</v>
      </c>
      <c r="D935" s="31" t="s">
        <v>2023</v>
      </c>
      <c r="E935" s="61" t="b">
        <v>1</v>
      </c>
      <c r="F935" s="107" t="s">
        <v>4700</v>
      </c>
      <c r="G935" s="116" t="str">
        <f>HYPERLINK("http://nsgreg.nga.mil/genc/view?v=201428&amp;end_month=3&amp;end_day=31&amp;end_year=2014","Osječko-Baranjska Županija")</f>
        <v>Osječko-Baranjska Županija</v>
      </c>
      <c r="H935" s="87" t="str">
        <f>HYPERLINK("http://api.nsgreg.nga.mil/geo-division/GENC/6/ed2/HR-14","HR-14")</f>
        <v>HR-14</v>
      </c>
    </row>
    <row r="936" spans="1:8" x14ac:dyDescent="0.2">
      <c r="A936" s="157"/>
      <c r="B936" s="31" t="s">
        <v>4701</v>
      </c>
      <c r="C936" s="31" t="s">
        <v>4702</v>
      </c>
      <c r="D936" s="31" t="s">
        <v>2023</v>
      </c>
      <c r="E936" s="61" t="b">
        <v>1</v>
      </c>
      <c r="F936" s="107" t="s">
        <v>4703</v>
      </c>
      <c r="G936" s="116" t="str">
        <f>HYPERLINK("http://nsgreg.nga.mil/genc/view?v=201425&amp;end_month=3&amp;end_day=31&amp;end_year=2014","Požeško-Slavonska Županija")</f>
        <v>Požeško-Slavonska Županija</v>
      </c>
      <c r="H936" s="87" t="str">
        <f>HYPERLINK("http://api.nsgreg.nga.mil/geo-division/GENC/6/ed2/HR-11","HR-11")</f>
        <v>HR-11</v>
      </c>
    </row>
    <row r="937" spans="1:8" x14ac:dyDescent="0.2">
      <c r="A937" s="157"/>
      <c r="B937" s="31" t="s">
        <v>4704</v>
      </c>
      <c r="C937" s="31" t="s">
        <v>4705</v>
      </c>
      <c r="D937" s="31" t="s">
        <v>2023</v>
      </c>
      <c r="E937" s="61" t="b">
        <v>1</v>
      </c>
      <c r="F937" s="107" t="s">
        <v>4706</v>
      </c>
      <c r="G937" s="116" t="str">
        <f>HYPERLINK("http://nsgreg.nga.mil/genc/view?v=201422&amp;end_month=3&amp;end_day=31&amp;end_year=2014","Primorsko-Goranska Županija")</f>
        <v>Primorsko-Goranska Županija</v>
      </c>
      <c r="H937" s="87" t="str">
        <f>HYPERLINK("http://api.nsgreg.nga.mil/geo-division/GENC/6/ed2/HR-08","HR-08")</f>
        <v>HR-08</v>
      </c>
    </row>
    <row r="938" spans="1:8" x14ac:dyDescent="0.2">
      <c r="A938" s="157"/>
      <c r="B938" s="31" t="s">
        <v>4707</v>
      </c>
      <c r="C938" s="31" t="s">
        <v>4708</v>
      </c>
      <c r="D938" s="31" t="s">
        <v>2023</v>
      </c>
      <c r="E938" s="61" t="b">
        <v>1</v>
      </c>
      <c r="F938" s="107" t="s">
        <v>4709</v>
      </c>
      <c r="G938" s="116" t="str">
        <f>HYPERLINK("http://nsgreg.nga.mil/genc/view?v=201429&amp;end_month=3&amp;end_day=31&amp;end_year=2014","Šibensko-Kninska Županija")</f>
        <v>Šibensko-Kninska Županija</v>
      </c>
      <c r="H938" s="87" t="str">
        <f>HYPERLINK("http://api.nsgreg.nga.mil/geo-division/GENC/6/ed2/HR-15","HR-15")</f>
        <v>HR-15</v>
      </c>
    </row>
    <row r="939" spans="1:8" x14ac:dyDescent="0.2">
      <c r="A939" s="157"/>
      <c r="B939" s="31" t="s">
        <v>4710</v>
      </c>
      <c r="C939" s="31" t="s">
        <v>4711</v>
      </c>
      <c r="D939" s="31" t="s">
        <v>2023</v>
      </c>
      <c r="E939" s="61" t="b">
        <v>1</v>
      </c>
      <c r="F939" s="107" t="s">
        <v>4712</v>
      </c>
      <c r="G939" s="116" t="str">
        <f>HYPERLINK("http://nsgreg.nga.mil/genc/view?v=201417&amp;end_month=3&amp;end_day=31&amp;end_year=2014","Sisačko-Moslavačka Županija")</f>
        <v>Sisačko-Moslavačka Županija</v>
      </c>
      <c r="H939" s="87" t="str">
        <f>HYPERLINK("http://api.nsgreg.nga.mil/geo-division/GENC/6/ed2/HR-03","HR-03")</f>
        <v>HR-03</v>
      </c>
    </row>
    <row r="940" spans="1:8" x14ac:dyDescent="0.2">
      <c r="A940" s="157"/>
      <c r="B940" s="31" t="s">
        <v>4713</v>
      </c>
      <c r="C940" s="31" t="s">
        <v>4714</v>
      </c>
      <c r="D940" s="31" t="s">
        <v>2023</v>
      </c>
      <c r="E940" s="61" t="b">
        <v>1</v>
      </c>
      <c r="F940" s="107" t="s">
        <v>4715</v>
      </c>
      <c r="G940" s="116" t="str">
        <f>HYPERLINK("http://nsgreg.nga.mil/genc/view?v=201431&amp;end_month=3&amp;end_day=31&amp;end_year=2014","Splitsko-Dalmatinska Županija")</f>
        <v>Splitsko-Dalmatinska Županija</v>
      </c>
      <c r="H940" s="87" t="str">
        <f>HYPERLINK("http://api.nsgreg.nga.mil/geo-division/GENC/6/ed2/HR-17","HR-17")</f>
        <v>HR-17</v>
      </c>
    </row>
    <row r="941" spans="1:8" x14ac:dyDescent="0.2">
      <c r="A941" s="157"/>
      <c r="B941" s="31" t="s">
        <v>4716</v>
      </c>
      <c r="C941" s="31" t="s">
        <v>4717</v>
      </c>
      <c r="D941" s="31" t="s">
        <v>2023</v>
      </c>
      <c r="E941" s="61" t="b">
        <v>1</v>
      </c>
      <c r="F941" s="107" t="s">
        <v>4718</v>
      </c>
      <c r="G941" s="116" t="str">
        <f>HYPERLINK("http://nsgreg.nga.mil/genc/view?v=201419&amp;end_month=3&amp;end_day=31&amp;end_year=2014","Varaždinska Županija")</f>
        <v>Varaždinska Županija</v>
      </c>
      <c r="H941" s="87" t="str">
        <f>HYPERLINK("http://api.nsgreg.nga.mil/geo-division/GENC/6/ed2/HR-05","HR-05")</f>
        <v>HR-05</v>
      </c>
    </row>
    <row r="942" spans="1:8" x14ac:dyDescent="0.2">
      <c r="A942" s="157"/>
      <c r="B942" s="31" t="s">
        <v>4719</v>
      </c>
      <c r="C942" s="31" t="s">
        <v>4720</v>
      </c>
      <c r="D942" s="31" t="s">
        <v>2023</v>
      </c>
      <c r="E942" s="61" t="b">
        <v>1</v>
      </c>
      <c r="F942" s="107" t="s">
        <v>4721</v>
      </c>
      <c r="G942" s="116" t="str">
        <f>HYPERLINK("http://nsgreg.nga.mil/genc/view?v=201424&amp;end_month=3&amp;end_day=31&amp;end_year=2014","Virovitičko-Podravska Županija")</f>
        <v>Virovitičko-Podravska Županija</v>
      </c>
      <c r="H942" s="87" t="str">
        <f>HYPERLINK("http://api.nsgreg.nga.mil/geo-division/GENC/6/ed2/HR-10","HR-10")</f>
        <v>HR-10</v>
      </c>
    </row>
    <row r="943" spans="1:8" x14ac:dyDescent="0.2">
      <c r="A943" s="157"/>
      <c r="B943" s="31" t="s">
        <v>4722</v>
      </c>
      <c r="C943" s="31" t="s">
        <v>4723</v>
      </c>
      <c r="D943" s="31" t="s">
        <v>2023</v>
      </c>
      <c r="E943" s="61" t="b">
        <v>1</v>
      </c>
      <c r="F943" s="107" t="s">
        <v>4724</v>
      </c>
      <c r="G943" s="116" t="str">
        <f>HYPERLINK("http://nsgreg.nga.mil/genc/view?v=201430&amp;end_month=3&amp;end_day=31&amp;end_year=2014","Vukovarsko-Srijemska Županija")</f>
        <v>Vukovarsko-Srijemska Županija</v>
      </c>
      <c r="H943" s="87" t="str">
        <f>HYPERLINK("http://api.nsgreg.nga.mil/geo-division/GENC/6/ed2/HR-16","HR-16")</f>
        <v>HR-16</v>
      </c>
    </row>
    <row r="944" spans="1:8" x14ac:dyDescent="0.2">
      <c r="A944" s="157"/>
      <c r="B944" s="31" t="s">
        <v>4725</v>
      </c>
      <c r="C944" s="31" t="s">
        <v>4726</v>
      </c>
      <c r="D944" s="31" t="s">
        <v>2023</v>
      </c>
      <c r="E944" s="61" t="b">
        <v>1</v>
      </c>
      <c r="F944" s="107" t="s">
        <v>4727</v>
      </c>
      <c r="G944" s="116" t="str">
        <f>HYPERLINK("http://nsgreg.nga.mil/genc/view?v=201427&amp;end_month=3&amp;end_day=31&amp;end_year=2014","Zadarska Županija")</f>
        <v>Zadarska Županija</v>
      </c>
      <c r="H944" s="87" t="str">
        <f>HYPERLINK("http://api.nsgreg.nga.mil/geo-division/GENC/6/ed2/HR-13","HR-13")</f>
        <v>HR-13</v>
      </c>
    </row>
    <row r="945" spans="1:8" x14ac:dyDescent="0.2">
      <c r="A945" s="157"/>
      <c r="B945" s="31" t="s">
        <v>4728</v>
      </c>
      <c r="C945" s="31" t="s">
        <v>4729</v>
      </c>
      <c r="D945" s="31" t="s">
        <v>2405</v>
      </c>
      <c r="E945" s="61" t="b">
        <v>1</v>
      </c>
      <c r="F945" s="107" t="s">
        <v>4730</v>
      </c>
      <c r="G945" s="116" t="str">
        <f>HYPERLINK("http://nsgreg.nga.mil/genc/view?v=203397&amp;end_month=3&amp;end_day=31&amp;end_year=2014","Zagreb, Grad")</f>
        <v>Zagreb, Grad</v>
      </c>
      <c r="H945" s="87" t="str">
        <f>HYPERLINK("http://api.nsgreg.nga.mil/geo-division/GENC/6/ed2/HR-21","HR-21")</f>
        <v>HR-21</v>
      </c>
    </row>
    <row r="946" spans="1:8" x14ac:dyDescent="0.2">
      <c r="A946" s="158"/>
      <c r="B946" s="58" t="s">
        <v>4731</v>
      </c>
      <c r="C946" s="58" t="s">
        <v>4732</v>
      </c>
      <c r="D946" s="58" t="s">
        <v>2023</v>
      </c>
      <c r="E946" s="62" t="b">
        <v>1</v>
      </c>
      <c r="F946" s="111" t="s">
        <v>4733</v>
      </c>
      <c r="G946" s="117" t="str">
        <f>HYPERLINK("http://nsgreg.nga.mil/genc/view?v=201415&amp;end_month=3&amp;end_day=31&amp;end_year=2014","Zagrebačka Županija")</f>
        <v>Zagrebačka Županija</v>
      </c>
      <c r="H946" s="89" t="str">
        <f>HYPERLINK("http://api.nsgreg.nga.mil/geo-division/GENC/6/ed2/HR-01","HR-01")</f>
        <v>HR-01</v>
      </c>
    </row>
    <row r="947" spans="1:8" x14ac:dyDescent="0.2">
      <c r="A947" s="156" t="str">
        <f>HYPERLINK("[#]Geopolitical_Entities!A66:I66","CUBA")</f>
        <v>CUBA</v>
      </c>
      <c r="B947" s="52" t="s">
        <v>4734</v>
      </c>
      <c r="C947" s="52" t="s">
        <v>4735</v>
      </c>
      <c r="D947" s="52" t="s">
        <v>1920</v>
      </c>
      <c r="E947" s="60" t="b">
        <v>1</v>
      </c>
      <c r="F947" s="110" t="s">
        <v>4736</v>
      </c>
      <c r="G947" s="118" t="str">
        <f>HYPERLINK("http://nsgreg.nga.mil/genc/view?v=201022&amp;end_month=3&amp;end_day=31&amp;end_year=2014","Artemisa")</f>
        <v>Artemisa</v>
      </c>
      <c r="H947" s="91" t="str">
        <f>HYPERLINK("http://api.nsgreg.nga.mil/geo-division/GENC/6/ed2/CU-15","CU-15")</f>
        <v>CU-15</v>
      </c>
    </row>
    <row r="948" spans="1:8" x14ac:dyDescent="0.2">
      <c r="A948" s="157"/>
      <c r="B948" s="31" t="s">
        <v>4737</v>
      </c>
      <c r="C948" s="31" t="s">
        <v>4738</v>
      </c>
      <c r="D948" s="31" t="s">
        <v>1920</v>
      </c>
      <c r="E948" s="61" t="b">
        <v>1</v>
      </c>
      <c r="F948" s="106" t="s">
        <v>4739</v>
      </c>
      <c r="G948" s="116" t="str">
        <f>HYPERLINK("http://nsgreg.nga.mil/genc/view?v=112759&amp;gencs=T&amp;end_month=3&amp;end_day=31&amp;end_year=2014","Camagüey")</f>
        <v>Camagüey</v>
      </c>
      <c r="H948" s="87" t="str">
        <f>HYPERLINK("http://api.nsgreg.nga.mil/geo-division/ISO3166-2/6/ed3/CU-09","CU-09")</f>
        <v>CU-09</v>
      </c>
    </row>
    <row r="949" spans="1:8" x14ac:dyDescent="0.2">
      <c r="A949" s="157"/>
      <c r="B949" s="31" t="s">
        <v>4740</v>
      </c>
      <c r="C949" s="31" t="s">
        <v>4741</v>
      </c>
      <c r="D949" s="31" t="s">
        <v>1920</v>
      </c>
      <c r="E949" s="61" t="b">
        <v>1</v>
      </c>
      <c r="F949" s="106" t="s">
        <v>4742</v>
      </c>
      <c r="G949" s="116" t="str">
        <f>HYPERLINK("http://nsgreg.nga.mil/genc/view?v=112758&amp;gencs=T&amp;end_month=3&amp;end_day=31&amp;end_year=2014","Ciego de Ávila")</f>
        <v>Ciego de Ávila</v>
      </c>
      <c r="H949" s="87" t="str">
        <f>HYPERLINK("http://api.nsgreg.nga.mil/geo-division/ISO3166-2/6/ed3/CU-08","CU-08")</f>
        <v>CU-08</v>
      </c>
    </row>
    <row r="950" spans="1:8" x14ac:dyDescent="0.2">
      <c r="A950" s="157"/>
      <c r="B950" s="31" t="s">
        <v>4743</v>
      </c>
      <c r="C950" s="31" t="s">
        <v>4744</v>
      </c>
      <c r="D950" s="31" t="s">
        <v>1920</v>
      </c>
      <c r="E950" s="61" t="b">
        <v>1</v>
      </c>
      <c r="F950" s="106" t="s">
        <v>4745</v>
      </c>
      <c r="G950" s="116" t="str">
        <f>HYPERLINK("http://nsgreg.nga.mil/genc/view?v=112756&amp;gencs=T&amp;end_month=3&amp;end_day=31&amp;end_year=2014","Cienfuegos")</f>
        <v>Cienfuegos</v>
      </c>
      <c r="H950" s="87" t="str">
        <f>HYPERLINK("http://api.nsgreg.nga.mil/geo-division/ISO3166-2/6/ed3/CU-06","CU-06")</f>
        <v>CU-06</v>
      </c>
    </row>
    <row r="951" spans="1:8" x14ac:dyDescent="0.2">
      <c r="A951" s="157"/>
      <c r="B951" s="31" t="s">
        <v>4746</v>
      </c>
      <c r="C951" s="31" t="s">
        <v>4747</v>
      </c>
      <c r="D951" s="31" t="s">
        <v>1920</v>
      </c>
      <c r="E951" s="61" t="b">
        <v>1</v>
      </c>
      <c r="F951" s="106" t="s">
        <v>4748</v>
      </c>
      <c r="G951" s="116" t="str">
        <f>HYPERLINK("http://nsgreg.nga.mil/genc/view?v=112762&amp;gencs=T&amp;end_month=3&amp;end_day=31&amp;end_year=2014","Granma")</f>
        <v>Granma</v>
      </c>
      <c r="H951" s="87" t="str">
        <f>HYPERLINK("http://api.nsgreg.nga.mil/geo-division/ISO3166-2/6/ed3/CU-12","CU-12")</f>
        <v>CU-12</v>
      </c>
    </row>
    <row r="952" spans="1:8" x14ac:dyDescent="0.2">
      <c r="A952" s="157"/>
      <c r="B952" s="31" t="s">
        <v>4749</v>
      </c>
      <c r="C952" s="31" t="s">
        <v>4750</v>
      </c>
      <c r="D952" s="31" t="s">
        <v>1920</v>
      </c>
      <c r="E952" s="61" t="b">
        <v>1</v>
      </c>
      <c r="F952" s="106" t="s">
        <v>4751</v>
      </c>
      <c r="G952" s="116" t="str">
        <f>HYPERLINK("http://nsgreg.nga.mil/genc/view?v=112764&amp;gencs=T&amp;end_month=3&amp;end_day=31&amp;end_year=2014","Guantánamo")</f>
        <v>Guantánamo</v>
      </c>
      <c r="H952" s="87" t="str">
        <f>HYPERLINK("http://api.nsgreg.nga.mil/geo-division/ISO3166-2/6/ed3/CU-14","CU-14")</f>
        <v>CU-14</v>
      </c>
    </row>
    <row r="953" spans="1:8" x14ac:dyDescent="0.2">
      <c r="A953" s="157"/>
      <c r="B953" s="31" t="s">
        <v>4752</v>
      </c>
      <c r="C953" s="31" t="s">
        <v>4753</v>
      </c>
      <c r="D953" s="31" t="s">
        <v>1920</v>
      </c>
      <c r="E953" s="61" t="b">
        <v>1</v>
      </c>
      <c r="F953" s="106" t="s">
        <v>4754</v>
      </c>
      <c r="G953" s="116" t="str">
        <f>HYPERLINK("http://nsgreg.nga.mil/genc/view?v=112761&amp;gencs=T&amp;end_month=3&amp;end_day=31&amp;end_year=2014","Holguín")</f>
        <v>Holguín</v>
      </c>
      <c r="H953" s="87" t="str">
        <f>HYPERLINK("http://api.nsgreg.nga.mil/geo-division/ISO3166-2/6/ed3/CU-11","CU-11")</f>
        <v>CU-11</v>
      </c>
    </row>
    <row r="954" spans="1:8" x14ac:dyDescent="0.2">
      <c r="A954" s="157"/>
      <c r="B954" s="31" t="s">
        <v>4755</v>
      </c>
      <c r="C954" s="31" t="s">
        <v>4756</v>
      </c>
      <c r="D954" s="31" t="s">
        <v>3369</v>
      </c>
      <c r="E954" s="61" t="b">
        <v>1</v>
      </c>
      <c r="F954" s="106" t="s">
        <v>4757</v>
      </c>
      <c r="G954" s="116" t="str">
        <f>HYPERLINK("http://nsgreg.nga.mil/genc/view?v=112765&amp;gencs=T&amp;end_month=3&amp;end_day=31&amp;end_year=2014","Isla de la Juventud")</f>
        <v>Isla de la Juventud</v>
      </c>
      <c r="H954" s="87" t="str">
        <f>HYPERLINK("http://api.nsgreg.nga.mil/geo-division/ISO3166-2/6/ed3/CU-99","CU-99")</f>
        <v>CU-99</v>
      </c>
    </row>
    <row r="955" spans="1:8" x14ac:dyDescent="0.2">
      <c r="A955" s="157"/>
      <c r="B955" s="31" t="s">
        <v>4758</v>
      </c>
      <c r="C955" s="31" t="s">
        <v>4759</v>
      </c>
      <c r="D955" s="31" t="s">
        <v>1920</v>
      </c>
      <c r="E955" s="61" t="b">
        <v>1</v>
      </c>
      <c r="F955" s="107" t="s">
        <v>4760</v>
      </c>
      <c r="G955" s="116" t="str">
        <f>HYPERLINK("http://nsgreg.nga.mil/genc/view?v=201021&amp;end_month=3&amp;end_day=31&amp;end_year=2014","La Habana")</f>
        <v>La Habana</v>
      </c>
      <c r="H955" s="87" t="str">
        <f>HYPERLINK("http://api.nsgreg.nga.mil/geo-division/GENC/6/ed2/CU-03","CU-03")</f>
        <v>CU-03</v>
      </c>
    </row>
    <row r="956" spans="1:8" x14ac:dyDescent="0.2">
      <c r="A956" s="157"/>
      <c r="B956" s="31" t="s">
        <v>4761</v>
      </c>
      <c r="C956" s="31" t="s">
        <v>4759</v>
      </c>
      <c r="D956" s="98" t="s">
        <v>1920</v>
      </c>
      <c r="E956" s="99" t="b">
        <v>0</v>
      </c>
      <c r="F956" s="107" t="s">
        <v>4762</v>
      </c>
      <c r="G956" s="116" t="str">
        <f>HYPERLINK("http://nsgreg.nga.mil/genc/view?v=201020&amp;end_month=3&amp;end_day=31&amp;end_year=2014","La Habana")</f>
        <v>La Habana</v>
      </c>
      <c r="H956" s="87" t="str">
        <f>HYPERLINK("http://api.nsgreg.nga.mil/geo-division/GENC/6/ed2/CU-02","CU-02")</f>
        <v>CU-02</v>
      </c>
    </row>
    <row r="957" spans="1:8" x14ac:dyDescent="0.2">
      <c r="A957" s="157"/>
      <c r="B957" s="31" t="s">
        <v>4763</v>
      </c>
      <c r="C957" s="31" t="s">
        <v>4764</v>
      </c>
      <c r="D957" s="31" t="s">
        <v>1920</v>
      </c>
      <c r="E957" s="61" t="b">
        <v>1</v>
      </c>
      <c r="F957" s="106" t="s">
        <v>4765</v>
      </c>
      <c r="G957" s="116" t="str">
        <f>HYPERLINK("http://nsgreg.nga.mil/genc/view?v=112760&amp;gencs=T&amp;end_month=3&amp;end_day=31&amp;end_year=2014","Las Tunas")</f>
        <v>Las Tunas</v>
      </c>
      <c r="H957" s="87" t="str">
        <f>HYPERLINK("http://api.nsgreg.nga.mil/geo-division/ISO3166-2/6/ed3/CU-10","CU-10")</f>
        <v>CU-10</v>
      </c>
    </row>
    <row r="958" spans="1:8" x14ac:dyDescent="0.2">
      <c r="A958" s="157"/>
      <c r="B958" s="31" t="s">
        <v>4766</v>
      </c>
      <c r="C958" s="31" t="s">
        <v>4767</v>
      </c>
      <c r="D958" s="31" t="s">
        <v>1920</v>
      </c>
      <c r="E958" s="61" t="b">
        <v>1</v>
      </c>
      <c r="F958" s="106" t="s">
        <v>4768</v>
      </c>
      <c r="G958" s="116" t="str">
        <f>HYPERLINK("http://nsgreg.nga.mil/genc/view?v=112754&amp;gencs=T&amp;end_month=3&amp;end_day=31&amp;end_year=2014","Matanzas")</f>
        <v>Matanzas</v>
      </c>
      <c r="H958" s="87" t="str">
        <f>HYPERLINK("http://api.nsgreg.nga.mil/geo-division/ISO3166-2/6/ed3/CU-04","CU-04")</f>
        <v>CU-04</v>
      </c>
    </row>
    <row r="959" spans="1:8" x14ac:dyDescent="0.2">
      <c r="A959" s="157"/>
      <c r="B959" s="31" t="s">
        <v>4769</v>
      </c>
      <c r="C959" s="31" t="s">
        <v>4770</v>
      </c>
      <c r="D959" s="31" t="s">
        <v>1920</v>
      </c>
      <c r="E959" s="61" t="b">
        <v>1</v>
      </c>
      <c r="F959" s="107" t="s">
        <v>4771</v>
      </c>
      <c r="G959" s="116" t="str">
        <f>HYPERLINK("http://nsgreg.nga.mil/genc/view?v=201023&amp;end_month=3&amp;end_day=31&amp;end_year=2014","Mayabeque")</f>
        <v>Mayabeque</v>
      </c>
      <c r="H959" s="87" t="str">
        <f>HYPERLINK("http://api.nsgreg.nga.mil/geo-division/GENC/6/ed2/CU-16","CU-16")</f>
        <v>CU-16</v>
      </c>
    </row>
    <row r="960" spans="1:8" x14ac:dyDescent="0.2">
      <c r="A960" s="157"/>
      <c r="B960" s="31" t="s">
        <v>4772</v>
      </c>
      <c r="C960" s="31" t="s">
        <v>4773</v>
      </c>
      <c r="D960" s="31" t="s">
        <v>1920</v>
      </c>
      <c r="E960" s="61" t="b">
        <v>1</v>
      </c>
      <c r="F960" s="106" t="s">
        <v>4774</v>
      </c>
      <c r="G960" s="116" t="str">
        <f>HYPERLINK("http://nsgreg.nga.mil/genc/view?v=112751&amp;gencs=T&amp;end_month=3&amp;end_day=31&amp;end_year=2014","Pinar del Río")</f>
        <v>Pinar del Río</v>
      </c>
      <c r="H960" s="87" t="str">
        <f>HYPERLINK("http://api.nsgreg.nga.mil/geo-division/ISO3166-2/6/ed3/CU-01","CU-01")</f>
        <v>CU-01</v>
      </c>
    </row>
    <row r="961" spans="1:8" x14ac:dyDescent="0.2">
      <c r="A961" s="157"/>
      <c r="B961" s="31" t="s">
        <v>4775</v>
      </c>
      <c r="C961" s="31" t="s">
        <v>4776</v>
      </c>
      <c r="D961" s="31" t="s">
        <v>1920</v>
      </c>
      <c r="E961" s="61" t="b">
        <v>1</v>
      </c>
      <c r="F961" s="106" t="s">
        <v>4777</v>
      </c>
      <c r="G961" s="116" t="str">
        <f>HYPERLINK("http://nsgreg.nga.mil/genc/view?v=112757&amp;gencs=T&amp;end_month=3&amp;end_day=31&amp;end_year=2014","Sancti Spíritus")</f>
        <v>Sancti Spíritus</v>
      </c>
      <c r="H961" s="87" t="str">
        <f>HYPERLINK("http://api.nsgreg.nga.mil/geo-division/ISO3166-2/6/ed3/CU-07","CU-07")</f>
        <v>CU-07</v>
      </c>
    </row>
    <row r="962" spans="1:8" x14ac:dyDescent="0.2">
      <c r="A962" s="157"/>
      <c r="B962" s="31" t="s">
        <v>4778</v>
      </c>
      <c r="C962" s="31" t="s">
        <v>4779</v>
      </c>
      <c r="D962" s="31" t="s">
        <v>1920</v>
      </c>
      <c r="E962" s="61" t="b">
        <v>1</v>
      </c>
      <c r="F962" s="106" t="s">
        <v>4780</v>
      </c>
      <c r="G962" s="116" t="str">
        <f>HYPERLINK("http://nsgreg.nga.mil/genc/view?v=112763&amp;gencs=T&amp;end_month=3&amp;end_day=31&amp;end_year=2014","Santiago de Cuba")</f>
        <v>Santiago de Cuba</v>
      </c>
      <c r="H962" s="87" t="str">
        <f>HYPERLINK("http://api.nsgreg.nga.mil/geo-division/ISO3166-2/6/ed3/CU-13","CU-13")</f>
        <v>CU-13</v>
      </c>
    </row>
    <row r="963" spans="1:8" x14ac:dyDescent="0.2">
      <c r="A963" s="158"/>
      <c r="B963" s="58" t="s">
        <v>4781</v>
      </c>
      <c r="C963" s="58" t="s">
        <v>4782</v>
      </c>
      <c r="D963" s="58" t="s">
        <v>1920</v>
      </c>
      <c r="E963" s="62" t="b">
        <v>1</v>
      </c>
      <c r="F963" s="108" t="s">
        <v>4783</v>
      </c>
      <c r="G963" s="117" t="str">
        <f>HYPERLINK("http://nsgreg.nga.mil/genc/view?v=112755&amp;gencs=T&amp;end_month=3&amp;end_day=31&amp;end_year=2014","Villa Clara")</f>
        <v>Villa Clara</v>
      </c>
      <c r="H963" s="89" t="str">
        <f>HYPERLINK("http://api.nsgreg.nga.mil/geo-division/ISO3166-2/6/ed3/CU-05","CU-05")</f>
        <v>CU-05</v>
      </c>
    </row>
    <row r="964" spans="1:8" x14ac:dyDescent="0.2">
      <c r="A964" s="156" t="str">
        <f>HYPERLINK("[#]Geopolitical_Entities!A68:I68","CYPRUS")</f>
        <v>CYPRUS</v>
      </c>
      <c r="B964" s="52" t="s">
        <v>4784</v>
      </c>
      <c r="C964" s="52" t="s">
        <v>4785</v>
      </c>
      <c r="D964" s="52" t="s">
        <v>2026</v>
      </c>
      <c r="E964" s="60" t="b">
        <v>1</v>
      </c>
      <c r="F964" s="110" t="s">
        <v>4786</v>
      </c>
      <c r="G964" s="118" t="str">
        <f>HYPERLINK("http://nsgreg.nga.mil/genc/view?v=201027&amp;end_month=3&amp;end_day=31&amp;end_year=2014","Ammóchostos")</f>
        <v>Ammóchostos</v>
      </c>
      <c r="H964" s="91" t="str">
        <f>HYPERLINK("http://api.nsgreg.nga.mil/geo-division/GENC/6/ed2/CY-04","CY-04")</f>
        <v>CY-04</v>
      </c>
    </row>
    <row r="965" spans="1:8" x14ac:dyDescent="0.2">
      <c r="A965" s="157"/>
      <c r="B965" s="31" t="s">
        <v>4787</v>
      </c>
      <c r="C965" s="31" t="s">
        <v>4788</v>
      </c>
      <c r="D965" s="31" t="s">
        <v>2026</v>
      </c>
      <c r="E965" s="61" t="b">
        <v>1</v>
      </c>
      <c r="F965" s="107" t="s">
        <v>4789</v>
      </c>
      <c r="G965" s="116" t="str">
        <f>HYPERLINK("http://nsgreg.nga.mil/genc/view?v=201029&amp;end_month=3&amp;end_day=31&amp;end_year=2014","Kerýneia")</f>
        <v>Kerýneia</v>
      </c>
      <c r="H965" s="87" t="str">
        <f>HYPERLINK("http://api.nsgreg.nga.mil/geo-division/GENC/6/ed2/CY-06","CY-06")</f>
        <v>CY-06</v>
      </c>
    </row>
    <row r="966" spans="1:8" x14ac:dyDescent="0.2">
      <c r="A966" s="157"/>
      <c r="B966" s="31" t="s">
        <v>4790</v>
      </c>
      <c r="C966" s="31" t="s">
        <v>4791</v>
      </c>
      <c r="D966" s="31" t="s">
        <v>2026</v>
      </c>
      <c r="E966" s="61" t="b">
        <v>1</v>
      </c>
      <c r="F966" s="107" t="s">
        <v>4792</v>
      </c>
      <c r="G966" s="116" t="str">
        <f>HYPERLINK("http://nsgreg.nga.mil/genc/view?v=201026&amp;end_month=3&amp;end_day=31&amp;end_year=2014","Lárnaka")</f>
        <v>Lárnaka</v>
      </c>
      <c r="H966" s="87" t="str">
        <f>HYPERLINK("http://api.nsgreg.nga.mil/geo-division/GENC/6/ed2/CY-03","CY-03")</f>
        <v>CY-03</v>
      </c>
    </row>
    <row r="967" spans="1:8" x14ac:dyDescent="0.2">
      <c r="A967" s="157"/>
      <c r="B967" s="31" t="s">
        <v>4793</v>
      </c>
      <c r="C967" s="31" t="s">
        <v>4794</v>
      </c>
      <c r="D967" s="31" t="s">
        <v>2026</v>
      </c>
      <c r="E967" s="61" t="b">
        <v>1</v>
      </c>
      <c r="F967" s="107" t="s">
        <v>4795</v>
      </c>
      <c r="G967" s="116" t="str">
        <f>HYPERLINK("http://nsgreg.nga.mil/genc/view?v=201024&amp;end_month=3&amp;end_day=31&amp;end_year=2014","Lefkosía")</f>
        <v>Lefkosía</v>
      </c>
      <c r="H967" s="87" t="str">
        <f>HYPERLINK("http://api.nsgreg.nga.mil/geo-division/GENC/6/ed2/CY-01","CY-01")</f>
        <v>CY-01</v>
      </c>
    </row>
    <row r="968" spans="1:8" x14ac:dyDescent="0.2">
      <c r="A968" s="157"/>
      <c r="B968" s="31" t="s">
        <v>4796</v>
      </c>
      <c r="C968" s="31" t="s">
        <v>4797</v>
      </c>
      <c r="D968" s="31" t="s">
        <v>2026</v>
      </c>
      <c r="E968" s="61" t="b">
        <v>1</v>
      </c>
      <c r="F968" s="107" t="s">
        <v>4798</v>
      </c>
      <c r="G968" s="116" t="str">
        <f>HYPERLINK("http://nsgreg.nga.mil/genc/view?v=201025&amp;end_month=3&amp;end_day=31&amp;end_year=2014","Lemesós")</f>
        <v>Lemesós</v>
      </c>
      <c r="H968" s="87" t="str">
        <f>HYPERLINK("http://api.nsgreg.nga.mil/geo-division/GENC/6/ed2/CY-02","CY-02")</f>
        <v>CY-02</v>
      </c>
    </row>
    <row r="969" spans="1:8" x14ac:dyDescent="0.2">
      <c r="A969" s="158"/>
      <c r="B969" s="58" t="s">
        <v>4799</v>
      </c>
      <c r="C969" s="58" t="s">
        <v>4800</v>
      </c>
      <c r="D969" s="58" t="s">
        <v>2026</v>
      </c>
      <c r="E969" s="62" t="b">
        <v>1</v>
      </c>
      <c r="F969" s="111" t="s">
        <v>4801</v>
      </c>
      <c r="G969" s="117" t="str">
        <f>HYPERLINK("http://nsgreg.nga.mil/genc/view?v=201028&amp;end_month=3&amp;end_day=31&amp;end_year=2014","Páfos")</f>
        <v>Páfos</v>
      </c>
      <c r="H969" s="89" t="str">
        <f>HYPERLINK("http://api.nsgreg.nga.mil/geo-division/GENC/6/ed2/CY-05","CY-05")</f>
        <v>CY-05</v>
      </c>
    </row>
    <row r="970" spans="1:8" x14ac:dyDescent="0.2">
      <c r="A970" s="156" t="str">
        <f>HYPERLINK("[#]Geopolitical_Entities!A69:I69","CZECH REPUBLIC")</f>
        <v>CZECH REPUBLIC</v>
      </c>
      <c r="B970" s="52" t="s">
        <v>4802</v>
      </c>
      <c r="C970" s="52" t="s">
        <v>4803</v>
      </c>
      <c r="D970" s="102" t="s">
        <v>2026</v>
      </c>
      <c r="E970" s="103" t="b">
        <v>0</v>
      </c>
      <c r="F970" s="109" t="s">
        <v>4804</v>
      </c>
      <c r="G970" s="118" t="str">
        <f>HYPERLINK("http://nsgreg.nga.mil/genc/view?v=112811&amp;gencs=T&amp;end_month=3&amp;end_day=31&amp;end_year=2014","Benešov")</f>
        <v>Benešov</v>
      </c>
      <c r="H970" s="91" t="str">
        <f>HYPERLINK("http://api.nsgreg.nga.mil/geo-division/ISO3166-2/6/ed3/CZ-201","CZ-201")</f>
        <v>CZ-201</v>
      </c>
    </row>
    <row r="971" spans="1:8" x14ac:dyDescent="0.2">
      <c r="A971" s="157"/>
      <c r="B971" s="31" t="s">
        <v>4805</v>
      </c>
      <c r="C971" s="31" t="s">
        <v>4806</v>
      </c>
      <c r="D971" s="98" t="s">
        <v>2026</v>
      </c>
      <c r="E971" s="99" t="b">
        <v>0</v>
      </c>
      <c r="F971" s="106" t="s">
        <v>4807</v>
      </c>
      <c r="G971" s="116" t="str">
        <f>HYPERLINK("http://nsgreg.nga.mil/genc/view?v=112812&amp;gencs=T&amp;end_month=3&amp;end_day=31&amp;end_year=2014","Beroun")</f>
        <v>Beroun</v>
      </c>
      <c r="H971" s="87" t="str">
        <f>HYPERLINK("http://api.nsgreg.nga.mil/geo-division/ISO3166-2/6/ed3/CZ-202","CZ-202")</f>
        <v>CZ-202</v>
      </c>
    </row>
    <row r="972" spans="1:8" x14ac:dyDescent="0.2">
      <c r="A972" s="157"/>
      <c r="B972" s="31" t="s">
        <v>4808</v>
      </c>
      <c r="C972" s="31" t="s">
        <v>4809</v>
      </c>
      <c r="D972" s="98" t="s">
        <v>2026</v>
      </c>
      <c r="E972" s="99" t="b">
        <v>0</v>
      </c>
      <c r="F972" s="106" t="s">
        <v>4810</v>
      </c>
      <c r="G972" s="116" t="str">
        <f>HYPERLINK("http://nsgreg.nga.mil/genc/view?v=112865&amp;gencs=T&amp;end_month=3&amp;end_day=31&amp;end_year=2014","Blansko")</f>
        <v>Blansko</v>
      </c>
      <c r="H972" s="87" t="str">
        <f>HYPERLINK("http://api.nsgreg.nga.mil/geo-division/ISO3166-2/6/ed3/CZ-621","CZ-621")</f>
        <v>CZ-621</v>
      </c>
    </row>
    <row r="973" spans="1:8" x14ac:dyDescent="0.2">
      <c r="A973" s="157"/>
      <c r="B973" s="31" t="s">
        <v>4811</v>
      </c>
      <c r="C973" s="31" t="s">
        <v>4812</v>
      </c>
      <c r="D973" s="98" t="s">
        <v>2026</v>
      </c>
      <c r="E973" s="99" t="b">
        <v>0</v>
      </c>
      <c r="F973" s="106" t="s">
        <v>4813</v>
      </c>
      <c r="G973" s="116" t="str">
        <f>HYPERLINK("http://nsgreg.nga.mil/genc/view?v=112868&amp;gencs=T&amp;end_month=3&amp;end_day=31&amp;end_year=2014","Břeclav")</f>
        <v>Břeclav</v>
      </c>
      <c r="H973" s="87" t="str">
        <f>HYPERLINK("http://api.nsgreg.nga.mil/geo-division/ISO3166-2/6/ed3/CZ-624","CZ-624")</f>
        <v>CZ-624</v>
      </c>
    </row>
    <row r="974" spans="1:8" x14ac:dyDescent="0.2">
      <c r="A974" s="157"/>
      <c r="B974" s="31" t="s">
        <v>4814</v>
      </c>
      <c r="C974" s="31" t="s">
        <v>4815</v>
      </c>
      <c r="D974" s="98" t="s">
        <v>2026</v>
      </c>
      <c r="E974" s="99" t="b">
        <v>0</v>
      </c>
      <c r="F974" s="107" t="s">
        <v>4816</v>
      </c>
      <c r="G974" s="116" t="str">
        <f>HYPERLINK("http://nsgreg.nga.mil/genc/view?v=201051&amp;end_month=3&amp;end_day=31&amp;end_year=2014","Brno-Venkov")</f>
        <v>Brno-Venkov</v>
      </c>
      <c r="H974" s="87" t="str">
        <f>HYPERLINK("http://api.nsgreg.nga.mil/geo-division/GENC/6/ed2/CZ-623","CZ-623")</f>
        <v>CZ-623</v>
      </c>
    </row>
    <row r="975" spans="1:8" x14ac:dyDescent="0.2">
      <c r="A975" s="157"/>
      <c r="B975" s="31" t="s">
        <v>4817</v>
      </c>
      <c r="C975" s="31" t="s">
        <v>4818</v>
      </c>
      <c r="D975" s="98" t="s">
        <v>2026</v>
      </c>
      <c r="E975" s="99" t="b">
        <v>0</v>
      </c>
      <c r="F975" s="106" t="s">
        <v>4819</v>
      </c>
      <c r="G975" s="116" t="str">
        <f>HYPERLINK("http://nsgreg.nga.mil/genc/view?v=112881&amp;gencs=T&amp;end_month=3&amp;end_day=31&amp;end_year=2014","Bruntál")</f>
        <v>Bruntál</v>
      </c>
      <c r="H975" s="87" t="str">
        <f>HYPERLINK("http://api.nsgreg.nga.mil/geo-division/ISO3166-2/6/ed3/CZ-801","CZ-801")</f>
        <v>CZ-801</v>
      </c>
    </row>
    <row r="976" spans="1:8" x14ac:dyDescent="0.2">
      <c r="A976" s="157"/>
      <c r="B976" s="31" t="s">
        <v>4820</v>
      </c>
      <c r="C976" s="31" t="s">
        <v>4821</v>
      </c>
      <c r="D976" s="98" t="s">
        <v>2026</v>
      </c>
      <c r="E976" s="99" t="b">
        <v>0</v>
      </c>
      <c r="F976" s="106" t="s">
        <v>4822</v>
      </c>
      <c r="G976" s="116" t="str">
        <f>HYPERLINK("http://nsgreg.nga.mil/genc/view?v=112847&amp;gencs=T&amp;end_month=3&amp;end_day=31&amp;end_year=2014","Česká Lípa")</f>
        <v>Česká Lípa</v>
      </c>
      <c r="H976" s="87" t="str">
        <f>HYPERLINK("http://api.nsgreg.nga.mil/geo-division/ISO3166-2/6/ed3/CZ-511","CZ-511")</f>
        <v>CZ-511</v>
      </c>
    </row>
    <row r="977" spans="1:8" x14ac:dyDescent="0.2">
      <c r="A977" s="157"/>
      <c r="B977" s="31" t="s">
        <v>4823</v>
      </c>
      <c r="C977" s="31" t="s">
        <v>4824</v>
      </c>
      <c r="D977" s="98" t="s">
        <v>2026</v>
      </c>
      <c r="E977" s="99" t="b">
        <v>0</v>
      </c>
      <c r="F977" s="106" t="s">
        <v>4825</v>
      </c>
      <c r="G977" s="116" t="str">
        <f>HYPERLINK("http://nsgreg.nga.mil/genc/view?v=112823&amp;gencs=T&amp;end_month=3&amp;end_day=31&amp;end_year=2014","České Budějovice")</f>
        <v>České Budějovice</v>
      </c>
      <c r="H977" s="87" t="str">
        <f>HYPERLINK("http://api.nsgreg.nga.mil/geo-division/ISO3166-2/6/ed3/CZ-311","CZ-311")</f>
        <v>CZ-311</v>
      </c>
    </row>
    <row r="978" spans="1:8" x14ac:dyDescent="0.2">
      <c r="A978" s="157"/>
      <c r="B978" s="31" t="s">
        <v>4826</v>
      </c>
      <c r="C978" s="31" t="s">
        <v>4827</v>
      </c>
      <c r="D978" s="98" t="s">
        <v>2026</v>
      </c>
      <c r="E978" s="99" t="b">
        <v>0</v>
      </c>
      <c r="F978" s="106" t="s">
        <v>4828</v>
      </c>
      <c r="G978" s="116" t="str">
        <f>HYPERLINK("http://nsgreg.nga.mil/genc/view?v=112824&amp;gencs=T&amp;end_month=3&amp;end_day=31&amp;end_year=2014","Český Krumlov")</f>
        <v>Český Krumlov</v>
      </c>
      <c r="H978" s="87" t="str">
        <f>HYPERLINK("http://api.nsgreg.nga.mil/geo-division/ISO3166-2/6/ed3/CZ-312","CZ-312")</f>
        <v>CZ-312</v>
      </c>
    </row>
    <row r="979" spans="1:8" x14ac:dyDescent="0.2">
      <c r="A979" s="157"/>
      <c r="B979" s="31" t="s">
        <v>4829</v>
      </c>
      <c r="C979" s="31" t="s">
        <v>4830</v>
      </c>
      <c r="D979" s="98" t="s">
        <v>2026</v>
      </c>
      <c r="E979" s="99" t="b">
        <v>0</v>
      </c>
      <c r="F979" s="106" t="s">
        <v>4831</v>
      </c>
      <c r="G979" s="116" t="str">
        <f>HYPERLINK("http://nsgreg.nga.mil/genc/view?v=112837&amp;gencs=T&amp;end_month=3&amp;end_day=31&amp;end_year=2014","Cheb")</f>
        <v>Cheb</v>
      </c>
      <c r="H979" s="87" t="str">
        <f>HYPERLINK("http://api.nsgreg.nga.mil/geo-division/ISO3166-2/6/ed3/CZ-411","CZ-411")</f>
        <v>CZ-411</v>
      </c>
    </row>
    <row r="980" spans="1:8" x14ac:dyDescent="0.2">
      <c r="A980" s="157"/>
      <c r="B980" s="31" t="s">
        <v>4832</v>
      </c>
      <c r="C980" s="31" t="s">
        <v>4833</v>
      </c>
      <c r="D980" s="98" t="s">
        <v>2026</v>
      </c>
      <c r="E980" s="99" t="b">
        <v>0</v>
      </c>
      <c r="F980" s="106" t="s">
        <v>4834</v>
      </c>
      <c r="G980" s="116" t="str">
        <f>HYPERLINK("http://nsgreg.nga.mil/genc/view?v=112841&amp;gencs=T&amp;end_month=3&amp;end_day=31&amp;end_year=2014","Chomutov")</f>
        <v>Chomutov</v>
      </c>
      <c r="H980" s="87" t="str">
        <f>HYPERLINK("http://api.nsgreg.nga.mil/geo-division/ISO3166-2/6/ed3/CZ-422","CZ-422")</f>
        <v>CZ-422</v>
      </c>
    </row>
    <row r="981" spans="1:8" x14ac:dyDescent="0.2">
      <c r="A981" s="157"/>
      <c r="B981" s="31" t="s">
        <v>4835</v>
      </c>
      <c r="C981" s="31" t="s">
        <v>4836</v>
      </c>
      <c r="D981" s="98" t="s">
        <v>2026</v>
      </c>
      <c r="E981" s="99" t="b">
        <v>0</v>
      </c>
      <c r="F981" s="106" t="s">
        <v>4837</v>
      </c>
      <c r="G981" s="116" t="str">
        <f>HYPERLINK("http://nsgreg.nga.mil/genc/view?v=112856&amp;gencs=T&amp;end_month=3&amp;end_day=31&amp;end_year=2014","Chrudim")</f>
        <v>Chrudim</v>
      </c>
      <c r="H981" s="87" t="str">
        <f>HYPERLINK("http://api.nsgreg.nga.mil/geo-division/ISO3166-2/6/ed3/CZ-531","CZ-531")</f>
        <v>CZ-531</v>
      </c>
    </row>
    <row r="982" spans="1:8" x14ac:dyDescent="0.2">
      <c r="A982" s="157"/>
      <c r="B982" s="31" t="s">
        <v>4838</v>
      </c>
      <c r="C982" s="31" t="s">
        <v>4839</v>
      </c>
      <c r="D982" s="98" t="s">
        <v>2026</v>
      </c>
      <c r="E982" s="99" t="b">
        <v>0</v>
      </c>
      <c r="F982" s="106" t="s">
        <v>4840</v>
      </c>
      <c r="G982" s="116" t="str">
        <f>HYPERLINK("http://nsgreg.nga.mil/genc/view?v=112840&amp;gencs=T&amp;end_month=3&amp;end_day=31&amp;end_year=2014","Děčín")</f>
        <v>Děčín</v>
      </c>
      <c r="H982" s="87" t="str">
        <f>HYPERLINK("http://api.nsgreg.nga.mil/geo-division/ISO3166-2/6/ed3/CZ-421","CZ-421")</f>
        <v>CZ-421</v>
      </c>
    </row>
    <row r="983" spans="1:8" x14ac:dyDescent="0.2">
      <c r="A983" s="157"/>
      <c r="B983" s="31" t="s">
        <v>4841</v>
      </c>
      <c r="C983" s="31" t="s">
        <v>4842</v>
      </c>
      <c r="D983" s="98" t="s">
        <v>2026</v>
      </c>
      <c r="E983" s="99" t="b">
        <v>0</v>
      </c>
      <c r="F983" s="106" t="s">
        <v>4843</v>
      </c>
      <c r="G983" s="116" t="str">
        <f>HYPERLINK("http://nsgreg.nga.mil/genc/view?v=112830&amp;gencs=T&amp;end_month=3&amp;end_day=31&amp;end_year=2014","Domažlice")</f>
        <v>Domažlice</v>
      </c>
      <c r="H983" s="87" t="str">
        <f>HYPERLINK("http://api.nsgreg.nga.mil/geo-division/ISO3166-2/6/ed3/CZ-321","CZ-321")</f>
        <v>CZ-321</v>
      </c>
    </row>
    <row r="984" spans="1:8" x14ac:dyDescent="0.2">
      <c r="A984" s="157"/>
      <c r="B984" s="31" t="s">
        <v>4844</v>
      </c>
      <c r="C984" s="31" t="s">
        <v>4845</v>
      </c>
      <c r="D984" s="98" t="s">
        <v>2026</v>
      </c>
      <c r="E984" s="99" t="b">
        <v>0</v>
      </c>
      <c r="F984" s="106" t="s">
        <v>4846</v>
      </c>
      <c r="G984" s="116" t="str">
        <f>HYPERLINK("http://nsgreg.nga.mil/genc/view?v=112882&amp;gencs=T&amp;end_month=3&amp;end_day=31&amp;end_year=2014","Frýdek-Místek")</f>
        <v>Frýdek-Místek</v>
      </c>
      <c r="H984" s="87" t="str">
        <f>HYPERLINK("http://api.nsgreg.nga.mil/geo-division/ISO3166-2/6/ed3/CZ-802","CZ-802")</f>
        <v>CZ-802</v>
      </c>
    </row>
    <row r="985" spans="1:8" x14ac:dyDescent="0.2">
      <c r="A985" s="157"/>
      <c r="B985" s="31" t="s">
        <v>4847</v>
      </c>
      <c r="C985" s="31" t="s">
        <v>4848</v>
      </c>
      <c r="D985" s="98" t="s">
        <v>2026</v>
      </c>
      <c r="E985" s="99" t="b">
        <v>0</v>
      </c>
      <c r="F985" s="106" t="s">
        <v>4849</v>
      </c>
      <c r="G985" s="116" t="str">
        <f>HYPERLINK("http://nsgreg.nga.mil/genc/view?v=112860&amp;gencs=T&amp;end_month=3&amp;end_day=31&amp;end_year=2014","Havlíčkův Brod")</f>
        <v>Havlíčkův Brod</v>
      </c>
      <c r="H985" s="87" t="str">
        <f>HYPERLINK("http://api.nsgreg.nga.mil/geo-division/ISO3166-2/6/ed3/CZ-611","CZ-611")</f>
        <v>CZ-611</v>
      </c>
    </row>
    <row r="986" spans="1:8" x14ac:dyDescent="0.2">
      <c r="A986" s="157"/>
      <c r="B986" s="31" t="s">
        <v>4850</v>
      </c>
      <c r="C986" s="31" t="s">
        <v>4851</v>
      </c>
      <c r="D986" s="98" t="s">
        <v>2026</v>
      </c>
      <c r="E986" s="99" t="b">
        <v>0</v>
      </c>
      <c r="F986" s="106" t="s">
        <v>4852</v>
      </c>
      <c r="G986" s="116" t="str">
        <f>HYPERLINK("http://nsgreg.nga.mil/genc/view?v=112869&amp;gencs=T&amp;end_month=3&amp;end_day=31&amp;end_year=2014","Hodonín")</f>
        <v>Hodonín</v>
      </c>
      <c r="H986" s="87" t="str">
        <f>HYPERLINK("http://api.nsgreg.nga.mil/geo-division/ISO3166-2/6/ed3/CZ-625","CZ-625")</f>
        <v>CZ-625</v>
      </c>
    </row>
    <row r="987" spans="1:8" x14ac:dyDescent="0.2">
      <c r="A987" s="157"/>
      <c r="B987" s="31" t="s">
        <v>4853</v>
      </c>
      <c r="C987" s="31" t="s">
        <v>4854</v>
      </c>
      <c r="D987" s="98" t="s">
        <v>2026</v>
      </c>
      <c r="E987" s="99" t="b">
        <v>0</v>
      </c>
      <c r="F987" s="106" t="s">
        <v>4855</v>
      </c>
      <c r="G987" s="116" t="str">
        <f>HYPERLINK("http://nsgreg.nga.mil/genc/view?v=112851&amp;gencs=T&amp;end_month=3&amp;end_day=31&amp;end_year=2014","Hradec Králové")</f>
        <v>Hradec Králové</v>
      </c>
      <c r="H987" s="87" t="str">
        <f>HYPERLINK("http://api.nsgreg.nga.mil/geo-division/ISO3166-2/6/ed3/CZ-521","CZ-521")</f>
        <v>CZ-521</v>
      </c>
    </row>
    <row r="988" spans="1:8" x14ac:dyDescent="0.2">
      <c r="A988" s="157"/>
      <c r="B988" s="31" t="s">
        <v>4856</v>
      </c>
      <c r="C988" s="31" t="s">
        <v>4857</v>
      </c>
      <c r="D988" s="98" t="s">
        <v>2026</v>
      </c>
      <c r="E988" s="99" t="b">
        <v>0</v>
      </c>
      <c r="F988" s="106" t="s">
        <v>4858</v>
      </c>
      <c r="G988" s="116" t="str">
        <f>HYPERLINK("http://nsgreg.nga.mil/genc/view?v=112848&amp;gencs=T&amp;end_month=3&amp;end_day=31&amp;end_year=2014","Jablonec nad Nisou")</f>
        <v>Jablonec nad Nisou</v>
      </c>
      <c r="H988" s="87" t="str">
        <f>HYPERLINK("http://api.nsgreg.nga.mil/geo-division/ISO3166-2/6/ed3/CZ-512","CZ-512")</f>
        <v>CZ-512</v>
      </c>
    </row>
    <row r="989" spans="1:8" x14ac:dyDescent="0.2">
      <c r="A989" s="157"/>
      <c r="B989" s="31" t="s">
        <v>4859</v>
      </c>
      <c r="C989" s="31" t="s">
        <v>4860</v>
      </c>
      <c r="D989" s="98" t="s">
        <v>2026</v>
      </c>
      <c r="E989" s="99" t="b">
        <v>0</v>
      </c>
      <c r="F989" s="106" t="s">
        <v>4861</v>
      </c>
      <c r="G989" s="116" t="str">
        <f>HYPERLINK("http://nsgreg.nga.mil/genc/view?v=112872&amp;gencs=T&amp;end_month=3&amp;end_day=31&amp;end_year=2014","Jeseník")</f>
        <v>Jeseník</v>
      </c>
      <c r="H989" s="87" t="str">
        <f>HYPERLINK("http://api.nsgreg.nga.mil/geo-division/ISO3166-2/6/ed3/CZ-711","CZ-711")</f>
        <v>CZ-711</v>
      </c>
    </row>
    <row r="990" spans="1:8" x14ac:dyDescent="0.2">
      <c r="A990" s="157"/>
      <c r="B990" s="31" t="s">
        <v>4862</v>
      </c>
      <c r="C990" s="31" t="s">
        <v>4863</v>
      </c>
      <c r="D990" s="98" t="s">
        <v>2026</v>
      </c>
      <c r="E990" s="99" t="b">
        <v>0</v>
      </c>
      <c r="F990" s="106" t="s">
        <v>4864</v>
      </c>
      <c r="G990" s="116" t="str">
        <f>HYPERLINK("http://nsgreg.nga.mil/genc/view?v=112852&amp;gencs=T&amp;end_month=3&amp;end_day=31&amp;end_year=2014","Jičín")</f>
        <v>Jičín</v>
      </c>
      <c r="H990" s="87" t="str">
        <f>HYPERLINK("http://api.nsgreg.nga.mil/geo-division/ISO3166-2/6/ed3/CZ-522","CZ-522")</f>
        <v>CZ-522</v>
      </c>
    </row>
    <row r="991" spans="1:8" x14ac:dyDescent="0.2">
      <c r="A991" s="157"/>
      <c r="B991" s="31" t="s">
        <v>4865</v>
      </c>
      <c r="C991" s="31" t="s">
        <v>4866</v>
      </c>
      <c r="D991" s="98" t="s">
        <v>2026</v>
      </c>
      <c r="E991" s="99" t="b">
        <v>0</v>
      </c>
      <c r="F991" s="106" t="s">
        <v>4867</v>
      </c>
      <c r="G991" s="116" t="str">
        <f>HYPERLINK("http://nsgreg.nga.mil/genc/view?v=112861&amp;gencs=T&amp;end_month=3&amp;end_day=31&amp;end_year=2014","Jihlava")</f>
        <v>Jihlava</v>
      </c>
      <c r="H991" s="87" t="str">
        <f>HYPERLINK("http://api.nsgreg.nga.mil/geo-division/ISO3166-2/6/ed3/CZ-612","CZ-612")</f>
        <v>CZ-612</v>
      </c>
    </row>
    <row r="992" spans="1:8" x14ac:dyDescent="0.2">
      <c r="A992" s="157"/>
      <c r="B992" s="31" t="s">
        <v>4868</v>
      </c>
      <c r="C992" s="31" t="s">
        <v>4869</v>
      </c>
      <c r="D992" s="31" t="s">
        <v>3137</v>
      </c>
      <c r="E992" s="61" t="b">
        <v>1</v>
      </c>
      <c r="F992" s="107" t="s">
        <v>4870</v>
      </c>
      <c r="G992" s="116" t="str">
        <f>HYPERLINK("http://nsgreg.nga.mil/genc/view?v=201053&amp;end_month=3&amp;end_day=31&amp;end_year=2014","Jihočeský Kraj ")</f>
        <v xml:space="preserve">Jihočeský Kraj </v>
      </c>
      <c r="H992" s="87" t="str">
        <f>HYPERLINK("http://api.nsgreg.nga.mil/geo-division/GENC/6/ed2/CZ-JC","CZ-JC")</f>
        <v>CZ-JC</v>
      </c>
    </row>
    <row r="993" spans="1:8" x14ac:dyDescent="0.2">
      <c r="A993" s="157"/>
      <c r="B993" s="31" t="s">
        <v>4871</v>
      </c>
      <c r="C993" s="31" t="s">
        <v>4872</v>
      </c>
      <c r="D993" s="31" t="s">
        <v>3137</v>
      </c>
      <c r="E993" s="61" t="b">
        <v>1</v>
      </c>
      <c r="F993" s="107" t="s">
        <v>4873</v>
      </c>
      <c r="G993" s="116" t="str">
        <f>HYPERLINK("http://nsgreg.nga.mil/genc/view?v=201054&amp;end_month=3&amp;end_day=31&amp;end_year=2014","Jihomoravský Kraj")</f>
        <v>Jihomoravský Kraj</v>
      </c>
      <c r="H993" s="87" t="str">
        <f>HYPERLINK("http://api.nsgreg.nga.mil/geo-division/GENC/6/ed2/CZ-JM","CZ-JM")</f>
        <v>CZ-JM</v>
      </c>
    </row>
    <row r="994" spans="1:8" x14ac:dyDescent="0.2">
      <c r="A994" s="157"/>
      <c r="B994" s="31" t="s">
        <v>4874</v>
      </c>
      <c r="C994" s="31" t="s">
        <v>4875</v>
      </c>
      <c r="D994" s="98" t="s">
        <v>2026</v>
      </c>
      <c r="E994" s="99" t="b">
        <v>0</v>
      </c>
      <c r="F994" s="106" t="s">
        <v>4876</v>
      </c>
      <c r="G994" s="116" t="str">
        <f>HYPERLINK("http://nsgreg.nga.mil/genc/view?v=112825&amp;gencs=T&amp;end_month=3&amp;end_day=31&amp;end_year=2014","Jindřichův Hradec")</f>
        <v>Jindřichův Hradec</v>
      </c>
      <c r="H994" s="87" t="str">
        <f>HYPERLINK("http://api.nsgreg.nga.mil/geo-division/ISO3166-2/6/ed3/CZ-313","CZ-313")</f>
        <v>CZ-313</v>
      </c>
    </row>
    <row r="995" spans="1:8" x14ac:dyDescent="0.2">
      <c r="A995" s="157"/>
      <c r="B995" s="31" t="s">
        <v>4877</v>
      </c>
      <c r="C995" s="31" t="s">
        <v>4878</v>
      </c>
      <c r="D995" s="31" t="s">
        <v>3137</v>
      </c>
      <c r="E995" s="61" t="b">
        <v>1</v>
      </c>
      <c r="F995" s="107" t="s">
        <v>4879</v>
      </c>
      <c r="G995" s="116" t="str">
        <f>HYPERLINK("http://nsgreg.nga.mil/genc/view?v=201055&amp;end_month=3&amp;end_day=31&amp;end_year=2014","Karlovarský Kraj")</f>
        <v>Karlovarský Kraj</v>
      </c>
      <c r="H995" s="87" t="str">
        <f>HYPERLINK("http://api.nsgreg.nga.mil/geo-division/GENC/6/ed2/CZ-KA","CZ-KA")</f>
        <v>CZ-KA</v>
      </c>
    </row>
    <row r="996" spans="1:8" x14ac:dyDescent="0.2">
      <c r="A996" s="157"/>
      <c r="B996" s="31" t="s">
        <v>4880</v>
      </c>
      <c r="C996" s="31" t="s">
        <v>4881</v>
      </c>
      <c r="D996" s="98" t="s">
        <v>2026</v>
      </c>
      <c r="E996" s="99" t="b">
        <v>0</v>
      </c>
      <c r="F996" s="106" t="s">
        <v>4882</v>
      </c>
      <c r="G996" s="116" t="str">
        <f>HYPERLINK("http://nsgreg.nga.mil/genc/view?v=112838&amp;gencs=T&amp;end_month=3&amp;end_day=31&amp;end_year=2014","Karlovy Vary")</f>
        <v>Karlovy Vary</v>
      </c>
      <c r="H996" s="87" t="str">
        <f>HYPERLINK("http://api.nsgreg.nga.mil/geo-division/ISO3166-2/6/ed3/CZ-412","CZ-412")</f>
        <v>CZ-412</v>
      </c>
    </row>
    <row r="997" spans="1:8" x14ac:dyDescent="0.2">
      <c r="A997" s="157"/>
      <c r="B997" s="31" t="s">
        <v>4883</v>
      </c>
      <c r="C997" s="31" t="s">
        <v>4884</v>
      </c>
      <c r="D997" s="98" t="s">
        <v>2026</v>
      </c>
      <c r="E997" s="99" t="b">
        <v>0</v>
      </c>
      <c r="F997" s="106" t="s">
        <v>4885</v>
      </c>
      <c r="G997" s="116" t="str">
        <f>HYPERLINK("http://nsgreg.nga.mil/genc/view?v=112883&amp;gencs=T&amp;end_month=3&amp;end_day=31&amp;end_year=2014","Karviná")</f>
        <v>Karviná</v>
      </c>
      <c r="H997" s="87" t="str">
        <f>HYPERLINK("http://api.nsgreg.nga.mil/geo-division/ISO3166-2/6/ed3/CZ-803","CZ-803")</f>
        <v>CZ-803</v>
      </c>
    </row>
    <row r="998" spans="1:8" x14ac:dyDescent="0.2">
      <c r="A998" s="157"/>
      <c r="B998" s="31" t="s">
        <v>4886</v>
      </c>
      <c r="C998" s="31" t="s">
        <v>4887</v>
      </c>
      <c r="D998" s="98" t="s">
        <v>2026</v>
      </c>
      <c r="E998" s="99" t="b">
        <v>0</v>
      </c>
      <c r="F998" s="106" t="s">
        <v>4888</v>
      </c>
      <c r="G998" s="116" t="str">
        <f>HYPERLINK("http://nsgreg.nga.mil/genc/view?v=112813&amp;gencs=T&amp;end_month=3&amp;end_day=31&amp;end_year=2014","Kladno")</f>
        <v>Kladno</v>
      </c>
      <c r="H998" s="87" t="str">
        <f>HYPERLINK("http://api.nsgreg.nga.mil/geo-division/ISO3166-2/6/ed3/CZ-203","CZ-203")</f>
        <v>CZ-203</v>
      </c>
    </row>
    <row r="999" spans="1:8" x14ac:dyDescent="0.2">
      <c r="A999" s="157"/>
      <c r="B999" s="31" t="s">
        <v>4889</v>
      </c>
      <c r="C999" s="31" t="s">
        <v>4890</v>
      </c>
      <c r="D999" s="98" t="s">
        <v>2026</v>
      </c>
      <c r="E999" s="99" t="b">
        <v>0</v>
      </c>
      <c r="F999" s="106" t="s">
        <v>4891</v>
      </c>
      <c r="G999" s="116" t="str">
        <f>HYPERLINK("http://nsgreg.nga.mil/genc/view?v=112831&amp;gencs=T&amp;end_month=3&amp;end_day=31&amp;end_year=2014","Klatovy")</f>
        <v>Klatovy</v>
      </c>
      <c r="H999" s="87" t="str">
        <f>HYPERLINK("http://api.nsgreg.nga.mil/geo-division/ISO3166-2/6/ed3/CZ-322","CZ-322")</f>
        <v>CZ-322</v>
      </c>
    </row>
    <row r="1000" spans="1:8" x14ac:dyDescent="0.2">
      <c r="A1000" s="157"/>
      <c r="B1000" s="31" t="s">
        <v>4892</v>
      </c>
      <c r="C1000" s="31" t="s">
        <v>4893</v>
      </c>
      <c r="D1000" s="98" t="s">
        <v>2026</v>
      </c>
      <c r="E1000" s="99" t="b">
        <v>0</v>
      </c>
      <c r="F1000" s="106" t="s">
        <v>4894</v>
      </c>
      <c r="G1000" s="116" t="str">
        <f>HYPERLINK("http://nsgreg.nga.mil/genc/view?v=112814&amp;gencs=T&amp;end_month=3&amp;end_day=31&amp;end_year=2014","Kolín")</f>
        <v>Kolín</v>
      </c>
      <c r="H1000" s="87" t="str">
        <f>HYPERLINK("http://api.nsgreg.nga.mil/geo-division/ISO3166-2/6/ed3/CZ-204","CZ-204")</f>
        <v>CZ-204</v>
      </c>
    </row>
    <row r="1001" spans="1:8" x14ac:dyDescent="0.2">
      <c r="A1001" s="157"/>
      <c r="B1001" s="31" t="s">
        <v>4895</v>
      </c>
      <c r="C1001" s="31" t="s">
        <v>4896</v>
      </c>
      <c r="D1001" s="31" t="s">
        <v>3137</v>
      </c>
      <c r="E1001" s="61" t="b">
        <v>1</v>
      </c>
      <c r="F1001" s="107" t="s">
        <v>4897</v>
      </c>
      <c r="G1001" s="116" t="str">
        <f>HYPERLINK("http://nsgreg.nga.mil/genc/view?v=201056&amp;end_month=3&amp;end_day=31&amp;end_year=2014","Královéhradecký Kraj")</f>
        <v>Královéhradecký Kraj</v>
      </c>
      <c r="H1001" s="87" t="str">
        <f>HYPERLINK("http://api.nsgreg.nga.mil/geo-division/GENC/6/ed2/CZ-KR","CZ-KR")</f>
        <v>CZ-KR</v>
      </c>
    </row>
    <row r="1002" spans="1:8" x14ac:dyDescent="0.2">
      <c r="A1002" s="157"/>
      <c r="B1002" s="31" t="s">
        <v>4898</v>
      </c>
      <c r="C1002" s="31" t="s">
        <v>4899</v>
      </c>
      <c r="D1002" s="98" t="s">
        <v>2026</v>
      </c>
      <c r="E1002" s="99" t="b">
        <v>0</v>
      </c>
      <c r="F1002" s="106" t="s">
        <v>4900</v>
      </c>
      <c r="G1002" s="116" t="str">
        <f>HYPERLINK("http://nsgreg.nga.mil/genc/view?v=112877&amp;gencs=T&amp;end_month=3&amp;end_day=31&amp;end_year=2014","Kroměříž")</f>
        <v>Kroměříž</v>
      </c>
      <c r="H1002" s="87" t="str">
        <f>HYPERLINK("http://api.nsgreg.nga.mil/geo-division/ISO3166-2/6/ed3/CZ-721","CZ-721")</f>
        <v>CZ-721</v>
      </c>
    </row>
    <row r="1003" spans="1:8" x14ac:dyDescent="0.2">
      <c r="A1003" s="157"/>
      <c r="B1003" s="31" t="s">
        <v>4901</v>
      </c>
      <c r="C1003" s="31" t="s">
        <v>4902</v>
      </c>
      <c r="D1003" s="98" t="s">
        <v>2026</v>
      </c>
      <c r="E1003" s="99" t="b">
        <v>0</v>
      </c>
      <c r="F1003" s="106" t="s">
        <v>4903</v>
      </c>
      <c r="G1003" s="116" t="str">
        <f>HYPERLINK("http://nsgreg.nga.mil/genc/view?v=112815&amp;gencs=T&amp;end_month=3&amp;end_day=31&amp;end_year=2014","Kutná Hora")</f>
        <v>Kutná Hora</v>
      </c>
      <c r="H1003" s="87" t="str">
        <f>HYPERLINK("http://api.nsgreg.nga.mil/geo-division/ISO3166-2/6/ed3/CZ-205","CZ-205")</f>
        <v>CZ-205</v>
      </c>
    </row>
    <row r="1004" spans="1:8" x14ac:dyDescent="0.2">
      <c r="A1004" s="157"/>
      <c r="B1004" s="31" t="s">
        <v>4904</v>
      </c>
      <c r="C1004" s="31" t="s">
        <v>4905</v>
      </c>
      <c r="D1004" s="98" t="s">
        <v>2026</v>
      </c>
      <c r="E1004" s="99" t="b">
        <v>0</v>
      </c>
      <c r="F1004" s="106" t="s">
        <v>4906</v>
      </c>
      <c r="G1004" s="116" t="str">
        <f>HYPERLINK("http://nsgreg.nga.mil/genc/view?v=112849&amp;gencs=T&amp;end_month=3&amp;end_day=31&amp;end_year=2014","Liberec")</f>
        <v>Liberec</v>
      </c>
      <c r="H1004" s="87" t="str">
        <f>HYPERLINK("http://api.nsgreg.nga.mil/geo-division/ISO3166-2/6/ed3/CZ-513","CZ-513")</f>
        <v>CZ-513</v>
      </c>
    </row>
    <row r="1005" spans="1:8" x14ac:dyDescent="0.2">
      <c r="A1005" s="157"/>
      <c r="B1005" s="31" t="s">
        <v>4907</v>
      </c>
      <c r="C1005" s="31" t="s">
        <v>4908</v>
      </c>
      <c r="D1005" s="31" t="s">
        <v>3137</v>
      </c>
      <c r="E1005" s="61" t="b">
        <v>1</v>
      </c>
      <c r="F1005" s="107" t="s">
        <v>4909</v>
      </c>
      <c r="G1005" s="116" t="str">
        <f>HYPERLINK("http://nsgreg.nga.mil/genc/view?v=201057&amp;end_month=3&amp;end_day=31&amp;end_year=2014","Liberecký Kraj")</f>
        <v>Liberecký Kraj</v>
      </c>
      <c r="H1005" s="87" t="str">
        <f>HYPERLINK("http://api.nsgreg.nga.mil/geo-division/GENC/6/ed2/CZ-LI","CZ-LI")</f>
        <v>CZ-LI</v>
      </c>
    </row>
    <row r="1006" spans="1:8" x14ac:dyDescent="0.2">
      <c r="A1006" s="157"/>
      <c r="B1006" s="31" t="s">
        <v>4910</v>
      </c>
      <c r="C1006" s="31" t="s">
        <v>4911</v>
      </c>
      <c r="D1006" s="98" t="s">
        <v>2026</v>
      </c>
      <c r="E1006" s="99" t="b">
        <v>0</v>
      </c>
      <c r="F1006" s="106" t="s">
        <v>4912</v>
      </c>
      <c r="G1006" s="116" t="str">
        <f>HYPERLINK("http://nsgreg.nga.mil/genc/view?v=112842&amp;gencs=T&amp;end_month=3&amp;end_day=31&amp;end_year=2014","Litoměřice")</f>
        <v>Litoměřice</v>
      </c>
      <c r="H1006" s="87" t="str">
        <f>HYPERLINK("http://api.nsgreg.nga.mil/geo-division/ISO3166-2/6/ed3/CZ-423","CZ-423")</f>
        <v>CZ-423</v>
      </c>
    </row>
    <row r="1007" spans="1:8" x14ac:dyDescent="0.2">
      <c r="A1007" s="157"/>
      <c r="B1007" s="31" t="s">
        <v>4913</v>
      </c>
      <c r="C1007" s="31" t="s">
        <v>4914</v>
      </c>
      <c r="D1007" s="98" t="s">
        <v>2026</v>
      </c>
      <c r="E1007" s="99" t="b">
        <v>0</v>
      </c>
      <c r="F1007" s="106" t="s">
        <v>4915</v>
      </c>
      <c r="G1007" s="116" t="str">
        <f>HYPERLINK("http://nsgreg.nga.mil/genc/view?v=112843&amp;gencs=T&amp;end_month=3&amp;end_day=31&amp;end_year=2014","Louny")</f>
        <v>Louny</v>
      </c>
      <c r="H1007" s="87" t="str">
        <f>HYPERLINK("http://api.nsgreg.nga.mil/geo-division/ISO3166-2/6/ed3/CZ-424","CZ-424")</f>
        <v>CZ-424</v>
      </c>
    </row>
    <row r="1008" spans="1:8" x14ac:dyDescent="0.2">
      <c r="A1008" s="157"/>
      <c r="B1008" s="31" t="s">
        <v>4916</v>
      </c>
      <c r="C1008" s="31" t="s">
        <v>4917</v>
      </c>
      <c r="D1008" s="98" t="s">
        <v>2026</v>
      </c>
      <c r="E1008" s="99" t="b">
        <v>0</v>
      </c>
      <c r="F1008" s="106" t="s">
        <v>4918</v>
      </c>
      <c r="G1008" s="116" t="str">
        <f>HYPERLINK("http://nsgreg.nga.mil/genc/view?v=112816&amp;gencs=T&amp;end_month=3&amp;end_day=31&amp;end_year=2014","Mělník")</f>
        <v>Mělník</v>
      </c>
      <c r="H1008" s="87" t="str">
        <f>HYPERLINK("http://api.nsgreg.nga.mil/geo-division/ISO3166-2/6/ed3/CZ-206","CZ-206")</f>
        <v>CZ-206</v>
      </c>
    </row>
    <row r="1009" spans="1:8" x14ac:dyDescent="0.2">
      <c r="A1009" s="157"/>
      <c r="B1009" s="31" t="s">
        <v>4919</v>
      </c>
      <c r="C1009" s="31" t="s">
        <v>4920</v>
      </c>
      <c r="D1009" s="98" t="s">
        <v>2026</v>
      </c>
      <c r="E1009" s="99" t="b">
        <v>0</v>
      </c>
      <c r="F1009" s="107" t="s">
        <v>4921</v>
      </c>
      <c r="G1009" s="116" t="str">
        <f>HYPERLINK("http://nsgreg.nga.mil/genc/view?v=201050&amp;end_month=3&amp;end_day=31&amp;end_year=2014","Město Brno")</f>
        <v>Město Brno</v>
      </c>
      <c r="H1009" s="87" t="str">
        <f>HYPERLINK("http://api.nsgreg.nga.mil/geo-division/GENC/6/ed2/CZ-622","CZ-622")</f>
        <v>CZ-622</v>
      </c>
    </row>
    <row r="1010" spans="1:8" x14ac:dyDescent="0.2">
      <c r="A1010" s="157"/>
      <c r="B1010" s="31" t="s">
        <v>4922</v>
      </c>
      <c r="C1010" s="31" t="s">
        <v>4923</v>
      </c>
      <c r="D1010" s="98" t="s">
        <v>2026</v>
      </c>
      <c r="E1010" s="99" t="b">
        <v>0</v>
      </c>
      <c r="F1010" s="106" t="s">
        <v>4924</v>
      </c>
      <c r="G1010" s="116" t="str">
        <f>HYPERLINK("http://nsgreg.nga.mil/genc/view?v=112817&amp;gencs=T&amp;end_month=3&amp;end_day=31&amp;end_year=2014","Mladá Boleslav")</f>
        <v>Mladá Boleslav</v>
      </c>
      <c r="H1010" s="87" t="str">
        <f>HYPERLINK("http://api.nsgreg.nga.mil/geo-division/ISO3166-2/6/ed3/CZ-207","CZ-207")</f>
        <v>CZ-207</v>
      </c>
    </row>
    <row r="1011" spans="1:8" x14ac:dyDescent="0.2">
      <c r="A1011" s="157"/>
      <c r="B1011" s="31" t="s">
        <v>4925</v>
      </c>
      <c r="C1011" s="31" t="s">
        <v>4926</v>
      </c>
      <c r="D1011" s="31" t="s">
        <v>3137</v>
      </c>
      <c r="E1011" s="61" t="b">
        <v>1</v>
      </c>
      <c r="F1011" s="107" t="s">
        <v>4927</v>
      </c>
      <c r="G1011" s="116" t="str">
        <f>HYPERLINK("http://nsgreg.nga.mil/genc/view?v=201058&amp;end_month=3&amp;end_day=31&amp;end_year=2014","Moravskoslezský Kraj ")</f>
        <v xml:space="preserve">Moravskoslezský Kraj </v>
      </c>
      <c r="H1011" s="87" t="str">
        <f>HYPERLINK("http://api.nsgreg.nga.mil/geo-division/GENC/6/ed2/CZ-MO","CZ-MO")</f>
        <v>CZ-MO</v>
      </c>
    </row>
    <row r="1012" spans="1:8" x14ac:dyDescent="0.2">
      <c r="A1012" s="157"/>
      <c r="B1012" s="31" t="s">
        <v>4928</v>
      </c>
      <c r="C1012" s="31" t="s">
        <v>4929</v>
      </c>
      <c r="D1012" s="98" t="s">
        <v>2026</v>
      </c>
      <c r="E1012" s="99" t="b">
        <v>0</v>
      </c>
      <c r="F1012" s="106" t="s">
        <v>4930</v>
      </c>
      <c r="G1012" s="116" t="str">
        <f>HYPERLINK("http://nsgreg.nga.mil/genc/view?v=112844&amp;gencs=T&amp;end_month=3&amp;end_day=31&amp;end_year=2014","Most")</f>
        <v>Most</v>
      </c>
      <c r="H1012" s="87" t="str">
        <f>HYPERLINK("http://api.nsgreg.nga.mil/geo-division/ISO3166-2/6/ed3/CZ-425","CZ-425")</f>
        <v>CZ-425</v>
      </c>
    </row>
    <row r="1013" spans="1:8" x14ac:dyDescent="0.2">
      <c r="A1013" s="157"/>
      <c r="B1013" s="31" t="s">
        <v>4931</v>
      </c>
      <c r="C1013" s="31" t="s">
        <v>4932</v>
      </c>
      <c r="D1013" s="98" t="s">
        <v>2026</v>
      </c>
      <c r="E1013" s="99" t="b">
        <v>0</v>
      </c>
      <c r="F1013" s="106" t="s">
        <v>4933</v>
      </c>
      <c r="G1013" s="116" t="str">
        <f>HYPERLINK("http://nsgreg.nga.mil/genc/view?v=112853&amp;gencs=T&amp;end_month=3&amp;end_day=31&amp;end_year=2014","Náchod")</f>
        <v>Náchod</v>
      </c>
      <c r="H1013" s="87" t="str">
        <f>HYPERLINK("http://api.nsgreg.nga.mil/geo-division/ISO3166-2/6/ed3/CZ-523","CZ-523")</f>
        <v>CZ-523</v>
      </c>
    </row>
    <row r="1014" spans="1:8" x14ac:dyDescent="0.2">
      <c r="A1014" s="157"/>
      <c r="B1014" s="31" t="s">
        <v>4934</v>
      </c>
      <c r="C1014" s="31" t="s">
        <v>4935</v>
      </c>
      <c r="D1014" s="98" t="s">
        <v>2026</v>
      </c>
      <c r="E1014" s="99" t="b">
        <v>0</v>
      </c>
      <c r="F1014" s="106" t="s">
        <v>4936</v>
      </c>
      <c r="G1014" s="116" t="str">
        <f>HYPERLINK("http://nsgreg.nga.mil/genc/view?v=112884&amp;gencs=T&amp;end_month=3&amp;end_day=31&amp;end_year=2014","Nový Jičín")</f>
        <v>Nový Jičín</v>
      </c>
      <c r="H1014" s="87" t="str">
        <f>HYPERLINK("http://api.nsgreg.nga.mil/geo-division/ISO3166-2/6/ed3/CZ-804","CZ-804")</f>
        <v>CZ-804</v>
      </c>
    </row>
    <row r="1015" spans="1:8" x14ac:dyDescent="0.2">
      <c r="A1015" s="157"/>
      <c r="B1015" s="31" t="s">
        <v>4937</v>
      </c>
      <c r="C1015" s="31" t="s">
        <v>4938</v>
      </c>
      <c r="D1015" s="98" t="s">
        <v>2026</v>
      </c>
      <c r="E1015" s="99" t="b">
        <v>0</v>
      </c>
      <c r="F1015" s="106" t="s">
        <v>4939</v>
      </c>
      <c r="G1015" s="116" t="str">
        <f>HYPERLINK("http://nsgreg.nga.mil/genc/view?v=112818&amp;gencs=T&amp;end_month=3&amp;end_day=31&amp;end_year=2014","Nymburk")</f>
        <v>Nymburk</v>
      </c>
      <c r="H1015" s="87" t="str">
        <f>HYPERLINK("http://api.nsgreg.nga.mil/geo-division/ISO3166-2/6/ed3/CZ-208","CZ-208")</f>
        <v>CZ-208</v>
      </c>
    </row>
    <row r="1016" spans="1:8" x14ac:dyDescent="0.2">
      <c r="A1016" s="157"/>
      <c r="B1016" s="31" t="s">
        <v>4940</v>
      </c>
      <c r="C1016" s="31" t="s">
        <v>4941</v>
      </c>
      <c r="D1016" s="98" t="s">
        <v>2026</v>
      </c>
      <c r="E1016" s="99" t="b">
        <v>0</v>
      </c>
      <c r="F1016" s="106" t="s">
        <v>4942</v>
      </c>
      <c r="G1016" s="116" t="str">
        <f>HYPERLINK("http://nsgreg.nga.mil/genc/view?v=112873&amp;gencs=T&amp;end_month=3&amp;end_day=31&amp;end_year=2014","Olomouc")</f>
        <v>Olomouc</v>
      </c>
      <c r="H1016" s="87" t="str">
        <f>HYPERLINK("http://api.nsgreg.nga.mil/geo-division/ISO3166-2/6/ed3/CZ-712","CZ-712")</f>
        <v>CZ-712</v>
      </c>
    </row>
    <row r="1017" spans="1:8" x14ac:dyDescent="0.2">
      <c r="A1017" s="157"/>
      <c r="B1017" s="31" t="s">
        <v>4943</v>
      </c>
      <c r="C1017" s="31" t="s">
        <v>4944</v>
      </c>
      <c r="D1017" s="31" t="s">
        <v>3137</v>
      </c>
      <c r="E1017" s="61" t="b">
        <v>1</v>
      </c>
      <c r="F1017" s="107" t="s">
        <v>4945</v>
      </c>
      <c r="G1017" s="116" t="str">
        <f>HYPERLINK("http://nsgreg.nga.mil/genc/view?v=201059&amp;end_month=3&amp;end_day=31&amp;end_year=2014","Olomoucký Kraj")</f>
        <v>Olomoucký Kraj</v>
      </c>
      <c r="H1017" s="87" t="str">
        <f>HYPERLINK("http://api.nsgreg.nga.mil/geo-division/GENC/6/ed2/CZ-OL","CZ-OL")</f>
        <v>CZ-OL</v>
      </c>
    </row>
    <row r="1018" spans="1:8" x14ac:dyDescent="0.2">
      <c r="A1018" s="157"/>
      <c r="B1018" s="31" t="s">
        <v>4946</v>
      </c>
      <c r="C1018" s="31" t="s">
        <v>4947</v>
      </c>
      <c r="D1018" s="98" t="s">
        <v>2026</v>
      </c>
      <c r="E1018" s="99" t="b">
        <v>0</v>
      </c>
      <c r="F1018" s="106" t="s">
        <v>4948</v>
      </c>
      <c r="G1018" s="116" t="str">
        <f>HYPERLINK("http://nsgreg.nga.mil/genc/view?v=112885&amp;gencs=T&amp;end_month=3&amp;end_day=31&amp;end_year=2014","Opava")</f>
        <v>Opava</v>
      </c>
      <c r="H1018" s="87" t="str">
        <f>HYPERLINK("http://api.nsgreg.nga.mil/geo-division/ISO3166-2/6/ed3/CZ-805","CZ-805")</f>
        <v>CZ-805</v>
      </c>
    </row>
    <row r="1019" spans="1:8" x14ac:dyDescent="0.2">
      <c r="A1019" s="157"/>
      <c r="B1019" s="31" t="s">
        <v>4949</v>
      </c>
      <c r="C1019" s="31" t="s">
        <v>4950</v>
      </c>
      <c r="D1019" s="98" t="s">
        <v>2026</v>
      </c>
      <c r="E1019" s="99" t="b">
        <v>0</v>
      </c>
      <c r="F1019" s="107" t="s">
        <v>4951</v>
      </c>
      <c r="G1019" s="116" t="str">
        <f>HYPERLINK("http://nsgreg.nga.mil/genc/view?v=201052&amp;end_month=3&amp;end_day=31&amp;end_year=2014","Ostrava-Město")</f>
        <v>Ostrava-Město</v>
      </c>
      <c r="H1019" s="87" t="str">
        <f>HYPERLINK("http://api.nsgreg.nga.mil/geo-division/GENC/6/ed2/CZ-806","CZ-806")</f>
        <v>CZ-806</v>
      </c>
    </row>
    <row r="1020" spans="1:8" x14ac:dyDescent="0.2">
      <c r="A1020" s="157"/>
      <c r="B1020" s="31" t="s">
        <v>4952</v>
      </c>
      <c r="C1020" s="31" t="s">
        <v>4953</v>
      </c>
      <c r="D1020" s="98" t="s">
        <v>2026</v>
      </c>
      <c r="E1020" s="99" t="b">
        <v>0</v>
      </c>
      <c r="F1020" s="106" t="s">
        <v>4954</v>
      </c>
      <c r="G1020" s="116" t="str">
        <f>HYPERLINK("http://nsgreg.nga.mil/genc/view?v=112857&amp;gencs=T&amp;end_month=3&amp;end_day=31&amp;end_year=2014","Pardubice")</f>
        <v>Pardubice</v>
      </c>
      <c r="H1020" s="87" t="str">
        <f>HYPERLINK("http://api.nsgreg.nga.mil/geo-division/ISO3166-2/6/ed3/CZ-532","CZ-532")</f>
        <v>CZ-532</v>
      </c>
    </row>
    <row r="1021" spans="1:8" x14ac:dyDescent="0.2">
      <c r="A1021" s="157"/>
      <c r="B1021" s="31" t="s">
        <v>4955</v>
      </c>
      <c r="C1021" s="31" t="s">
        <v>4956</v>
      </c>
      <c r="D1021" s="31" t="s">
        <v>3137</v>
      </c>
      <c r="E1021" s="61" t="b">
        <v>1</v>
      </c>
      <c r="F1021" s="107" t="s">
        <v>4957</v>
      </c>
      <c r="G1021" s="116" t="str">
        <f>HYPERLINK("http://nsgreg.nga.mil/genc/view?v=201060&amp;end_month=3&amp;end_day=31&amp;end_year=2014","Pardubický Kraj")</f>
        <v>Pardubický Kraj</v>
      </c>
      <c r="H1021" s="87" t="str">
        <f>HYPERLINK("http://api.nsgreg.nga.mil/geo-division/GENC/6/ed2/CZ-PA","CZ-PA")</f>
        <v>CZ-PA</v>
      </c>
    </row>
    <row r="1022" spans="1:8" x14ac:dyDescent="0.2">
      <c r="A1022" s="157"/>
      <c r="B1022" s="31" t="s">
        <v>4958</v>
      </c>
      <c r="C1022" s="31" t="s">
        <v>4959</v>
      </c>
      <c r="D1022" s="98" t="s">
        <v>2026</v>
      </c>
      <c r="E1022" s="99" t="b">
        <v>0</v>
      </c>
      <c r="F1022" s="106" t="s">
        <v>4960</v>
      </c>
      <c r="G1022" s="116" t="str">
        <f>HYPERLINK("http://nsgreg.nga.mil/genc/view?v=112862&amp;gencs=T&amp;end_month=3&amp;end_day=31&amp;end_year=2014","Pelhřimov")</f>
        <v>Pelhřimov</v>
      </c>
      <c r="H1022" s="87" t="str">
        <f>HYPERLINK("http://api.nsgreg.nga.mil/geo-division/ISO3166-2/6/ed3/CZ-613","CZ-613")</f>
        <v>CZ-613</v>
      </c>
    </row>
    <row r="1023" spans="1:8" x14ac:dyDescent="0.2">
      <c r="A1023" s="157"/>
      <c r="B1023" s="31" t="s">
        <v>4961</v>
      </c>
      <c r="C1023" s="31" t="s">
        <v>4962</v>
      </c>
      <c r="D1023" s="98" t="s">
        <v>2026</v>
      </c>
      <c r="E1023" s="99" t="b">
        <v>0</v>
      </c>
      <c r="F1023" s="106" t="s">
        <v>4963</v>
      </c>
      <c r="G1023" s="116" t="str">
        <f>HYPERLINK("http://nsgreg.nga.mil/genc/view?v=112826&amp;gencs=T&amp;end_month=3&amp;end_day=31&amp;end_year=2014","Písek")</f>
        <v>Písek</v>
      </c>
      <c r="H1023" s="87" t="str">
        <f>HYPERLINK("http://api.nsgreg.nga.mil/geo-division/ISO3166-2/6/ed3/CZ-314","CZ-314")</f>
        <v>CZ-314</v>
      </c>
    </row>
    <row r="1024" spans="1:8" x14ac:dyDescent="0.2">
      <c r="A1024" s="157"/>
      <c r="B1024" s="31" t="s">
        <v>4964</v>
      </c>
      <c r="C1024" s="31" t="s">
        <v>4965</v>
      </c>
      <c r="D1024" s="98" t="s">
        <v>2026</v>
      </c>
      <c r="E1024" s="99" t="b">
        <v>0</v>
      </c>
      <c r="F1024" s="107" t="s">
        <v>4966</v>
      </c>
      <c r="G1024" s="116" t="str">
        <f>HYPERLINK("http://nsgreg.nga.mil/genc/view?v=201048&amp;end_month=3&amp;end_day=31&amp;end_year=2014","Plzeň-Jih")</f>
        <v>Plzeň-Jih</v>
      </c>
      <c r="H1024" s="87" t="str">
        <f>HYPERLINK("http://api.nsgreg.nga.mil/geo-division/GENC/6/ed2/CZ-324","CZ-324")</f>
        <v>CZ-324</v>
      </c>
    </row>
    <row r="1025" spans="1:8" x14ac:dyDescent="0.2">
      <c r="A1025" s="157"/>
      <c r="B1025" s="31" t="s">
        <v>4967</v>
      </c>
      <c r="C1025" s="31" t="s">
        <v>4968</v>
      </c>
      <c r="D1025" s="98" t="s">
        <v>2026</v>
      </c>
      <c r="E1025" s="99" t="b">
        <v>0</v>
      </c>
      <c r="F1025" s="107" t="s">
        <v>4969</v>
      </c>
      <c r="G1025" s="116" t="str">
        <f>HYPERLINK("http://nsgreg.nga.mil/genc/view?v=201047&amp;end_month=3&amp;end_day=31&amp;end_year=2014","Plzeň-Město")</f>
        <v>Plzeň-Město</v>
      </c>
      <c r="H1025" s="87" t="str">
        <f>HYPERLINK("http://api.nsgreg.nga.mil/geo-division/GENC/6/ed2/CZ-323","CZ-323")</f>
        <v>CZ-323</v>
      </c>
    </row>
    <row r="1026" spans="1:8" x14ac:dyDescent="0.2">
      <c r="A1026" s="157"/>
      <c r="B1026" s="31" t="s">
        <v>4970</v>
      </c>
      <c r="C1026" s="31" t="s">
        <v>4971</v>
      </c>
      <c r="D1026" s="98" t="s">
        <v>2026</v>
      </c>
      <c r="E1026" s="99" t="b">
        <v>0</v>
      </c>
      <c r="F1026" s="107" t="s">
        <v>4972</v>
      </c>
      <c r="G1026" s="116" t="str">
        <f>HYPERLINK("http://nsgreg.nga.mil/genc/view?v=201049&amp;end_month=3&amp;end_day=31&amp;end_year=2014","Plzeň-Sever")</f>
        <v>Plzeň-Sever</v>
      </c>
      <c r="H1026" s="87" t="str">
        <f>HYPERLINK("http://api.nsgreg.nga.mil/geo-division/GENC/6/ed2/CZ-325","CZ-325")</f>
        <v>CZ-325</v>
      </c>
    </row>
    <row r="1027" spans="1:8" x14ac:dyDescent="0.2">
      <c r="A1027" s="157"/>
      <c r="B1027" s="31" t="s">
        <v>4973</v>
      </c>
      <c r="C1027" s="31" t="s">
        <v>4974</v>
      </c>
      <c r="D1027" s="31" t="s">
        <v>3137</v>
      </c>
      <c r="E1027" s="61" t="b">
        <v>1</v>
      </c>
      <c r="F1027" s="107" t="s">
        <v>4975</v>
      </c>
      <c r="G1027" s="116" t="str">
        <f>HYPERLINK("http://nsgreg.nga.mil/genc/view?v=201061&amp;end_month=3&amp;end_day=31&amp;end_year=2014","Plzeňský Kraj")</f>
        <v>Plzeňský Kraj</v>
      </c>
      <c r="H1027" s="87" t="str">
        <f>HYPERLINK("http://api.nsgreg.nga.mil/geo-division/GENC/6/ed2/CZ-PL","CZ-PL")</f>
        <v>CZ-PL</v>
      </c>
    </row>
    <row r="1028" spans="1:8" x14ac:dyDescent="0.2">
      <c r="A1028" s="157"/>
      <c r="B1028" s="31" t="s">
        <v>4976</v>
      </c>
      <c r="C1028" s="31" t="s">
        <v>4977</v>
      </c>
      <c r="D1028" s="98" t="s">
        <v>2026</v>
      </c>
      <c r="E1028" s="99" t="b">
        <v>0</v>
      </c>
      <c r="F1028" s="106" t="s">
        <v>4978</v>
      </c>
      <c r="G1028" s="116" t="str">
        <f>HYPERLINK("http://nsgreg.nga.mil/genc/view?v=112827&amp;gencs=T&amp;end_month=3&amp;end_day=31&amp;end_year=2014","Prachatice")</f>
        <v>Prachatice</v>
      </c>
      <c r="H1028" s="87" t="str">
        <f>HYPERLINK("http://api.nsgreg.nga.mil/geo-division/ISO3166-2/6/ed3/CZ-315","CZ-315")</f>
        <v>CZ-315</v>
      </c>
    </row>
    <row r="1029" spans="1:8" x14ac:dyDescent="0.2">
      <c r="A1029" s="157"/>
      <c r="B1029" s="31" t="s">
        <v>4979</v>
      </c>
      <c r="C1029" s="31" t="s">
        <v>4980</v>
      </c>
      <c r="D1029" s="31" t="s">
        <v>3137</v>
      </c>
      <c r="E1029" s="61" t="b">
        <v>1</v>
      </c>
      <c r="F1029" s="107" t="s">
        <v>4981</v>
      </c>
      <c r="G1029" s="116" t="str">
        <f>HYPERLINK("http://nsgreg.nga.mil/genc/view?v=201062&amp;end_month=3&amp;end_day=31&amp;end_year=2014","Praha, Hlavní Město")</f>
        <v>Praha, Hlavní Město</v>
      </c>
      <c r="H1029" s="87" t="str">
        <f>HYPERLINK("http://api.nsgreg.nga.mil/geo-division/GENC/6/ed2/CZ-PR","CZ-PR")</f>
        <v>CZ-PR</v>
      </c>
    </row>
    <row r="1030" spans="1:8" x14ac:dyDescent="0.2">
      <c r="A1030" s="157"/>
      <c r="B1030" s="31" t="s">
        <v>4982</v>
      </c>
      <c r="C1030" s="31" t="s">
        <v>4983</v>
      </c>
      <c r="D1030" s="98" t="s">
        <v>2026</v>
      </c>
      <c r="E1030" s="99" t="b">
        <v>0</v>
      </c>
      <c r="F1030" s="107" t="s">
        <v>4984</v>
      </c>
      <c r="G1030" s="116" t="str">
        <f>HYPERLINK("http://nsgreg.nga.mil/genc/view?v=201043&amp;end_month=3&amp;end_day=31&amp;end_year=2014","Praha Čtrnáct")</f>
        <v>Praha Čtrnáct</v>
      </c>
      <c r="H1030" s="87" t="str">
        <f>HYPERLINK("http://api.nsgreg.nga.mil/geo-division/GENC/6/ed2/CZ-10E","CZ-10E")</f>
        <v>CZ-10E</v>
      </c>
    </row>
    <row r="1031" spans="1:8" x14ac:dyDescent="0.2">
      <c r="A1031" s="157"/>
      <c r="B1031" s="31" t="s">
        <v>4985</v>
      </c>
      <c r="C1031" s="31" t="s">
        <v>4986</v>
      </c>
      <c r="D1031" s="98" t="s">
        <v>2026</v>
      </c>
      <c r="E1031" s="99" t="b">
        <v>0</v>
      </c>
      <c r="F1031" s="107" t="s">
        <v>4987</v>
      </c>
      <c r="G1031" s="116" t="str">
        <f>HYPERLINK("http://nsgreg.nga.mil/genc/view?v=201033&amp;end_month=3&amp;end_day=31&amp;end_year=2014","Praha Čtyři")</f>
        <v>Praha Čtyři</v>
      </c>
      <c r="H1031" s="87" t="str">
        <f>HYPERLINK("http://api.nsgreg.nga.mil/geo-division/GENC/6/ed2/CZ-104","CZ-104")</f>
        <v>CZ-104</v>
      </c>
    </row>
    <row r="1032" spans="1:8" x14ac:dyDescent="0.2">
      <c r="A1032" s="157"/>
      <c r="B1032" s="31" t="s">
        <v>4988</v>
      </c>
      <c r="C1032" s="31" t="s">
        <v>4989</v>
      </c>
      <c r="D1032" s="98" t="s">
        <v>2026</v>
      </c>
      <c r="E1032" s="99" t="b">
        <v>0</v>
      </c>
      <c r="F1032" s="107" t="s">
        <v>4990</v>
      </c>
      <c r="G1032" s="116" t="str">
        <f>HYPERLINK("http://nsgreg.nga.mil/genc/view?v=201039&amp;end_month=3&amp;end_day=31&amp;end_year=2014","Praha Deset")</f>
        <v>Praha Deset</v>
      </c>
      <c r="H1032" s="87" t="str">
        <f>HYPERLINK("http://api.nsgreg.nga.mil/geo-division/GENC/6/ed2/CZ-10A","CZ-10A")</f>
        <v>CZ-10A</v>
      </c>
    </row>
    <row r="1033" spans="1:8" x14ac:dyDescent="0.2">
      <c r="A1033" s="157"/>
      <c r="B1033" s="31" t="s">
        <v>4991</v>
      </c>
      <c r="C1033" s="31" t="s">
        <v>4992</v>
      </c>
      <c r="D1033" s="98" t="s">
        <v>2026</v>
      </c>
      <c r="E1033" s="99" t="b">
        <v>0</v>
      </c>
      <c r="F1033" s="107" t="s">
        <v>4993</v>
      </c>
      <c r="G1033" s="116" t="str">
        <f>HYPERLINK("http://nsgreg.nga.mil/genc/view?v=201038&amp;end_month=3&amp;end_day=31&amp;end_year=2014","Praha Devět")</f>
        <v>Praha Devět</v>
      </c>
      <c r="H1033" s="87" t="str">
        <f>HYPERLINK("http://api.nsgreg.nga.mil/geo-division/GENC/6/ed2/CZ-109","CZ-109")</f>
        <v>CZ-109</v>
      </c>
    </row>
    <row r="1034" spans="1:8" x14ac:dyDescent="0.2">
      <c r="A1034" s="157"/>
      <c r="B1034" s="31" t="s">
        <v>4994</v>
      </c>
      <c r="C1034" s="31" t="s">
        <v>4995</v>
      </c>
      <c r="D1034" s="98" t="s">
        <v>2026</v>
      </c>
      <c r="E1034" s="99" t="b">
        <v>0</v>
      </c>
      <c r="F1034" s="107" t="s">
        <v>4996</v>
      </c>
      <c r="G1034" s="116" t="str">
        <f>HYPERLINK("http://nsgreg.nga.mil/genc/view?v=201031&amp;end_month=3&amp;end_day=31&amp;end_year=2014","Praha Dva")</f>
        <v>Praha Dva</v>
      </c>
      <c r="H1034" s="87" t="str">
        <f>HYPERLINK("http://api.nsgreg.nga.mil/geo-division/GENC/6/ed2/CZ-102","CZ-102")</f>
        <v>CZ-102</v>
      </c>
    </row>
    <row r="1035" spans="1:8" x14ac:dyDescent="0.2">
      <c r="A1035" s="157"/>
      <c r="B1035" s="31" t="s">
        <v>4997</v>
      </c>
      <c r="C1035" s="31" t="s">
        <v>4998</v>
      </c>
      <c r="D1035" s="98" t="s">
        <v>2026</v>
      </c>
      <c r="E1035" s="99" t="b">
        <v>0</v>
      </c>
      <c r="F1035" s="107" t="s">
        <v>4999</v>
      </c>
      <c r="G1035" s="116" t="str">
        <f>HYPERLINK("http://nsgreg.nga.mil/genc/view?v=201041&amp;end_month=3&amp;end_day=31&amp;end_year=2014","Praha Dvanáct")</f>
        <v>Praha Dvanáct</v>
      </c>
      <c r="H1035" s="87" t="str">
        <f>HYPERLINK("http://api.nsgreg.nga.mil/geo-division/GENC/6/ed2/CZ-10C","CZ-10C")</f>
        <v>CZ-10C</v>
      </c>
    </row>
    <row r="1036" spans="1:8" x14ac:dyDescent="0.2">
      <c r="A1036" s="157"/>
      <c r="B1036" s="31" t="s">
        <v>5000</v>
      </c>
      <c r="C1036" s="31" t="s">
        <v>5001</v>
      </c>
      <c r="D1036" s="98" t="s">
        <v>2026</v>
      </c>
      <c r="E1036" s="99" t="b">
        <v>0</v>
      </c>
      <c r="F1036" s="107" t="s">
        <v>5002</v>
      </c>
      <c r="G1036" s="116" t="str">
        <f>HYPERLINK("http://nsgreg.nga.mil/genc/view?v=201030&amp;end_month=3&amp;end_day=31&amp;end_year=2014","Praha Jeden")</f>
        <v>Praha Jeden</v>
      </c>
      <c r="H1036" s="87" t="str">
        <f>HYPERLINK("http://api.nsgreg.nga.mil/geo-division/GENC/6/ed2/CZ-101","CZ-101")</f>
        <v>CZ-101</v>
      </c>
    </row>
    <row r="1037" spans="1:8" x14ac:dyDescent="0.2">
      <c r="A1037" s="157"/>
      <c r="B1037" s="31" t="s">
        <v>5003</v>
      </c>
      <c r="C1037" s="31" t="s">
        <v>5004</v>
      </c>
      <c r="D1037" s="98" t="s">
        <v>2026</v>
      </c>
      <c r="E1037" s="99" t="b">
        <v>0</v>
      </c>
      <c r="F1037" s="107" t="s">
        <v>5005</v>
      </c>
      <c r="G1037" s="116" t="str">
        <f>HYPERLINK("http://nsgreg.nga.mil/genc/view?v=201040&amp;end_month=3&amp;end_day=31&amp;end_year=2014","Praha Jedenáct ")</f>
        <v xml:space="preserve">Praha Jedenáct </v>
      </c>
      <c r="H1037" s="87" t="str">
        <f>HYPERLINK("http://api.nsgreg.nga.mil/geo-division/GENC/6/ed2/CZ-10B","CZ-10B")</f>
        <v>CZ-10B</v>
      </c>
    </row>
    <row r="1038" spans="1:8" x14ac:dyDescent="0.2">
      <c r="A1038" s="157"/>
      <c r="B1038" s="31" t="s">
        <v>5006</v>
      </c>
      <c r="C1038" s="31" t="s">
        <v>5007</v>
      </c>
      <c r="D1038" s="98" t="s">
        <v>2026</v>
      </c>
      <c r="E1038" s="99" t="b">
        <v>0</v>
      </c>
      <c r="F1038" s="107" t="s">
        <v>5008</v>
      </c>
      <c r="G1038" s="116" t="str">
        <f>HYPERLINK("http://nsgreg.nga.mil/genc/view?v=201037&amp;end_month=3&amp;end_day=31&amp;end_year=2014","Praha Osm")</f>
        <v>Praha Osm</v>
      </c>
      <c r="H1038" s="87" t="str">
        <f>HYPERLINK("http://api.nsgreg.nga.mil/geo-division/GENC/6/ed2/CZ-108","CZ-108")</f>
        <v>CZ-108</v>
      </c>
    </row>
    <row r="1039" spans="1:8" x14ac:dyDescent="0.2">
      <c r="A1039" s="157"/>
      <c r="B1039" s="31" t="s">
        <v>5009</v>
      </c>
      <c r="C1039" s="31" t="s">
        <v>5010</v>
      </c>
      <c r="D1039" s="98" t="s">
        <v>2026</v>
      </c>
      <c r="E1039" s="99" t="b">
        <v>0</v>
      </c>
      <c r="F1039" s="107" t="s">
        <v>5011</v>
      </c>
      <c r="G1039" s="116" t="str">
        <f>HYPERLINK("http://nsgreg.nga.mil/genc/view?v=201044&amp;end_month=3&amp;end_day=31&amp;end_year=2014","Praha Patnáct")</f>
        <v>Praha Patnáct</v>
      </c>
      <c r="H1039" s="87" t="str">
        <f>HYPERLINK("http://api.nsgreg.nga.mil/geo-division/GENC/6/ed2/CZ-10F","CZ-10F")</f>
        <v>CZ-10F</v>
      </c>
    </row>
    <row r="1040" spans="1:8" x14ac:dyDescent="0.2">
      <c r="A1040" s="157"/>
      <c r="B1040" s="31" t="s">
        <v>5012</v>
      </c>
      <c r="C1040" s="31" t="s">
        <v>5013</v>
      </c>
      <c r="D1040" s="98" t="s">
        <v>2026</v>
      </c>
      <c r="E1040" s="99" t="b">
        <v>0</v>
      </c>
      <c r="F1040" s="107" t="s">
        <v>5014</v>
      </c>
      <c r="G1040" s="116" t="str">
        <f>HYPERLINK("http://nsgreg.nga.mil/genc/view?v=201034&amp;end_month=3&amp;end_day=31&amp;end_year=2014","Praha Pět")</f>
        <v>Praha Pět</v>
      </c>
      <c r="H1040" s="87" t="str">
        <f>HYPERLINK("http://api.nsgreg.nga.mil/geo-division/GENC/6/ed2/CZ-105","CZ-105")</f>
        <v>CZ-105</v>
      </c>
    </row>
    <row r="1041" spans="1:8" x14ac:dyDescent="0.2">
      <c r="A1041" s="157"/>
      <c r="B1041" s="31" t="s">
        <v>5015</v>
      </c>
      <c r="C1041" s="31" t="s">
        <v>5016</v>
      </c>
      <c r="D1041" s="98" t="s">
        <v>2026</v>
      </c>
      <c r="E1041" s="99" t="b">
        <v>0</v>
      </c>
      <c r="F1041" s="107" t="s">
        <v>5017</v>
      </c>
      <c r="G1041" s="116" t="str">
        <f>HYPERLINK("http://nsgreg.nga.mil/genc/view?v=201036&amp;end_month=3&amp;end_day=31&amp;end_year=2014","Praha Sedm")</f>
        <v>Praha Sedm</v>
      </c>
      <c r="H1041" s="87" t="str">
        <f>HYPERLINK("http://api.nsgreg.nga.mil/geo-division/GENC/6/ed2/CZ-107","CZ-107")</f>
        <v>CZ-107</v>
      </c>
    </row>
    <row r="1042" spans="1:8" x14ac:dyDescent="0.2">
      <c r="A1042" s="157"/>
      <c r="B1042" s="31" t="s">
        <v>5018</v>
      </c>
      <c r="C1042" s="31" t="s">
        <v>5019</v>
      </c>
      <c r="D1042" s="98" t="s">
        <v>2026</v>
      </c>
      <c r="E1042" s="99" t="b">
        <v>0</v>
      </c>
      <c r="F1042" s="107" t="s">
        <v>5020</v>
      </c>
      <c r="G1042" s="116" t="str">
        <f>HYPERLINK("http://nsgreg.nga.mil/genc/view?v=201035&amp;end_month=3&amp;end_day=31&amp;end_year=2014","Praha Šest")</f>
        <v>Praha Šest</v>
      </c>
      <c r="H1042" s="87" t="str">
        <f>HYPERLINK("http://api.nsgreg.nga.mil/geo-division/GENC/6/ed2/CZ-106","CZ-106")</f>
        <v>CZ-106</v>
      </c>
    </row>
    <row r="1043" spans="1:8" x14ac:dyDescent="0.2">
      <c r="A1043" s="157"/>
      <c r="B1043" s="31" t="s">
        <v>5021</v>
      </c>
      <c r="C1043" s="31" t="s">
        <v>5022</v>
      </c>
      <c r="D1043" s="98" t="s">
        <v>2026</v>
      </c>
      <c r="E1043" s="99" t="b">
        <v>0</v>
      </c>
      <c r="F1043" s="107" t="s">
        <v>5023</v>
      </c>
      <c r="G1043" s="116" t="str">
        <f>HYPERLINK("http://nsgreg.nga.mil/genc/view?v=201032&amp;end_month=3&amp;end_day=31&amp;end_year=2014","Praha Tři")</f>
        <v>Praha Tři</v>
      </c>
      <c r="H1043" s="87" t="str">
        <f>HYPERLINK("http://api.nsgreg.nga.mil/geo-division/GENC/6/ed2/CZ-103","CZ-103")</f>
        <v>CZ-103</v>
      </c>
    </row>
    <row r="1044" spans="1:8" x14ac:dyDescent="0.2">
      <c r="A1044" s="157"/>
      <c r="B1044" s="31" t="s">
        <v>5024</v>
      </c>
      <c r="C1044" s="31" t="s">
        <v>5025</v>
      </c>
      <c r="D1044" s="98" t="s">
        <v>2026</v>
      </c>
      <c r="E1044" s="99" t="b">
        <v>0</v>
      </c>
      <c r="F1044" s="107" t="s">
        <v>5026</v>
      </c>
      <c r="G1044" s="116" t="str">
        <f>HYPERLINK("http://nsgreg.nga.mil/genc/view?v=201042&amp;end_month=3&amp;end_day=31&amp;end_year=2014","Praha Třináct")</f>
        <v>Praha Třináct</v>
      </c>
      <c r="H1044" s="87" t="str">
        <f>HYPERLINK("http://api.nsgreg.nga.mil/geo-division/GENC/6/ed2/CZ-10D","CZ-10D")</f>
        <v>CZ-10D</v>
      </c>
    </row>
    <row r="1045" spans="1:8" x14ac:dyDescent="0.2">
      <c r="A1045" s="157"/>
      <c r="B1045" s="31" t="s">
        <v>5027</v>
      </c>
      <c r="C1045" s="31" t="s">
        <v>5028</v>
      </c>
      <c r="D1045" s="98" t="s">
        <v>2026</v>
      </c>
      <c r="E1045" s="99" t="b">
        <v>0</v>
      </c>
      <c r="F1045" s="107" t="s">
        <v>5029</v>
      </c>
      <c r="G1045" s="116" t="str">
        <f>HYPERLINK("http://nsgreg.nga.mil/genc/view?v=201045&amp;end_month=3&amp;end_day=31&amp;end_year=2014","Praha-Východ")</f>
        <v>Praha-Východ</v>
      </c>
      <c r="H1045" s="87" t="str">
        <f>HYPERLINK("http://api.nsgreg.nga.mil/geo-division/GENC/6/ed2/CZ-209","CZ-209")</f>
        <v>CZ-209</v>
      </c>
    </row>
    <row r="1046" spans="1:8" x14ac:dyDescent="0.2">
      <c r="A1046" s="157"/>
      <c r="B1046" s="31" t="s">
        <v>5030</v>
      </c>
      <c r="C1046" s="31" t="s">
        <v>5031</v>
      </c>
      <c r="D1046" s="98" t="s">
        <v>2026</v>
      </c>
      <c r="E1046" s="99" t="b">
        <v>0</v>
      </c>
      <c r="F1046" s="107" t="s">
        <v>5032</v>
      </c>
      <c r="G1046" s="116" t="str">
        <f>HYPERLINK("http://nsgreg.nga.mil/genc/view?v=201046&amp;end_month=3&amp;end_day=31&amp;end_year=2014","Praha-Západ")</f>
        <v>Praha-Západ</v>
      </c>
      <c r="H1046" s="87" t="str">
        <f>HYPERLINK("http://api.nsgreg.nga.mil/geo-division/GENC/6/ed2/CZ-20A","CZ-20A")</f>
        <v>CZ-20A</v>
      </c>
    </row>
    <row r="1047" spans="1:8" x14ac:dyDescent="0.2">
      <c r="A1047" s="157"/>
      <c r="B1047" s="31" t="s">
        <v>5033</v>
      </c>
      <c r="C1047" s="31" t="s">
        <v>5034</v>
      </c>
      <c r="D1047" s="98" t="s">
        <v>2026</v>
      </c>
      <c r="E1047" s="99" t="b">
        <v>0</v>
      </c>
      <c r="F1047" s="106" t="s">
        <v>5035</v>
      </c>
      <c r="G1047" s="116" t="str">
        <f>HYPERLINK("http://nsgreg.nga.mil/genc/view?v=112875&amp;gencs=T&amp;end_month=3&amp;end_day=31&amp;end_year=2014","Přerov")</f>
        <v>Přerov</v>
      </c>
      <c r="H1047" s="87" t="str">
        <f>HYPERLINK("http://api.nsgreg.nga.mil/geo-division/ISO3166-2/6/ed3/CZ-714","CZ-714")</f>
        <v>CZ-714</v>
      </c>
    </row>
    <row r="1048" spans="1:8" x14ac:dyDescent="0.2">
      <c r="A1048" s="157"/>
      <c r="B1048" s="31" t="s">
        <v>5036</v>
      </c>
      <c r="C1048" s="31" t="s">
        <v>5037</v>
      </c>
      <c r="D1048" s="98" t="s">
        <v>2026</v>
      </c>
      <c r="E1048" s="99" t="b">
        <v>0</v>
      </c>
      <c r="F1048" s="106" t="s">
        <v>5038</v>
      </c>
      <c r="G1048" s="116" t="str">
        <f>HYPERLINK("http://nsgreg.nga.mil/genc/view?v=112821&amp;gencs=T&amp;end_month=3&amp;end_day=31&amp;end_year=2014","Příbram")</f>
        <v>Příbram</v>
      </c>
      <c r="H1048" s="87" t="str">
        <f>HYPERLINK("http://api.nsgreg.nga.mil/geo-division/ISO3166-2/6/ed3/CZ-20B","CZ-20B")</f>
        <v>CZ-20B</v>
      </c>
    </row>
    <row r="1049" spans="1:8" x14ac:dyDescent="0.2">
      <c r="A1049" s="157"/>
      <c r="B1049" s="31" t="s">
        <v>5039</v>
      </c>
      <c r="C1049" s="31" t="s">
        <v>5040</v>
      </c>
      <c r="D1049" s="98" t="s">
        <v>2026</v>
      </c>
      <c r="E1049" s="99" t="b">
        <v>0</v>
      </c>
      <c r="F1049" s="106" t="s">
        <v>5041</v>
      </c>
      <c r="G1049" s="116" t="str">
        <f>HYPERLINK("http://nsgreg.nga.mil/genc/view?v=112874&amp;gencs=T&amp;end_month=3&amp;end_day=31&amp;end_year=2014","Prostějov")</f>
        <v>Prostějov</v>
      </c>
      <c r="H1049" s="87" t="str">
        <f>HYPERLINK("http://api.nsgreg.nga.mil/geo-division/ISO3166-2/6/ed3/CZ-713","CZ-713")</f>
        <v>CZ-713</v>
      </c>
    </row>
    <row r="1050" spans="1:8" x14ac:dyDescent="0.2">
      <c r="A1050" s="157"/>
      <c r="B1050" s="31" t="s">
        <v>5042</v>
      </c>
      <c r="C1050" s="31" t="s">
        <v>5043</v>
      </c>
      <c r="D1050" s="98" t="s">
        <v>2026</v>
      </c>
      <c r="E1050" s="99" t="b">
        <v>0</v>
      </c>
      <c r="F1050" s="106" t="s">
        <v>5044</v>
      </c>
      <c r="G1050" s="116" t="str">
        <f>HYPERLINK("http://nsgreg.nga.mil/genc/view?v=112822&amp;gencs=T&amp;end_month=3&amp;end_day=31&amp;end_year=2014","Rakovník")</f>
        <v>Rakovník</v>
      </c>
      <c r="H1050" s="87" t="str">
        <f>HYPERLINK("http://api.nsgreg.nga.mil/geo-division/ISO3166-2/6/ed3/CZ-20C","CZ-20C")</f>
        <v>CZ-20C</v>
      </c>
    </row>
    <row r="1051" spans="1:8" x14ac:dyDescent="0.2">
      <c r="A1051" s="157"/>
      <c r="B1051" s="31" t="s">
        <v>5045</v>
      </c>
      <c r="C1051" s="31" t="s">
        <v>5046</v>
      </c>
      <c r="D1051" s="98" t="s">
        <v>2026</v>
      </c>
      <c r="E1051" s="99" t="b">
        <v>0</v>
      </c>
      <c r="F1051" s="106" t="s">
        <v>5047</v>
      </c>
      <c r="G1051" s="116" t="str">
        <f>HYPERLINK("http://nsgreg.nga.mil/genc/view?v=112835&amp;gencs=T&amp;end_month=3&amp;end_day=31&amp;end_year=2014","Rokycany")</f>
        <v>Rokycany</v>
      </c>
      <c r="H1051" s="87" t="str">
        <f>HYPERLINK("http://api.nsgreg.nga.mil/geo-division/ISO3166-2/6/ed3/CZ-326","CZ-326")</f>
        <v>CZ-326</v>
      </c>
    </row>
    <row r="1052" spans="1:8" x14ac:dyDescent="0.2">
      <c r="A1052" s="157"/>
      <c r="B1052" s="31" t="s">
        <v>5048</v>
      </c>
      <c r="C1052" s="31" t="s">
        <v>5049</v>
      </c>
      <c r="D1052" s="98" t="s">
        <v>2026</v>
      </c>
      <c r="E1052" s="99" t="b">
        <v>0</v>
      </c>
      <c r="F1052" s="106" t="s">
        <v>5050</v>
      </c>
      <c r="G1052" s="116" t="str">
        <f>HYPERLINK("http://nsgreg.nga.mil/genc/view?v=112854&amp;gencs=T&amp;end_month=3&amp;end_day=31&amp;end_year=2014","Rychnov nad Kněžnou")</f>
        <v>Rychnov nad Kněžnou</v>
      </c>
      <c r="H1052" s="87" t="str">
        <f>HYPERLINK("http://api.nsgreg.nga.mil/geo-division/ISO3166-2/6/ed3/CZ-524","CZ-524")</f>
        <v>CZ-524</v>
      </c>
    </row>
    <row r="1053" spans="1:8" x14ac:dyDescent="0.2">
      <c r="A1053" s="157"/>
      <c r="B1053" s="31" t="s">
        <v>5051</v>
      </c>
      <c r="C1053" s="31" t="s">
        <v>5052</v>
      </c>
      <c r="D1053" s="98" t="s">
        <v>2026</v>
      </c>
      <c r="E1053" s="99" t="b">
        <v>0</v>
      </c>
      <c r="F1053" s="106" t="s">
        <v>5053</v>
      </c>
      <c r="G1053" s="116" t="str">
        <f>HYPERLINK("http://nsgreg.nga.mil/genc/view?v=112850&amp;gencs=T&amp;end_month=3&amp;end_day=31&amp;end_year=2014","Semily")</f>
        <v>Semily</v>
      </c>
      <c r="H1053" s="87" t="str">
        <f>HYPERLINK("http://api.nsgreg.nga.mil/geo-division/ISO3166-2/6/ed3/CZ-514","CZ-514")</f>
        <v>CZ-514</v>
      </c>
    </row>
    <row r="1054" spans="1:8" x14ac:dyDescent="0.2">
      <c r="A1054" s="157"/>
      <c r="B1054" s="31" t="s">
        <v>5054</v>
      </c>
      <c r="C1054" s="31" t="s">
        <v>5055</v>
      </c>
      <c r="D1054" s="98" t="s">
        <v>2026</v>
      </c>
      <c r="E1054" s="99" t="b">
        <v>0</v>
      </c>
      <c r="F1054" s="106" t="s">
        <v>5056</v>
      </c>
      <c r="G1054" s="116" t="str">
        <f>HYPERLINK("http://nsgreg.nga.mil/genc/view?v=112839&amp;gencs=T&amp;end_month=3&amp;end_day=31&amp;end_year=2014","Sokolov")</f>
        <v>Sokolov</v>
      </c>
      <c r="H1054" s="87" t="str">
        <f>HYPERLINK("http://api.nsgreg.nga.mil/geo-division/ISO3166-2/6/ed3/CZ-413","CZ-413")</f>
        <v>CZ-413</v>
      </c>
    </row>
    <row r="1055" spans="1:8" x14ac:dyDescent="0.2">
      <c r="A1055" s="157"/>
      <c r="B1055" s="31" t="s">
        <v>5057</v>
      </c>
      <c r="C1055" s="31" t="s">
        <v>5058</v>
      </c>
      <c r="D1055" s="98" t="s">
        <v>2026</v>
      </c>
      <c r="E1055" s="99" t="b">
        <v>0</v>
      </c>
      <c r="F1055" s="106" t="s">
        <v>5059</v>
      </c>
      <c r="G1055" s="116" t="str">
        <f>HYPERLINK("http://nsgreg.nga.mil/genc/view?v=112828&amp;gencs=T&amp;end_month=3&amp;end_day=31&amp;end_year=2014","Strakonice")</f>
        <v>Strakonice</v>
      </c>
      <c r="H1055" s="87" t="str">
        <f>HYPERLINK("http://api.nsgreg.nga.mil/geo-division/ISO3166-2/6/ed3/CZ-316","CZ-316")</f>
        <v>CZ-316</v>
      </c>
    </row>
    <row r="1056" spans="1:8" x14ac:dyDescent="0.2">
      <c r="A1056" s="157"/>
      <c r="B1056" s="31" t="s">
        <v>5060</v>
      </c>
      <c r="C1056" s="31" t="s">
        <v>5061</v>
      </c>
      <c r="D1056" s="31" t="s">
        <v>3137</v>
      </c>
      <c r="E1056" s="61" t="b">
        <v>1</v>
      </c>
      <c r="F1056" s="107" t="s">
        <v>5062</v>
      </c>
      <c r="G1056" s="116" t="str">
        <f>HYPERLINK("http://nsgreg.nga.mil/genc/view?v=201063&amp;end_month=3&amp;end_day=31&amp;end_year=2014","Středočeský Kraj")</f>
        <v>Středočeský Kraj</v>
      </c>
      <c r="H1056" s="87" t="str">
        <f>HYPERLINK("http://api.nsgreg.nga.mil/geo-division/GENC/6/ed2/CZ-ST","CZ-ST")</f>
        <v>CZ-ST</v>
      </c>
    </row>
    <row r="1057" spans="1:8" x14ac:dyDescent="0.2">
      <c r="A1057" s="157"/>
      <c r="B1057" s="31" t="s">
        <v>5063</v>
      </c>
      <c r="C1057" s="31" t="s">
        <v>5064</v>
      </c>
      <c r="D1057" s="98" t="s">
        <v>2026</v>
      </c>
      <c r="E1057" s="99" t="b">
        <v>0</v>
      </c>
      <c r="F1057" s="106" t="s">
        <v>5065</v>
      </c>
      <c r="G1057" s="116" t="str">
        <f>HYPERLINK("http://nsgreg.nga.mil/genc/view?v=112876&amp;gencs=T&amp;end_month=3&amp;end_day=31&amp;end_year=2014","Šumperk")</f>
        <v>Šumperk</v>
      </c>
      <c r="H1057" s="87" t="str">
        <f>HYPERLINK("http://api.nsgreg.nga.mil/geo-division/ISO3166-2/6/ed3/CZ-715","CZ-715")</f>
        <v>CZ-715</v>
      </c>
    </row>
    <row r="1058" spans="1:8" x14ac:dyDescent="0.2">
      <c r="A1058" s="157"/>
      <c r="B1058" s="31" t="s">
        <v>5066</v>
      </c>
      <c r="C1058" s="31" t="s">
        <v>5067</v>
      </c>
      <c r="D1058" s="98" t="s">
        <v>2026</v>
      </c>
      <c r="E1058" s="99" t="b">
        <v>0</v>
      </c>
      <c r="F1058" s="106" t="s">
        <v>5068</v>
      </c>
      <c r="G1058" s="116" t="str">
        <f>HYPERLINK("http://nsgreg.nga.mil/genc/view?v=112858&amp;gencs=T&amp;end_month=3&amp;end_day=31&amp;end_year=2014","Svitavy")</f>
        <v>Svitavy</v>
      </c>
      <c r="H1058" s="87" t="str">
        <f>HYPERLINK("http://api.nsgreg.nga.mil/geo-division/ISO3166-2/6/ed3/CZ-533","CZ-533")</f>
        <v>CZ-533</v>
      </c>
    </row>
    <row r="1059" spans="1:8" x14ac:dyDescent="0.2">
      <c r="A1059" s="157"/>
      <c r="B1059" s="31" t="s">
        <v>5069</v>
      </c>
      <c r="C1059" s="31" t="s">
        <v>5070</v>
      </c>
      <c r="D1059" s="98" t="s">
        <v>2026</v>
      </c>
      <c r="E1059" s="99" t="b">
        <v>0</v>
      </c>
      <c r="F1059" s="106" t="s">
        <v>5071</v>
      </c>
      <c r="G1059" s="116" t="str">
        <f>HYPERLINK("http://nsgreg.nga.mil/genc/view?v=112829&amp;gencs=T&amp;end_month=3&amp;end_day=31&amp;end_year=2014","Tábor")</f>
        <v>Tábor</v>
      </c>
      <c r="H1059" s="87" t="str">
        <f>HYPERLINK("http://api.nsgreg.nga.mil/geo-division/ISO3166-2/6/ed3/CZ-317","CZ-317")</f>
        <v>CZ-317</v>
      </c>
    </row>
    <row r="1060" spans="1:8" x14ac:dyDescent="0.2">
      <c r="A1060" s="157"/>
      <c r="B1060" s="31" t="s">
        <v>5072</v>
      </c>
      <c r="C1060" s="31" t="s">
        <v>5073</v>
      </c>
      <c r="D1060" s="98" t="s">
        <v>2026</v>
      </c>
      <c r="E1060" s="99" t="b">
        <v>0</v>
      </c>
      <c r="F1060" s="106" t="s">
        <v>5074</v>
      </c>
      <c r="G1060" s="116" t="str">
        <f>HYPERLINK("http://nsgreg.nga.mil/genc/view?v=112836&amp;gencs=T&amp;end_month=3&amp;end_day=31&amp;end_year=2014","Tachov")</f>
        <v>Tachov</v>
      </c>
      <c r="H1060" s="87" t="str">
        <f>HYPERLINK("http://api.nsgreg.nga.mil/geo-division/ISO3166-2/6/ed3/CZ-327","CZ-327")</f>
        <v>CZ-327</v>
      </c>
    </row>
    <row r="1061" spans="1:8" x14ac:dyDescent="0.2">
      <c r="A1061" s="157"/>
      <c r="B1061" s="31" t="s">
        <v>5075</v>
      </c>
      <c r="C1061" s="31" t="s">
        <v>5076</v>
      </c>
      <c r="D1061" s="98" t="s">
        <v>2026</v>
      </c>
      <c r="E1061" s="99" t="b">
        <v>0</v>
      </c>
      <c r="F1061" s="106" t="s">
        <v>5077</v>
      </c>
      <c r="G1061" s="116" t="str">
        <f>HYPERLINK("http://nsgreg.nga.mil/genc/view?v=112845&amp;gencs=T&amp;end_month=3&amp;end_day=31&amp;end_year=2014","Teplice")</f>
        <v>Teplice</v>
      </c>
      <c r="H1061" s="87" t="str">
        <f>HYPERLINK("http://api.nsgreg.nga.mil/geo-division/ISO3166-2/6/ed3/CZ-426","CZ-426")</f>
        <v>CZ-426</v>
      </c>
    </row>
    <row r="1062" spans="1:8" x14ac:dyDescent="0.2">
      <c r="A1062" s="157"/>
      <c r="B1062" s="31" t="s">
        <v>5078</v>
      </c>
      <c r="C1062" s="31" t="s">
        <v>5079</v>
      </c>
      <c r="D1062" s="98" t="s">
        <v>2026</v>
      </c>
      <c r="E1062" s="99" t="b">
        <v>0</v>
      </c>
      <c r="F1062" s="106" t="s">
        <v>5080</v>
      </c>
      <c r="G1062" s="116" t="str">
        <f>HYPERLINK("http://nsgreg.nga.mil/genc/view?v=112863&amp;gencs=T&amp;end_month=3&amp;end_day=31&amp;end_year=2014","Třebíč")</f>
        <v>Třebíč</v>
      </c>
      <c r="H1062" s="87" t="str">
        <f>HYPERLINK("http://api.nsgreg.nga.mil/geo-division/ISO3166-2/6/ed3/CZ-614","CZ-614")</f>
        <v>CZ-614</v>
      </c>
    </row>
    <row r="1063" spans="1:8" x14ac:dyDescent="0.2">
      <c r="A1063" s="157"/>
      <c r="B1063" s="31" t="s">
        <v>5081</v>
      </c>
      <c r="C1063" s="31" t="s">
        <v>5082</v>
      </c>
      <c r="D1063" s="98" t="s">
        <v>2026</v>
      </c>
      <c r="E1063" s="99" t="b">
        <v>0</v>
      </c>
      <c r="F1063" s="106" t="s">
        <v>5083</v>
      </c>
      <c r="G1063" s="116" t="str">
        <f>HYPERLINK("http://nsgreg.nga.mil/genc/view?v=112855&amp;gencs=T&amp;end_month=3&amp;end_day=31&amp;end_year=2014","Trutnov")</f>
        <v>Trutnov</v>
      </c>
      <c r="H1063" s="87" t="str">
        <f>HYPERLINK("http://api.nsgreg.nga.mil/geo-division/ISO3166-2/6/ed3/CZ-525","CZ-525")</f>
        <v>CZ-525</v>
      </c>
    </row>
    <row r="1064" spans="1:8" x14ac:dyDescent="0.2">
      <c r="A1064" s="157"/>
      <c r="B1064" s="31" t="s">
        <v>5084</v>
      </c>
      <c r="C1064" s="31" t="s">
        <v>5085</v>
      </c>
      <c r="D1064" s="98" t="s">
        <v>2026</v>
      </c>
      <c r="E1064" s="99" t="b">
        <v>0</v>
      </c>
      <c r="F1064" s="106" t="s">
        <v>5086</v>
      </c>
      <c r="G1064" s="116" t="str">
        <f>HYPERLINK("http://nsgreg.nga.mil/genc/view?v=112878&amp;gencs=T&amp;end_month=3&amp;end_day=31&amp;end_year=2014","Uherské Hradiště")</f>
        <v>Uherské Hradiště</v>
      </c>
      <c r="H1064" s="87" t="str">
        <f>HYPERLINK("http://api.nsgreg.nga.mil/geo-division/ISO3166-2/6/ed3/CZ-722","CZ-722")</f>
        <v>CZ-722</v>
      </c>
    </row>
    <row r="1065" spans="1:8" x14ac:dyDescent="0.2">
      <c r="A1065" s="157"/>
      <c r="B1065" s="31" t="s">
        <v>5087</v>
      </c>
      <c r="C1065" s="31" t="s">
        <v>5088</v>
      </c>
      <c r="D1065" s="31" t="s">
        <v>3137</v>
      </c>
      <c r="E1065" s="61" t="b">
        <v>1</v>
      </c>
      <c r="F1065" s="107" t="s">
        <v>5089</v>
      </c>
      <c r="G1065" s="116" t="str">
        <f>HYPERLINK("http://nsgreg.nga.mil/genc/view?v=201064&amp;end_month=3&amp;end_day=31&amp;end_year=2014","Ústecký Kraj")</f>
        <v>Ústecký Kraj</v>
      </c>
      <c r="H1065" s="87" t="str">
        <f>HYPERLINK("http://api.nsgreg.nga.mil/geo-division/GENC/6/ed2/CZ-US","CZ-US")</f>
        <v>CZ-US</v>
      </c>
    </row>
    <row r="1066" spans="1:8" x14ac:dyDescent="0.2">
      <c r="A1066" s="157"/>
      <c r="B1066" s="31" t="s">
        <v>5090</v>
      </c>
      <c r="C1066" s="31" t="s">
        <v>5091</v>
      </c>
      <c r="D1066" s="98" t="s">
        <v>2026</v>
      </c>
      <c r="E1066" s="99" t="b">
        <v>0</v>
      </c>
      <c r="F1066" s="106" t="s">
        <v>5092</v>
      </c>
      <c r="G1066" s="116" t="str">
        <f>HYPERLINK("http://nsgreg.nga.mil/genc/view?v=112846&amp;gencs=T&amp;end_month=3&amp;end_day=31&amp;end_year=2014","Ústí nad Labem")</f>
        <v>Ústí nad Labem</v>
      </c>
      <c r="H1066" s="87" t="str">
        <f>HYPERLINK("http://api.nsgreg.nga.mil/geo-division/ISO3166-2/6/ed3/CZ-427","CZ-427")</f>
        <v>CZ-427</v>
      </c>
    </row>
    <row r="1067" spans="1:8" x14ac:dyDescent="0.2">
      <c r="A1067" s="157"/>
      <c r="B1067" s="31" t="s">
        <v>5093</v>
      </c>
      <c r="C1067" s="31" t="s">
        <v>5094</v>
      </c>
      <c r="D1067" s="98" t="s">
        <v>2026</v>
      </c>
      <c r="E1067" s="99" t="b">
        <v>0</v>
      </c>
      <c r="F1067" s="106" t="s">
        <v>5095</v>
      </c>
      <c r="G1067" s="116" t="str">
        <f>HYPERLINK("http://nsgreg.nga.mil/genc/view?v=112859&amp;gencs=T&amp;end_month=3&amp;end_day=31&amp;end_year=2014","Ústí nad Orlicí")</f>
        <v>Ústí nad Orlicí</v>
      </c>
      <c r="H1067" s="87" t="str">
        <f>HYPERLINK("http://api.nsgreg.nga.mil/geo-division/ISO3166-2/6/ed3/CZ-534","CZ-534")</f>
        <v>CZ-534</v>
      </c>
    </row>
    <row r="1068" spans="1:8" x14ac:dyDescent="0.2">
      <c r="A1068" s="157"/>
      <c r="B1068" s="31" t="s">
        <v>5096</v>
      </c>
      <c r="C1068" s="31" t="s">
        <v>5097</v>
      </c>
      <c r="D1068" s="98" t="s">
        <v>2026</v>
      </c>
      <c r="E1068" s="99" t="b">
        <v>0</v>
      </c>
      <c r="F1068" s="106" t="s">
        <v>5098</v>
      </c>
      <c r="G1068" s="116" t="str">
        <f>HYPERLINK("http://nsgreg.nga.mil/genc/view?v=112879&amp;gencs=T&amp;end_month=3&amp;end_day=31&amp;end_year=2014","Vsetín")</f>
        <v>Vsetín</v>
      </c>
      <c r="H1068" s="87" t="str">
        <f>HYPERLINK("http://api.nsgreg.nga.mil/geo-division/ISO3166-2/6/ed3/CZ-723","CZ-723")</f>
        <v>CZ-723</v>
      </c>
    </row>
    <row r="1069" spans="1:8" x14ac:dyDescent="0.2">
      <c r="A1069" s="157"/>
      <c r="B1069" s="31" t="s">
        <v>5099</v>
      </c>
      <c r="C1069" s="31" t="s">
        <v>5100</v>
      </c>
      <c r="D1069" s="98" t="s">
        <v>2026</v>
      </c>
      <c r="E1069" s="99" t="b">
        <v>0</v>
      </c>
      <c r="F1069" s="106" t="s">
        <v>5101</v>
      </c>
      <c r="G1069" s="116" t="str">
        <f>HYPERLINK("http://nsgreg.nga.mil/genc/view?v=112870&amp;gencs=T&amp;end_month=3&amp;end_day=31&amp;end_year=2014","Vyškov")</f>
        <v>Vyškov</v>
      </c>
      <c r="H1069" s="87" t="str">
        <f>HYPERLINK("http://api.nsgreg.nga.mil/geo-division/ISO3166-2/6/ed3/CZ-626","CZ-626")</f>
        <v>CZ-626</v>
      </c>
    </row>
    <row r="1070" spans="1:8" x14ac:dyDescent="0.2">
      <c r="A1070" s="157"/>
      <c r="B1070" s="31" t="s">
        <v>5102</v>
      </c>
      <c r="C1070" s="31" t="s">
        <v>5103</v>
      </c>
      <c r="D1070" s="31" t="s">
        <v>3137</v>
      </c>
      <c r="E1070" s="61" t="b">
        <v>1</v>
      </c>
      <c r="F1070" s="106" t="s">
        <v>5104</v>
      </c>
      <c r="G1070" s="116" t="str">
        <f>HYPERLINK("http://nsgreg.nga.mil/genc/view?v=112899&amp;gencs=T&amp;end_month=3&amp;end_day=31&amp;end_year=2014","Vysočina")</f>
        <v>Vysočina</v>
      </c>
      <c r="H1070" s="87" t="str">
        <f>HYPERLINK("http://api.nsgreg.nga.mil/geo-division/ISO3166-2/6/ed3/CZ-VY","CZ-VY")</f>
        <v>CZ-VY</v>
      </c>
    </row>
    <row r="1071" spans="1:8" x14ac:dyDescent="0.2">
      <c r="A1071" s="157"/>
      <c r="B1071" s="31" t="s">
        <v>5105</v>
      </c>
      <c r="C1071" s="31" t="s">
        <v>5106</v>
      </c>
      <c r="D1071" s="98" t="s">
        <v>2026</v>
      </c>
      <c r="E1071" s="99" t="b">
        <v>0</v>
      </c>
      <c r="F1071" s="106" t="s">
        <v>5107</v>
      </c>
      <c r="G1071" s="116" t="str">
        <f>HYPERLINK("http://nsgreg.nga.mil/genc/view?v=112864&amp;gencs=T&amp;end_month=3&amp;end_day=31&amp;end_year=2014","Žd’ár nad Sázavou")</f>
        <v>Žd’ár nad Sázavou</v>
      </c>
      <c r="H1071" s="87" t="str">
        <f>HYPERLINK("http://api.nsgreg.nga.mil/geo-division/ISO3166-2/6/ed3/CZ-615","CZ-615")</f>
        <v>CZ-615</v>
      </c>
    </row>
    <row r="1072" spans="1:8" x14ac:dyDescent="0.2">
      <c r="A1072" s="157"/>
      <c r="B1072" s="31" t="s">
        <v>5108</v>
      </c>
      <c r="C1072" s="31" t="s">
        <v>5109</v>
      </c>
      <c r="D1072" s="98" t="s">
        <v>2026</v>
      </c>
      <c r="E1072" s="99" t="b">
        <v>0</v>
      </c>
      <c r="F1072" s="106" t="s">
        <v>5110</v>
      </c>
      <c r="G1072" s="116" t="str">
        <f>HYPERLINK("http://nsgreg.nga.mil/genc/view?v=112880&amp;gencs=T&amp;end_month=3&amp;end_day=31&amp;end_year=2014","Zlín")</f>
        <v>Zlín</v>
      </c>
      <c r="H1072" s="87" t="str">
        <f>HYPERLINK("http://api.nsgreg.nga.mil/geo-division/ISO3166-2/6/ed3/CZ-724","CZ-724")</f>
        <v>CZ-724</v>
      </c>
    </row>
    <row r="1073" spans="1:8" x14ac:dyDescent="0.2">
      <c r="A1073" s="157"/>
      <c r="B1073" s="31" t="s">
        <v>5111</v>
      </c>
      <c r="C1073" s="31" t="s">
        <v>5112</v>
      </c>
      <c r="D1073" s="31" t="s">
        <v>3137</v>
      </c>
      <c r="E1073" s="61" t="b">
        <v>1</v>
      </c>
      <c r="F1073" s="107" t="s">
        <v>5113</v>
      </c>
      <c r="G1073" s="116" t="str">
        <f>HYPERLINK("http://nsgreg.nga.mil/genc/view?v=201065&amp;end_month=3&amp;end_day=31&amp;end_year=2014","Zlínský Kraj")</f>
        <v>Zlínský Kraj</v>
      </c>
      <c r="H1073" s="87" t="str">
        <f>HYPERLINK("http://api.nsgreg.nga.mil/geo-division/GENC/6/ed2/CZ-ZL","CZ-ZL")</f>
        <v>CZ-ZL</v>
      </c>
    </row>
    <row r="1074" spans="1:8" x14ac:dyDescent="0.2">
      <c r="A1074" s="158"/>
      <c r="B1074" s="58" t="s">
        <v>5114</v>
      </c>
      <c r="C1074" s="58" t="s">
        <v>5115</v>
      </c>
      <c r="D1074" s="100" t="s">
        <v>2026</v>
      </c>
      <c r="E1074" s="101" t="b">
        <v>0</v>
      </c>
      <c r="F1074" s="108" t="s">
        <v>5116</v>
      </c>
      <c r="G1074" s="117" t="str">
        <f>HYPERLINK("http://nsgreg.nga.mil/genc/view?v=112871&amp;gencs=T&amp;end_month=3&amp;end_day=31&amp;end_year=2014","Znojmo")</f>
        <v>Znojmo</v>
      </c>
      <c r="H1074" s="89" t="str">
        <f>HYPERLINK("http://api.nsgreg.nga.mil/geo-division/ISO3166-2/6/ed3/CZ-627","CZ-627")</f>
        <v>CZ-627</v>
      </c>
    </row>
    <row r="1075" spans="1:8" x14ac:dyDescent="0.2">
      <c r="A1075" s="156" t="str">
        <f>HYPERLINK("[#]Geopolitical_Entities!A70:I70","DENMARK")</f>
        <v>DENMARK</v>
      </c>
      <c r="B1075" s="52" t="s">
        <v>5117</v>
      </c>
      <c r="C1075" s="52" t="s">
        <v>5118</v>
      </c>
      <c r="D1075" s="52" t="s">
        <v>3137</v>
      </c>
      <c r="E1075" s="60" t="b">
        <v>1</v>
      </c>
      <c r="F1075" s="110" t="s">
        <v>5119</v>
      </c>
      <c r="G1075" s="118" t="str">
        <f>HYPERLINK("http://nsgreg.nga.mil/genc/view?v=201075&amp;end_month=3&amp;end_day=31&amp;end_year=2014","Hovedstaden")</f>
        <v>Hovedstaden</v>
      </c>
      <c r="H1075" s="91" t="str">
        <f>HYPERLINK("http://api.nsgreg.nga.mil/geo-division/GENC/6/ed2/DK-84","DK-84")</f>
        <v>DK-84</v>
      </c>
    </row>
    <row r="1076" spans="1:8" x14ac:dyDescent="0.2">
      <c r="A1076" s="157"/>
      <c r="B1076" s="31" t="s">
        <v>5120</v>
      </c>
      <c r="C1076" s="31" t="s">
        <v>5121</v>
      </c>
      <c r="D1076" s="31" t="s">
        <v>3137</v>
      </c>
      <c r="E1076" s="61" t="b">
        <v>1</v>
      </c>
      <c r="F1076" s="107" t="s">
        <v>5122</v>
      </c>
      <c r="G1076" s="116" t="str">
        <f>HYPERLINK("http://nsgreg.nga.mil/genc/view?v=201073&amp;end_month=3&amp;end_day=31&amp;end_year=2014","Midtjylland")</f>
        <v>Midtjylland</v>
      </c>
      <c r="H1076" s="87" t="str">
        <f>HYPERLINK("http://api.nsgreg.nga.mil/geo-division/GENC/6/ed2/DK-82","DK-82")</f>
        <v>DK-82</v>
      </c>
    </row>
    <row r="1077" spans="1:8" x14ac:dyDescent="0.2">
      <c r="A1077" s="157"/>
      <c r="B1077" s="31" t="s">
        <v>5123</v>
      </c>
      <c r="C1077" s="31" t="s">
        <v>5124</v>
      </c>
      <c r="D1077" s="31" t="s">
        <v>3137</v>
      </c>
      <c r="E1077" s="61" t="b">
        <v>1</v>
      </c>
      <c r="F1077" s="107" t="s">
        <v>5125</v>
      </c>
      <c r="G1077" s="116" t="str">
        <f>HYPERLINK("http://nsgreg.nga.mil/genc/view?v=201072&amp;end_month=3&amp;end_day=31&amp;end_year=2014","Nordjylland")</f>
        <v>Nordjylland</v>
      </c>
      <c r="H1077" s="87" t="str">
        <f>HYPERLINK("http://api.nsgreg.nga.mil/geo-division/GENC/6/ed2/DK-81","DK-81")</f>
        <v>DK-81</v>
      </c>
    </row>
    <row r="1078" spans="1:8" x14ac:dyDescent="0.2">
      <c r="A1078" s="157"/>
      <c r="B1078" s="31" t="s">
        <v>5126</v>
      </c>
      <c r="C1078" s="31" t="s">
        <v>5127</v>
      </c>
      <c r="D1078" s="31" t="s">
        <v>3137</v>
      </c>
      <c r="E1078" s="61" t="b">
        <v>1</v>
      </c>
      <c r="F1078" s="107" t="s">
        <v>5128</v>
      </c>
      <c r="G1078" s="116" t="str">
        <f>HYPERLINK("http://nsgreg.nga.mil/genc/view?v=201076&amp;end_month=3&amp;end_day=31&amp;end_year=2014","Sjælland")</f>
        <v>Sjælland</v>
      </c>
      <c r="H1078" s="87" t="str">
        <f>HYPERLINK("http://api.nsgreg.nga.mil/geo-division/GENC/6/ed2/DK-85","DK-85")</f>
        <v>DK-85</v>
      </c>
    </row>
    <row r="1079" spans="1:8" x14ac:dyDescent="0.2">
      <c r="A1079" s="158"/>
      <c r="B1079" s="58" t="s">
        <v>5129</v>
      </c>
      <c r="C1079" s="58" t="s">
        <v>5130</v>
      </c>
      <c r="D1079" s="58" t="s">
        <v>3137</v>
      </c>
      <c r="E1079" s="62" t="b">
        <v>1</v>
      </c>
      <c r="F1079" s="111" t="s">
        <v>5131</v>
      </c>
      <c r="G1079" s="117" t="str">
        <f>HYPERLINK("http://nsgreg.nga.mil/genc/view?v=201074&amp;end_month=3&amp;end_day=31&amp;end_year=2014","Syddanmark")</f>
        <v>Syddanmark</v>
      </c>
      <c r="H1079" s="89" t="str">
        <f>HYPERLINK("http://api.nsgreg.nga.mil/geo-division/GENC/6/ed2/DK-83","DK-83")</f>
        <v>DK-83</v>
      </c>
    </row>
    <row r="1080" spans="1:8" x14ac:dyDescent="0.2">
      <c r="A1080" s="156" t="str">
        <f>HYPERLINK("[#]Geopolitical_Entities!A73:I73","DJIBOUTI")</f>
        <v>DJIBOUTI</v>
      </c>
      <c r="B1080" s="52" t="s">
        <v>5132</v>
      </c>
      <c r="C1080" s="52" t="s">
        <v>5133</v>
      </c>
      <c r="D1080" s="52" t="s">
        <v>3137</v>
      </c>
      <c r="E1080" s="60" t="b">
        <v>1</v>
      </c>
      <c r="F1080" s="110" t="s">
        <v>5134</v>
      </c>
      <c r="G1080" s="118" t="str">
        <f>HYPERLINK("http://nsgreg.nga.mil/genc/view?v=201067&amp;end_month=3&amp;end_day=31&amp;end_year=2014","Ali Sabieh")</f>
        <v>Ali Sabieh</v>
      </c>
      <c r="H1080" s="91" t="str">
        <f>HYPERLINK("http://api.nsgreg.nga.mil/geo-division/GENC/6/ed2/DJ-AS","DJ-AS")</f>
        <v>DJ-AS</v>
      </c>
    </row>
    <row r="1081" spans="1:8" x14ac:dyDescent="0.2">
      <c r="A1081" s="157"/>
      <c r="B1081" s="31" t="s">
        <v>5135</v>
      </c>
      <c r="C1081" s="31" t="s">
        <v>5136</v>
      </c>
      <c r="D1081" s="31" t="s">
        <v>3137</v>
      </c>
      <c r="E1081" s="61" t="b">
        <v>1</v>
      </c>
      <c r="F1081" s="107" t="s">
        <v>5137</v>
      </c>
      <c r="G1081" s="116" t="str">
        <f>HYPERLINK("http://nsgreg.nga.mil/genc/view?v=201066&amp;end_month=3&amp;end_day=31&amp;end_year=2014","Arta")</f>
        <v>Arta</v>
      </c>
      <c r="H1081" s="87" t="str">
        <f>HYPERLINK("http://api.nsgreg.nga.mil/geo-division/GENC/6/ed2/DJ-AR","DJ-AR")</f>
        <v>DJ-AR</v>
      </c>
    </row>
    <row r="1082" spans="1:8" x14ac:dyDescent="0.2">
      <c r="A1082" s="157"/>
      <c r="B1082" s="31" t="s">
        <v>5138</v>
      </c>
      <c r="C1082" s="31" t="s">
        <v>5139</v>
      </c>
      <c r="D1082" s="31" t="s">
        <v>3137</v>
      </c>
      <c r="E1082" s="61" t="b">
        <v>1</v>
      </c>
      <c r="F1082" s="107" t="s">
        <v>5140</v>
      </c>
      <c r="G1082" s="116" t="str">
        <f>HYPERLINK("http://nsgreg.nga.mil/genc/view?v=201068&amp;end_month=3&amp;end_day=31&amp;end_year=2014","Dikhil")</f>
        <v>Dikhil</v>
      </c>
      <c r="H1082" s="87" t="str">
        <f>HYPERLINK("http://api.nsgreg.nga.mil/geo-division/GENC/6/ed2/DJ-DI","DJ-DI")</f>
        <v>DJ-DI</v>
      </c>
    </row>
    <row r="1083" spans="1:8" x14ac:dyDescent="0.2">
      <c r="A1083" s="157"/>
      <c r="B1083" s="31" t="s">
        <v>5141</v>
      </c>
      <c r="C1083" s="31" t="s">
        <v>540</v>
      </c>
      <c r="D1083" s="31" t="s">
        <v>2405</v>
      </c>
      <c r="E1083" s="61" t="b">
        <v>1</v>
      </c>
      <c r="F1083" s="107" t="s">
        <v>5142</v>
      </c>
      <c r="G1083" s="116" t="str">
        <f>HYPERLINK("http://nsgreg.nga.mil/genc/view?v=201069&amp;end_month=3&amp;end_day=31&amp;end_year=2014","Djibouti")</f>
        <v>Djibouti</v>
      </c>
      <c r="H1083" s="87" t="str">
        <f>HYPERLINK("http://api.nsgreg.nga.mil/geo-division/GENC/6/ed2/DJ-DJ","DJ-DJ")</f>
        <v>DJ-DJ</v>
      </c>
    </row>
    <row r="1084" spans="1:8" x14ac:dyDescent="0.2">
      <c r="A1084" s="157"/>
      <c r="B1084" s="31" t="s">
        <v>5143</v>
      </c>
      <c r="C1084" s="31" t="s">
        <v>5144</v>
      </c>
      <c r="D1084" s="31" t="s">
        <v>3137</v>
      </c>
      <c r="E1084" s="61" t="b">
        <v>1</v>
      </c>
      <c r="F1084" s="107" t="s">
        <v>5145</v>
      </c>
      <c r="G1084" s="116" t="str">
        <f>HYPERLINK("http://nsgreg.nga.mil/genc/view?v=201070&amp;end_month=3&amp;end_day=31&amp;end_year=2014","Obock")</f>
        <v>Obock</v>
      </c>
      <c r="H1084" s="87" t="str">
        <f>HYPERLINK("http://api.nsgreg.nga.mil/geo-division/GENC/6/ed2/DJ-OB","DJ-OB")</f>
        <v>DJ-OB</v>
      </c>
    </row>
    <row r="1085" spans="1:8" x14ac:dyDescent="0.2">
      <c r="A1085" s="158"/>
      <c r="B1085" s="58" t="s">
        <v>5146</v>
      </c>
      <c r="C1085" s="58" t="s">
        <v>5147</v>
      </c>
      <c r="D1085" s="58" t="s">
        <v>3137</v>
      </c>
      <c r="E1085" s="62" t="b">
        <v>1</v>
      </c>
      <c r="F1085" s="111" t="s">
        <v>5148</v>
      </c>
      <c r="G1085" s="117" t="str">
        <f>HYPERLINK("http://nsgreg.nga.mil/genc/view?v=201071&amp;end_month=3&amp;end_day=31&amp;end_year=2014","Tadjourah")</f>
        <v>Tadjourah</v>
      </c>
      <c r="H1085" s="89" t="str">
        <f>HYPERLINK("http://api.nsgreg.nga.mil/geo-division/GENC/6/ed2/DJ-TA","DJ-TA")</f>
        <v>DJ-TA</v>
      </c>
    </row>
    <row r="1086" spans="1:8" x14ac:dyDescent="0.2">
      <c r="A1086" s="156" t="str">
        <f>HYPERLINK("[#]Geopolitical_Entities!A74:I74","DOMINICA")</f>
        <v>DOMINICA</v>
      </c>
      <c r="B1086" s="52" t="s">
        <v>5149</v>
      </c>
      <c r="C1086" s="52" t="s">
        <v>3110</v>
      </c>
      <c r="D1086" s="52" t="s">
        <v>2301</v>
      </c>
      <c r="E1086" s="60" t="b">
        <v>1</v>
      </c>
      <c r="F1086" s="109" t="s">
        <v>5150</v>
      </c>
      <c r="G1086" s="118" t="str">
        <f>HYPERLINK("http://nsgreg.nga.mil/genc/view?v=112928&amp;gencs=T&amp;end_month=3&amp;end_day=31&amp;end_year=2014","Saint Andrew")</f>
        <v>Saint Andrew</v>
      </c>
      <c r="H1086" s="91" t="str">
        <f>HYPERLINK("http://api.nsgreg.nga.mil/geo-division/ISO3166-2/6/ed3/DM-02","DM-02")</f>
        <v>DM-02</v>
      </c>
    </row>
    <row r="1087" spans="1:8" x14ac:dyDescent="0.2">
      <c r="A1087" s="157"/>
      <c r="B1087" s="31" t="s">
        <v>5151</v>
      </c>
      <c r="C1087" s="31" t="s">
        <v>5152</v>
      </c>
      <c r="D1087" s="31" t="s">
        <v>2301</v>
      </c>
      <c r="E1087" s="61" t="b">
        <v>1</v>
      </c>
      <c r="F1087" s="106" t="s">
        <v>5153</v>
      </c>
      <c r="G1087" s="116" t="str">
        <f>HYPERLINK("http://nsgreg.nga.mil/genc/view?v=112929&amp;gencs=T&amp;end_month=3&amp;end_day=31&amp;end_year=2014","Saint David")</f>
        <v>Saint David</v>
      </c>
      <c r="H1087" s="87" t="str">
        <f>HYPERLINK("http://api.nsgreg.nga.mil/geo-division/ISO3166-2/6/ed3/DM-03","DM-03")</f>
        <v>DM-03</v>
      </c>
    </row>
    <row r="1088" spans="1:8" x14ac:dyDescent="0.2">
      <c r="A1088" s="157"/>
      <c r="B1088" s="31" t="s">
        <v>5154</v>
      </c>
      <c r="C1088" s="31" t="s">
        <v>2383</v>
      </c>
      <c r="D1088" s="31" t="s">
        <v>2301</v>
      </c>
      <c r="E1088" s="61" t="b">
        <v>1</v>
      </c>
      <c r="F1088" s="106" t="s">
        <v>5155</v>
      </c>
      <c r="G1088" s="116" t="str">
        <f>HYPERLINK("http://nsgreg.nga.mil/genc/view?v=112930&amp;gencs=T&amp;end_month=3&amp;end_day=31&amp;end_year=2014","Saint George")</f>
        <v>Saint George</v>
      </c>
      <c r="H1088" s="87" t="str">
        <f>HYPERLINK("http://api.nsgreg.nga.mil/geo-division/ISO3166-2/6/ed3/DM-04","DM-04")</f>
        <v>DM-04</v>
      </c>
    </row>
    <row r="1089" spans="1:8" x14ac:dyDescent="0.2">
      <c r="A1089" s="157"/>
      <c r="B1089" s="31" t="s">
        <v>5156</v>
      </c>
      <c r="C1089" s="31" t="s">
        <v>2386</v>
      </c>
      <c r="D1089" s="31" t="s">
        <v>2301</v>
      </c>
      <c r="E1089" s="61" t="b">
        <v>1</v>
      </c>
      <c r="F1089" s="106" t="s">
        <v>5157</v>
      </c>
      <c r="G1089" s="116" t="str">
        <f>HYPERLINK("http://nsgreg.nga.mil/genc/view?v=112931&amp;gencs=T&amp;end_month=3&amp;end_day=31&amp;end_year=2014","Saint John")</f>
        <v>Saint John</v>
      </c>
      <c r="H1089" s="87" t="str">
        <f>HYPERLINK("http://api.nsgreg.nga.mil/geo-division/ISO3166-2/6/ed3/DM-05","DM-05")</f>
        <v>DM-05</v>
      </c>
    </row>
    <row r="1090" spans="1:8" x14ac:dyDescent="0.2">
      <c r="A1090" s="157"/>
      <c r="B1090" s="31" t="s">
        <v>5158</v>
      </c>
      <c r="C1090" s="31" t="s">
        <v>3120</v>
      </c>
      <c r="D1090" s="31" t="s">
        <v>2301</v>
      </c>
      <c r="E1090" s="61" t="b">
        <v>1</v>
      </c>
      <c r="F1090" s="106" t="s">
        <v>5159</v>
      </c>
      <c r="G1090" s="116" t="str">
        <f>HYPERLINK("http://nsgreg.nga.mil/genc/view?v=112932&amp;gencs=T&amp;end_month=3&amp;end_day=31&amp;end_year=2014","Saint Joseph")</f>
        <v>Saint Joseph</v>
      </c>
      <c r="H1090" s="87" t="str">
        <f>HYPERLINK("http://api.nsgreg.nga.mil/geo-division/ISO3166-2/6/ed3/DM-06","DM-06")</f>
        <v>DM-06</v>
      </c>
    </row>
    <row r="1091" spans="1:8" x14ac:dyDescent="0.2">
      <c r="A1091" s="157"/>
      <c r="B1091" s="31" t="s">
        <v>5160</v>
      </c>
      <c r="C1091" s="31" t="s">
        <v>5161</v>
      </c>
      <c r="D1091" s="31" t="s">
        <v>2301</v>
      </c>
      <c r="E1091" s="61" t="b">
        <v>1</v>
      </c>
      <c r="F1091" s="106" t="s">
        <v>5162</v>
      </c>
      <c r="G1091" s="116" t="str">
        <f>HYPERLINK("http://nsgreg.nga.mil/genc/view?v=112933&amp;gencs=T&amp;end_month=3&amp;end_day=31&amp;end_year=2014","Saint Luke")</f>
        <v>Saint Luke</v>
      </c>
      <c r="H1091" s="87" t="str">
        <f>HYPERLINK("http://api.nsgreg.nga.mil/geo-division/ISO3166-2/6/ed3/DM-07","DM-07")</f>
        <v>DM-07</v>
      </c>
    </row>
    <row r="1092" spans="1:8" x14ac:dyDescent="0.2">
      <c r="A1092" s="157"/>
      <c r="B1092" s="31" t="s">
        <v>5163</v>
      </c>
      <c r="C1092" s="31" t="s">
        <v>5164</v>
      </c>
      <c r="D1092" s="31" t="s">
        <v>2301</v>
      </c>
      <c r="E1092" s="61" t="b">
        <v>1</v>
      </c>
      <c r="F1092" s="106" t="s">
        <v>5165</v>
      </c>
      <c r="G1092" s="116" t="str">
        <f>HYPERLINK("http://nsgreg.nga.mil/genc/view?v=112934&amp;gencs=T&amp;end_month=3&amp;end_day=31&amp;end_year=2014","Saint Mark")</f>
        <v>Saint Mark</v>
      </c>
      <c r="H1092" s="87" t="str">
        <f>HYPERLINK("http://api.nsgreg.nga.mil/geo-division/ISO3166-2/6/ed3/DM-08","DM-08")</f>
        <v>DM-08</v>
      </c>
    </row>
    <row r="1093" spans="1:8" x14ac:dyDescent="0.2">
      <c r="A1093" s="157"/>
      <c r="B1093" s="31" t="s">
        <v>5166</v>
      </c>
      <c r="C1093" s="31" t="s">
        <v>5167</v>
      </c>
      <c r="D1093" s="31" t="s">
        <v>2301</v>
      </c>
      <c r="E1093" s="61" t="b">
        <v>1</v>
      </c>
      <c r="F1093" s="106" t="s">
        <v>5168</v>
      </c>
      <c r="G1093" s="116" t="str">
        <f>HYPERLINK("http://nsgreg.nga.mil/genc/view?v=112935&amp;gencs=T&amp;end_month=3&amp;end_day=31&amp;end_year=2014","Saint Patrick")</f>
        <v>Saint Patrick</v>
      </c>
      <c r="H1093" s="87" t="str">
        <f>HYPERLINK("http://api.nsgreg.nga.mil/geo-division/ISO3166-2/6/ed3/DM-09","DM-09")</f>
        <v>DM-09</v>
      </c>
    </row>
    <row r="1094" spans="1:8" x14ac:dyDescent="0.2">
      <c r="A1094" s="157"/>
      <c r="B1094" s="31" t="s">
        <v>5169</v>
      </c>
      <c r="C1094" s="31" t="s">
        <v>2392</v>
      </c>
      <c r="D1094" s="31" t="s">
        <v>2301</v>
      </c>
      <c r="E1094" s="61" t="b">
        <v>1</v>
      </c>
      <c r="F1094" s="106" t="s">
        <v>5170</v>
      </c>
      <c r="G1094" s="116" t="str">
        <f>HYPERLINK("http://nsgreg.nga.mil/genc/view?v=112936&amp;gencs=T&amp;end_month=3&amp;end_day=31&amp;end_year=2014","Saint Paul")</f>
        <v>Saint Paul</v>
      </c>
      <c r="H1094" s="87" t="str">
        <f>HYPERLINK("http://api.nsgreg.nga.mil/geo-division/ISO3166-2/6/ed3/DM-10","DM-10")</f>
        <v>DM-10</v>
      </c>
    </row>
    <row r="1095" spans="1:8" x14ac:dyDescent="0.2">
      <c r="A1095" s="158"/>
      <c r="B1095" s="58" t="s">
        <v>5171</v>
      </c>
      <c r="C1095" s="58" t="s">
        <v>2395</v>
      </c>
      <c r="D1095" s="58" t="s">
        <v>2301</v>
      </c>
      <c r="E1095" s="62" t="b">
        <v>1</v>
      </c>
      <c r="F1095" s="108" t="s">
        <v>5172</v>
      </c>
      <c r="G1095" s="117" t="str">
        <f>HYPERLINK("http://nsgreg.nga.mil/genc/view?v=112937&amp;gencs=T&amp;end_month=3&amp;end_day=31&amp;end_year=2014","Saint Peter")</f>
        <v>Saint Peter</v>
      </c>
      <c r="H1095" s="89" t="str">
        <f>HYPERLINK("http://api.nsgreg.nga.mil/geo-division/ISO3166-2/6/ed3/DM-11","DM-11")</f>
        <v>DM-11</v>
      </c>
    </row>
    <row r="1096" spans="1:8" x14ac:dyDescent="0.2">
      <c r="A1096" s="156" t="str">
        <f>HYPERLINK("[#]Geopolitical_Entities!A75:I75","DOMINICAN REPUBLIC")</f>
        <v>DOMINICAN REPUBLIC</v>
      </c>
      <c r="B1096" s="52" t="s">
        <v>5173</v>
      </c>
      <c r="C1096" s="52" t="s">
        <v>5174</v>
      </c>
      <c r="D1096" s="102" t="s">
        <v>1920</v>
      </c>
      <c r="E1096" s="103" t="b">
        <v>0</v>
      </c>
      <c r="F1096" s="109" t="s">
        <v>5175</v>
      </c>
      <c r="G1096" s="118" t="str">
        <f>HYPERLINK("http://nsgreg.nga.mil/genc/view?v=112939&amp;gencs=T&amp;end_month=3&amp;end_day=31&amp;end_year=2014","Azua")</f>
        <v>Azua</v>
      </c>
      <c r="H1096" s="91" t="str">
        <f>HYPERLINK("http://api.nsgreg.nga.mil/geo-division/ISO3166-2/6/ed3/DO-02","DO-02")</f>
        <v>DO-02</v>
      </c>
    </row>
    <row r="1097" spans="1:8" x14ac:dyDescent="0.2">
      <c r="A1097" s="157"/>
      <c r="B1097" s="31" t="s">
        <v>5176</v>
      </c>
      <c r="C1097" s="31" t="s">
        <v>5177</v>
      </c>
      <c r="D1097" s="98" t="s">
        <v>1920</v>
      </c>
      <c r="E1097" s="99" t="b">
        <v>0</v>
      </c>
      <c r="F1097" s="107" t="s">
        <v>5178</v>
      </c>
      <c r="G1097" s="116" t="str">
        <f>HYPERLINK("http://nsgreg.nga.mil/genc/view?v=201734&amp;end_month=3&amp;end_day=31&amp;end_year=2014","Baoruco")</f>
        <v>Baoruco</v>
      </c>
      <c r="H1097" s="87" t="str">
        <f>HYPERLINK("http://api.nsgreg.nga.mil/geo-division/GENC/6/ed2/DO-03","DO-03")</f>
        <v>DO-03</v>
      </c>
    </row>
    <row r="1098" spans="1:8" x14ac:dyDescent="0.2">
      <c r="A1098" s="157"/>
      <c r="B1098" s="31" t="s">
        <v>5179</v>
      </c>
      <c r="C1098" s="31" t="s">
        <v>5180</v>
      </c>
      <c r="D1098" s="98" t="s">
        <v>1920</v>
      </c>
      <c r="E1098" s="99" t="b">
        <v>0</v>
      </c>
      <c r="F1098" s="106" t="s">
        <v>5181</v>
      </c>
      <c r="G1098" s="116" t="str">
        <f>HYPERLINK("http://nsgreg.nga.mil/genc/view?v=112941&amp;gencs=T&amp;end_month=3&amp;end_day=31&amp;end_year=2014","Barahona")</f>
        <v>Barahona</v>
      </c>
      <c r="H1098" s="87" t="str">
        <f>HYPERLINK("http://api.nsgreg.nga.mil/geo-division/ISO3166-2/6/ed3/DO-04","DO-04")</f>
        <v>DO-04</v>
      </c>
    </row>
    <row r="1099" spans="1:8" x14ac:dyDescent="0.2">
      <c r="A1099" s="157"/>
      <c r="B1099" s="31" t="s">
        <v>5182</v>
      </c>
      <c r="C1099" s="31" t="s">
        <v>5183</v>
      </c>
      <c r="D1099" s="31" t="s">
        <v>3137</v>
      </c>
      <c r="E1099" s="61" t="b">
        <v>1</v>
      </c>
      <c r="F1099" s="107" t="s">
        <v>5184</v>
      </c>
      <c r="G1099" s="116" t="str">
        <f>HYPERLINK("http://nsgreg.nga.mil/genc/view?v=204540&amp;end_month=3&amp;end_day=31&amp;end_year=2014","Cibao Nordeste")</f>
        <v>Cibao Nordeste</v>
      </c>
      <c r="H1099" s="87" t="str">
        <f>HYPERLINK("http://api.nsgreg.nga.mil/geo-division/GENC/6/ed2/DO-33","DO-33")</f>
        <v>DO-33</v>
      </c>
    </row>
    <row r="1100" spans="1:8" x14ac:dyDescent="0.2">
      <c r="A1100" s="157"/>
      <c r="B1100" s="31" t="s">
        <v>5185</v>
      </c>
      <c r="C1100" s="31" t="s">
        <v>5186</v>
      </c>
      <c r="D1100" s="31" t="s">
        <v>3137</v>
      </c>
      <c r="E1100" s="61" t="b">
        <v>1</v>
      </c>
      <c r="F1100" s="107" t="s">
        <v>5187</v>
      </c>
      <c r="G1100" s="116" t="str">
        <f>HYPERLINK("http://nsgreg.nga.mil/genc/view?v=204541&amp;end_month=3&amp;end_day=31&amp;end_year=2014","Cibao Noroeste")</f>
        <v>Cibao Noroeste</v>
      </c>
      <c r="H1100" s="87" t="str">
        <f>HYPERLINK("http://api.nsgreg.nga.mil/geo-division/GENC/6/ed2/DO-34","DO-34")</f>
        <v>DO-34</v>
      </c>
    </row>
    <row r="1101" spans="1:8" x14ac:dyDescent="0.2">
      <c r="A1101" s="157"/>
      <c r="B1101" s="31" t="s">
        <v>5188</v>
      </c>
      <c r="C1101" s="31" t="s">
        <v>5189</v>
      </c>
      <c r="D1101" s="31" t="s">
        <v>3137</v>
      </c>
      <c r="E1101" s="61" t="b">
        <v>1</v>
      </c>
      <c r="F1101" s="107" t="s">
        <v>5190</v>
      </c>
      <c r="G1101" s="116" t="str">
        <f>HYPERLINK("http://nsgreg.nga.mil/genc/view?v=204542&amp;end_month=3&amp;end_day=31&amp;end_year=2014","Cibao Norte")</f>
        <v>Cibao Norte</v>
      </c>
      <c r="H1101" s="87" t="str">
        <f>HYPERLINK("http://api.nsgreg.nga.mil/geo-division/GENC/6/ed2/DO-35","DO-35")</f>
        <v>DO-35</v>
      </c>
    </row>
    <row r="1102" spans="1:8" x14ac:dyDescent="0.2">
      <c r="A1102" s="157"/>
      <c r="B1102" s="31" t="s">
        <v>5191</v>
      </c>
      <c r="C1102" s="31" t="s">
        <v>5192</v>
      </c>
      <c r="D1102" s="31" t="s">
        <v>3137</v>
      </c>
      <c r="E1102" s="61" t="b">
        <v>1</v>
      </c>
      <c r="F1102" s="107" t="s">
        <v>5193</v>
      </c>
      <c r="G1102" s="116" t="str">
        <f>HYPERLINK("http://nsgreg.nga.mil/genc/view?v=204543&amp;end_month=3&amp;end_day=31&amp;end_year=2014","Cibao Sur")</f>
        <v>Cibao Sur</v>
      </c>
      <c r="H1102" s="87" t="str">
        <f>HYPERLINK("http://api.nsgreg.nga.mil/geo-division/GENC/6/ed2/DO-36","DO-36")</f>
        <v>DO-36</v>
      </c>
    </row>
    <row r="1103" spans="1:8" x14ac:dyDescent="0.2">
      <c r="A1103" s="157"/>
      <c r="B1103" s="31" t="s">
        <v>5194</v>
      </c>
      <c r="C1103" s="31" t="s">
        <v>5195</v>
      </c>
      <c r="D1103" s="98" t="s">
        <v>1920</v>
      </c>
      <c r="E1103" s="99" t="b">
        <v>0</v>
      </c>
      <c r="F1103" s="106" t="s">
        <v>5196</v>
      </c>
      <c r="G1103" s="116" t="str">
        <f>HYPERLINK("http://nsgreg.nga.mil/genc/view?v=112942&amp;gencs=T&amp;end_month=3&amp;end_day=31&amp;end_year=2014","Dajabón")</f>
        <v>Dajabón</v>
      </c>
      <c r="H1103" s="87" t="str">
        <f>HYPERLINK("http://api.nsgreg.nga.mil/geo-division/ISO3166-2/6/ed3/DO-05","DO-05")</f>
        <v>DO-05</v>
      </c>
    </row>
    <row r="1104" spans="1:8" x14ac:dyDescent="0.2">
      <c r="A1104" s="157"/>
      <c r="B1104" s="31" t="s">
        <v>5197</v>
      </c>
      <c r="C1104" s="31" t="s">
        <v>5198</v>
      </c>
      <c r="D1104" s="98" t="s">
        <v>2026</v>
      </c>
      <c r="E1104" s="99" t="b">
        <v>0</v>
      </c>
      <c r="F1104" s="107" t="s">
        <v>5199</v>
      </c>
      <c r="G1104" s="116" t="str">
        <f>HYPERLINK("http://nsgreg.nga.mil/genc/view?v=201077&amp;end_month=3&amp;end_day=31&amp;end_year=2014","Distrito Nacional")</f>
        <v>Distrito Nacional</v>
      </c>
      <c r="H1104" s="87" t="str">
        <f>HYPERLINK("http://api.nsgreg.nga.mil/geo-division/GENC/6/ed2/DO-01","DO-01")</f>
        <v>DO-01</v>
      </c>
    </row>
    <row r="1105" spans="1:8" x14ac:dyDescent="0.2">
      <c r="A1105" s="157"/>
      <c r="B1105" s="31" t="s">
        <v>5200</v>
      </c>
      <c r="C1105" s="31" t="s">
        <v>5201</v>
      </c>
      <c r="D1105" s="98" t="s">
        <v>1920</v>
      </c>
      <c r="E1105" s="99" t="b">
        <v>0</v>
      </c>
      <c r="F1105" s="106" t="s">
        <v>5202</v>
      </c>
      <c r="G1105" s="116" t="str">
        <f>HYPERLINK("http://nsgreg.nga.mil/genc/view?v=112943&amp;gencs=T&amp;end_month=3&amp;end_day=31&amp;end_year=2014","Duarte")</f>
        <v>Duarte</v>
      </c>
      <c r="H1105" s="87" t="str">
        <f>HYPERLINK("http://api.nsgreg.nga.mil/geo-division/ISO3166-2/6/ed3/DO-06","DO-06")</f>
        <v>DO-06</v>
      </c>
    </row>
    <row r="1106" spans="1:8" x14ac:dyDescent="0.2">
      <c r="A1106" s="157"/>
      <c r="B1106" s="31" t="s">
        <v>5203</v>
      </c>
      <c r="C1106" s="31" t="s">
        <v>5204</v>
      </c>
      <c r="D1106" s="98" t="s">
        <v>1920</v>
      </c>
      <c r="E1106" s="99" t="b">
        <v>0</v>
      </c>
      <c r="F1106" s="107" t="s">
        <v>5205</v>
      </c>
      <c r="G1106" s="116" t="str">
        <f>HYPERLINK("http://nsgreg.nga.mil/genc/view?v=201079&amp;end_month=3&amp;end_day=31&amp;end_year=2014","El Seibo")</f>
        <v>El Seibo</v>
      </c>
      <c r="H1106" s="87" t="str">
        <f>HYPERLINK("http://api.nsgreg.nga.mil/geo-division/GENC/6/ed2/DO-08","DO-08")</f>
        <v>DO-08</v>
      </c>
    </row>
    <row r="1107" spans="1:8" x14ac:dyDescent="0.2">
      <c r="A1107" s="157"/>
      <c r="B1107" s="31" t="s">
        <v>5206</v>
      </c>
      <c r="C1107" s="31" t="s">
        <v>5207</v>
      </c>
      <c r="D1107" s="98" t="s">
        <v>1920</v>
      </c>
      <c r="E1107" s="99" t="b">
        <v>0</v>
      </c>
      <c r="F1107" s="107" t="s">
        <v>5208</v>
      </c>
      <c r="G1107" s="116" t="str">
        <f>HYPERLINK("http://nsgreg.nga.mil/genc/view?v=201078&amp;end_month=3&amp;end_day=31&amp;end_year=2014","Elías Piña")</f>
        <v>Elías Piña</v>
      </c>
      <c r="H1107" s="87" t="str">
        <f>HYPERLINK("http://api.nsgreg.nga.mil/geo-division/GENC/6/ed2/DO-07","DO-07")</f>
        <v>DO-07</v>
      </c>
    </row>
    <row r="1108" spans="1:8" x14ac:dyDescent="0.2">
      <c r="A1108" s="157"/>
      <c r="B1108" s="31" t="s">
        <v>5209</v>
      </c>
      <c r="C1108" s="31" t="s">
        <v>5210</v>
      </c>
      <c r="D1108" s="31" t="s">
        <v>3137</v>
      </c>
      <c r="E1108" s="61" t="b">
        <v>1</v>
      </c>
      <c r="F1108" s="107" t="s">
        <v>5211</v>
      </c>
      <c r="G1108" s="116" t="str">
        <f>HYPERLINK("http://nsgreg.nga.mil/genc/view?v=204544&amp;end_month=3&amp;end_day=31&amp;end_year=2014","El Valle")</f>
        <v>El Valle</v>
      </c>
      <c r="H1108" s="87" t="str">
        <f>HYPERLINK("http://api.nsgreg.nga.mil/geo-division/GENC/6/ed2/DO-37","DO-37")</f>
        <v>DO-37</v>
      </c>
    </row>
    <row r="1109" spans="1:8" x14ac:dyDescent="0.2">
      <c r="A1109" s="157"/>
      <c r="B1109" s="31" t="s">
        <v>5212</v>
      </c>
      <c r="C1109" s="31" t="s">
        <v>5213</v>
      </c>
      <c r="D1109" s="31" t="s">
        <v>3137</v>
      </c>
      <c r="E1109" s="61" t="b">
        <v>1</v>
      </c>
      <c r="F1109" s="107" t="s">
        <v>5214</v>
      </c>
      <c r="G1109" s="116" t="str">
        <f>HYPERLINK("http://nsgreg.nga.mil/genc/view?v=204545&amp;end_month=3&amp;end_day=31&amp;end_year=2014","Enriquillo")</f>
        <v>Enriquillo</v>
      </c>
      <c r="H1109" s="87" t="str">
        <f>HYPERLINK("http://api.nsgreg.nga.mil/geo-division/GENC/6/ed2/DO-38","DO-38")</f>
        <v>DO-38</v>
      </c>
    </row>
    <row r="1110" spans="1:8" x14ac:dyDescent="0.2">
      <c r="A1110" s="157"/>
      <c r="B1110" s="31" t="s">
        <v>5215</v>
      </c>
      <c r="C1110" s="31" t="s">
        <v>5216</v>
      </c>
      <c r="D1110" s="98" t="s">
        <v>1920</v>
      </c>
      <c r="E1110" s="99" t="b">
        <v>0</v>
      </c>
      <c r="F1110" s="106" t="s">
        <v>5217</v>
      </c>
      <c r="G1110" s="116" t="str">
        <f>HYPERLINK("http://nsgreg.nga.mil/genc/view?v=112946&amp;gencs=T&amp;end_month=3&amp;end_day=31&amp;end_year=2014","Espaillat")</f>
        <v>Espaillat</v>
      </c>
      <c r="H1110" s="87" t="str">
        <f>HYPERLINK("http://api.nsgreg.nga.mil/geo-division/ISO3166-2/6/ed3/DO-09","DO-09")</f>
        <v>DO-09</v>
      </c>
    </row>
    <row r="1111" spans="1:8" x14ac:dyDescent="0.2">
      <c r="A1111" s="157"/>
      <c r="B1111" s="31" t="s">
        <v>5218</v>
      </c>
      <c r="C1111" s="31" t="s">
        <v>5219</v>
      </c>
      <c r="D1111" s="98" t="s">
        <v>1920</v>
      </c>
      <c r="E1111" s="99" t="b">
        <v>0</v>
      </c>
      <c r="F1111" s="106" t="s">
        <v>5220</v>
      </c>
      <c r="G1111" s="116" t="str">
        <f>HYPERLINK("http://nsgreg.nga.mil/genc/view?v=112967&amp;gencs=T&amp;end_month=3&amp;end_day=31&amp;end_year=2014","Hato Mayor")</f>
        <v>Hato Mayor</v>
      </c>
      <c r="H1111" s="87" t="str">
        <f>HYPERLINK("http://api.nsgreg.nga.mil/geo-division/ISO3166-2/6/ed3/DO-30","DO-30")</f>
        <v>DO-30</v>
      </c>
    </row>
    <row r="1112" spans="1:8" x14ac:dyDescent="0.2">
      <c r="A1112" s="157"/>
      <c r="B1112" s="31" t="s">
        <v>5221</v>
      </c>
      <c r="C1112" s="31" t="s">
        <v>5222</v>
      </c>
      <c r="D1112" s="98" t="s">
        <v>1920</v>
      </c>
      <c r="E1112" s="99" t="b">
        <v>0</v>
      </c>
      <c r="F1112" s="107" t="s">
        <v>5223</v>
      </c>
      <c r="G1112" s="116" t="str">
        <f>HYPERLINK("http://nsgreg.nga.mil/genc/view?v=201735&amp;end_month=3&amp;end_day=31&amp;end_year=2014","Hermanas Mirabal")</f>
        <v>Hermanas Mirabal</v>
      </c>
      <c r="H1112" s="87" t="str">
        <f>HYPERLINK("http://api.nsgreg.nga.mil/geo-division/GENC/6/ed2/DO-19","DO-19")</f>
        <v>DO-19</v>
      </c>
    </row>
    <row r="1113" spans="1:8" x14ac:dyDescent="0.2">
      <c r="A1113" s="157"/>
      <c r="B1113" s="31" t="s">
        <v>5224</v>
      </c>
      <c r="C1113" s="31" t="s">
        <v>5225</v>
      </c>
      <c r="D1113" s="31" t="s">
        <v>3137</v>
      </c>
      <c r="E1113" s="61" t="b">
        <v>1</v>
      </c>
      <c r="F1113" s="107" t="s">
        <v>5226</v>
      </c>
      <c r="G1113" s="116" t="str">
        <f>HYPERLINK("http://nsgreg.nga.mil/genc/view?v=204546&amp;end_month=3&amp;end_day=31&amp;end_year=2014","Higuamo")</f>
        <v>Higuamo</v>
      </c>
      <c r="H1113" s="87" t="str">
        <f>HYPERLINK("http://api.nsgreg.nga.mil/geo-division/GENC/6/ed2/DO-39","DO-39")</f>
        <v>DO-39</v>
      </c>
    </row>
    <row r="1114" spans="1:8" x14ac:dyDescent="0.2">
      <c r="A1114" s="157"/>
      <c r="B1114" s="31" t="s">
        <v>5227</v>
      </c>
      <c r="C1114" s="31" t="s">
        <v>5228</v>
      </c>
      <c r="D1114" s="98" t="s">
        <v>1920</v>
      </c>
      <c r="E1114" s="99" t="b">
        <v>0</v>
      </c>
      <c r="F1114" s="106" t="s">
        <v>5229</v>
      </c>
      <c r="G1114" s="116" t="str">
        <f>HYPERLINK("http://nsgreg.nga.mil/genc/view?v=112947&amp;gencs=T&amp;end_month=3&amp;end_day=31&amp;end_year=2014","Independencia")</f>
        <v>Independencia</v>
      </c>
      <c r="H1114" s="87" t="str">
        <f>HYPERLINK("http://api.nsgreg.nga.mil/geo-division/ISO3166-2/6/ed3/DO-10","DO-10")</f>
        <v>DO-10</v>
      </c>
    </row>
    <row r="1115" spans="1:8" x14ac:dyDescent="0.2">
      <c r="A1115" s="157"/>
      <c r="B1115" s="31" t="s">
        <v>5230</v>
      </c>
      <c r="C1115" s="31" t="s">
        <v>5231</v>
      </c>
      <c r="D1115" s="98" t="s">
        <v>1920</v>
      </c>
      <c r="E1115" s="99" t="b">
        <v>0</v>
      </c>
      <c r="F1115" s="106" t="s">
        <v>5232</v>
      </c>
      <c r="G1115" s="116" t="str">
        <f>HYPERLINK("http://nsgreg.nga.mil/genc/view?v=112948&amp;gencs=T&amp;end_month=3&amp;end_day=31&amp;end_year=2014","La Altagracia")</f>
        <v>La Altagracia</v>
      </c>
      <c r="H1115" s="87" t="str">
        <f>HYPERLINK("http://api.nsgreg.nga.mil/geo-division/ISO3166-2/6/ed3/DO-11","DO-11")</f>
        <v>DO-11</v>
      </c>
    </row>
    <row r="1116" spans="1:8" x14ac:dyDescent="0.2">
      <c r="A1116" s="157"/>
      <c r="B1116" s="31" t="s">
        <v>5233</v>
      </c>
      <c r="C1116" s="31" t="s">
        <v>5234</v>
      </c>
      <c r="D1116" s="98" t="s">
        <v>1920</v>
      </c>
      <c r="E1116" s="99" t="b">
        <v>0</v>
      </c>
      <c r="F1116" s="106" t="s">
        <v>5235</v>
      </c>
      <c r="G1116" s="116" t="str">
        <f>HYPERLINK("http://nsgreg.nga.mil/genc/view?v=112949&amp;gencs=T&amp;end_month=3&amp;end_day=31&amp;end_year=2014","La Romana")</f>
        <v>La Romana</v>
      </c>
      <c r="H1116" s="87" t="str">
        <f>HYPERLINK("http://api.nsgreg.nga.mil/geo-division/ISO3166-2/6/ed3/DO-12","DO-12")</f>
        <v>DO-12</v>
      </c>
    </row>
    <row r="1117" spans="1:8" x14ac:dyDescent="0.2">
      <c r="A1117" s="157"/>
      <c r="B1117" s="31" t="s">
        <v>5236</v>
      </c>
      <c r="C1117" s="31" t="s">
        <v>5237</v>
      </c>
      <c r="D1117" s="98" t="s">
        <v>1920</v>
      </c>
      <c r="E1117" s="99" t="b">
        <v>0</v>
      </c>
      <c r="F1117" s="106" t="s">
        <v>5238</v>
      </c>
      <c r="G1117" s="116" t="str">
        <f>HYPERLINK("http://nsgreg.nga.mil/genc/view?v=112950&amp;gencs=T&amp;end_month=3&amp;end_day=31&amp;end_year=2014","La Vega")</f>
        <v>La Vega</v>
      </c>
      <c r="H1117" s="87" t="str">
        <f>HYPERLINK("http://api.nsgreg.nga.mil/geo-division/ISO3166-2/6/ed3/DO-13","DO-13")</f>
        <v>DO-13</v>
      </c>
    </row>
    <row r="1118" spans="1:8" x14ac:dyDescent="0.2">
      <c r="A1118" s="157"/>
      <c r="B1118" s="31" t="s">
        <v>5239</v>
      </c>
      <c r="C1118" s="31" t="s">
        <v>5240</v>
      </c>
      <c r="D1118" s="98" t="s">
        <v>1920</v>
      </c>
      <c r="E1118" s="99" t="b">
        <v>0</v>
      </c>
      <c r="F1118" s="106" t="s">
        <v>5241</v>
      </c>
      <c r="G1118" s="116" t="str">
        <f>HYPERLINK("http://nsgreg.nga.mil/genc/view?v=112951&amp;gencs=T&amp;end_month=3&amp;end_day=31&amp;end_year=2014","María Trinidad Sánchez")</f>
        <v>María Trinidad Sánchez</v>
      </c>
      <c r="H1118" s="87" t="str">
        <f>HYPERLINK("http://api.nsgreg.nga.mil/geo-division/ISO3166-2/6/ed3/DO-14","DO-14")</f>
        <v>DO-14</v>
      </c>
    </row>
    <row r="1119" spans="1:8" x14ac:dyDescent="0.2">
      <c r="A1119" s="157"/>
      <c r="B1119" s="31" t="s">
        <v>5242</v>
      </c>
      <c r="C1119" s="31" t="s">
        <v>5243</v>
      </c>
      <c r="D1119" s="98" t="s">
        <v>1920</v>
      </c>
      <c r="E1119" s="99" t="b">
        <v>0</v>
      </c>
      <c r="F1119" s="106" t="s">
        <v>5244</v>
      </c>
      <c r="G1119" s="116" t="str">
        <f>HYPERLINK("http://nsgreg.nga.mil/genc/view?v=112965&amp;gencs=T&amp;end_month=3&amp;end_day=31&amp;end_year=2014","Monseñor Nouel")</f>
        <v>Monseñor Nouel</v>
      </c>
      <c r="H1119" s="87" t="str">
        <f>HYPERLINK("http://api.nsgreg.nga.mil/geo-division/ISO3166-2/6/ed3/DO-28","DO-28")</f>
        <v>DO-28</v>
      </c>
    </row>
    <row r="1120" spans="1:8" x14ac:dyDescent="0.2">
      <c r="A1120" s="157"/>
      <c r="B1120" s="31" t="s">
        <v>5245</v>
      </c>
      <c r="C1120" s="31" t="s">
        <v>5246</v>
      </c>
      <c r="D1120" s="98" t="s">
        <v>1920</v>
      </c>
      <c r="E1120" s="99" t="b">
        <v>0</v>
      </c>
      <c r="F1120" s="106" t="s">
        <v>5247</v>
      </c>
      <c r="G1120" s="116" t="str">
        <f>HYPERLINK("http://nsgreg.nga.mil/genc/view?v=112952&amp;gencs=T&amp;end_month=3&amp;end_day=31&amp;end_year=2014","Monte Cristi")</f>
        <v>Monte Cristi</v>
      </c>
      <c r="H1120" s="87" t="str">
        <f>HYPERLINK("http://api.nsgreg.nga.mil/geo-division/ISO3166-2/6/ed3/DO-15","DO-15")</f>
        <v>DO-15</v>
      </c>
    </row>
    <row r="1121" spans="1:8" x14ac:dyDescent="0.2">
      <c r="A1121" s="157"/>
      <c r="B1121" s="31" t="s">
        <v>5248</v>
      </c>
      <c r="C1121" s="31" t="s">
        <v>5249</v>
      </c>
      <c r="D1121" s="98" t="s">
        <v>1920</v>
      </c>
      <c r="E1121" s="99" t="b">
        <v>0</v>
      </c>
      <c r="F1121" s="106" t="s">
        <v>5250</v>
      </c>
      <c r="G1121" s="116" t="str">
        <f>HYPERLINK("http://nsgreg.nga.mil/genc/view?v=112966&amp;gencs=T&amp;end_month=3&amp;end_day=31&amp;end_year=2014","Monte Plata")</f>
        <v>Monte Plata</v>
      </c>
      <c r="H1121" s="87" t="str">
        <f>HYPERLINK("http://api.nsgreg.nga.mil/geo-division/ISO3166-2/6/ed3/DO-29","DO-29")</f>
        <v>DO-29</v>
      </c>
    </row>
    <row r="1122" spans="1:8" x14ac:dyDescent="0.2">
      <c r="A1122" s="157"/>
      <c r="B1122" s="31" t="s">
        <v>5251</v>
      </c>
      <c r="C1122" s="31" t="s">
        <v>5252</v>
      </c>
      <c r="D1122" s="31" t="s">
        <v>3137</v>
      </c>
      <c r="E1122" s="61" t="b">
        <v>1</v>
      </c>
      <c r="F1122" s="107" t="s">
        <v>5253</v>
      </c>
      <c r="G1122" s="116" t="str">
        <f>HYPERLINK("http://nsgreg.nga.mil/genc/view?v=204547&amp;end_month=3&amp;end_day=31&amp;end_year=2014","Ozama")</f>
        <v>Ozama</v>
      </c>
      <c r="H1122" s="87" t="str">
        <f>HYPERLINK("http://api.nsgreg.nga.mil/geo-division/GENC/6/ed2/DO-40","DO-40")</f>
        <v>DO-40</v>
      </c>
    </row>
    <row r="1123" spans="1:8" x14ac:dyDescent="0.2">
      <c r="A1123" s="157"/>
      <c r="B1123" s="31" t="s">
        <v>5254</v>
      </c>
      <c r="C1123" s="31" t="s">
        <v>5255</v>
      </c>
      <c r="D1123" s="98" t="s">
        <v>1920</v>
      </c>
      <c r="E1123" s="99" t="b">
        <v>0</v>
      </c>
      <c r="F1123" s="106" t="s">
        <v>5256</v>
      </c>
      <c r="G1123" s="116" t="str">
        <f>HYPERLINK("http://nsgreg.nga.mil/genc/view?v=112953&amp;gencs=T&amp;end_month=3&amp;end_day=31&amp;end_year=2014","Pedernales")</f>
        <v>Pedernales</v>
      </c>
      <c r="H1123" s="87" t="str">
        <f>HYPERLINK("http://api.nsgreg.nga.mil/geo-division/ISO3166-2/6/ed3/DO-16","DO-16")</f>
        <v>DO-16</v>
      </c>
    </row>
    <row r="1124" spans="1:8" x14ac:dyDescent="0.2">
      <c r="A1124" s="157"/>
      <c r="B1124" s="31" t="s">
        <v>5257</v>
      </c>
      <c r="C1124" s="31" t="s">
        <v>5258</v>
      </c>
      <c r="D1124" s="98" t="s">
        <v>1920</v>
      </c>
      <c r="E1124" s="99" t="b">
        <v>0</v>
      </c>
      <c r="F1124" s="106" t="s">
        <v>5259</v>
      </c>
      <c r="G1124" s="116" t="str">
        <f>HYPERLINK("http://nsgreg.nga.mil/genc/view?v=112954&amp;gencs=T&amp;end_month=3&amp;end_day=31&amp;end_year=2014","Peravia")</f>
        <v>Peravia</v>
      </c>
      <c r="H1124" s="87" t="str">
        <f>HYPERLINK("http://api.nsgreg.nga.mil/geo-division/ISO3166-2/6/ed3/DO-17","DO-17")</f>
        <v>DO-17</v>
      </c>
    </row>
    <row r="1125" spans="1:8" x14ac:dyDescent="0.2">
      <c r="A1125" s="157"/>
      <c r="B1125" s="31" t="s">
        <v>5260</v>
      </c>
      <c r="C1125" s="31" t="s">
        <v>5261</v>
      </c>
      <c r="D1125" s="98" t="s">
        <v>1920</v>
      </c>
      <c r="E1125" s="99" t="b">
        <v>0</v>
      </c>
      <c r="F1125" s="106" t="s">
        <v>5262</v>
      </c>
      <c r="G1125" s="116" t="str">
        <f>HYPERLINK("http://nsgreg.nga.mil/genc/view?v=112955&amp;gencs=T&amp;end_month=3&amp;end_day=31&amp;end_year=2014","Puerto Plata")</f>
        <v>Puerto Plata</v>
      </c>
      <c r="H1125" s="87" t="str">
        <f>HYPERLINK("http://api.nsgreg.nga.mil/geo-division/ISO3166-2/6/ed3/DO-18","DO-18")</f>
        <v>DO-18</v>
      </c>
    </row>
    <row r="1126" spans="1:8" x14ac:dyDescent="0.2">
      <c r="A1126" s="157"/>
      <c r="B1126" s="31" t="s">
        <v>5263</v>
      </c>
      <c r="C1126" s="31" t="s">
        <v>5264</v>
      </c>
      <c r="D1126" s="98" t="s">
        <v>1920</v>
      </c>
      <c r="E1126" s="99" t="b">
        <v>0</v>
      </c>
      <c r="F1126" s="106" t="s">
        <v>5265</v>
      </c>
      <c r="G1126" s="116" t="str">
        <f>HYPERLINK("http://nsgreg.nga.mil/genc/view?v=112957&amp;gencs=T&amp;end_month=3&amp;end_day=31&amp;end_year=2014","Samaná")</f>
        <v>Samaná</v>
      </c>
      <c r="H1126" s="87" t="str">
        <f>HYPERLINK("http://api.nsgreg.nga.mil/geo-division/ISO3166-2/6/ed3/DO-20","DO-20")</f>
        <v>DO-20</v>
      </c>
    </row>
    <row r="1127" spans="1:8" x14ac:dyDescent="0.2">
      <c r="A1127" s="157"/>
      <c r="B1127" s="31" t="s">
        <v>5266</v>
      </c>
      <c r="C1127" s="31" t="s">
        <v>5267</v>
      </c>
      <c r="D1127" s="98" t="s">
        <v>1920</v>
      </c>
      <c r="E1127" s="99" t="b">
        <v>0</v>
      </c>
      <c r="F1127" s="106" t="s">
        <v>5268</v>
      </c>
      <c r="G1127" s="116" t="str">
        <f>HYPERLINK("http://nsgreg.nga.mil/genc/view?v=112958&amp;gencs=T&amp;end_month=3&amp;end_day=31&amp;end_year=2014","San Cristóbal")</f>
        <v>San Cristóbal</v>
      </c>
      <c r="H1127" s="87" t="str">
        <f>HYPERLINK("http://api.nsgreg.nga.mil/geo-division/ISO3166-2/6/ed3/DO-21","DO-21")</f>
        <v>DO-21</v>
      </c>
    </row>
    <row r="1128" spans="1:8" x14ac:dyDescent="0.2">
      <c r="A1128" s="157"/>
      <c r="B1128" s="31" t="s">
        <v>5269</v>
      </c>
      <c r="C1128" s="31" t="s">
        <v>5270</v>
      </c>
      <c r="D1128" s="98" t="s">
        <v>1920</v>
      </c>
      <c r="E1128" s="99" t="b">
        <v>0</v>
      </c>
      <c r="F1128" s="106" t="s">
        <v>5271</v>
      </c>
      <c r="G1128" s="116" t="str">
        <f>HYPERLINK("http://nsgreg.nga.mil/genc/view?v=112968&amp;gencs=T&amp;end_month=3&amp;end_day=31&amp;end_year=2014","San José de Ocoa")</f>
        <v>San José de Ocoa</v>
      </c>
      <c r="H1128" s="87" t="str">
        <f>HYPERLINK("http://api.nsgreg.nga.mil/geo-division/ISO3166-2/6/ed3/DO-31","DO-31")</f>
        <v>DO-31</v>
      </c>
    </row>
    <row r="1129" spans="1:8" x14ac:dyDescent="0.2">
      <c r="A1129" s="157"/>
      <c r="B1129" s="31" t="s">
        <v>5272</v>
      </c>
      <c r="C1129" s="31" t="s">
        <v>2453</v>
      </c>
      <c r="D1129" s="98" t="s">
        <v>1920</v>
      </c>
      <c r="E1129" s="99" t="b">
        <v>0</v>
      </c>
      <c r="F1129" s="106" t="s">
        <v>5273</v>
      </c>
      <c r="G1129" s="116" t="str">
        <f>HYPERLINK("http://nsgreg.nga.mil/genc/view?v=112959&amp;gencs=T&amp;end_month=3&amp;end_day=31&amp;end_year=2014","San Juan")</f>
        <v>San Juan</v>
      </c>
      <c r="H1129" s="87" t="str">
        <f>HYPERLINK("http://api.nsgreg.nga.mil/geo-division/ISO3166-2/6/ed3/DO-22","DO-22")</f>
        <v>DO-22</v>
      </c>
    </row>
    <row r="1130" spans="1:8" x14ac:dyDescent="0.2">
      <c r="A1130" s="157"/>
      <c r="B1130" s="31" t="s">
        <v>5274</v>
      </c>
      <c r="C1130" s="31" t="s">
        <v>5275</v>
      </c>
      <c r="D1130" s="98" t="s">
        <v>1920</v>
      </c>
      <c r="E1130" s="99" t="b">
        <v>0</v>
      </c>
      <c r="F1130" s="106" t="s">
        <v>5276</v>
      </c>
      <c r="G1130" s="116" t="str">
        <f>HYPERLINK("http://nsgreg.nga.mil/genc/view?v=112960&amp;gencs=T&amp;end_month=3&amp;end_day=31&amp;end_year=2014","San Pedro de Macorís")</f>
        <v>San Pedro de Macorís</v>
      </c>
      <c r="H1130" s="87" t="str">
        <f>HYPERLINK("http://api.nsgreg.nga.mil/geo-division/ISO3166-2/6/ed3/DO-23","DO-23")</f>
        <v>DO-23</v>
      </c>
    </row>
    <row r="1131" spans="1:8" x14ac:dyDescent="0.2">
      <c r="A1131" s="157"/>
      <c r="B1131" s="31" t="s">
        <v>5277</v>
      </c>
      <c r="C1131" s="31" t="s">
        <v>5278</v>
      </c>
      <c r="D1131" s="98" t="s">
        <v>1920</v>
      </c>
      <c r="E1131" s="99" t="b">
        <v>0</v>
      </c>
      <c r="F1131" s="106" t="s">
        <v>5279</v>
      </c>
      <c r="G1131" s="116" t="str">
        <f>HYPERLINK("http://nsgreg.nga.mil/genc/view?v=112961&amp;gencs=T&amp;end_month=3&amp;end_day=31&amp;end_year=2014","Sánchez Ramírez")</f>
        <v>Sánchez Ramírez</v>
      </c>
      <c r="H1131" s="87" t="str">
        <f>HYPERLINK("http://api.nsgreg.nga.mil/geo-division/ISO3166-2/6/ed3/DO-24","DO-24")</f>
        <v>DO-24</v>
      </c>
    </row>
    <row r="1132" spans="1:8" x14ac:dyDescent="0.2">
      <c r="A1132" s="157"/>
      <c r="B1132" s="31" t="s">
        <v>5280</v>
      </c>
      <c r="C1132" s="31" t="s">
        <v>5281</v>
      </c>
      <c r="D1132" s="98" t="s">
        <v>1920</v>
      </c>
      <c r="E1132" s="99" t="b">
        <v>0</v>
      </c>
      <c r="F1132" s="106" t="s">
        <v>5282</v>
      </c>
      <c r="G1132" s="116" t="str">
        <f>HYPERLINK("http://nsgreg.nga.mil/genc/view?v=112962&amp;gencs=T&amp;end_month=3&amp;end_day=31&amp;end_year=2014","Santiago")</f>
        <v>Santiago</v>
      </c>
      <c r="H1132" s="87" t="str">
        <f>HYPERLINK("http://api.nsgreg.nga.mil/geo-division/ISO3166-2/6/ed3/DO-25","DO-25")</f>
        <v>DO-25</v>
      </c>
    </row>
    <row r="1133" spans="1:8" x14ac:dyDescent="0.2">
      <c r="A1133" s="157"/>
      <c r="B1133" s="31" t="s">
        <v>5283</v>
      </c>
      <c r="C1133" s="31" t="s">
        <v>5284</v>
      </c>
      <c r="D1133" s="98" t="s">
        <v>1920</v>
      </c>
      <c r="E1133" s="99" t="b">
        <v>0</v>
      </c>
      <c r="F1133" s="106" t="s">
        <v>5285</v>
      </c>
      <c r="G1133" s="116" t="str">
        <f>HYPERLINK("http://nsgreg.nga.mil/genc/view?v=112963&amp;gencs=T&amp;end_month=3&amp;end_day=31&amp;end_year=2014","Santiago Rodríguez")</f>
        <v>Santiago Rodríguez</v>
      </c>
      <c r="H1133" s="87" t="str">
        <f>HYPERLINK("http://api.nsgreg.nga.mil/geo-division/ISO3166-2/6/ed3/DO-26","DO-26")</f>
        <v>DO-26</v>
      </c>
    </row>
    <row r="1134" spans="1:8" x14ac:dyDescent="0.2">
      <c r="A1134" s="157"/>
      <c r="B1134" s="31" t="s">
        <v>5286</v>
      </c>
      <c r="C1134" s="31" t="s">
        <v>5287</v>
      </c>
      <c r="D1134" s="98" t="s">
        <v>1920</v>
      </c>
      <c r="E1134" s="99" t="b">
        <v>0</v>
      </c>
      <c r="F1134" s="106" t="s">
        <v>5288</v>
      </c>
      <c r="G1134" s="116" t="str">
        <f>HYPERLINK("http://nsgreg.nga.mil/genc/view?v=112969&amp;gencs=T&amp;end_month=3&amp;end_day=31&amp;end_year=2014","Santo Domingo")</f>
        <v>Santo Domingo</v>
      </c>
      <c r="H1134" s="87" t="str">
        <f>HYPERLINK("http://api.nsgreg.nga.mil/geo-division/ISO3166-2/6/ed3/DO-32","DO-32")</f>
        <v>DO-32</v>
      </c>
    </row>
    <row r="1135" spans="1:8" x14ac:dyDescent="0.2">
      <c r="A1135" s="157"/>
      <c r="B1135" s="31" t="s">
        <v>5289</v>
      </c>
      <c r="C1135" s="31" t="s">
        <v>5290</v>
      </c>
      <c r="D1135" s="31" t="s">
        <v>3137</v>
      </c>
      <c r="E1135" s="61" t="b">
        <v>1</v>
      </c>
      <c r="F1135" s="107" t="s">
        <v>5291</v>
      </c>
      <c r="G1135" s="116" t="str">
        <f>HYPERLINK("http://nsgreg.nga.mil/genc/view?v=204548&amp;end_month=3&amp;end_day=31&amp;end_year=2014","Valdesia")</f>
        <v>Valdesia</v>
      </c>
      <c r="H1135" s="87" t="str">
        <f>HYPERLINK("http://api.nsgreg.nga.mil/geo-division/GENC/6/ed2/DO-41","DO-41")</f>
        <v>DO-41</v>
      </c>
    </row>
    <row r="1136" spans="1:8" x14ac:dyDescent="0.2">
      <c r="A1136" s="157"/>
      <c r="B1136" s="31" t="s">
        <v>5292</v>
      </c>
      <c r="C1136" s="31" t="s">
        <v>5293</v>
      </c>
      <c r="D1136" s="98" t="s">
        <v>1920</v>
      </c>
      <c r="E1136" s="99" t="b">
        <v>0</v>
      </c>
      <c r="F1136" s="106" t="s">
        <v>5294</v>
      </c>
      <c r="G1136" s="116" t="str">
        <f>HYPERLINK("http://nsgreg.nga.mil/genc/view?v=112964&amp;gencs=T&amp;end_month=3&amp;end_day=31&amp;end_year=2014","Valverde")</f>
        <v>Valverde</v>
      </c>
      <c r="H1136" s="87" t="str">
        <f>HYPERLINK("http://api.nsgreg.nga.mil/geo-division/ISO3166-2/6/ed3/DO-27","DO-27")</f>
        <v>DO-27</v>
      </c>
    </row>
    <row r="1137" spans="1:8" x14ac:dyDescent="0.2">
      <c r="A1137" s="158"/>
      <c r="B1137" s="58" t="s">
        <v>5295</v>
      </c>
      <c r="C1137" s="58" t="s">
        <v>5296</v>
      </c>
      <c r="D1137" s="58" t="s">
        <v>3137</v>
      </c>
      <c r="E1137" s="62" t="b">
        <v>1</v>
      </c>
      <c r="F1137" s="111" t="s">
        <v>5297</v>
      </c>
      <c r="G1137" s="117" t="str">
        <f>HYPERLINK("http://nsgreg.nga.mil/genc/view?v=204549&amp;end_month=3&amp;end_day=31&amp;end_year=2014","Yuma")</f>
        <v>Yuma</v>
      </c>
      <c r="H1137" s="89" t="str">
        <f>HYPERLINK("http://api.nsgreg.nga.mil/geo-division/GENC/6/ed2/DO-42","DO-42")</f>
        <v>DO-42</v>
      </c>
    </row>
    <row r="1138" spans="1:8" x14ac:dyDescent="0.2">
      <c r="A1138" s="156" t="str">
        <f>HYPERLINK("[#]Geopolitical_Entities!A76:I76","ECUADOR")</f>
        <v>ECUADOR</v>
      </c>
      <c r="B1138" s="52" t="s">
        <v>5298</v>
      </c>
      <c r="C1138" s="52" t="s">
        <v>5299</v>
      </c>
      <c r="D1138" s="52" t="s">
        <v>1920</v>
      </c>
      <c r="E1138" s="60" t="b">
        <v>1</v>
      </c>
      <c r="F1138" s="109" t="s">
        <v>5300</v>
      </c>
      <c r="G1138" s="118" t="str">
        <f>HYPERLINK("http://nsgreg.nga.mil/genc/view?v=113018&amp;gencs=T&amp;end_month=3&amp;end_day=31&amp;end_year=2014","Azuay")</f>
        <v>Azuay</v>
      </c>
      <c r="H1138" s="91" t="str">
        <f>HYPERLINK("http://api.nsgreg.nga.mil/geo-division/ISO3166-2/6/ed3/EC-A","EC-A")</f>
        <v>EC-A</v>
      </c>
    </row>
    <row r="1139" spans="1:8" x14ac:dyDescent="0.2">
      <c r="A1139" s="157"/>
      <c r="B1139" s="31" t="s">
        <v>5301</v>
      </c>
      <c r="C1139" s="31" t="s">
        <v>4414</v>
      </c>
      <c r="D1139" s="31" t="s">
        <v>1920</v>
      </c>
      <c r="E1139" s="61" t="b">
        <v>1</v>
      </c>
      <c r="F1139" s="106" t="s">
        <v>5302</v>
      </c>
      <c r="G1139" s="116" t="str">
        <f>HYPERLINK("http://nsgreg.nga.mil/genc/view?v=113019&amp;gencs=T&amp;end_month=3&amp;end_day=31&amp;end_year=2014","Bolívar")</f>
        <v>Bolívar</v>
      </c>
      <c r="H1139" s="87" t="str">
        <f>HYPERLINK("http://api.nsgreg.nga.mil/geo-division/ISO3166-2/6/ed3/EC-B","EC-B")</f>
        <v>EC-B</v>
      </c>
    </row>
    <row r="1140" spans="1:8" x14ac:dyDescent="0.2">
      <c r="A1140" s="157"/>
      <c r="B1140" s="31" t="s">
        <v>5303</v>
      </c>
      <c r="C1140" s="31" t="s">
        <v>5304</v>
      </c>
      <c r="D1140" s="31" t="s">
        <v>1920</v>
      </c>
      <c r="E1140" s="61" t="b">
        <v>1</v>
      </c>
      <c r="F1140" s="106" t="s">
        <v>5305</v>
      </c>
      <c r="G1140" s="116" t="str">
        <f>HYPERLINK("http://nsgreg.nga.mil/genc/view?v=113023&amp;gencs=T&amp;end_month=3&amp;end_day=31&amp;end_year=2014","Cañar")</f>
        <v>Cañar</v>
      </c>
      <c r="H1140" s="87" t="str">
        <f>HYPERLINK("http://api.nsgreg.nga.mil/geo-division/ISO3166-2/6/ed3/EC-F","EC-F")</f>
        <v>EC-F</v>
      </c>
    </row>
    <row r="1141" spans="1:8" x14ac:dyDescent="0.2">
      <c r="A1141" s="157"/>
      <c r="B1141" s="31" t="s">
        <v>5306</v>
      </c>
      <c r="C1141" s="31" t="s">
        <v>5307</v>
      </c>
      <c r="D1141" s="31" t="s">
        <v>1920</v>
      </c>
      <c r="E1141" s="61" t="b">
        <v>1</v>
      </c>
      <c r="F1141" s="106" t="s">
        <v>5308</v>
      </c>
      <c r="G1141" s="116" t="str">
        <f>HYPERLINK("http://nsgreg.nga.mil/genc/view?v=113020&amp;gencs=T&amp;end_month=3&amp;end_day=31&amp;end_year=2014","Carchi")</f>
        <v>Carchi</v>
      </c>
      <c r="H1141" s="87" t="str">
        <f>HYPERLINK("http://api.nsgreg.nga.mil/geo-division/ISO3166-2/6/ed3/EC-C","EC-C")</f>
        <v>EC-C</v>
      </c>
    </row>
    <row r="1142" spans="1:8" x14ac:dyDescent="0.2">
      <c r="A1142" s="157"/>
      <c r="B1142" s="31" t="s">
        <v>5309</v>
      </c>
      <c r="C1142" s="31" t="s">
        <v>5310</v>
      </c>
      <c r="D1142" s="31" t="s">
        <v>1920</v>
      </c>
      <c r="E1142" s="61" t="b">
        <v>1</v>
      </c>
      <c r="F1142" s="106" t="s">
        <v>5311</v>
      </c>
      <c r="G1142" s="116" t="str">
        <f>HYPERLINK("http://nsgreg.nga.mil/genc/view?v=113025&amp;gencs=T&amp;end_month=3&amp;end_day=31&amp;end_year=2014","Chimborazo")</f>
        <v>Chimborazo</v>
      </c>
      <c r="H1142" s="87" t="str">
        <f>HYPERLINK("http://api.nsgreg.nga.mil/geo-division/ISO3166-2/6/ed3/EC-H","EC-H")</f>
        <v>EC-H</v>
      </c>
    </row>
    <row r="1143" spans="1:8" x14ac:dyDescent="0.2">
      <c r="A1143" s="157"/>
      <c r="B1143" s="31" t="s">
        <v>5312</v>
      </c>
      <c r="C1143" s="31" t="s">
        <v>5313</v>
      </c>
      <c r="D1143" s="31" t="s">
        <v>1920</v>
      </c>
      <c r="E1143" s="61" t="b">
        <v>1</v>
      </c>
      <c r="F1143" s="106" t="s">
        <v>5314</v>
      </c>
      <c r="G1143" s="116" t="str">
        <f>HYPERLINK("http://nsgreg.nga.mil/genc/view?v=113039&amp;gencs=T&amp;end_month=3&amp;end_day=31&amp;end_year=2014","Cotopaxi")</f>
        <v>Cotopaxi</v>
      </c>
      <c r="H1143" s="87" t="str">
        <f>HYPERLINK("http://api.nsgreg.nga.mil/geo-division/ISO3166-2/6/ed3/EC-X","EC-X")</f>
        <v>EC-X</v>
      </c>
    </row>
    <row r="1144" spans="1:8" x14ac:dyDescent="0.2">
      <c r="A1144" s="157"/>
      <c r="B1144" s="31" t="s">
        <v>5315</v>
      </c>
      <c r="C1144" s="31" t="s">
        <v>5316</v>
      </c>
      <c r="D1144" s="31" t="s">
        <v>1920</v>
      </c>
      <c r="E1144" s="61" t="b">
        <v>1</v>
      </c>
      <c r="F1144" s="106" t="s">
        <v>5317</v>
      </c>
      <c r="G1144" s="116" t="str">
        <f>HYPERLINK("http://nsgreg.nga.mil/genc/view?v=113030&amp;gencs=T&amp;end_month=3&amp;end_day=31&amp;end_year=2014","El Oro")</f>
        <v>El Oro</v>
      </c>
      <c r="H1144" s="87" t="str">
        <f>HYPERLINK("http://api.nsgreg.nga.mil/geo-division/ISO3166-2/6/ed3/EC-O","EC-O")</f>
        <v>EC-O</v>
      </c>
    </row>
    <row r="1145" spans="1:8" x14ac:dyDescent="0.2">
      <c r="A1145" s="157"/>
      <c r="B1145" s="31" t="s">
        <v>5318</v>
      </c>
      <c r="C1145" s="31" t="s">
        <v>5319</v>
      </c>
      <c r="D1145" s="31" t="s">
        <v>1920</v>
      </c>
      <c r="E1145" s="61" t="b">
        <v>1</v>
      </c>
      <c r="F1145" s="106" t="s">
        <v>5320</v>
      </c>
      <c r="G1145" s="116" t="str">
        <f>HYPERLINK("http://nsgreg.nga.mil/genc/view?v=113022&amp;gencs=T&amp;end_month=3&amp;end_day=31&amp;end_year=2014","Esmeraldas")</f>
        <v>Esmeraldas</v>
      </c>
      <c r="H1145" s="87" t="str">
        <f>HYPERLINK("http://api.nsgreg.nga.mil/geo-division/ISO3166-2/6/ed3/EC-E","EC-E")</f>
        <v>EC-E</v>
      </c>
    </row>
    <row r="1146" spans="1:8" x14ac:dyDescent="0.2">
      <c r="A1146" s="157"/>
      <c r="B1146" s="31" t="s">
        <v>5321</v>
      </c>
      <c r="C1146" s="31" t="s">
        <v>5322</v>
      </c>
      <c r="D1146" s="31" t="s">
        <v>1920</v>
      </c>
      <c r="E1146" s="61" t="b">
        <v>1</v>
      </c>
      <c r="F1146" s="106" t="s">
        <v>5323</v>
      </c>
      <c r="G1146" s="116" t="str">
        <f>HYPERLINK("http://nsgreg.nga.mil/genc/view?v=113038&amp;gencs=T&amp;end_month=3&amp;end_day=31&amp;end_year=2014","Galápagos")</f>
        <v>Galápagos</v>
      </c>
      <c r="H1146" s="87" t="str">
        <f>HYPERLINK("http://api.nsgreg.nga.mil/geo-division/ISO3166-2/6/ed3/EC-W","EC-W")</f>
        <v>EC-W</v>
      </c>
    </row>
    <row r="1147" spans="1:8" x14ac:dyDescent="0.2">
      <c r="A1147" s="157"/>
      <c r="B1147" s="31" t="s">
        <v>5324</v>
      </c>
      <c r="C1147" s="31" t="s">
        <v>5325</v>
      </c>
      <c r="D1147" s="31" t="s">
        <v>1920</v>
      </c>
      <c r="E1147" s="61" t="b">
        <v>1</v>
      </c>
      <c r="F1147" s="106" t="s">
        <v>5326</v>
      </c>
      <c r="G1147" s="116" t="str">
        <f>HYPERLINK("http://nsgreg.nga.mil/genc/view?v=113024&amp;gencs=T&amp;end_month=3&amp;end_day=31&amp;end_year=2014","Guayas")</f>
        <v>Guayas</v>
      </c>
      <c r="H1147" s="87" t="str">
        <f>HYPERLINK("http://api.nsgreg.nga.mil/geo-division/ISO3166-2/6/ed3/EC-G","EC-G")</f>
        <v>EC-G</v>
      </c>
    </row>
    <row r="1148" spans="1:8" x14ac:dyDescent="0.2">
      <c r="A1148" s="157"/>
      <c r="B1148" s="31" t="s">
        <v>5327</v>
      </c>
      <c r="C1148" s="31" t="s">
        <v>5328</v>
      </c>
      <c r="D1148" s="31" t="s">
        <v>1920</v>
      </c>
      <c r="E1148" s="61" t="b">
        <v>1</v>
      </c>
      <c r="F1148" s="106" t="s">
        <v>5329</v>
      </c>
      <c r="G1148" s="116" t="str">
        <f>HYPERLINK("http://nsgreg.nga.mil/genc/view?v=113026&amp;gencs=T&amp;end_month=3&amp;end_day=31&amp;end_year=2014","Imbabura")</f>
        <v>Imbabura</v>
      </c>
      <c r="H1148" s="87" t="str">
        <f>HYPERLINK("http://api.nsgreg.nga.mil/geo-division/ISO3166-2/6/ed3/EC-I","EC-I")</f>
        <v>EC-I</v>
      </c>
    </row>
    <row r="1149" spans="1:8" x14ac:dyDescent="0.2">
      <c r="A1149" s="157"/>
      <c r="B1149" s="31" t="s">
        <v>5330</v>
      </c>
      <c r="C1149" s="31" t="s">
        <v>5331</v>
      </c>
      <c r="D1149" s="31" t="s">
        <v>1920</v>
      </c>
      <c r="E1149" s="61" t="b">
        <v>1</v>
      </c>
      <c r="F1149" s="106" t="s">
        <v>5332</v>
      </c>
      <c r="G1149" s="116" t="str">
        <f>HYPERLINK("http://nsgreg.nga.mil/genc/view?v=113027&amp;gencs=T&amp;end_month=3&amp;end_day=31&amp;end_year=2014","Loja")</f>
        <v>Loja</v>
      </c>
      <c r="H1149" s="87" t="str">
        <f>HYPERLINK("http://api.nsgreg.nga.mil/geo-division/ISO3166-2/6/ed3/EC-L","EC-L")</f>
        <v>EC-L</v>
      </c>
    </row>
    <row r="1150" spans="1:8" x14ac:dyDescent="0.2">
      <c r="A1150" s="157"/>
      <c r="B1150" s="31" t="s">
        <v>5333</v>
      </c>
      <c r="C1150" s="31" t="s">
        <v>4279</v>
      </c>
      <c r="D1150" s="31" t="s">
        <v>1920</v>
      </c>
      <c r="E1150" s="61" t="b">
        <v>1</v>
      </c>
      <c r="F1150" s="106" t="s">
        <v>5334</v>
      </c>
      <c r="G1150" s="116" t="str">
        <f>HYPERLINK("http://nsgreg.nga.mil/genc/view?v=113032&amp;gencs=T&amp;end_month=3&amp;end_day=31&amp;end_year=2014","Los Ríos")</f>
        <v>Los Ríos</v>
      </c>
      <c r="H1150" s="87" t="str">
        <f>HYPERLINK("http://api.nsgreg.nga.mil/geo-division/ISO3166-2/6/ed3/EC-R","EC-R")</f>
        <v>EC-R</v>
      </c>
    </row>
    <row r="1151" spans="1:8" x14ac:dyDescent="0.2">
      <c r="A1151" s="157"/>
      <c r="B1151" s="31" t="s">
        <v>5335</v>
      </c>
      <c r="C1151" s="31" t="s">
        <v>5336</v>
      </c>
      <c r="D1151" s="31" t="s">
        <v>1920</v>
      </c>
      <c r="E1151" s="61" t="b">
        <v>1</v>
      </c>
      <c r="F1151" s="106" t="s">
        <v>5337</v>
      </c>
      <c r="G1151" s="116" t="str">
        <f>HYPERLINK("http://nsgreg.nga.mil/genc/view?v=113028&amp;gencs=T&amp;end_month=3&amp;end_day=31&amp;end_year=2014","Manabí")</f>
        <v>Manabí</v>
      </c>
      <c r="H1151" s="87" t="str">
        <f>HYPERLINK("http://api.nsgreg.nga.mil/geo-division/ISO3166-2/6/ed3/EC-M","EC-M")</f>
        <v>EC-M</v>
      </c>
    </row>
    <row r="1152" spans="1:8" x14ac:dyDescent="0.2">
      <c r="A1152" s="157"/>
      <c r="B1152" s="31" t="s">
        <v>5338</v>
      </c>
      <c r="C1152" s="31" t="s">
        <v>5339</v>
      </c>
      <c r="D1152" s="31" t="s">
        <v>1920</v>
      </c>
      <c r="E1152" s="61" t="b">
        <v>1</v>
      </c>
      <c r="F1152" s="106" t="s">
        <v>5340</v>
      </c>
      <c r="G1152" s="116" t="str">
        <f>HYPERLINK("http://nsgreg.nga.mil/genc/view?v=113033&amp;gencs=T&amp;end_month=3&amp;end_day=31&amp;end_year=2014","Morona-Santiago")</f>
        <v>Morona-Santiago</v>
      </c>
      <c r="H1152" s="87" t="str">
        <f>HYPERLINK("http://api.nsgreg.nga.mil/geo-division/ISO3166-2/6/ed3/EC-S","EC-S")</f>
        <v>EC-S</v>
      </c>
    </row>
    <row r="1153" spans="1:8" x14ac:dyDescent="0.2">
      <c r="A1153" s="157"/>
      <c r="B1153" s="31" t="s">
        <v>5341</v>
      </c>
      <c r="C1153" s="31" t="s">
        <v>5342</v>
      </c>
      <c r="D1153" s="31" t="s">
        <v>1920</v>
      </c>
      <c r="E1153" s="61" t="b">
        <v>1</v>
      </c>
      <c r="F1153" s="106" t="s">
        <v>5343</v>
      </c>
      <c r="G1153" s="116" t="str">
        <f>HYPERLINK("http://nsgreg.nga.mil/genc/view?v=113029&amp;gencs=T&amp;end_month=3&amp;end_day=31&amp;end_year=2014","Napo")</f>
        <v>Napo</v>
      </c>
      <c r="H1153" s="87" t="str">
        <f>HYPERLINK("http://api.nsgreg.nga.mil/geo-division/ISO3166-2/6/ed3/EC-N","EC-N")</f>
        <v>EC-N</v>
      </c>
    </row>
    <row r="1154" spans="1:8" x14ac:dyDescent="0.2">
      <c r="A1154" s="157"/>
      <c r="B1154" s="31" t="s">
        <v>5344</v>
      </c>
      <c r="C1154" s="31" t="s">
        <v>5345</v>
      </c>
      <c r="D1154" s="31" t="s">
        <v>1920</v>
      </c>
      <c r="E1154" s="61" t="b">
        <v>1</v>
      </c>
      <c r="F1154" s="106" t="s">
        <v>5346</v>
      </c>
      <c r="G1154" s="116" t="str">
        <f>HYPERLINK("http://nsgreg.nga.mil/genc/view?v=113021&amp;gencs=T&amp;end_month=3&amp;end_day=31&amp;end_year=2014","Orellana")</f>
        <v>Orellana</v>
      </c>
      <c r="H1154" s="87" t="str">
        <f>HYPERLINK("http://api.nsgreg.nga.mil/geo-division/ISO3166-2/6/ed3/EC-D","EC-D")</f>
        <v>EC-D</v>
      </c>
    </row>
    <row r="1155" spans="1:8" x14ac:dyDescent="0.2">
      <c r="A1155" s="157"/>
      <c r="B1155" s="31" t="s">
        <v>5347</v>
      </c>
      <c r="C1155" s="31" t="s">
        <v>5348</v>
      </c>
      <c r="D1155" s="31" t="s">
        <v>1920</v>
      </c>
      <c r="E1155" s="61" t="b">
        <v>1</v>
      </c>
      <c r="F1155" s="106" t="s">
        <v>5349</v>
      </c>
      <c r="G1155" s="116" t="str">
        <f>HYPERLINK("http://nsgreg.nga.mil/genc/view?v=113040&amp;gencs=T&amp;end_month=3&amp;end_day=31&amp;end_year=2014","Pastaza")</f>
        <v>Pastaza</v>
      </c>
      <c r="H1155" s="87" t="str">
        <f>HYPERLINK("http://api.nsgreg.nga.mil/geo-division/ISO3166-2/6/ed3/EC-Y","EC-Y")</f>
        <v>EC-Y</v>
      </c>
    </row>
    <row r="1156" spans="1:8" x14ac:dyDescent="0.2">
      <c r="A1156" s="157"/>
      <c r="B1156" s="31" t="s">
        <v>5350</v>
      </c>
      <c r="C1156" s="31" t="s">
        <v>5351</v>
      </c>
      <c r="D1156" s="31" t="s">
        <v>1920</v>
      </c>
      <c r="E1156" s="61" t="b">
        <v>1</v>
      </c>
      <c r="F1156" s="106" t="s">
        <v>5352</v>
      </c>
      <c r="G1156" s="116" t="str">
        <f>HYPERLINK("http://nsgreg.nga.mil/genc/view?v=113031&amp;gencs=T&amp;end_month=3&amp;end_day=31&amp;end_year=2014","Pichincha")</f>
        <v>Pichincha</v>
      </c>
      <c r="H1156" s="87" t="str">
        <f>HYPERLINK("http://api.nsgreg.nga.mil/geo-division/ISO3166-2/6/ed3/EC-P","EC-P")</f>
        <v>EC-P</v>
      </c>
    </row>
    <row r="1157" spans="1:8" x14ac:dyDescent="0.2">
      <c r="A1157" s="157"/>
      <c r="B1157" s="31" t="s">
        <v>5353</v>
      </c>
      <c r="C1157" s="31" t="s">
        <v>5354</v>
      </c>
      <c r="D1157" s="31" t="s">
        <v>1920</v>
      </c>
      <c r="E1157" s="61" t="b">
        <v>1</v>
      </c>
      <c r="F1157" s="106" t="s">
        <v>5355</v>
      </c>
      <c r="G1157" s="116" t="str">
        <f>HYPERLINK("http://nsgreg.nga.mil/genc/view?v=113035&amp;gencs=T&amp;end_month=3&amp;end_day=31&amp;end_year=2014","Santa Elena")</f>
        <v>Santa Elena</v>
      </c>
      <c r="H1157" s="87" t="str">
        <f>HYPERLINK("http://api.nsgreg.nga.mil/geo-division/ISO3166-2/6/ed3/EC-SE","EC-SE")</f>
        <v>EC-SE</v>
      </c>
    </row>
    <row r="1158" spans="1:8" x14ac:dyDescent="0.2">
      <c r="A1158" s="157"/>
      <c r="B1158" s="31" t="s">
        <v>5356</v>
      </c>
      <c r="C1158" s="31" t="s">
        <v>5357</v>
      </c>
      <c r="D1158" s="31" t="s">
        <v>1920</v>
      </c>
      <c r="E1158" s="61" t="b">
        <v>1</v>
      </c>
      <c r="F1158" s="106" t="s">
        <v>5358</v>
      </c>
      <c r="G1158" s="116" t="str">
        <f>HYPERLINK("http://nsgreg.nga.mil/genc/view?v=113034&amp;gencs=T&amp;end_month=3&amp;end_day=31&amp;end_year=2014","Santo Domingo de los Tsáchilas")</f>
        <v>Santo Domingo de los Tsáchilas</v>
      </c>
      <c r="H1158" s="87" t="str">
        <f>HYPERLINK("http://api.nsgreg.nga.mil/geo-division/ISO3166-2/6/ed3/EC-SD","EC-SD")</f>
        <v>EC-SD</v>
      </c>
    </row>
    <row r="1159" spans="1:8" x14ac:dyDescent="0.2">
      <c r="A1159" s="157"/>
      <c r="B1159" s="31" t="s">
        <v>5359</v>
      </c>
      <c r="C1159" s="31" t="s">
        <v>5360</v>
      </c>
      <c r="D1159" s="31" t="s">
        <v>1920</v>
      </c>
      <c r="E1159" s="61" t="b">
        <v>1</v>
      </c>
      <c r="F1159" s="106" t="s">
        <v>5361</v>
      </c>
      <c r="G1159" s="116" t="str">
        <f>HYPERLINK("http://nsgreg.nga.mil/genc/view?v=113037&amp;gencs=T&amp;end_month=3&amp;end_day=31&amp;end_year=2014","Sucumbíos")</f>
        <v>Sucumbíos</v>
      </c>
      <c r="H1159" s="87" t="str">
        <f>HYPERLINK("http://api.nsgreg.nga.mil/geo-division/ISO3166-2/6/ed3/EC-U","EC-U")</f>
        <v>EC-U</v>
      </c>
    </row>
    <row r="1160" spans="1:8" x14ac:dyDescent="0.2">
      <c r="A1160" s="157"/>
      <c r="B1160" s="31" t="s">
        <v>5362</v>
      </c>
      <c r="C1160" s="31" t="s">
        <v>5363</v>
      </c>
      <c r="D1160" s="31" t="s">
        <v>1920</v>
      </c>
      <c r="E1160" s="61" t="b">
        <v>1</v>
      </c>
      <c r="F1160" s="106" t="s">
        <v>5364</v>
      </c>
      <c r="G1160" s="116" t="str">
        <f>HYPERLINK("http://nsgreg.nga.mil/genc/view?v=113036&amp;gencs=T&amp;end_month=3&amp;end_day=31&amp;end_year=2014","Tungurahua")</f>
        <v>Tungurahua</v>
      </c>
      <c r="H1160" s="87" t="str">
        <f>HYPERLINK("http://api.nsgreg.nga.mil/geo-division/ISO3166-2/6/ed3/EC-T","EC-T")</f>
        <v>EC-T</v>
      </c>
    </row>
    <row r="1161" spans="1:8" x14ac:dyDescent="0.2">
      <c r="A1161" s="158"/>
      <c r="B1161" s="58" t="s">
        <v>5365</v>
      </c>
      <c r="C1161" s="58" t="s">
        <v>5366</v>
      </c>
      <c r="D1161" s="58" t="s">
        <v>1920</v>
      </c>
      <c r="E1161" s="62" t="b">
        <v>1</v>
      </c>
      <c r="F1161" s="108" t="s">
        <v>5367</v>
      </c>
      <c r="G1161" s="117" t="str">
        <f>HYPERLINK("http://nsgreg.nga.mil/genc/view?v=113041&amp;gencs=T&amp;end_month=3&amp;end_day=31&amp;end_year=2014","Zamora-Chinchipe")</f>
        <v>Zamora-Chinchipe</v>
      </c>
      <c r="H1161" s="89" t="str">
        <f>HYPERLINK("http://api.nsgreg.nga.mil/geo-division/ISO3166-2/6/ed3/EC-Z","EC-Z")</f>
        <v>EC-Z</v>
      </c>
    </row>
    <row r="1162" spans="1:8" x14ac:dyDescent="0.2">
      <c r="A1162" s="156" t="str">
        <f>HYPERLINK("[#]Geopolitical_Entities!A77:I77","EGYPT")</f>
        <v>EGYPT</v>
      </c>
      <c r="B1162" s="52" t="s">
        <v>5368</v>
      </c>
      <c r="C1162" s="52" t="s">
        <v>5369</v>
      </c>
      <c r="D1162" s="52" t="s">
        <v>2885</v>
      </c>
      <c r="E1162" s="60" t="b">
        <v>1</v>
      </c>
      <c r="F1162" s="109" t="s">
        <v>5370</v>
      </c>
      <c r="G1162" s="118" t="str">
        <f>HYPERLINK("http://nsgreg.nga.mil/genc/view?v=113064&amp;gencs=T&amp;end_month=3&amp;end_day=31&amp;end_year=2014","Ad Daqahlīyah")</f>
        <v>Ad Daqahlīyah</v>
      </c>
      <c r="H1162" s="91" t="str">
        <f>HYPERLINK("http://api.nsgreg.nga.mil/geo-division/ISO3166-2/6/ed3/EG-DK","EG-DK")</f>
        <v>EG-DK</v>
      </c>
    </row>
    <row r="1163" spans="1:8" x14ac:dyDescent="0.2">
      <c r="A1163" s="157"/>
      <c r="B1163" s="31" t="s">
        <v>5371</v>
      </c>
      <c r="C1163" s="31" t="s">
        <v>5372</v>
      </c>
      <c r="D1163" s="31" t="s">
        <v>2885</v>
      </c>
      <c r="E1163" s="61" t="b">
        <v>1</v>
      </c>
      <c r="F1163" s="106" t="s">
        <v>5373</v>
      </c>
      <c r="G1163" s="116" t="str">
        <f>HYPERLINK("http://nsgreg.nga.mil/genc/view?v=113060&amp;gencs=T&amp;end_month=3&amp;end_day=31&amp;end_year=2014","Al Baḩr al Aḩmar")</f>
        <v>Al Baḩr al Aḩmar</v>
      </c>
      <c r="H1163" s="87" t="str">
        <f>HYPERLINK("http://api.nsgreg.nga.mil/geo-division/ISO3166-2/6/ed3/EG-BA","EG-BA")</f>
        <v>EG-BA</v>
      </c>
    </row>
    <row r="1164" spans="1:8" x14ac:dyDescent="0.2">
      <c r="A1164" s="157"/>
      <c r="B1164" s="31" t="s">
        <v>5374</v>
      </c>
      <c r="C1164" s="31" t="s">
        <v>5375</v>
      </c>
      <c r="D1164" s="31" t="s">
        <v>2885</v>
      </c>
      <c r="E1164" s="61" t="b">
        <v>1</v>
      </c>
      <c r="F1164" s="106" t="s">
        <v>5376</v>
      </c>
      <c r="G1164" s="116" t="str">
        <f>HYPERLINK("http://nsgreg.nga.mil/genc/view?v=113061&amp;gencs=T&amp;end_month=3&amp;end_day=31&amp;end_year=2014","Al Buḩayrah")</f>
        <v>Al Buḩayrah</v>
      </c>
      <c r="H1164" s="87" t="str">
        <f>HYPERLINK("http://api.nsgreg.nga.mil/geo-division/ISO3166-2/6/ed3/EG-BH","EG-BH")</f>
        <v>EG-BH</v>
      </c>
    </row>
    <row r="1165" spans="1:8" x14ac:dyDescent="0.2">
      <c r="A1165" s="157"/>
      <c r="B1165" s="31" t="s">
        <v>5377</v>
      </c>
      <c r="C1165" s="31" t="s">
        <v>5378</v>
      </c>
      <c r="D1165" s="31" t="s">
        <v>2885</v>
      </c>
      <c r="E1165" s="61" t="b">
        <v>1</v>
      </c>
      <c r="F1165" s="106" t="s">
        <v>5379</v>
      </c>
      <c r="G1165" s="116" t="str">
        <f>HYPERLINK("http://nsgreg.nga.mil/genc/view?v=113066&amp;gencs=T&amp;end_month=3&amp;end_day=31&amp;end_year=2014","Al Fayyūm")</f>
        <v>Al Fayyūm</v>
      </c>
      <c r="H1165" s="87" t="str">
        <f>HYPERLINK("http://api.nsgreg.nga.mil/geo-division/ISO3166-2/6/ed3/EG-FYM","EG-FYM")</f>
        <v>EG-FYM</v>
      </c>
    </row>
    <row r="1166" spans="1:8" x14ac:dyDescent="0.2">
      <c r="A1166" s="157"/>
      <c r="B1166" s="31" t="s">
        <v>5380</v>
      </c>
      <c r="C1166" s="31" t="s">
        <v>5381</v>
      </c>
      <c r="D1166" s="31" t="s">
        <v>2885</v>
      </c>
      <c r="E1166" s="61" t="b">
        <v>1</v>
      </c>
      <c r="F1166" s="106" t="s">
        <v>5382</v>
      </c>
      <c r="G1166" s="116" t="str">
        <f>HYPERLINK("http://nsgreg.nga.mil/genc/view?v=113067&amp;gencs=T&amp;end_month=3&amp;end_day=31&amp;end_year=2014","Al Gharbīyah")</f>
        <v>Al Gharbīyah</v>
      </c>
      <c r="H1166" s="87" t="str">
        <f>HYPERLINK("http://api.nsgreg.nga.mil/geo-division/ISO3166-2/6/ed3/EG-GH","EG-GH")</f>
        <v>EG-GH</v>
      </c>
    </row>
    <row r="1167" spans="1:8" x14ac:dyDescent="0.2">
      <c r="A1167" s="157"/>
      <c r="B1167" s="31" t="s">
        <v>5383</v>
      </c>
      <c r="C1167" s="31" t="s">
        <v>5384</v>
      </c>
      <c r="D1167" s="31" t="s">
        <v>2885</v>
      </c>
      <c r="E1167" s="61" t="b">
        <v>1</v>
      </c>
      <c r="F1167" s="106" t="s">
        <v>5385</v>
      </c>
      <c r="G1167" s="116" t="str">
        <f>HYPERLINK("http://nsgreg.nga.mil/genc/view?v=113057&amp;gencs=T&amp;end_month=3&amp;end_day=31&amp;end_year=2014","Al Iskandarīyah")</f>
        <v>Al Iskandarīyah</v>
      </c>
      <c r="H1167" s="87" t="str">
        <f>HYPERLINK("http://api.nsgreg.nga.mil/geo-division/ISO3166-2/6/ed3/EG-ALX","EG-ALX")</f>
        <v>EG-ALX</v>
      </c>
    </row>
    <row r="1168" spans="1:8" x14ac:dyDescent="0.2">
      <c r="A1168" s="157"/>
      <c r="B1168" s="31" t="s">
        <v>5386</v>
      </c>
      <c r="C1168" s="31" t="s">
        <v>5387</v>
      </c>
      <c r="D1168" s="31" t="s">
        <v>2885</v>
      </c>
      <c r="E1168" s="61" t="b">
        <v>1</v>
      </c>
      <c r="F1168" s="106" t="s">
        <v>5388</v>
      </c>
      <c r="G1168" s="116" t="str">
        <f>HYPERLINK("http://nsgreg.nga.mil/genc/view?v=113070&amp;gencs=T&amp;end_month=3&amp;end_day=31&amp;end_year=2014","Al Ismā‘īlīyah")</f>
        <v>Al Ismā‘īlīyah</v>
      </c>
      <c r="H1168" s="87" t="str">
        <f>HYPERLINK("http://api.nsgreg.nga.mil/geo-division/ISO3166-2/6/ed3/EG-IS","EG-IS")</f>
        <v>EG-IS</v>
      </c>
    </row>
    <row r="1169" spans="1:8" x14ac:dyDescent="0.2">
      <c r="A1169" s="157"/>
      <c r="B1169" s="31" t="s">
        <v>5389</v>
      </c>
      <c r="C1169" s="31" t="s">
        <v>5390</v>
      </c>
      <c r="D1169" s="31" t="s">
        <v>2885</v>
      </c>
      <c r="E1169" s="61" t="b">
        <v>1</v>
      </c>
      <c r="F1169" s="106" t="s">
        <v>5391</v>
      </c>
      <c r="G1169" s="116" t="str">
        <f>HYPERLINK("http://nsgreg.nga.mil/genc/view?v=113068&amp;gencs=T&amp;end_month=3&amp;end_day=31&amp;end_year=2014","Al Jīzah")</f>
        <v>Al Jīzah</v>
      </c>
      <c r="H1169" s="87" t="str">
        <f>HYPERLINK("http://api.nsgreg.nga.mil/geo-division/ISO3166-2/6/ed3/EG-GZ","EG-GZ")</f>
        <v>EG-GZ</v>
      </c>
    </row>
    <row r="1170" spans="1:8" x14ac:dyDescent="0.2">
      <c r="A1170" s="157"/>
      <c r="B1170" s="31" t="s">
        <v>5392</v>
      </c>
      <c r="C1170" s="31" t="s">
        <v>5393</v>
      </c>
      <c r="D1170" s="31" t="s">
        <v>2885</v>
      </c>
      <c r="E1170" s="61" t="b">
        <v>1</v>
      </c>
      <c r="F1170" s="106" t="s">
        <v>5394</v>
      </c>
      <c r="G1170" s="116" t="str">
        <f>HYPERLINK("http://nsgreg.nga.mil/genc/view?v=113077&amp;gencs=T&amp;end_month=3&amp;end_day=31&amp;end_year=2014","Al Minūfīyah")</f>
        <v>Al Minūfīyah</v>
      </c>
      <c r="H1170" s="87" t="str">
        <f>HYPERLINK("http://api.nsgreg.nga.mil/geo-division/ISO3166-2/6/ed3/EG-MNF","EG-MNF")</f>
        <v>EG-MNF</v>
      </c>
    </row>
    <row r="1171" spans="1:8" x14ac:dyDescent="0.2">
      <c r="A1171" s="157"/>
      <c r="B1171" s="31" t="s">
        <v>5395</v>
      </c>
      <c r="C1171" s="31" t="s">
        <v>5396</v>
      </c>
      <c r="D1171" s="31" t="s">
        <v>2885</v>
      </c>
      <c r="E1171" s="61" t="b">
        <v>1</v>
      </c>
      <c r="F1171" s="106" t="s">
        <v>5397</v>
      </c>
      <c r="G1171" s="116" t="str">
        <f>HYPERLINK("http://nsgreg.nga.mil/genc/view?v=113076&amp;gencs=T&amp;end_month=3&amp;end_day=31&amp;end_year=2014","Al Minyā")</f>
        <v>Al Minyā</v>
      </c>
      <c r="H1171" s="87" t="str">
        <f>HYPERLINK("http://api.nsgreg.nga.mil/geo-division/ISO3166-2/6/ed3/EG-MN","EG-MN")</f>
        <v>EG-MN</v>
      </c>
    </row>
    <row r="1172" spans="1:8" x14ac:dyDescent="0.2">
      <c r="A1172" s="157"/>
      <c r="B1172" s="31" t="s">
        <v>5398</v>
      </c>
      <c r="C1172" s="31" t="s">
        <v>5399</v>
      </c>
      <c r="D1172" s="31" t="s">
        <v>2885</v>
      </c>
      <c r="E1172" s="61" t="b">
        <v>1</v>
      </c>
      <c r="F1172" s="106" t="s">
        <v>5400</v>
      </c>
      <c r="G1172" s="116" t="str">
        <f>HYPERLINK("http://nsgreg.nga.mil/genc/view?v=113063&amp;gencs=T&amp;end_month=3&amp;end_day=31&amp;end_year=2014","Al Qāhirah")</f>
        <v>Al Qāhirah</v>
      </c>
      <c r="H1172" s="87" t="str">
        <f>HYPERLINK("http://api.nsgreg.nga.mil/geo-division/ISO3166-2/6/ed3/EG-C","EG-C")</f>
        <v>EG-C</v>
      </c>
    </row>
    <row r="1173" spans="1:8" x14ac:dyDescent="0.2">
      <c r="A1173" s="157"/>
      <c r="B1173" s="31" t="s">
        <v>5401</v>
      </c>
      <c r="C1173" s="31" t="s">
        <v>5402</v>
      </c>
      <c r="D1173" s="31" t="s">
        <v>2885</v>
      </c>
      <c r="E1173" s="61" t="b">
        <v>1</v>
      </c>
      <c r="F1173" s="106" t="s">
        <v>5403</v>
      </c>
      <c r="G1173" s="116" t="str">
        <f>HYPERLINK("http://nsgreg.nga.mil/genc/view?v=113072&amp;gencs=T&amp;end_month=3&amp;end_day=31&amp;end_year=2014","Al Qalyūbīyah")</f>
        <v>Al Qalyūbīyah</v>
      </c>
      <c r="H1173" s="87" t="str">
        <f>HYPERLINK("http://api.nsgreg.nga.mil/geo-division/ISO3166-2/6/ed3/EG-KB","EG-KB")</f>
        <v>EG-KB</v>
      </c>
    </row>
    <row r="1174" spans="1:8" x14ac:dyDescent="0.2">
      <c r="A1174" s="157"/>
      <c r="B1174" s="31" t="s">
        <v>5404</v>
      </c>
      <c r="C1174" s="31" t="s">
        <v>5405</v>
      </c>
      <c r="D1174" s="31" t="s">
        <v>2885</v>
      </c>
      <c r="E1174" s="61" t="b">
        <v>1</v>
      </c>
      <c r="F1174" s="106" t="s">
        <v>5406</v>
      </c>
      <c r="G1174" s="116" t="str">
        <f>HYPERLINK("http://nsgreg.nga.mil/genc/view?v=113075&amp;gencs=T&amp;end_month=3&amp;end_day=31&amp;end_year=2014","Al Uqşur")</f>
        <v>Al Uqşur</v>
      </c>
      <c r="H1174" s="87" t="str">
        <f>HYPERLINK("http://api.nsgreg.nga.mil/geo-division/ISO3166-2/6/ed3/EG-LX","EG-LX")</f>
        <v>EG-LX</v>
      </c>
    </row>
    <row r="1175" spans="1:8" x14ac:dyDescent="0.2">
      <c r="A1175" s="157"/>
      <c r="B1175" s="31" t="s">
        <v>5407</v>
      </c>
      <c r="C1175" s="31" t="s">
        <v>5408</v>
      </c>
      <c r="D1175" s="31" t="s">
        <v>2885</v>
      </c>
      <c r="E1175" s="61" t="b">
        <v>1</v>
      </c>
      <c r="F1175" s="106" t="s">
        <v>5409</v>
      </c>
      <c r="G1175" s="116" t="str">
        <f>HYPERLINK("http://nsgreg.nga.mil/genc/view?v=113085&amp;gencs=T&amp;end_month=3&amp;end_day=31&amp;end_year=2014","Al Wādī al Jadīd")</f>
        <v>Al Wādī al Jadīd</v>
      </c>
      <c r="H1175" s="87" t="str">
        <f>HYPERLINK("http://api.nsgreg.nga.mil/geo-division/ISO3166-2/6/ed3/EG-WAD","EG-WAD")</f>
        <v>EG-WAD</v>
      </c>
    </row>
    <row r="1176" spans="1:8" x14ac:dyDescent="0.2">
      <c r="A1176" s="157"/>
      <c r="B1176" s="31" t="s">
        <v>5410</v>
      </c>
      <c r="C1176" s="31" t="s">
        <v>5411</v>
      </c>
      <c r="D1176" s="31" t="s">
        <v>2885</v>
      </c>
      <c r="E1176" s="61" t="b">
        <v>1</v>
      </c>
      <c r="F1176" s="106" t="s">
        <v>5412</v>
      </c>
      <c r="G1176" s="116" t="str">
        <f>HYPERLINK("http://nsgreg.nga.mil/genc/view?v=113081&amp;gencs=T&amp;end_month=3&amp;end_day=31&amp;end_year=2014","Ash Sharqīyah")</f>
        <v>Ash Sharqīyah</v>
      </c>
      <c r="H1176" s="87" t="str">
        <f>HYPERLINK("http://api.nsgreg.nga.mil/geo-division/ISO3166-2/6/ed3/EG-SHR","EG-SHR")</f>
        <v>EG-SHR</v>
      </c>
    </row>
    <row r="1177" spans="1:8" x14ac:dyDescent="0.2">
      <c r="A1177" s="157"/>
      <c r="B1177" s="31" t="s">
        <v>5413</v>
      </c>
      <c r="C1177" s="31" t="s">
        <v>5414</v>
      </c>
      <c r="D1177" s="98" t="s">
        <v>2885</v>
      </c>
      <c r="E1177" s="99" t="b">
        <v>0</v>
      </c>
      <c r="F1177" s="107" t="s">
        <v>5415</v>
      </c>
      <c r="G1177" s="116" t="str">
        <f>HYPERLINK("http://nsgreg.nga.mil/genc/view?v=201100&amp;end_month=3&amp;end_day=31&amp;end_year=2014","As Sādis min Uktūbar")</f>
        <v>As Sādis min Uktūbar</v>
      </c>
      <c r="H1177" s="87" t="str">
        <f>HYPERLINK("http://api.nsgreg.nga.mil/geo-division/GENC/6/ed2/EG-SU","EG-SU")</f>
        <v>EG-SU</v>
      </c>
    </row>
    <row r="1178" spans="1:8" x14ac:dyDescent="0.2">
      <c r="A1178" s="157"/>
      <c r="B1178" s="31" t="s">
        <v>5416</v>
      </c>
      <c r="C1178" s="31" t="s">
        <v>5417</v>
      </c>
      <c r="D1178" s="31" t="s">
        <v>2885</v>
      </c>
      <c r="E1178" s="61" t="b">
        <v>1</v>
      </c>
      <c r="F1178" s="106" t="s">
        <v>5418</v>
      </c>
      <c r="G1178" s="116" t="str">
        <f>HYPERLINK("http://nsgreg.nga.mil/genc/view?v=113084&amp;gencs=T&amp;end_month=3&amp;end_day=31&amp;end_year=2014","As Suways")</f>
        <v>As Suways</v>
      </c>
      <c r="H1178" s="87" t="str">
        <f>HYPERLINK("http://api.nsgreg.nga.mil/geo-division/ISO3166-2/6/ed3/EG-SUZ","EG-SUZ")</f>
        <v>EG-SUZ</v>
      </c>
    </row>
    <row r="1179" spans="1:8" x14ac:dyDescent="0.2">
      <c r="A1179" s="157"/>
      <c r="B1179" s="31" t="s">
        <v>5419</v>
      </c>
      <c r="C1179" s="31" t="s">
        <v>5420</v>
      </c>
      <c r="D1179" s="31" t="s">
        <v>2885</v>
      </c>
      <c r="E1179" s="61" t="b">
        <v>1</v>
      </c>
      <c r="F1179" s="106" t="s">
        <v>5421</v>
      </c>
      <c r="G1179" s="116" t="str">
        <f>HYPERLINK("http://nsgreg.nga.mil/genc/view?v=113058&amp;gencs=T&amp;end_month=3&amp;end_day=31&amp;end_year=2014","Aswān")</f>
        <v>Aswān</v>
      </c>
      <c r="H1179" s="87" t="str">
        <f>HYPERLINK("http://api.nsgreg.nga.mil/geo-division/ISO3166-2/6/ed3/EG-ASN","EG-ASN")</f>
        <v>EG-ASN</v>
      </c>
    </row>
    <row r="1180" spans="1:8" x14ac:dyDescent="0.2">
      <c r="A1180" s="157"/>
      <c r="B1180" s="31" t="s">
        <v>5422</v>
      </c>
      <c r="C1180" s="31" t="s">
        <v>5423</v>
      </c>
      <c r="D1180" s="31" t="s">
        <v>2885</v>
      </c>
      <c r="E1180" s="61" t="b">
        <v>1</v>
      </c>
      <c r="F1180" s="106" t="s">
        <v>5424</v>
      </c>
      <c r="G1180" s="116" t="str">
        <f>HYPERLINK("http://nsgreg.nga.mil/genc/view?v=113059&amp;gencs=T&amp;end_month=3&amp;end_day=31&amp;end_year=2014","Asyūţ")</f>
        <v>Asyūţ</v>
      </c>
      <c r="H1180" s="87" t="str">
        <f>HYPERLINK("http://api.nsgreg.nga.mil/geo-division/ISO3166-2/6/ed3/EG-AST","EG-AST")</f>
        <v>EG-AST</v>
      </c>
    </row>
    <row r="1181" spans="1:8" x14ac:dyDescent="0.2">
      <c r="A1181" s="157"/>
      <c r="B1181" s="31" t="s">
        <v>5425</v>
      </c>
      <c r="C1181" s="31" t="s">
        <v>5426</v>
      </c>
      <c r="D1181" s="31" t="s">
        <v>2885</v>
      </c>
      <c r="E1181" s="61" t="b">
        <v>1</v>
      </c>
      <c r="F1181" s="106" t="s">
        <v>5427</v>
      </c>
      <c r="G1181" s="116" t="str">
        <f>HYPERLINK("http://nsgreg.nga.mil/genc/view?v=113062&amp;gencs=T&amp;end_month=3&amp;end_day=31&amp;end_year=2014","Banī Suwayf")</f>
        <v>Banī Suwayf</v>
      </c>
      <c r="H1181" s="87" t="str">
        <f>HYPERLINK("http://api.nsgreg.nga.mil/geo-division/ISO3166-2/6/ed3/EG-BNS","EG-BNS")</f>
        <v>EG-BNS</v>
      </c>
    </row>
    <row r="1182" spans="1:8" x14ac:dyDescent="0.2">
      <c r="A1182" s="157"/>
      <c r="B1182" s="31" t="s">
        <v>5428</v>
      </c>
      <c r="C1182" s="31" t="s">
        <v>5429</v>
      </c>
      <c r="D1182" s="31" t="s">
        <v>2885</v>
      </c>
      <c r="E1182" s="61" t="b">
        <v>1</v>
      </c>
      <c r="F1182" s="106" t="s">
        <v>5430</v>
      </c>
      <c r="G1182" s="116" t="str">
        <f>HYPERLINK("http://nsgreg.nga.mil/genc/view?v=113079&amp;gencs=T&amp;end_month=3&amp;end_day=31&amp;end_year=2014","Būr Sa‘īd")</f>
        <v>Būr Sa‘īd</v>
      </c>
      <c r="H1182" s="87" t="str">
        <f>HYPERLINK("http://api.nsgreg.nga.mil/geo-division/ISO3166-2/6/ed3/EG-PTS","EG-PTS")</f>
        <v>EG-PTS</v>
      </c>
    </row>
    <row r="1183" spans="1:8" x14ac:dyDescent="0.2">
      <c r="A1183" s="157"/>
      <c r="B1183" s="31" t="s">
        <v>5431</v>
      </c>
      <c r="C1183" s="31" t="s">
        <v>5432</v>
      </c>
      <c r="D1183" s="31" t="s">
        <v>2885</v>
      </c>
      <c r="E1183" s="61" t="b">
        <v>1</v>
      </c>
      <c r="F1183" s="106" t="s">
        <v>5433</v>
      </c>
      <c r="G1183" s="116" t="str">
        <f>HYPERLINK("http://nsgreg.nga.mil/genc/view?v=113065&amp;gencs=T&amp;end_month=3&amp;end_day=31&amp;end_year=2014","Dumyāţ")</f>
        <v>Dumyāţ</v>
      </c>
      <c r="H1183" s="87" t="str">
        <f>HYPERLINK("http://api.nsgreg.nga.mil/geo-division/ISO3166-2/6/ed3/EG-DT","EG-DT")</f>
        <v>EG-DT</v>
      </c>
    </row>
    <row r="1184" spans="1:8" x14ac:dyDescent="0.2">
      <c r="A1184" s="157"/>
      <c r="B1184" s="31" t="s">
        <v>5434</v>
      </c>
      <c r="C1184" s="31" t="s">
        <v>5435</v>
      </c>
      <c r="D1184" s="98" t="s">
        <v>2885</v>
      </c>
      <c r="E1184" s="99" t="b">
        <v>0</v>
      </c>
      <c r="F1184" s="107" t="s">
        <v>5436</v>
      </c>
      <c r="G1184" s="116" t="str">
        <f>HYPERLINK("http://nsgreg.nga.mil/genc/view?v=201099&amp;end_month=3&amp;end_day=31&amp;end_year=2014","Ḩulwān")</f>
        <v>Ḩulwān</v>
      </c>
      <c r="H1184" s="87" t="str">
        <f>HYPERLINK("http://api.nsgreg.nga.mil/geo-division/GENC/6/ed2/EG-HU","EG-HU")</f>
        <v>EG-HU</v>
      </c>
    </row>
    <row r="1185" spans="1:8" x14ac:dyDescent="0.2">
      <c r="A1185" s="157"/>
      <c r="B1185" s="31" t="s">
        <v>5437</v>
      </c>
      <c r="C1185" s="31" t="s">
        <v>5438</v>
      </c>
      <c r="D1185" s="31" t="s">
        <v>2885</v>
      </c>
      <c r="E1185" s="61" t="b">
        <v>1</v>
      </c>
      <c r="F1185" s="106" t="s">
        <v>5439</v>
      </c>
      <c r="G1185" s="116" t="str">
        <f>HYPERLINK("http://nsgreg.nga.mil/genc/view?v=113071&amp;gencs=T&amp;end_month=3&amp;end_day=31&amp;end_year=2014","Janūb Sīnā’")</f>
        <v>Janūb Sīnā’</v>
      </c>
      <c r="H1185" s="87" t="str">
        <f>HYPERLINK("http://api.nsgreg.nga.mil/geo-division/ISO3166-2/6/ed3/EG-JS","EG-JS")</f>
        <v>EG-JS</v>
      </c>
    </row>
    <row r="1186" spans="1:8" x14ac:dyDescent="0.2">
      <c r="A1186" s="157"/>
      <c r="B1186" s="31" t="s">
        <v>5440</v>
      </c>
      <c r="C1186" s="31" t="s">
        <v>5441</v>
      </c>
      <c r="D1186" s="31" t="s">
        <v>2885</v>
      </c>
      <c r="E1186" s="61" t="b">
        <v>1</v>
      </c>
      <c r="F1186" s="106" t="s">
        <v>5442</v>
      </c>
      <c r="G1186" s="116" t="str">
        <f>HYPERLINK("http://nsgreg.nga.mil/genc/view?v=113073&amp;gencs=T&amp;end_month=3&amp;end_day=31&amp;end_year=2014","Kafr ash Shaykh")</f>
        <v>Kafr ash Shaykh</v>
      </c>
      <c r="H1186" s="87" t="str">
        <f>HYPERLINK("http://api.nsgreg.nga.mil/geo-division/ISO3166-2/6/ed3/EG-KFS","EG-KFS")</f>
        <v>EG-KFS</v>
      </c>
    </row>
    <row r="1187" spans="1:8" x14ac:dyDescent="0.2">
      <c r="A1187" s="157"/>
      <c r="B1187" s="31" t="s">
        <v>5443</v>
      </c>
      <c r="C1187" s="31" t="s">
        <v>5444</v>
      </c>
      <c r="D1187" s="31" t="s">
        <v>2885</v>
      </c>
      <c r="E1187" s="61" t="b">
        <v>1</v>
      </c>
      <c r="F1187" s="106" t="s">
        <v>5445</v>
      </c>
      <c r="G1187" s="116" t="str">
        <f>HYPERLINK("http://nsgreg.nga.mil/genc/view?v=113078&amp;gencs=T&amp;end_month=3&amp;end_day=31&amp;end_year=2014","Maţrūḩ")</f>
        <v>Maţrūḩ</v>
      </c>
      <c r="H1187" s="87" t="str">
        <f>HYPERLINK("http://api.nsgreg.nga.mil/geo-division/ISO3166-2/6/ed3/EG-MT","EG-MT")</f>
        <v>EG-MT</v>
      </c>
    </row>
    <row r="1188" spans="1:8" x14ac:dyDescent="0.2">
      <c r="A1188" s="157"/>
      <c r="B1188" s="31" t="s">
        <v>5446</v>
      </c>
      <c r="C1188" s="31" t="s">
        <v>5447</v>
      </c>
      <c r="D1188" s="31" t="s">
        <v>2885</v>
      </c>
      <c r="E1188" s="61" t="b">
        <v>1</v>
      </c>
      <c r="F1188" s="106" t="s">
        <v>5448</v>
      </c>
      <c r="G1188" s="116" t="str">
        <f>HYPERLINK("http://nsgreg.nga.mil/genc/view?v=113074&amp;gencs=T&amp;end_month=3&amp;end_day=31&amp;end_year=2014","Qinā")</f>
        <v>Qinā</v>
      </c>
      <c r="H1188" s="87" t="str">
        <f>HYPERLINK("http://api.nsgreg.nga.mil/geo-division/ISO3166-2/6/ed3/EG-KN","EG-KN")</f>
        <v>EG-KN</v>
      </c>
    </row>
    <row r="1189" spans="1:8" x14ac:dyDescent="0.2">
      <c r="A1189" s="157"/>
      <c r="B1189" s="31" t="s">
        <v>5449</v>
      </c>
      <c r="C1189" s="31" t="s">
        <v>5450</v>
      </c>
      <c r="D1189" s="31" t="s">
        <v>2885</v>
      </c>
      <c r="E1189" s="61" t="b">
        <v>1</v>
      </c>
      <c r="F1189" s="106" t="s">
        <v>5451</v>
      </c>
      <c r="G1189" s="116" t="str">
        <f>HYPERLINK("http://nsgreg.nga.mil/genc/view?v=113082&amp;gencs=T&amp;end_month=3&amp;end_day=31&amp;end_year=2014","Shamāl Sīnā’")</f>
        <v>Shamāl Sīnā’</v>
      </c>
      <c r="H1189" s="87" t="str">
        <f>HYPERLINK("http://api.nsgreg.nga.mil/geo-division/ISO3166-2/6/ed3/EG-SIN","EG-SIN")</f>
        <v>EG-SIN</v>
      </c>
    </row>
    <row r="1190" spans="1:8" x14ac:dyDescent="0.2">
      <c r="A1190" s="158"/>
      <c r="B1190" s="58" t="s">
        <v>5452</v>
      </c>
      <c r="C1190" s="58" t="s">
        <v>5453</v>
      </c>
      <c r="D1190" s="58" t="s">
        <v>2885</v>
      </c>
      <c r="E1190" s="62" t="b">
        <v>1</v>
      </c>
      <c r="F1190" s="108" t="s">
        <v>5454</v>
      </c>
      <c r="G1190" s="117" t="str">
        <f>HYPERLINK("http://nsgreg.nga.mil/genc/view?v=113080&amp;gencs=T&amp;end_month=3&amp;end_day=31&amp;end_year=2014","Sūhāj")</f>
        <v>Sūhāj</v>
      </c>
      <c r="H1190" s="89" t="str">
        <f>HYPERLINK("http://api.nsgreg.nga.mil/geo-division/ISO3166-2/6/ed3/EG-SHG","EG-SHG")</f>
        <v>EG-SHG</v>
      </c>
    </row>
    <row r="1191" spans="1:8" x14ac:dyDescent="0.2">
      <c r="A1191" s="156" t="str">
        <f>HYPERLINK("[#]Geopolitical_Entities!A78:I78","EL SALVADOR")</f>
        <v>EL SALVADOR</v>
      </c>
      <c r="B1191" s="52" t="s">
        <v>5455</v>
      </c>
      <c r="C1191" s="52" t="s">
        <v>5456</v>
      </c>
      <c r="D1191" s="52" t="s">
        <v>3214</v>
      </c>
      <c r="E1191" s="60" t="b">
        <v>1</v>
      </c>
      <c r="F1191" s="109" t="s">
        <v>5457</v>
      </c>
      <c r="G1191" s="118" t="str">
        <f>HYPERLINK("http://nsgreg.nga.mil/genc/view?v=116111&amp;gencs=T&amp;end_month=3&amp;end_day=31&amp;end_year=2014","Ahuachapán")</f>
        <v>Ahuachapán</v>
      </c>
      <c r="H1191" s="91" t="str">
        <f>HYPERLINK("http://api.nsgreg.nga.mil/geo-division/ISO3166-2/6/ed3/SV-AH","SV-AH")</f>
        <v>SV-AH</v>
      </c>
    </row>
    <row r="1192" spans="1:8" x14ac:dyDescent="0.2">
      <c r="A1192" s="157"/>
      <c r="B1192" s="31" t="s">
        <v>5458</v>
      </c>
      <c r="C1192" s="31" t="s">
        <v>5459</v>
      </c>
      <c r="D1192" s="31" t="s">
        <v>3214</v>
      </c>
      <c r="E1192" s="61" t="b">
        <v>1</v>
      </c>
      <c r="F1192" s="106" t="s">
        <v>5460</v>
      </c>
      <c r="G1192" s="116" t="str">
        <f>HYPERLINK("http://nsgreg.nga.mil/genc/view?v=116112&amp;gencs=T&amp;end_month=3&amp;end_day=31&amp;end_year=2014","Cabañas")</f>
        <v>Cabañas</v>
      </c>
      <c r="H1192" s="87" t="str">
        <f>HYPERLINK("http://api.nsgreg.nga.mil/geo-division/ISO3166-2/6/ed3/SV-CA","SV-CA")</f>
        <v>SV-CA</v>
      </c>
    </row>
    <row r="1193" spans="1:8" x14ac:dyDescent="0.2">
      <c r="A1193" s="157"/>
      <c r="B1193" s="31" t="s">
        <v>5461</v>
      </c>
      <c r="C1193" s="31" t="s">
        <v>5462</v>
      </c>
      <c r="D1193" s="31" t="s">
        <v>3214</v>
      </c>
      <c r="E1193" s="61" t="b">
        <v>1</v>
      </c>
      <c r="F1193" s="106" t="s">
        <v>5463</v>
      </c>
      <c r="G1193" s="116" t="str">
        <f>HYPERLINK("http://nsgreg.nga.mil/genc/view?v=116113&amp;gencs=T&amp;end_month=3&amp;end_day=31&amp;end_year=2014","Chalatenango")</f>
        <v>Chalatenango</v>
      </c>
      <c r="H1193" s="87" t="str">
        <f>HYPERLINK("http://api.nsgreg.nga.mil/geo-division/ISO3166-2/6/ed3/SV-CH","SV-CH")</f>
        <v>SV-CH</v>
      </c>
    </row>
    <row r="1194" spans="1:8" x14ac:dyDescent="0.2">
      <c r="A1194" s="157"/>
      <c r="B1194" s="31" t="s">
        <v>5464</v>
      </c>
      <c r="C1194" s="31" t="s">
        <v>5465</v>
      </c>
      <c r="D1194" s="31" t="s">
        <v>3214</v>
      </c>
      <c r="E1194" s="61" t="b">
        <v>1</v>
      </c>
      <c r="F1194" s="106" t="s">
        <v>5466</v>
      </c>
      <c r="G1194" s="116" t="str">
        <f>HYPERLINK("http://nsgreg.nga.mil/genc/view?v=116114&amp;gencs=T&amp;end_month=3&amp;end_day=31&amp;end_year=2014","Cuscatlán")</f>
        <v>Cuscatlán</v>
      </c>
      <c r="H1194" s="87" t="str">
        <f>HYPERLINK("http://api.nsgreg.nga.mil/geo-division/ISO3166-2/6/ed3/SV-CU","SV-CU")</f>
        <v>SV-CU</v>
      </c>
    </row>
    <row r="1195" spans="1:8" x14ac:dyDescent="0.2">
      <c r="A1195" s="157"/>
      <c r="B1195" s="31" t="s">
        <v>5467</v>
      </c>
      <c r="C1195" s="31" t="s">
        <v>5468</v>
      </c>
      <c r="D1195" s="31" t="s">
        <v>3214</v>
      </c>
      <c r="E1195" s="61" t="b">
        <v>1</v>
      </c>
      <c r="F1195" s="106" t="s">
        <v>5469</v>
      </c>
      <c r="G1195" s="116" t="str">
        <f>HYPERLINK("http://nsgreg.nga.mil/genc/view?v=116115&amp;gencs=T&amp;end_month=3&amp;end_day=31&amp;end_year=2014","La Libertad")</f>
        <v>La Libertad</v>
      </c>
      <c r="H1195" s="87" t="str">
        <f>HYPERLINK("http://api.nsgreg.nga.mil/geo-division/ISO3166-2/6/ed3/SV-LI","SV-LI")</f>
        <v>SV-LI</v>
      </c>
    </row>
    <row r="1196" spans="1:8" x14ac:dyDescent="0.2">
      <c r="A1196" s="157"/>
      <c r="B1196" s="31" t="s">
        <v>5470</v>
      </c>
      <c r="C1196" s="31" t="s">
        <v>3351</v>
      </c>
      <c r="D1196" s="31" t="s">
        <v>3214</v>
      </c>
      <c r="E1196" s="61" t="b">
        <v>1</v>
      </c>
      <c r="F1196" s="106" t="s">
        <v>5471</v>
      </c>
      <c r="G1196" s="116" t="str">
        <f>HYPERLINK("http://nsgreg.nga.mil/genc/view?v=116117&amp;gencs=T&amp;end_month=3&amp;end_day=31&amp;end_year=2014","La Paz")</f>
        <v>La Paz</v>
      </c>
      <c r="H1196" s="87" t="str">
        <f>HYPERLINK("http://api.nsgreg.nga.mil/geo-division/ISO3166-2/6/ed3/SV-PA","SV-PA")</f>
        <v>SV-PA</v>
      </c>
    </row>
    <row r="1197" spans="1:8" x14ac:dyDescent="0.2">
      <c r="A1197" s="157"/>
      <c r="B1197" s="31" t="s">
        <v>5472</v>
      </c>
      <c r="C1197" s="31" t="s">
        <v>5473</v>
      </c>
      <c r="D1197" s="31" t="s">
        <v>3214</v>
      </c>
      <c r="E1197" s="61" t="b">
        <v>1</v>
      </c>
      <c r="F1197" s="106" t="s">
        <v>5474</v>
      </c>
      <c r="G1197" s="116" t="str">
        <f>HYPERLINK("http://nsgreg.nga.mil/genc/view?v=116123&amp;gencs=T&amp;end_month=3&amp;end_day=31&amp;end_year=2014","La Unión")</f>
        <v>La Unión</v>
      </c>
      <c r="H1197" s="87" t="str">
        <f>HYPERLINK("http://api.nsgreg.nga.mil/geo-division/ISO3166-2/6/ed3/SV-UN","SV-UN")</f>
        <v>SV-UN</v>
      </c>
    </row>
    <row r="1198" spans="1:8" x14ac:dyDescent="0.2">
      <c r="A1198" s="157"/>
      <c r="B1198" s="31" t="s">
        <v>5475</v>
      </c>
      <c r="C1198" s="31" t="s">
        <v>5476</v>
      </c>
      <c r="D1198" s="31" t="s">
        <v>3214</v>
      </c>
      <c r="E1198" s="61" t="b">
        <v>1</v>
      </c>
      <c r="F1198" s="106" t="s">
        <v>5477</v>
      </c>
      <c r="G1198" s="116" t="str">
        <f>HYPERLINK("http://nsgreg.nga.mil/genc/view?v=116116&amp;gencs=T&amp;end_month=3&amp;end_day=31&amp;end_year=2014","Morazán")</f>
        <v>Morazán</v>
      </c>
      <c r="H1198" s="87" t="str">
        <f>HYPERLINK("http://api.nsgreg.nga.mil/geo-division/ISO3166-2/6/ed3/SV-MO","SV-MO")</f>
        <v>SV-MO</v>
      </c>
    </row>
    <row r="1199" spans="1:8" x14ac:dyDescent="0.2">
      <c r="A1199" s="157"/>
      <c r="B1199" s="31" t="s">
        <v>5478</v>
      </c>
      <c r="C1199" s="31" t="s">
        <v>5479</v>
      </c>
      <c r="D1199" s="31" t="s">
        <v>3214</v>
      </c>
      <c r="E1199" s="61" t="b">
        <v>1</v>
      </c>
      <c r="F1199" s="106" t="s">
        <v>5480</v>
      </c>
      <c r="G1199" s="116" t="str">
        <f>HYPERLINK("http://nsgreg.nga.mil/genc/view?v=116119&amp;gencs=T&amp;end_month=3&amp;end_day=31&amp;end_year=2014","San Miguel")</f>
        <v>San Miguel</v>
      </c>
      <c r="H1199" s="87" t="str">
        <f>HYPERLINK("http://api.nsgreg.nga.mil/geo-division/ISO3166-2/6/ed3/SV-SM","SV-SM")</f>
        <v>SV-SM</v>
      </c>
    </row>
    <row r="1200" spans="1:8" x14ac:dyDescent="0.2">
      <c r="A1200" s="157"/>
      <c r="B1200" s="31" t="s">
        <v>5481</v>
      </c>
      <c r="C1200" s="31" t="s">
        <v>2866</v>
      </c>
      <c r="D1200" s="31" t="s">
        <v>3214</v>
      </c>
      <c r="E1200" s="61" t="b">
        <v>1</v>
      </c>
      <c r="F1200" s="106" t="s">
        <v>5482</v>
      </c>
      <c r="G1200" s="116" t="str">
        <f>HYPERLINK("http://nsgreg.nga.mil/genc/view?v=116121&amp;gencs=T&amp;end_month=3&amp;end_day=31&amp;end_year=2014","San Salvador")</f>
        <v>San Salvador</v>
      </c>
      <c r="H1200" s="87" t="str">
        <f>HYPERLINK("http://api.nsgreg.nga.mil/geo-division/ISO3166-2/6/ed3/SV-SS","SV-SS")</f>
        <v>SV-SS</v>
      </c>
    </row>
    <row r="1201" spans="1:8" x14ac:dyDescent="0.2">
      <c r="A1201" s="157"/>
      <c r="B1201" s="31" t="s">
        <v>5483</v>
      </c>
      <c r="C1201" s="31" t="s">
        <v>5484</v>
      </c>
      <c r="D1201" s="31" t="s">
        <v>3214</v>
      </c>
      <c r="E1201" s="61" t="b">
        <v>1</v>
      </c>
      <c r="F1201" s="106" t="s">
        <v>5485</v>
      </c>
      <c r="G1201" s="116" t="str">
        <f>HYPERLINK("http://nsgreg.nga.mil/genc/view?v=116118&amp;gencs=T&amp;end_month=3&amp;end_day=31&amp;end_year=2014","Santa Ana")</f>
        <v>Santa Ana</v>
      </c>
      <c r="H1201" s="87" t="str">
        <f>HYPERLINK("http://api.nsgreg.nga.mil/geo-division/ISO3166-2/6/ed3/SV-SA","SV-SA")</f>
        <v>SV-SA</v>
      </c>
    </row>
    <row r="1202" spans="1:8" x14ac:dyDescent="0.2">
      <c r="A1202" s="157"/>
      <c r="B1202" s="31" t="s">
        <v>5486</v>
      </c>
      <c r="C1202" s="31" t="s">
        <v>5487</v>
      </c>
      <c r="D1202" s="31" t="s">
        <v>3214</v>
      </c>
      <c r="E1202" s="61" t="b">
        <v>1</v>
      </c>
      <c r="F1202" s="106" t="s">
        <v>5488</v>
      </c>
      <c r="G1202" s="116" t="str">
        <f>HYPERLINK("http://nsgreg.nga.mil/genc/view?v=116122&amp;gencs=T&amp;end_month=3&amp;end_day=31&amp;end_year=2014","San Vicente")</f>
        <v>San Vicente</v>
      </c>
      <c r="H1202" s="87" t="str">
        <f>HYPERLINK("http://api.nsgreg.nga.mil/geo-division/ISO3166-2/6/ed3/SV-SV","SV-SV")</f>
        <v>SV-SV</v>
      </c>
    </row>
    <row r="1203" spans="1:8" x14ac:dyDescent="0.2">
      <c r="A1203" s="157"/>
      <c r="B1203" s="31" t="s">
        <v>5489</v>
      </c>
      <c r="C1203" s="31" t="s">
        <v>5490</v>
      </c>
      <c r="D1203" s="31" t="s">
        <v>3214</v>
      </c>
      <c r="E1203" s="61" t="b">
        <v>1</v>
      </c>
      <c r="F1203" s="106" t="s">
        <v>5491</v>
      </c>
      <c r="G1203" s="116" t="str">
        <f>HYPERLINK("http://nsgreg.nga.mil/genc/view?v=116120&amp;gencs=T&amp;end_month=3&amp;end_day=31&amp;end_year=2014","Sonsonate")</f>
        <v>Sonsonate</v>
      </c>
      <c r="H1203" s="87" t="str">
        <f>HYPERLINK("http://api.nsgreg.nga.mil/geo-division/ISO3166-2/6/ed3/SV-SO","SV-SO")</f>
        <v>SV-SO</v>
      </c>
    </row>
    <row r="1204" spans="1:8" x14ac:dyDescent="0.2">
      <c r="A1204" s="158"/>
      <c r="B1204" s="58" t="s">
        <v>5492</v>
      </c>
      <c r="C1204" s="58" t="s">
        <v>5493</v>
      </c>
      <c r="D1204" s="58" t="s">
        <v>3214</v>
      </c>
      <c r="E1204" s="62" t="b">
        <v>1</v>
      </c>
      <c r="F1204" s="108" t="s">
        <v>5494</v>
      </c>
      <c r="G1204" s="117" t="str">
        <f>HYPERLINK("http://nsgreg.nga.mil/genc/view?v=116124&amp;gencs=T&amp;end_month=3&amp;end_day=31&amp;end_year=2014","Usulután")</f>
        <v>Usulután</v>
      </c>
      <c r="H1204" s="89" t="str">
        <f>HYPERLINK("http://api.nsgreg.nga.mil/geo-division/ISO3166-2/6/ed3/SV-US","SV-US")</f>
        <v>SV-US</v>
      </c>
    </row>
    <row r="1205" spans="1:8" x14ac:dyDescent="0.2">
      <c r="A1205" s="156" t="str">
        <f>HYPERLINK("[#]Geopolitical_Entities!A85:I85","EQUATORIAL GUINEA")</f>
        <v>EQUATORIAL GUINEA</v>
      </c>
      <c r="B1205" s="52" t="s">
        <v>5495</v>
      </c>
      <c r="C1205" s="52" t="s">
        <v>5496</v>
      </c>
      <c r="D1205" s="52" t="s">
        <v>1920</v>
      </c>
      <c r="E1205" s="60" t="b">
        <v>1</v>
      </c>
      <c r="F1205" s="110" t="s">
        <v>5497</v>
      </c>
      <c r="G1205" s="118" t="str">
        <f>HYPERLINK("http://nsgreg.nga.mil/genc/view?v=201330&amp;end_month=3&amp;end_day=31&amp;end_year=2014","Annobón")</f>
        <v>Annobón</v>
      </c>
      <c r="H1205" s="91" t="str">
        <f>HYPERLINK("http://api.nsgreg.nga.mil/geo-division/GENC/6/ed2/GQ-AN","GQ-AN")</f>
        <v>GQ-AN</v>
      </c>
    </row>
    <row r="1206" spans="1:8" x14ac:dyDescent="0.2">
      <c r="A1206" s="157"/>
      <c r="B1206" s="31" t="s">
        <v>5498</v>
      </c>
      <c r="C1206" s="31" t="s">
        <v>5499</v>
      </c>
      <c r="D1206" s="31" t="s">
        <v>1920</v>
      </c>
      <c r="E1206" s="61" t="b">
        <v>1</v>
      </c>
      <c r="F1206" s="107" t="s">
        <v>5500</v>
      </c>
      <c r="G1206" s="116" t="str">
        <f>HYPERLINK("http://nsgreg.nga.mil/genc/view?v=201331&amp;end_month=3&amp;end_day=31&amp;end_year=2014","Bioko Norte")</f>
        <v>Bioko Norte</v>
      </c>
      <c r="H1206" s="87" t="str">
        <f>HYPERLINK("http://api.nsgreg.nga.mil/geo-division/GENC/6/ed2/GQ-BN","GQ-BN")</f>
        <v>GQ-BN</v>
      </c>
    </row>
    <row r="1207" spans="1:8" x14ac:dyDescent="0.2">
      <c r="A1207" s="157"/>
      <c r="B1207" s="31" t="s">
        <v>5501</v>
      </c>
      <c r="C1207" s="31" t="s">
        <v>5502</v>
      </c>
      <c r="D1207" s="31" t="s">
        <v>1920</v>
      </c>
      <c r="E1207" s="61" t="b">
        <v>1</v>
      </c>
      <c r="F1207" s="107" t="s">
        <v>5503</v>
      </c>
      <c r="G1207" s="116" t="str">
        <f>HYPERLINK("http://nsgreg.nga.mil/genc/view?v=201332&amp;end_month=3&amp;end_day=31&amp;end_year=2014","Bioko Sur")</f>
        <v>Bioko Sur</v>
      </c>
      <c r="H1207" s="87" t="str">
        <f>HYPERLINK("http://api.nsgreg.nga.mil/geo-division/GENC/6/ed2/GQ-BS","GQ-BS")</f>
        <v>GQ-BS</v>
      </c>
    </row>
    <row r="1208" spans="1:8" x14ac:dyDescent="0.2">
      <c r="A1208" s="157"/>
      <c r="B1208" s="31" t="s">
        <v>5504</v>
      </c>
      <c r="C1208" s="31" t="s">
        <v>5505</v>
      </c>
      <c r="D1208" s="31" t="s">
        <v>1920</v>
      </c>
      <c r="E1208" s="61" t="b">
        <v>1</v>
      </c>
      <c r="F1208" s="107" t="s">
        <v>5506</v>
      </c>
      <c r="G1208" s="116" t="str">
        <f>HYPERLINK("http://nsgreg.nga.mil/genc/view?v=201334&amp;end_month=3&amp;end_day=31&amp;end_year=2014","Centro Sur")</f>
        <v>Centro Sur</v>
      </c>
      <c r="H1208" s="87" t="str">
        <f>HYPERLINK("http://api.nsgreg.nga.mil/geo-division/GENC/6/ed2/GQ-CS","GQ-CS")</f>
        <v>GQ-CS</v>
      </c>
    </row>
    <row r="1209" spans="1:8" x14ac:dyDescent="0.2">
      <c r="A1209" s="157"/>
      <c r="B1209" s="31" t="s">
        <v>5507</v>
      </c>
      <c r="C1209" s="31" t="s">
        <v>5508</v>
      </c>
      <c r="D1209" s="31" t="s">
        <v>1920</v>
      </c>
      <c r="E1209" s="61" t="b">
        <v>1</v>
      </c>
      <c r="F1209" s="107" t="s">
        <v>5509</v>
      </c>
      <c r="G1209" s="116" t="str">
        <f>HYPERLINK("http://nsgreg.nga.mil/genc/view?v=201336&amp;end_month=3&amp;end_day=31&amp;end_year=2014","Kié-Ntem")</f>
        <v>Kié-Ntem</v>
      </c>
      <c r="H1209" s="87" t="str">
        <f>HYPERLINK("http://api.nsgreg.nga.mil/geo-division/GENC/6/ed2/GQ-KN","GQ-KN")</f>
        <v>GQ-KN</v>
      </c>
    </row>
    <row r="1210" spans="1:8" x14ac:dyDescent="0.2">
      <c r="A1210" s="157"/>
      <c r="B1210" s="31" t="s">
        <v>5510</v>
      </c>
      <c r="C1210" s="31" t="s">
        <v>5511</v>
      </c>
      <c r="D1210" s="31" t="s">
        <v>1920</v>
      </c>
      <c r="E1210" s="61" t="b">
        <v>1</v>
      </c>
      <c r="F1210" s="107" t="s">
        <v>5512</v>
      </c>
      <c r="G1210" s="116" t="str">
        <f>HYPERLINK("http://nsgreg.nga.mil/genc/view?v=201337&amp;end_month=3&amp;end_day=31&amp;end_year=2014","Litoral")</f>
        <v>Litoral</v>
      </c>
      <c r="H1210" s="87" t="str">
        <f>HYPERLINK("http://api.nsgreg.nga.mil/geo-division/GENC/6/ed2/GQ-LI","GQ-LI")</f>
        <v>GQ-LI</v>
      </c>
    </row>
    <row r="1211" spans="1:8" x14ac:dyDescent="0.2">
      <c r="A1211" s="157"/>
      <c r="B1211" s="31" t="s">
        <v>5513</v>
      </c>
      <c r="C1211" s="31" t="s">
        <v>5514</v>
      </c>
      <c r="D1211" s="98" t="s">
        <v>3137</v>
      </c>
      <c r="E1211" s="99" t="b">
        <v>0</v>
      </c>
      <c r="F1211" s="107" t="s">
        <v>5515</v>
      </c>
      <c r="G1211" s="116" t="str">
        <f>HYPERLINK("http://nsgreg.nga.mil/genc/view?v=201333&amp;end_month=3&amp;end_day=31&amp;end_year=2014","Región Continental")</f>
        <v>Región Continental</v>
      </c>
      <c r="H1211" s="87" t="str">
        <f>HYPERLINK("http://api.nsgreg.nga.mil/geo-division/GENC/6/ed2/GQ-C","GQ-C")</f>
        <v>GQ-C</v>
      </c>
    </row>
    <row r="1212" spans="1:8" x14ac:dyDescent="0.2">
      <c r="A1212" s="157"/>
      <c r="B1212" s="31" t="s">
        <v>5516</v>
      </c>
      <c r="C1212" s="31" t="s">
        <v>5517</v>
      </c>
      <c r="D1212" s="98" t="s">
        <v>3137</v>
      </c>
      <c r="E1212" s="99" t="b">
        <v>0</v>
      </c>
      <c r="F1212" s="107" t="s">
        <v>5518</v>
      </c>
      <c r="G1212" s="116" t="str">
        <f>HYPERLINK("http://nsgreg.nga.mil/genc/view?v=201335&amp;end_month=3&amp;end_day=31&amp;end_year=2014","Región Insular")</f>
        <v>Región Insular</v>
      </c>
      <c r="H1212" s="87" t="str">
        <f>HYPERLINK("http://api.nsgreg.nga.mil/geo-division/GENC/6/ed2/GQ-I","GQ-I")</f>
        <v>GQ-I</v>
      </c>
    </row>
    <row r="1213" spans="1:8" x14ac:dyDescent="0.2">
      <c r="A1213" s="158"/>
      <c r="B1213" s="58" t="s">
        <v>5519</v>
      </c>
      <c r="C1213" s="58" t="s">
        <v>5520</v>
      </c>
      <c r="D1213" s="58" t="s">
        <v>1920</v>
      </c>
      <c r="E1213" s="62" t="b">
        <v>1</v>
      </c>
      <c r="F1213" s="111" t="s">
        <v>5521</v>
      </c>
      <c r="G1213" s="117" t="str">
        <f>HYPERLINK("http://nsgreg.nga.mil/genc/view?v=201338&amp;end_month=3&amp;end_day=31&amp;end_year=2014","Wele-Nzas")</f>
        <v>Wele-Nzas</v>
      </c>
      <c r="H1213" s="89" t="str">
        <f>HYPERLINK("http://api.nsgreg.nga.mil/geo-division/GENC/6/ed2/GQ-WN","GQ-WN")</f>
        <v>GQ-WN</v>
      </c>
    </row>
    <row r="1214" spans="1:8" x14ac:dyDescent="0.2">
      <c r="A1214" s="156" t="str">
        <f>HYPERLINK("[#]Geopolitical_Entities!A86:I86","ERITREA")</f>
        <v>ERITREA</v>
      </c>
      <c r="B1214" s="52" t="s">
        <v>5522</v>
      </c>
      <c r="C1214" s="52" t="s">
        <v>5523</v>
      </c>
      <c r="D1214" s="52" t="s">
        <v>3137</v>
      </c>
      <c r="E1214" s="60" t="b">
        <v>1</v>
      </c>
      <c r="F1214" s="110" t="s">
        <v>5524</v>
      </c>
      <c r="G1214" s="118" t="str">
        <f>HYPERLINK("http://nsgreg.nga.mil/genc/view?v=201101&amp;end_month=3&amp;end_day=31&amp;end_year=2014","Ānseba")</f>
        <v>Ānseba</v>
      </c>
      <c r="H1214" s="91" t="str">
        <f>HYPERLINK("http://api.nsgreg.nga.mil/geo-division/GENC/6/ed2/ER-AN","ER-AN")</f>
        <v>ER-AN</v>
      </c>
    </row>
    <row r="1215" spans="1:8" x14ac:dyDescent="0.2">
      <c r="A1215" s="157"/>
      <c r="B1215" s="31" t="s">
        <v>5525</v>
      </c>
      <c r="C1215" s="31" t="s">
        <v>5526</v>
      </c>
      <c r="D1215" s="31" t="s">
        <v>3137</v>
      </c>
      <c r="E1215" s="61" t="b">
        <v>1</v>
      </c>
      <c r="F1215" s="107" t="s">
        <v>5527</v>
      </c>
      <c r="G1215" s="116" t="str">
        <f>HYPERLINK("http://nsgreg.nga.mil/genc/view?v=201103&amp;end_month=3&amp;end_day=31&amp;end_year=2014","Debub")</f>
        <v>Debub</v>
      </c>
      <c r="H1215" s="87" t="str">
        <f>HYPERLINK("http://api.nsgreg.nga.mil/geo-division/GENC/6/ed2/ER-DU","ER-DU")</f>
        <v>ER-DU</v>
      </c>
    </row>
    <row r="1216" spans="1:8" x14ac:dyDescent="0.2">
      <c r="A1216" s="157"/>
      <c r="B1216" s="31" t="s">
        <v>5528</v>
      </c>
      <c r="C1216" s="31" t="s">
        <v>5529</v>
      </c>
      <c r="D1216" s="31" t="s">
        <v>3137</v>
      </c>
      <c r="E1216" s="61" t="b">
        <v>1</v>
      </c>
      <c r="F1216" s="107" t="s">
        <v>5530</v>
      </c>
      <c r="G1216" s="116" t="str">
        <f>HYPERLINK("http://nsgreg.nga.mil/genc/view?v=201102&amp;end_month=3&amp;end_day=31&amp;end_year=2014","Debubawī K’eyih Bahrī")</f>
        <v>Debubawī K’eyih Bahrī</v>
      </c>
      <c r="H1216" s="87" t="str">
        <f>HYPERLINK("http://api.nsgreg.nga.mil/geo-division/GENC/6/ed2/ER-DK","ER-DK")</f>
        <v>ER-DK</v>
      </c>
    </row>
    <row r="1217" spans="1:8" x14ac:dyDescent="0.2">
      <c r="A1217" s="157"/>
      <c r="B1217" s="31" t="s">
        <v>5531</v>
      </c>
      <c r="C1217" s="31" t="s">
        <v>5532</v>
      </c>
      <c r="D1217" s="31" t="s">
        <v>3137</v>
      </c>
      <c r="E1217" s="61" t="b">
        <v>1</v>
      </c>
      <c r="F1217" s="107" t="s">
        <v>5533</v>
      </c>
      <c r="G1217" s="116" t="str">
        <f>HYPERLINK("http://nsgreg.nga.mil/genc/view?v=201104&amp;end_month=3&amp;end_day=31&amp;end_year=2014","Gash Barka")</f>
        <v>Gash Barka</v>
      </c>
      <c r="H1217" s="87" t="str">
        <f>HYPERLINK("http://api.nsgreg.nga.mil/geo-division/GENC/6/ed2/ER-GB","ER-GB")</f>
        <v>ER-GB</v>
      </c>
    </row>
    <row r="1218" spans="1:8" x14ac:dyDescent="0.2">
      <c r="A1218" s="157"/>
      <c r="B1218" s="31" t="s">
        <v>5534</v>
      </c>
      <c r="C1218" s="31" t="s">
        <v>5535</v>
      </c>
      <c r="D1218" s="31" t="s">
        <v>3137</v>
      </c>
      <c r="E1218" s="61" t="b">
        <v>1</v>
      </c>
      <c r="F1218" s="107" t="s">
        <v>5536</v>
      </c>
      <c r="G1218" s="116" t="str">
        <f>HYPERLINK("http://nsgreg.nga.mil/genc/view?v=201105&amp;end_month=3&amp;end_day=31&amp;end_year=2014","Ma’ākel")</f>
        <v>Ma’ākel</v>
      </c>
      <c r="H1218" s="87" t="str">
        <f>HYPERLINK("http://api.nsgreg.nga.mil/geo-division/GENC/6/ed2/ER-MA","ER-MA")</f>
        <v>ER-MA</v>
      </c>
    </row>
    <row r="1219" spans="1:8" x14ac:dyDescent="0.2">
      <c r="A1219" s="158"/>
      <c r="B1219" s="58" t="s">
        <v>5537</v>
      </c>
      <c r="C1219" s="58" t="s">
        <v>5538</v>
      </c>
      <c r="D1219" s="58" t="s">
        <v>3137</v>
      </c>
      <c r="E1219" s="62" t="b">
        <v>1</v>
      </c>
      <c r="F1219" s="111" t="s">
        <v>5539</v>
      </c>
      <c r="G1219" s="117" t="str">
        <f>HYPERLINK("http://nsgreg.nga.mil/genc/view?v=201106&amp;end_month=3&amp;end_day=31&amp;end_year=2014","Semēnawī K’eyih Bahrī")</f>
        <v>Semēnawī K’eyih Bahrī</v>
      </c>
      <c r="H1219" s="89" t="str">
        <f>HYPERLINK("http://api.nsgreg.nga.mil/geo-division/GENC/6/ed2/ER-SK","ER-SK")</f>
        <v>ER-SK</v>
      </c>
    </row>
    <row r="1220" spans="1:8" x14ac:dyDescent="0.2">
      <c r="A1220" s="156" t="str">
        <f>HYPERLINK("[#]Geopolitical_Entities!A87:I87","ESTONIA")</f>
        <v>ESTONIA</v>
      </c>
      <c r="B1220" s="52" t="s">
        <v>5540</v>
      </c>
      <c r="C1220" s="52" t="s">
        <v>5541</v>
      </c>
      <c r="D1220" s="52" t="s">
        <v>2023</v>
      </c>
      <c r="E1220" s="60" t="b">
        <v>1</v>
      </c>
      <c r="F1220" s="110" t="s">
        <v>5542</v>
      </c>
      <c r="G1220" s="118" t="str">
        <f>HYPERLINK("http://nsgreg.nga.mil/genc/view?v=201084&amp;end_month=3&amp;end_day=31&amp;end_year=2014","Harjumaa")</f>
        <v>Harjumaa</v>
      </c>
      <c r="H1220" s="91" t="str">
        <f>HYPERLINK("http://api.nsgreg.nga.mil/geo-division/GENC/6/ed2/EE-37","EE-37")</f>
        <v>EE-37</v>
      </c>
    </row>
    <row r="1221" spans="1:8" x14ac:dyDescent="0.2">
      <c r="A1221" s="157"/>
      <c r="B1221" s="31" t="s">
        <v>5543</v>
      </c>
      <c r="C1221" s="31" t="s">
        <v>5544</v>
      </c>
      <c r="D1221" s="31" t="s">
        <v>2023</v>
      </c>
      <c r="E1221" s="61" t="b">
        <v>1</v>
      </c>
      <c r="F1221" s="107" t="s">
        <v>5545</v>
      </c>
      <c r="G1221" s="116" t="str">
        <f>HYPERLINK("http://nsgreg.nga.mil/genc/view?v=201085&amp;end_month=3&amp;end_day=31&amp;end_year=2014","Hiiumaa")</f>
        <v>Hiiumaa</v>
      </c>
      <c r="H1221" s="87" t="str">
        <f>HYPERLINK("http://api.nsgreg.nga.mil/geo-division/GENC/6/ed2/EE-39","EE-39")</f>
        <v>EE-39</v>
      </c>
    </row>
    <row r="1222" spans="1:8" x14ac:dyDescent="0.2">
      <c r="A1222" s="157"/>
      <c r="B1222" s="31" t="s">
        <v>5546</v>
      </c>
      <c r="C1222" s="31" t="s">
        <v>5547</v>
      </c>
      <c r="D1222" s="31" t="s">
        <v>2023</v>
      </c>
      <c r="E1222" s="61" t="b">
        <v>1</v>
      </c>
      <c r="F1222" s="107" t="s">
        <v>5548</v>
      </c>
      <c r="G1222" s="116" t="str">
        <f>HYPERLINK("http://nsgreg.nga.mil/genc/view?v=201086&amp;end_month=3&amp;end_day=31&amp;end_year=2014","Ida-Virumaa")</f>
        <v>Ida-Virumaa</v>
      </c>
      <c r="H1222" s="87" t="str">
        <f>HYPERLINK("http://api.nsgreg.nga.mil/geo-division/GENC/6/ed2/EE-44","EE-44")</f>
        <v>EE-44</v>
      </c>
    </row>
    <row r="1223" spans="1:8" x14ac:dyDescent="0.2">
      <c r="A1223" s="157"/>
      <c r="B1223" s="31" t="s">
        <v>5549</v>
      </c>
      <c r="C1223" s="31" t="s">
        <v>5550</v>
      </c>
      <c r="D1223" s="31" t="s">
        <v>2023</v>
      </c>
      <c r="E1223" s="61" t="b">
        <v>1</v>
      </c>
      <c r="F1223" s="107" t="s">
        <v>5551</v>
      </c>
      <c r="G1223" s="116" t="str">
        <f>HYPERLINK("http://nsgreg.nga.mil/genc/view?v=201088&amp;end_month=3&amp;end_day=31&amp;end_year=2014","Järvamaa")</f>
        <v>Järvamaa</v>
      </c>
      <c r="H1223" s="87" t="str">
        <f>HYPERLINK("http://api.nsgreg.nga.mil/geo-division/GENC/6/ed2/EE-51","EE-51")</f>
        <v>EE-51</v>
      </c>
    </row>
    <row r="1224" spans="1:8" x14ac:dyDescent="0.2">
      <c r="A1224" s="157"/>
      <c r="B1224" s="31" t="s">
        <v>5552</v>
      </c>
      <c r="C1224" s="31" t="s">
        <v>5553</v>
      </c>
      <c r="D1224" s="31" t="s">
        <v>2023</v>
      </c>
      <c r="E1224" s="61" t="b">
        <v>1</v>
      </c>
      <c r="F1224" s="107" t="s">
        <v>5554</v>
      </c>
      <c r="G1224" s="116" t="str">
        <f>HYPERLINK("http://nsgreg.nga.mil/genc/view?v=201087&amp;end_month=3&amp;end_day=31&amp;end_year=2014","Jõgevamaa")</f>
        <v>Jõgevamaa</v>
      </c>
      <c r="H1224" s="87" t="str">
        <f>HYPERLINK("http://api.nsgreg.nga.mil/geo-division/GENC/6/ed2/EE-49","EE-49")</f>
        <v>EE-49</v>
      </c>
    </row>
    <row r="1225" spans="1:8" x14ac:dyDescent="0.2">
      <c r="A1225" s="157"/>
      <c r="B1225" s="31" t="s">
        <v>5555</v>
      </c>
      <c r="C1225" s="31" t="s">
        <v>5556</v>
      </c>
      <c r="D1225" s="31" t="s">
        <v>2023</v>
      </c>
      <c r="E1225" s="61" t="b">
        <v>1</v>
      </c>
      <c r="F1225" s="107" t="s">
        <v>5557</v>
      </c>
      <c r="G1225" s="116" t="str">
        <f>HYPERLINK("http://nsgreg.nga.mil/genc/view?v=201089&amp;end_month=3&amp;end_day=31&amp;end_year=2014","Läänemaa")</f>
        <v>Läänemaa</v>
      </c>
      <c r="H1225" s="87" t="str">
        <f>HYPERLINK("http://api.nsgreg.nga.mil/geo-division/GENC/6/ed2/EE-57","EE-57")</f>
        <v>EE-57</v>
      </c>
    </row>
    <row r="1226" spans="1:8" x14ac:dyDescent="0.2">
      <c r="A1226" s="157"/>
      <c r="B1226" s="31" t="s">
        <v>5558</v>
      </c>
      <c r="C1226" s="31" t="s">
        <v>5559</v>
      </c>
      <c r="D1226" s="31" t="s">
        <v>2023</v>
      </c>
      <c r="E1226" s="61" t="b">
        <v>1</v>
      </c>
      <c r="F1226" s="107" t="s">
        <v>5560</v>
      </c>
      <c r="G1226" s="116" t="str">
        <f>HYPERLINK("http://nsgreg.nga.mil/genc/view?v=201090&amp;end_month=3&amp;end_day=31&amp;end_year=2014","Lääne-Virumaa")</f>
        <v>Lääne-Virumaa</v>
      </c>
      <c r="H1226" s="87" t="str">
        <f>HYPERLINK("http://api.nsgreg.nga.mil/geo-division/GENC/6/ed2/EE-59","EE-59")</f>
        <v>EE-59</v>
      </c>
    </row>
    <row r="1227" spans="1:8" x14ac:dyDescent="0.2">
      <c r="A1227" s="157"/>
      <c r="B1227" s="31" t="s">
        <v>5561</v>
      </c>
      <c r="C1227" s="31" t="s">
        <v>5562</v>
      </c>
      <c r="D1227" s="31" t="s">
        <v>2023</v>
      </c>
      <c r="E1227" s="61" t="b">
        <v>1</v>
      </c>
      <c r="F1227" s="107" t="s">
        <v>5563</v>
      </c>
      <c r="G1227" s="116" t="str">
        <f>HYPERLINK("http://nsgreg.nga.mil/genc/view?v=201092&amp;end_month=3&amp;end_day=31&amp;end_year=2014","Pärnumaa")</f>
        <v>Pärnumaa</v>
      </c>
      <c r="H1227" s="87" t="str">
        <f>HYPERLINK("http://api.nsgreg.nga.mil/geo-division/GENC/6/ed2/EE-67","EE-67")</f>
        <v>EE-67</v>
      </c>
    </row>
    <row r="1228" spans="1:8" x14ac:dyDescent="0.2">
      <c r="A1228" s="157"/>
      <c r="B1228" s="31" t="s">
        <v>5564</v>
      </c>
      <c r="C1228" s="31" t="s">
        <v>5565</v>
      </c>
      <c r="D1228" s="31" t="s">
        <v>2023</v>
      </c>
      <c r="E1228" s="61" t="b">
        <v>1</v>
      </c>
      <c r="F1228" s="107" t="s">
        <v>5566</v>
      </c>
      <c r="G1228" s="116" t="str">
        <f>HYPERLINK("http://nsgreg.nga.mil/genc/view?v=201091&amp;end_month=3&amp;end_day=31&amp;end_year=2014","Põlvamaa")</f>
        <v>Põlvamaa</v>
      </c>
      <c r="H1228" s="87" t="str">
        <f>HYPERLINK("http://api.nsgreg.nga.mil/geo-division/GENC/6/ed2/EE-65","EE-65")</f>
        <v>EE-65</v>
      </c>
    </row>
    <row r="1229" spans="1:8" x14ac:dyDescent="0.2">
      <c r="A1229" s="157"/>
      <c r="B1229" s="31" t="s">
        <v>5567</v>
      </c>
      <c r="C1229" s="31" t="s">
        <v>5568</v>
      </c>
      <c r="D1229" s="31" t="s">
        <v>2023</v>
      </c>
      <c r="E1229" s="61" t="b">
        <v>1</v>
      </c>
      <c r="F1229" s="107" t="s">
        <v>5569</v>
      </c>
      <c r="G1229" s="116" t="str">
        <f>HYPERLINK("http://nsgreg.nga.mil/genc/view?v=201093&amp;end_month=3&amp;end_day=31&amp;end_year=2014","Raplamaa")</f>
        <v>Raplamaa</v>
      </c>
      <c r="H1229" s="87" t="str">
        <f>HYPERLINK("http://api.nsgreg.nga.mil/geo-division/GENC/6/ed2/EE-70","EE-70")</f>
        <v>EE-70</v>
      </c>
    </row>
    <row r="1230" spans="1:8" x14ac:dyDescent="0.2">
      <c r="A1230" s="157"/>
      <c r="B1230" s="31" t="s">
        <v>5570</v>
      </c>
      <c r="C1230" s="31" t="s">
        <v>5571</v>
      </c>
      <c r="D1230" s="31" t="s">
        <v>2023</v>
      </c>
      <c r="E1230" s="61" t="b">
        <v>1</v>
      </c>
      <c r="F1230" s="107" t="s">
        <v>5572</v>
      </c>
      <c r="G1230" s="116" t="str">
        <f>HYPERLINK("http://nsgreg.nga.mil/genc/view?v=201094&amp;end_month=3&amp;end_day=31&amp;end_year=2014","Saaremaa")</f>
        <v>Saaremaa</v>
      </c>
      <c r="H1230" s="87" t="str">
        <f>HYPERLINK("http://api.nsgreg.nga.mil/geo-division/GENC/6/ed2/EE-74","EE-74")</f>
        <v>EE-74</v>
      </c>
    </row>
    <row r="1231" spans="1:8" x14ac:dyDescent="0.2">
      <c r="A1231" s="157"/>
      <c r="B1231" s="31" t="s">
        <v>5573</v>
      </c>
      <c r="C1231" s="31" t="s">
        <v>5574</v>
      </c>
      <c r="D1231" s="31" t="s">
        <v>2023</v>
      </c>
      <c r="E1231" s="61" t="b">
        <v>1</v>
      </c>
      <c r="F1231" s="107" t="s">
        <v>5575</v>
      </c>
      <c r="G1231" s="116" t="str">
        <f>HYPERLINK("http://nsgreg.nga.mil/genc/view?v=201095&amp;end_month=3&amp;end_day=31&amp;end_year=2014","Tartumaa")</f>
        <v>Tartumaa</v>
      </c>
      <c r="H1231" s="87" t="str">
        <f>HYPERLINK("http://api.nsgreg.nga.mil/geo-division/GENC/6/ed2/EE-78","EE-78")</f>
        <v>EE-78</v>
      </c>
    </row>
    <row r="1232" spans="1:8" x14ac:dyDescent="0.2">
      <c r="A1232" s="157"/>
      <c r="B1232" s="31" t="s">
        <v>5576</v>
      </c>
      <c r="C1232" s="31" t="s">
        <v>5577</v>
      </c>
      <c r="D1232" s="31" t="s">
        <v>2023</v>
      </c>
      <c r="E1232" s="61" t="b">
        <v>1</v>
      </c>
      <c r="F1232" s="107" t="s">
        <v>5578</v>
      </c>
      <c r="G1232" s="116" t="str">
        <f>HYPERLINK("http://nsgreg.nga.mil/genc/view?v=201096&amp;end_month=3&amp;end_day=31&amp;end_year=2014","Valgamaa")</f>
        <v>Valgamaa</v>
      </c>
      <c r="H1232" s="87" t="str">
        <f>HYPERLINK("http://api.nsgreg.nga.mil/geo-division/GENC/6/ed2/EE-82","EE-82")</f>
        <v>EE-82</v>
      </c>
    </row>
    <row r="1233" spans="1:8" x14ac:dyDescent="0.2">
      <c r="A1233" s="157"/>
      <c r="B1233" s="31" t="s">
        <v>5579</v>
      </c>
      <c r="C1233" s="31" t="s">
        <v>5580</v>
      </c>
      <c r="D1233" s="31" t="s">
        <v>2023</v>
      </c>
      <c r="E1233" s="61" t="b">
        <v>1</v>
      </c>
      <c r="F1233" s="107" t="s">
        <v>5581</v>
      </c>
      <c r="G1233" s="116" t="str">
        <f>HYPERLINK("http://nsgreg.nga.mil/genc/view?v=201097&amp;end_month=3&amp;end_day=31&amp;end_year=2014","Viljandimaa")</f>
        <v>Viljandimaa</v>
      </c>
      <c r="H1233" s="87" t="str">
        <f>HYPERLINK("http://api.nsgreg.nga.mil/geo-division/GENC/6/ed2/EE-84","EE-84")</f>
        <v>EE-84</v>
      </c>
    </row>
    <row r="1234" spans="1:8" x14ac:dyDescent="0.2">
      <c r="A1234" s="158"/>
      <c r="B1234" s="58" t="s">
        <v>5582</v>
      </c>
      <c r="C1234" s="58" t="s">
        <v>5583</v>
      </c>
      <c r="D1234" s="58" t="s">
        <v>2023</v>
      </c>
      <c r="E1234" s="62" t="b">
        <v>1</v>
      </c>
      <c r="F1234" s="111" t="s">
        <v>5584</v>
      </c>
      <c r="G1234" s="117" t="str">
        <f>HYPERLINK("http://nsgreg.nga.mil/genc/view?v=201098&amp;end_month=3&amp;end_day=31&amp;end_year=2014","Võrumaa")</f>
        <v>Võrumaa</v>
      </c>
      <c r="H1234" s="89" t="str">
        <f>HYPERLINK("http://api.nsgreg.nga.mil/geo-division/GENC/6/ed2/EE-86","EE-86")</f>
        <v>EE-86</v>
      </c>
    </row>
    <row r="1235" spans="1:8" x14ac:dyDescent="0.2">
      <c r="A1235" s="156" t="str">
        <f>HYPERLINK("[#]Geopolitical_Entities!A88:I88","ETHIOPIA")</f>
        <v>ETHIOPIA</v>
      </c>
      <c r="B1235" s="52" t="s">
        <v>5585</v>
      </c>
      <c r="C1235" s="52" t="s">
        <v>5586</v>
      </c>
      <c r="D1235" s="52" t="s">
        <v>5587</v>
      </c>
      <c r="E1235" s="60" t="b">
        <v>1</v>
      </c>
      <c r="F1235" s="110" t="s">
        <v>5588</v>
      </c>
      <c r="G1235" s="118" t="str">
        <f>HYPERLINK("http://nsgreg.nga.mil/genc/view?v=201132&amp;end_month=3&amp;end_day=31&amp;end_year=2014","Ādīs Ābeba")</f>
        <v>Ādīs Ābeba</v>
      </c>
      <c r="H1235" s="91" t="str">
        <f>HYPERLINK("http://api.nsgreg.nga.mil/geo-division/GENC/6/ed2/ET-AA","ET-AA")</f>
        <v>ET-AA</v>
      </c>
    </row>
    <row r="1236" spans="1:8" x14ac:dyDescent="0.2">
      <c r="A1236" s="157"/>
      <c r="B1236" s="31" t="s">
        <v>5589</v>
      </c>
      <c r="C1236" s="31" t="s">
        <v>5590</v>
      </c>
      <c r="D1236" s="31" t="s">
        <v>2512</v>
      </c>
      <c r="E1236" s="61" t="b">
        <v>1</v>
      </c>
      <c r="F1236" s="107" t="s">
        <v>5591</v>
      </c>
      <c r="G1236" s="116" t="str">
        <f>HYPERLINK("http://nsgreg.nga.mil/genc/view?v=201133&amp;end_month=3&amp;end_day=31&amp;end_year=2014","Āfar")</f>
        <v>Āfar</v>
      </c>
      <c r="H1236" s="87" t="str">
        <f>HYPERLINK("http://api.nsgreg.nga.mil/geo-division/GENC/6/ed2/ET-AF","ET-AF")</f>
        <v>ET-AF</v>
      </c>
    </row>
    <row r="1237" spans="1:8" x14ac:dyDescent="0.2">
      <c r="A1237" s="157"/>
      <c r="B1237" s="31" t="s">
        <v>5592</v>
      </c>
      <c r="C1237" s="31" t="s">
        <v>5593</v>
      </c>
      <c r="D1237" s="31" t="s">
        <v>2512</v>
      </c>
      <c r="E1237" s="61" t="b">
        <v>1</v>
      </c>
      <c r="F1237" s="107" t="s">
        <v>5594</v>
      </c>
      <c r="G1237" s="116" t="str">
        <f>HYPERLINK("http://nsgreg.nga.mil/genc/view?v=201134&amp;end_month=3&amp;end_day=31&amp;end_year=2014","Āmara")</f>
        <v>Āmara</v>
      </c>
      <c r="H1237" s="87" t="str">
        <f>HYPERLINK("http://api.nsgreg.nga.mil/geo-division/GENC/6/ed2/ET-AM","ET-AM")</f>
        <v>ET-AM</v>
      </c>
    </row>
    <row r="1238" spans="1:8" x14ac:dyDescent="0.2">
      <c r="A1238" s="157"/>
      <c r="B1238" s="31" t="s">
        <v>5595</v>
      </c>
      <c r="C1238" s="31" t="s">
        <v>5596</v>
      </c>
      <c r="D1238" s="31" t="s">
        <v>2512</v>
      </c>
      <c r="E1238" s="61" t="b">
        <v>1</v>
      </c>
      <c r="F1238" s="107" t="s">
        <v>5597</v>
      </c>
      <c r="G1238" s="116" t="str">
        <f>HYPERLINK("http://nsgreg.nga.mil/genc/view?v=201135&amp;end_month=3&amp;end_day=31&amp;end_year=2014","Bīnshangul Gumuz")</f>
        <v>Bīnshangul Gumuz</v>
      </c>
      <c r="H1238" s="87" t="str">
        <f>HYPERLINK("http://api.nsgreg.nga.mil/geo-division/GENC/6/ed2/ET-BE","ET-BE")</f>
        <v>ET-BE</v>
      </c>
    </row>
    <row r="1239" spans="1:8" x14ac:dyDescent="0.2">
      <c r="A1239" s="157"/>
      <c r="B1239" s="31" t="s">
        <v>5598</v>
      </c>
      <c r="C1239" s="31" t="s">
        <v>5599</v>
      </c>
      <c r="D1239" s="31" t="s">
        <v>5587</v>
      </c>
      <c r="E1239" s="61" t="b">
        <v>1</v>
      </c>
      <c r="F1239" s="107" t="s">
        <v>5600</v>
      </c>
      <c r="G1239" s="116" t="str">
        <f>HYPERLINK("http://nsgreg.nga.mil/genc/view?v=201136&amp;end_month=3&amp;end_day=31&amp;end_year=2014","Dirē Dawa")</f>
        <v>Dirē Dawa</v>
      </c>
      <c r="H1239" s="87" t="str">
        <f>HYPERLINK("http://api.nsgreg.nga.mil/geo-division/GENC/6/ed2/ET-DD","ET-DD")</f>
        <v>ET-DD</v>
      </c>
    </row>
    <row r="1240" spans="1:8" x14ac:dyDescent="0.2">
      <c r="A1240" s="157"/>
      <c r="B1240" s="31" t="s">
        <v>5601</v>
      </c>
      <c r="C1240" s="31" t="s">
        <v>5602</v>
      </c>
      <c r="D1240" s="31" t="s">
        <v>5587</v>
      </c>
      <c r="E1240" s="61" t="b">
        <v>1</v>
      </c>
      <c r="F1240" s="107" t="s">
        <v>5603</v>
      </c>
      <c r="G1240" s="116" t="str">
        <f>HYPERLINK("http://nsgreg.nga.mil/genc/view?v=201137&amp;end_month=3&amp;end_day=31&amp;end_year=2014","Gambēla Hizboch")</f>
        <v>Gambēla Hizboch</v>
      </c>
      <c r="H1240" s="87" t="str">
        <f>HYPERLINK("http://api.nsgreg.nga.mil/geo-division/GENC/6/ed2/ET-GA","ET-GA")</f>
        <v>ET-GA</v>
      </c>
    </row>
    <row r="1241" spans="1:8" x14ac:dyDescent="0.2">
      <c r="A1241" s="157"/>
      <c r="B1241" s="31" t="s">
        <v>5604</v>
      </c>
      <c r="C1241" s="31" t="s">
        <v>5605</v>
      </c>
      <c r="D1241" s="31" t="s">
        <v>5587</v>
      </c>
      <c r="E1241" s="61" t="b">
        <v>1</v>
      </c>
      <c r="F1241" s="107" t="s">
        <v>5606</v>
      </c>
      <c r="G1241" s="116" t="str">
        <f>HYPERLINK("http://nsgreg.nga.mil/genc/view?v=201138&amp;end_month=3&amp;end_day=31&amp;end_year=2014","Hārerī Hizb")</f>
        <v>Hārerī Hizb</v>
      </c>
      <c r="H1241" s="87" t="str">
        <f>HYPERLINK("http://api.nsgreg.nga.mil/geo-division/GENC/6/ed2/ET-HA","ET-HA")</f>
        <v>ET-HA</v>
      </c>
    </row>
    <row r="1242" spans="1:8" x14ac:dyDescent="0.2">
      <c r="A1242" s="157"/>
      <c r="B1242" s="31" t="s">
        <v>5607</v>
      </c>
      <c r="C1242" s="31" t="s">
        <v>5608</v>
      </c>
      <c r="D1242" s="31" t="s">
        <v>2512</v>
      </c>
      <c r="E1242" s="61" t="b">
        <v>1</v>
      </c>
      <c r="F1242" s="107" t="s">
        <v>5609</v>
      </c>
      <c r="G1242" s="116" t="str">
        <f>HYPERLINK("http://nsgreg.nga.mil/genc/view?v=201139&amp;end_month=3&amp;end_day=31&amp;end_year=2014","Oromīya")</f>
        <v>Oromīya</v>
      </c>
      <c r="H1242" s="87" t="str">
        <f>HYPERLINK("http://api.nsgreg.nga.mil/geo-division/GENC/6/ed2/ET-OR","ET-OR")</f>
        <v>ET-OR</v>
      </c>
    </row>
    <row r="1243" spans="1:8" x14ac:dyDescent="0.2">
      <c r="A1243" s="157"/>
      <c r="B1243" s="31" t="s">
        <v>5610</v>
      </c>
      <c r="C1243" s="31" t="s">
        <v>5611</v>
      </c>
      <c r="D1243" s="31" t="s">
        <v>2512</v>
      </c>
      <c r="E1243" s="61" t="b">
        <v>1</v>
      </c>
      <c r="F1243" s="107" t="s">
        <v>5612</v>
      </c>
      <c r="G1243" s="116" t="str">
        <f>HYPERLINK("http://nsgreg.nga.mil/genc/view?v=201141&amp;end_month=3&amp;end_day=31&amp;end_year=2014","Sumalē")</f>
        <v>Sumalē</v>
      </c>
      <c r="H1243" s="87" t="str">
        <f>HYPERLINK("http://api.nsgreg.nga.mil/geo-division/GENC/6/ed2/ET-SO","ET-SO")</f>
        <v>ET-SO</v>
      </c>
    </row>
    <row r="1244" spans="1:8" x14ac:dyDescent="0.2">
      <c r="A1244" s="157"/>
      <c r="B1244" s="31" t="s">
        <v>5613</v>
      </c>
      <c r="C1244" s="31" t="s">
        <v>5614</v>
      </c>
      <c r="D1244" s="31" t="s">
        <v>5587</v>
      </c>
      <c r="E1244" s="61" t="b">
        <v>1</v>
      </c>
      <c r="F1244" s="107" t="s">
        <v>5615</v>
      </c>
      <c r="G1244" s="116" t="str">
        <f>HYPERLINK("http://nsgreg.nga.mil/genc/view?v=201142&amp;end_month=3&amp;end_day=31&amp;end_year=2014","Tigray")</f>
        <v>Tigray</v>
      </c>
      <c r="H1244" s="87" t="str">
        <f>HYPERLINK("http://api.nsgreg.nga.mil/geo-division/GENC/6/ed2/ET-TI","ET-TI")</f>
        <v>ET-TI</v>
      </c>
    </row>
    <row r="1245" spans="1:8" x14ac:dyDescent="0.2">
      <c r="A1245" s="158"/>
      <c r="B1245" s="58" t="s">
        <v>5616</v>
      </c>
      <c r="C1245" s="58" t="s">
        <v>5617</v>
      </c>
      <c r="D1245" s="58" t="s">
        <v>2512</v>
      </c>
      <c r="E1245" s="62" t="b">
        <v>1</v>
      </c>
      <c r="F1245" s="111" t="s">
        <v>5618</v>
      </c>
      <c r="G1245" s="117" t="str">
        <f>HYPERLINK("http://nsgreg.nga.mil/genc/view?v=201140&amp;end_month=3&amp;end_day=31&amp;end_year=2014","YeDebub Bihēroch Bihēreseboch na Hizboch")</f>
        <v>YeDebub Bihēroch Bihēreseboch na Hizboch</v>
      </c>
      <c r="H1245" s="89" t="str">
        <f>HYPERLINK("http://api.nsgreg.nga.mil/geo-division/GENC/6/ed2/ET-SN","ET-SN")</f>
        <v>ET-SN</v>
      </c>
    </row>
    <row r="1246" spans="1:8" x14ac:dyDescent="0.2">
      <c r="A1246" s="156" t="str">
        <f>HYPERLINK("[#]Geopolitical_Entities!A92:I92","FIJI")</f>
        <v>FIJI</v>
      </c>
      <c r="B1246" s="52" t="s">
        <v>5619</v>
      </c>
      <c r="C1246" s="52" t="s">
        <v>3420</v>
      </c>
      <c r="D1246" s="52" t="s">
        <v>2912</v>
      </c>
      <c r="E1246" s="60" t="b">
        <v>1</v>
      </c>
      <c r="F1246" s="109" t="s">
        <v>5620</v>
      </c>
      <c r="G1246" s="118" t="str">
        <f>HYPERLINK("http://nsgreg.nga.mil/genc/view?v=113191&amp;gencs=T&amp;end_month=3&amp;end_day=31&amp;end_year=2014","Central")</f>
        <v>Central</v>
      </c>
      <c r="H1246" s="91" t="str">
        <f>HYPERLINK("http://api.nsgreg.nga.mil/geo-division/ISO3166-2/6/ed3/FJ-C","FJ-C")</f>
        <v>FJ-C</v>
      </c>
    </row>
    <row r="1247" spans="1:8" x14ac:dyDescent="0.2">
      <c r="A1247" s="157"/>
      <c r="B1247" s="31" t="s">
        <v>5621</v>
      </c>
      <c r="C1247" s="31" t="s">
        <v>5622</v>
      </c>
      <c r="D1247" s="31" t="s">
        <v>2912</v>
      </c>
      <c r="E1247" s="61" t="b">
        <v>1</v>
      </c>
      <c r="F1247" s="106" t="s">
        <v>5623</v>
      </c>
      <c r="G1247" s="116" t="str">
        <f>HYPERLINK("http://nsgreg.nga.mil/genc/view?v=113192&amp;gencs=T&amp;end_month=3&amp;end_day=31&amp;end_year=2014","Eastern")</f>
        <v>Eastern</v>
      </c>
      <c r="H1247" s="87" t="str">
        <f>HYPERLINK("http://api.nsgreg.nga.mil/geo-division/ISO3166-2/6/ed3/FJ-E","FJ-E")</f>
        <v>FJ-E</v>
      </c>
    </row>
    <row r="1248" spans="1:8" x14ac:dyDescent="0.2">
      <c r="A1248" s="157"/>
      <c r="B1248" s="31" t="s">
        <v>5624</v>
      </c>
      <c r="C1248" s="31" t="s">
        <v>5625</v>
      </c>
      <c r="D1248" s="31" t="s">
        <v>2912</v>
      </c>
      <c r="E1248" s="61" t="b">
        <v>1</v>
      </c>
      <c r="F1248" s="106" t="s">
        <v>5626</v>
      </c>
      <c r="G1248" s="116" t="str">
        <f>HYPERLINK("http://nsgreg.nga.mil/genc/view?v=113193&amp;gencs=T&amp;end_month=3&amp;end_day=31&amp;end_year=2014","Northern")</f>
        <v>Northern</v>
      </c>
      <c r="H1248" s="87" t="str">
        <f>HYPERLINK("http://api.nsgreg.nga.mil/geo-division/ISO3166-2/6/ed3/FJ-N","FJ-N")</f>
        <v>FJ-N</v>
      </c>
    </row>
    <row r="1249" spans="1:8" x14ac:dyDescent="0.2">
      <c r="A1249" s="157"/>
      <c r="B1249" s="31" t="s">
        <v>5627</v>
      </c>
      <c r="C1249" s="31" t="s">
        <v>5628</v>
      </c>
      <c r="D1249" s="31" t="s">
        <v>2377</v>
      </c>
      <c r="E1249" s="61" t="b">
        <v>1</v>
      </c>
      <c r="F1249" s="106" t="s">
        <v>5629</v>
      </c>
      <c r="G1249" s="116" t="str">
        <f>HYPERLINK("http://nsgreg.nga.mil/genc/view?v=113194&amp;gencs=T&amp;end_month=3&amp;end_day=31&amp;end_year=2014","Rotuma")</f>
        <v>Rotuma</v>
      </c>
      <c r="H1249" s="87" t="str">
        <f>HYPERLINK("http://api.nsgreg.nga.mil/geo-division/ISO3166-2/6/ed3/FJ-R","FJ-R")</f>
        <v>FJ-R</v>
      </c>
    </row>
    <row r="1250" spans="1:8" x14ac:dyDescent="0.2">
      <c r="A1250" s="158"/>
      <c r="B1250" s="58" t="s">
        <v>5630</v>
      </c>
      <c r="C1250" s="58" t="s">
        <v>5631</v>
      </c>
      <c r="D1250" s="58" t="s">
        <v>2912</v>
      </c>
      <c r="E1250" s="62" t="b">
        <v>1</v>
      </c>
      <c r="F1250" s="108" t="s">
        <v>5632</v>
      </c>
      <c r="G1250" s="117" t="str">
        <f>HYPERLINK("http://nsgreg.nga.mil/genc/view?v=113195&amp;gencs=T&amp;end_month=3&amp;end_day=31&amp;end_year=2014","Western")</f>
        <v>Western</v>
      </c>
      <c r="H1250" s="89" t="str">
        <f>HYPERLINK("http://api.nsgreg.nga.mil/geo-division/ISO3166-2/6/ed3/FJ-W","FJ-W")</f>
        <v>FJ-W</v>
      </c>
    </row>
    <row r="1251" spans="1:8" x14ac:dyDescent="0.2">
      <c r="A1251" s="156" t="str">
        <f>HYPERLINK("[#]Geopolitical_Entities!A93:I93","FINLAND")</f>
        <v>FINLAND</v>
      </c>
      <c r="B1251" s="52" t="s">
        <v>5633</v>
      </c>
      <c r="C1251" s="52" t="s">
        <v>5634</v>
      </c>
      <c r="D1251" s="52" t="s">
        <v>3137</v>
      </c>
      <c r="E1251" s="60" t="b">
        <v>1</v>
      </c>
      <c r="F1251" s="110" t="s">
        <v>5635</v>
      </c>
      <c r="G1251" s="118" t="str">
        <f>HYPERLINK("http://nsgreg.nga.mil/genc/view?v=201143&amp;end_month=3&amp;end_day=31&amp;end_year=2014","Ahvenanmaa")</f>
        <v>Ahvenanmaa</v>
      </c>
      <c r="H1251" s="91" t="str">
        <f>HYPERLINK("http://api.nsgreg.nga.mil/geo-division/GENC/6/ed2/FI-01","FI-01")</f>
        <v>FI-01</v>
      </c>
    </row>
    <row r="1252" spans="1:8" x14ac:dyDescent="0.2">
      <c r="A1252" s="157"/>
      <c r="B1252" s="31" t="s">
        <v>5636</v>
      </c>
      <c r="C1252" s="31" t="s">
        <v>5637</v>
      </c>
      <c r="D1252" s="31" t="s">
        <v>3137</v>
      </c>
      <c r="E1252" s="61" t="b">
        <v>1</v>
      </c>
      <c r="F1252" s="106" t="s">
        <v>5638</v>
      </c>
      <c r="G1252" s="116" t="str">
        <f>HYPERLINK("http://nsgreg.nga.mil/genc/view?v=113173&amp;gencs=T&amp;end_month=3&amp;end_day=31&amp;end_year=2014","Etelä-Karjala")</f>
        <v>Etelä-Karjala</v>
      </c>
      <c r="H1252" s="87" t="str">
        <f>HYPERLINK("http://api.nsgreg.nga.mil/geo-division/ISO3166-2/6/ed3/FI-02","FI-02")</f>
        <v>FI-02</v>
      </c>
    </row>
    <row r="1253" spans="1:8" x14ac:dyDescent="0.2">
      <c r="A1253" s="157"/>
      <c r="B1253" s="31" t="s">
        <v>5639</v>
      </c>
      <c r="C1253" s="31" t="s">
        <v>5640</v>
      </c>
      <c r="D1253" s="31" t="s">
        <v>3137</v>
      </c>
      <c r="E1253" s="61" t="b">
        <v>1</v>
      </c>
      <c r="F1253" s="106" t="s">
        <v>5641</v>
      </c>
      <c r="G1253" s="116" t="str">
        <f>HYPERLINK("http://nsgreg.nga.mil/genc/view?v=113174&amp;gencs=T&amp;end_month=3&amp;end_day=31&amp;end_year=2014","Etelä-Pohjanmaa")</f>
        <v>Etelä-Pohjanmaa</v>
      </c>
      <c r="H1253" s="87" t="str">
        <f>HYPERLINK("http://api.nsgreg.nga.mil/geo-division/ISO3166-2/6/ed3/FI-03","FI-03")</f>
        <v>FI-03</v>
      </c>
    </row>
    <row r="1254" spans="1:8" x14ac:dyDescent="0.2">
      <c r="A1254" s="157"/>
      <c r="B1254" s="31" t="s">
        <v>5642</v>
      </c>
      <c r="C1254" s="31" t="s">
        <v>5643</v>
      </c>
      <c r="D1254" s="31" t="s">
        <v>3137</v>
      </c>
      <c r="E1254" s="61" t="b">
        <v>1</v>
      </c>
      <c r="F1254" s="106" t="s">
        <v>5644</v>
      </c>
      <c r="G1254" s="116" t="str">
        <f>HYPERLINK("http://nsgreg.nga.mil/genc/view?v=113175&amp;gencs=T&amp;end_month=3&amp;end_day=31&amp;end_year=2014","Etelä-Savo")</f>
        <v>Etelä-Savo</v>
      </c>
      <c r="H1254" s="87" t="str">
        <f>HYPERLINK("http://api.nsgreg.nga.mil/geo-division/ISO3166-2/6/ed3/FI-04","FI-04")</f>
        <v>FI-04</v>
      </c>
    </row>
    <row r="1255" spans="1:8" x14ac:dyDescent="0.2">
      <c r="A1255" s="157"/>
      <c r="B1255" s="31" t="s">
        <v>5645</v>
      </c>
      <c r="C1255" s="31" t="s">
        <v>5646</v>
      </c>
      <c r="D1255" s="31" t="s">
        <v>3137</v>
      </c>
      <c r="E1255" s="61" t="b">
        <v>1</v>
      </c>
      <c r="F1255" s="106" t="s">
        <v>5647</v>
      </c>
      <c r="G1255" s="116" t="str">
        <f>HYPERLINK("http://nsgreg.nga.mil/genc/view?v=113176&amp;gencs=T&amp;end_month=3&amp;end_day=31&amp;end_year=2014","Kainuu")</f>
        <v>Kainuu</v>
      </c>
      <c r="H1255" s="87" t="str">
        <f>HYPERLINK("http://api.nsgreg.nga.mil/geo-division/ISO3166-2/6/ed3/FI-05","FI-05")</f>
        <v>FI-05</v>
      </c>
    </row>
    <row r="1256" spans="1:8" x14ac:dyDescent="0.2">
      <c r="A1256" s="157"/>
      <c r="B1256" s="31" t="s">
        <v>5648</v>
      </c>
      <c r="C1256" s="31" t="s">
        <v>5649</v>
      </c>
      <c r="D1256" s="31" t="s">
        <v>3137</v>
      </c>
      <c r="E1256" s="61" t="b">
        <v>1</v>
      </c>
      <c r="F1256" s="106" t="s">
        <v>5650</v>
      </c>
      <c r="G1256" s="116" t="str">
        <f>HYPERLINK("http://nsgreg.nga.mil/genc/view?v=113177&amp;gencs=T&amp;end_month=3&amp;end_day=31&amp;end_year=2014","Kanta-Häme")</f>
        <v>Kanta-Häme</v>
      </c>
      <c r="H1256" s="87" t="str">
        <f>HYPERLINK("http://api.nsgreg.nga.mil/geo-division/ISO3166-2/6/ed3/FI-06","FI-06")</f>
        <v>FI-06</v>
      </c>
    </row>
    <row r="1257" spans="1:8" x14ac:dyDescent="0.2">
      <c r="A1257" s="157"/>
      <c r="B1257" s="31" t="s">
        <v>5651</v>
      </c>
      <c r="C1257" s="31" t="s">
        <v>5652</v>
      </c>
      <c r="D1257" s="31" t="s">
        <v>3137</v>
      </c>
      <c r="E1257" s="61" t="b">
        <v>1</v>
      </c>
      <c r="F1257" s="106" t="s">
        <v>5653</v>
      </c>
      <c r="G1257" s="116" t="str">
        <f>HYPERLINK("http://nsgreg.nga.mil/genc/view?v=113178&amp;gencs=T&amp;end_month=3&amp;end_day=31&amp;end_year=2014","Keski-Pohjanmaa")</f>
        <v>Keski-Pohjanmaa</v>
      </c>
      <c r="H1257" s="87" t="str">
        <f>HYPERLINK("http://api.nsgreg.nga.mil/geo-division/ISO3166-2/6/ed3/FI-07","FI-07")</f>
        <v>FI-07</v>
      </c>
    </row>
    <row r="1258" spans="1:8" x14ac:dyDescent="0.2">
      <c r="A1258" s="157"/>
      <c r="B1258" s="31" t="s">
        <v>5654</v>
      </c>
      <c r="C1258" s="31" t="s">
        <v>5655</v>
      </c>
      <c r="D1258" s="31" t="s">
        <v>3137</v>
      </c>
      <c r="E1258" s="61" t="b">
        <v>1</v>
      </c>
      <c r="F1258" s="106" t="s">
        <v>5656</v>
      </c>
      <c r="G1258" s="116" t="str">
        <f>HYPERLINK("http://nsgreg.nga.mil/genc/view?v=113179&amp;gencs=T&amp;end_month=3&amp;end_day=31&amp;end_year=2014","Keski-Suomi")</f>
        <v>Keski-Suomi</v>
      </c>
      <c r="H1258" s="87" t="str">
        <f>HYPERLINK("http://api.nsgreg.nga.mil/geo-division/ISO3166-2/6/ed3/FI-08","FI-08")</f>
        <v>FI-08</v>
      </c>
    </row>
    <row r="1259" spans="1:8" x14ac:dyDescent="0.2">
      <c r="A1259" s="157"/>
      <c r="B1259" s="31" t="s">
        <v>5657</v>
      </c>
      <c r="C1259" s="31" t="s">
        <v>5658</v>
      </c>
      <c r="D1259" s="31" t="s">
        <v>3137</v>
      </c>
      <c r="E1259" s="61" t="b">
        <v>1</v>
      </c>
      <c r="F1259" s="106" t="s">
        <v>5659</v>
      </c>
      <c r="G1259" s="116" t="str">
        <f>HYPERLINK("http://nsgreg.nga.mil/genc/view?v=113180&amp;gencs=T&amp;end_month=3&amp;end_day=31&amp;end_year=2014","Kymenlaakso")</f>
        <v>Kymenlaakso</v>
      </c>
      <c r="H1259" s="87" t="str">
        <f>HYPERLINK("http://api.nsgreg.nga.mil/geo-division/ISO3166-2/6/ed3/FI-09","FI-09")</f>
        <v>FI-09</v>
      </c>
    </row>
    <row r="1260" spans="1:8" x14ac:dyDescent="0.2">
      <c r="A1260" s="157"/>
      <c r="B1260" s="31" t="s">
        <v>5660</v>
      </c>
      <c r="C1260" s="31" t="s">
        <v>5661</v>
      </c>
      <c r="D1260" s="31" t="s">
        <v>3137</v>
      </c>
      <c r="E1260" s="61" t="b">
        <v>1</v>
      </c>
      <c r="F1260" s="106" t="s">
        <v>5662</v>
      </c>
      <c r="G1260" s="116" t="str">
        <f>HYPERLINK("http://nsgreg.nga.mil/genc/view?v=113181&amp;gencs=T&amp;end_month=3&amp;end_day=31&amp;end_year=2014","Lappi")</f>
        <v>Lappi</v>
      </c>
      <c r="H1260" s="87" t="str">
        <f>HYPERLINK("http://api.nsgreg.nga.mil/geo-division/ISO3166-2/6/ed3/FI-10","FI-10")</f>
        <v>FI-10</v>
      </c>
    </row>
    <row r="1261" spans="1:8" x14ac:dyDescent="0.2">
      <c r="A1261" s="157"/>
      <c r="B1261" s="31" t="s">
        <v>5663</v>
      </c>
      <c r="C1261" s="31" t="s">
        <v>5664</v>
      </c>
      <c r="D1261" s="31" t="s">
        <v>3137</v>
      </c>
      <c r="E1261" s="61" t="b">
        <v>1</v>
      </c>
      <c r="F1261" s="106" t="s">
        <v>5665</v>
      </c>
      <c r="G1261" s="116" t="str">
        <f>HYPERLINK("http://nsgreg.nga.mil/genc/view?v=113187&amp;gencs=T&amp;end_month=3&amp;end_day=31&amp;end_year=2014","Päijät-Häme")</f>
        <v>Päijät-Häme</v>
      </c>
      <c r="H1261" s="87" t="str">
        <f>HYPERLINK("http://api.nsgreg.nga.mil/geo-division/ISO3166-2/6/ed3/FI-16","FI-16")</f>
        <v>FI-16</v>
      </c>
    </row>
    <row r="1262" spans="1:8" x14ac:dyDescent="0.2">
      <c r="A1262" s="157"/>
      <c r="B1262" s="31" t="s">
        <v>5666</v>
      </c>
      <c r="C1262" s="31" t="s">
        <v>5667</v>
      </c>
      <c r="D1262" s="31" t="s">
        <v>3137</v>
      </c>
      <c r="E1262" s="61" t="b">
        <v>1</v>
      </c>
      <c r="F1262" s="106" t="s">
        <v>5668</v>
      </c>
      <c r="G1262" s="116" t="str">
        <f>HYPERLINK("http://nsgreg.nga.mil/genc/view?v=113182&amp;gencs=T&amp;end_month=3&amp;end_day=31&amp;end_year=2014","Pirkanmaa")</f>
        <v>Pirkanmaa</v>
      </c>
      <c r="H1262" s="87" t="str">
        <f>HYPERLINK("http://api.nsgreg.nga.mil/geo-division/ISO3166-2/6/ed3/FI-11","FI-11")</f>
        <v>FI-11</v>
      </c>
    </row>
    <row r="1263" spans="1:8" x14ac:dyDescent="0.2">
      <c r="A1263" s="157"/>
      <c r="B1263" s="31" t="s">
        <v>5669</v>
      </c>
      <c r="C1263" s="31" t="s">
        <v>5670</v>
      </c>
      <c r="D1263" s="31" t="s">
        <v>3137</v>
      </c>
      <c r="E1263" s="61" t="b">
        <v>1</v>
      </c>
      <c r="F1263" s="106" t="s">
        <v>5671</v>
      </c>
      <c r="G1263" s="116" t="str">
        <f>HYPERLINK("http://nsgreg.nga.mil/genc/view?v=113183&amp;gencs=T&amp;end_month=3&amp;end_day=31&amp;end_year=2014","Pohjanmaa")</f>
        <v>Pohjanmaa</v>
      </c>
      <c r="H1263" s="87" t="str">
        <f>HYPERLINK("http://api.nsgreg.nga.mil/geo-division/ISO3166-2/6/ed3/FI-12","FI-12")</f>
        <v>FI-12</v>
      </c>
    </row>
    <row r="1264" spans="1:8" x14ac:dyDescent="0.2">
      <c r="A1264" s="157"/>
      <c r="B1264" s="31" t="s">
        <v>5672</v>
      </c>
      <c r="C1264" s="31" t="s">
        <v>5673</v>
      </c>
      <c r="D1264" s="31" t="s">
        <v>3137</v>
      </c>
      <c r="E1264" s="61" t="b">
        <v>1</v>
      </c>
      <c r="F1264" s="106" t="s">
        <v>5674</v>
      </c>
      <c r="G1264" s="116" t="str">
        <f>HYPERLINK("http://nsgreg.nga.mil/genc/view?v=113184&amp;gencs=T&amp;end_month=3&amp;end_day=31&amp;end_year=2014","Pohjois-Karjala")</f>
        <v>Pohjois-Karjala</v>
      </c>
      <c r="H1264" s="87" t="str">
        <f>HYPERLINK("http://api.nsgreg.nga.mil/geo-division/ISO3166-2/6/ed3/FI-13","FI-13")</f>
        <v>FI-13</v>
      </c>
    </row>
    <row r="1265" spans="1:8" x14ac:dyDescent="0.2">
      <c r="A1265" s="157"/>
      <c r="B1265" s="31" t="s">
        <v>5675</v>
      </c>
      <c r="C1265" s="31" t="s">
        <v>5676</v>
      </c>
      <c r="D1265" s="31" t="s">
        <v>3137</v>
      </c>
      <c r="E1265" s="61" t="b">
        <v>1</v>
      </c>
      <c r="F1265" s="106" t="s">
        <v>5677</v>
      </c>
      <c r="G1265" s="116" t="str">
        <f>HYPERLINK("http://nsgreg.nga.mil/genc/view?v=113185&amp;gencs=T&amp;end_month=3&amp;end_day=31&amp;end_year=2014","Pohjois-Pohjanmaa")</f>
        <v>Pohjois-Pohjanmaa</v>
      </c>
      <c r="H1265" s="87" t="str">
        <f>HYPERLINK("http://api.nsgreg.nga.mil/geo-division/ISO3166-2/6/ed3/FI-14","FI-14")</f>
        <v>FI-14</v>
      </c>
    </row>
    <row r="1266" spans="1:8" x14ac:dyDescent="0.2">
      <c r="A1266" s="157"/>
      <c r="B1266" s="31" t="s">
        <v>5678</v>
      </c>
      <c r="C1266" s="31" t="s">
        <v>5679</v>
      </c>
      <c r="D1266" s="31" t="s">
        <v>3137</v>
      </c>
      <c r="E1266" s="61" t="b">
        <v>1</v>
      </c>
      <c r="F1266" s="106" t="s">
        <v>5680</v>
      </c>
      <c r="G1266" s="116" t="str">
        <f>HYPERLINK("http://nsgreg.nga.mil/genc/view?v=113186&amp;gencs=T&amp;end_month=3&amp;end_day=31&amp;end_year=2014","Pohjois-Savo")</f>
        <v>Pohjois-Savo</v>
      </c>
      <c r="H1266" s="87" t="str">
        <f>HYPERLINK("http://api.nsgreg.nga.mil/geo-division/ISO3166-2/6/ed3/FI-15","FI-15")</f>
        <v>FI-15</v>
      </c>
    </row>
    <row r="1267" spans="1:8" x14ac:dyDescent="0.2">
      <c r="A1267" s="157"/>
      <c r="B1267" s="31" t="s">
        <v>5681</v>
      </c>
      <c r="C1267" s="31" t="s">
        <v>5682</v>
      </c>
      <c r="D1267" s="31" t="s">
        <v>3137</v>
      </c>
      <c r="E1267" s="61" t="b">
        <v>1</v>
      </c>
      <c r="F1267" s="107" t="s">
        <v>5683</v>
      </c>
      <c r="G1267" s="116" t="str">
        <f>HYPERLINK("http://nsgreg.nga.mil/genc/view?v=201144&amp;end_month=3&amp;end_day=31&amp;end_year=2014","Satakunta")</f>
        <v>Satakunta</v>
      </c>
      <c r="H1267" s="87" t="str">
        <f>HYPERLINK("http://api.nsgreg.nga.mil/geo-division/GENC/6/ed2/FI-17","FI-17")</f>
        <v>FI-17</v>
      </c>
    </row>
    <row r="1268" spans="1:8" x14ac:dyDescent="0.2">
      <c r="A1268" s="157"/>
      <c r="B1268" s="31" t="s">
        <v>5684</v>
      </c>
      <c r="C1268" s="31" t="s">
        <v>5685</v>
      </c>
      <c r="D1268" s="31" t="s">
        <v>3137</v>
      </c>
      <c r="E1268" s="61" t="b">
        <v>1</v>
      </c>
      <c r="F1268" s="106" t="s">
        <v>5686</v>
      </c>
      <c r="G1268" s="116" t="str">
        <f>HYPERLINK("http://nsgreg.nga.mil/genc/view?v=113189&amp;gencs=T&amp;end_month=3&amp;end_day=31&amp;end_year=2014","Uusimaa")</f>
        <v>Uusimaa</v>
      </c>
      <c r="H1268" s="87" t="str">
        <f>HYPERLINK("http://api.nsgreg.nga.mil/geo-division/ISO3166-2/6/ed3/FI-18","FI-18")</f>
        <v>FI-18</v>
      </c>
    </row>
    <row r="1269" spans="1:8" x14ac:dyDescent="0.2">
      <c r="A1269" s="158"/>
      <c r="B1269" s="58" t="s">
        <v>5687</v>
      </c>
      <c r="C1269" s="58" t="s">
        <v>5688</v>
      </c>
      <c r="D1269" s="58" t="s">
        <v>3137</v>
      </c>
      <c r="E1269" s="62" t="b">
        <v>1</v>
      </c>
      <c r="F1269" s="108" t="s">
        <v>5689</v>
      </c>
      <c r="G1269" s="117" t="str">
        <f>HYPERLINK("http://nsgreg.nga.mil/genc/view?v=113190&amp;gencs=T&amp;end_month=3&amp;end_day=31&amp;end_year=2014","Varsinais-Suomi")</f>
        <v>Varsinais-Suomi</v>
      </c>
      <c r="H1269" s="89" t="str">
        <f>HYPERLINK("http://api.nsgreg.nga.mil/geo-division/ISO3166-2/6/ed3/FI-19","FI-19")</f>
        <v>FI-19</v>
      </c>
    </row>
    <row r="1270" spans="1:8" x14ac:dyDescent="0.2">
      <c r="A1270" s="156" t="str">
        <f>HYPERLINK("[#]Geopolitical_Entities!A94:I94","FRANCE")</f>
        <v>FRANCE</v>
      </c>
      <c r="B1270" s="52" t="s">
        <v>5690</v>
      </c>
      <c r="C1270" s="52" t="s">
        <v>5691</v>
      </c>
      <c r="D1270" s="102" t="s">
        <v>5692</v>
      </c>
      <c r="E1270" s="103" t="b">
        <v>0</v>
      </c>
      <c r="F1270" s="109" t="s">
        <v>5693</v>
      </c>
      <c r="G1270" s="118" t="str">
        <f>HYPERLINK("http://nsgreg.nga.mil/genc/view?v=113200&amp;gencs=T&amp;end_month=3&amp;end_day=31&amp;end_year=2014","Ain")</f>
        <v>Ain</v>
      </c>
      <c r="H1270" s="91" t="str">
        <f>HYPERLINK("http://api.nsgreg.nga.mil/geo-division/ISO3166-2/6/ed3/FR-01","FR-01")</f>
        <v>FR-01</v>
      </c>
    </row>
    <row r="1271" spans="1:8" x14ac:dyDescent="0.2">
      <c r="A1271" s="157"/>
      <c r="B1271" s="31" t="s">
        <v>5694</v>
      </c>
      <c r="C1271" s="31" t="s">
        <v>5695</v>
      </c>
      <c r="D1271" s="98" t="s">
        <v>5692</v>
      </c>
      <c r="E1271" s="99" t="b">
        <v>0</v>
      </c>
      <c r="F1271" s="106" t="s">
        <v>5696</v>
      </c>
      <c r="G1271" s="116" t="str">
        <f>HYPERLINK("http://nsgreg.nga.mil/genc/view?v=113201&amp;gencs=T&amp;end_month=3&amp;end_day=31&amp;end_year=2014","Aisne")</f>
        <v>Aisne</v>
      </c>
      <c r="H1271" s="87" t="str">
        <f>HYPERLINK("http://api.nsgreg.nga.mil/geo-division/ISO3166-2/6/ed3/FR-02","FR-02")</f>
        <v>FR-02</v>
      </c>
    </row>
    <row r="1272" spans="1:8" x14ac:dyDescent="0.2">
      <c r="A1272" s="157"/>
      <c r="B1272" s="31" t="s">
        <v>5697</v>
      </c>
      <c r="C1272" s="31" t="s">
        <v>5698</v>
      </c>
      <c r="D1272" s="98" t="s">
        <v>5692</v>
      </c>
      <c r="E1272" s="99" t="b">
        <v>0</v>
      </c>
      <c r="F1272" s="106" t="s">
        <v>5699</v>
      </c>
      <c r="G1272" s="116" t="str">
        <f>HYPERLINK("http://nsgreg.nga.mil/genc/view?v=113202&amp;gencs=T&amp;end_month=3&amp;end_day=31&amp;end_year=2014","Allier")</f>
        <v>Allier</v>
      </c>
      <c r="H1272" s="87" t="str">
        <f>HYPERLINK("http://api.nsgreg.nga.mil/geo-division/ISO3166-2/6/ed3/FR-03","FR-03")</f>
        <v>FR-03</v>
      </c>
    </row>
    <row r="1273" spans="1:8" x14ac:dyDescent="0.2">
      <c r="A1273" s="157"/>
      <c r="B1273" s="31" t="s">
        <v>5700</v>
      </c>
      <c r="C1273" s="31" t="s">
        <v>5701</v>
      </c>
      <c r="D1273" s="98" t="s">
        <v>5692</v>
      </c>
      <c r="E1273" s="99" t="b">
        <v>0</v>
      </c>
      <c r="F1273" s="106" t="s">
        <v>5702</v>
      </c>
      <c r="G1273" s="116" t="str">
        <f>HYPERLINK("http://nsgreg.nga.mil/genc/view?v=113203&amp;gencs=T&amp;end_month=3&amp;end_day=31&amp;end_year=2014","Alpes-de-Haute-Provence")</f>
        <v>Alpes-de-Haute-Provence</v>
      </c>
      <c r="H1273" s="87" t="str">
        <f>HYPERLINK("http://api.nsgreg.nga.mil/geo-division/ISO3166-2/6/ed3/FR-04","FR-04")</f>
        <v>FR-04</v>
      </c>
    </row>
    <row r="1274" spans="1:8" x14ac:dyDescent="0.2">
      <c r="A1274" s="157"/>
      <c r="B1274" s="31" t="s">
        <v>5703</v>
      </c>
      <c r="C1274" s="31" t="s">
        <v>5704</v>
      </c>
      <c r="D1274" s="98" t="s">
        <v>5692</v>
      </c>
      <c r="E1274" s="99" t="b">
        <v>0</v>
      </c>
      <c r="F1274" s="106" t="s">
        <v>5705</v>
      </c>
      <c r="G1274" s="116" t="str">
        <f>HYPERLINK("http://nsgreg.nga.mil/genc/view?v=113205&amp;gencs=T&amp;end_month=3&amp;end_day=31&amp;end_year=2014","Alpes-Maritimes")</f>
        <v>Alpes-Maritimes</v>
      </c>
      <c r="H1274" s="87" t="str">
        <f>HYPERLINK("http://api.nsgreg.nga.mil/geo-division/ISO3166-2/6/ed3/FR-06","FR-06")</f>
        <v>FR-06</v>
      </c>
    </row>
    <row r="1275" spans="1:8" x14ac:dyDescent="0.2">
      <c r="A1275" s="157"/>
      <c r="B1275" s="31" t="s">
        <v>5706</v>
      </c>
      <c r="C1275" s="31" t="s">
        <v>5707</v>
      </c>
      <c r="D1275" s="31" t="s">
        <v>3137</v>
      </c>
      <c r="E1275" s="61" t="b">
        <v>1</v>
      </c>
      <c r="F1275" s="107" t="s">
        <v>5708</v>
      </c>
      <c r="G1275" s="116" t="str">
        <f>HYPERLINK("http://nsgreg.nga.mil/genc/view?v=201146&amp;end_month=3&amp;end_day=31&amp;end_year=2014","Alsace")</f>
        <v>Alsace</v>
      </c>
      <c r="H1275" s="87" t="str">
        <f>HYPERLINK("http://api.nsgreg.nga.mil/geo-division/GENC/6/ed2/FR-A","FR-A")</f>
        <v>FR-A</v>
      </c>
    </row>
    <row r="1276" spans="1:8" x14ac:dyDescent="0.2">
      <c r="A1276" s="157"/>
      <c r="B1276" s="31" t="s">
        <v>5709</v>
      </c>
      <c r="C1276" s="31" t="s">
        <v>5710</v>
      </c>
      <c r="D1276" s="31" t="s">
        <v>3137</v>
      </c>
      <c r="E1276" s="61" t="b">
        <v>1</v>
      </c>
      <c r="F1276" s="107" t="s">
        <v>5711</v>
      </c>
      <c r="G1276" s="116" t="str">
        <f>HYPERLINK("http://nsgreg.nga.mil/genc/view?v=201147&amp;end_month=3&amp;end_day=31&amp;end_year=2014","Aquitaine")</f>
        <v>Aquitaine</v>
      </c>
      <c r="H1276" s="87" t="str">
        <f>HYPERLINK("http://api.nsgreg.nga.mil/geo-division/GENC/6/ed2/FR-B","FR-B")</f>
        <v>FR-B</v>
      </c>
    </row>
    <row r="1277" spans="1:8" x14ac:dyDescent="0.2">
      <c r="A1277" s="157"/>
      <c r="B1277" s="31" t="s">
        <v>5712</v>
      </c>
      <c r="C1277" s="31" t="s">
        <v>5713</v>
      </c>
      <c r="D1277" s="98" t="s">
        <v>5692</v>
      </c>
      <c r="E1277" s="99" t="b">
        <v>0</v>
      </c>
      <c r="F1277" s="106" t="s">
        <v>5714</v>
      </c>
      <c r="G1277" s="116" t="str">
        <f>HYPERLINK("http://nsgreg.nga.mil/genc/view?v=113206&amp;gencs=T&amp;end_month=3&amp;end_day=31&amp;end_year=2014","Ardèche")</f>
        <v>Ardèche</v>
      </c>
      <c r="H1277" s="87" t="str">
        <f>HYPERLINK("http://api.nsgreg.nga.mil/geo-division/ISO3166-2/6/ed3/FR-07","FR-07")</f>
        <v>FR-07</v>
      </c>
    </row>
    <row r="1278" spans="1:8" x14ac:dyDescent="0.2">
      <c r="A1278" s="157"/>
      <c r="B1278" s="31" t="s">
        <v>5715</v>
      </c>
      <c r="C1278" s="31" t="s">
        <v>5716</v>
      </c>
      <c r="D1278" s="98" t="s">
        <v>5692</v>
      </c>
      <c r="E1278" s="99" t="b">
        <v>0</v>
      </c>
      <c r="F1278" s="106" t="s">
        <v>5717</v>
      </c>
      <c r="G1278" s="116" t="str">
        <f>HYPERLINK("http://nsgreg.nga.mil/genc/view?v=113207&amp;gencs=T&amp;end_month=3&amp;end_day=31&amp;end_year=2014","Ardennes")</f>
        <v>Ardennes</v>
      </c>
      <c r="H1278" s="87" t="str">
        <f>HYPERLINK("http://api.nsgreg.nga.mil/geo-division/ISO3166-2/6/ed3/FR-08","FR-08")</f>
        <v>FR-08</v>
      </c>
    </row>
    <row r="1279" spans="1:8" x14ac:dyDescent="0.2">
      <c r="A1279" s="157"/>
      <c r="B1279" s="31" t="s">
        <v>5718</v>
      </c>
      <c r="C1279" s="31" t="s">
        <v>5719</v>
      </c>
      <c r="D1279" s="98" t="s">
        <v>5692</v>
      </c>
      <c r="E1279" s="99" t="b">
        <v>0</v>
      </c>
      <c r="F1279" s="106" t="s">
        <v>5720</v>
      </c>
      <c r="G1279" s="116" t="str">
        <f>HYPERLINK("http://nsgreg.nga.mil/genc/view?v=113208&amp;gencs=T&amp;end_month=3&amp;end_day=31&amp;end_year=2014","Ariège")</f>
        <v>Ariège</v>
      </c>
      <c r="H1279" s="87" t="str">
        <f>HYPERLINK("http://api.nsgreg.nga.mil/geo-division/ISO3166-2/6/ed3/FR-09","FR-09")</f>
        <v>FR-09</v>
      </c>
    </row>
    <row r="1280" spans="1:8" x14ac:dyDescent="0.2">
      <c r="A1280" s="157"/>
      <c r="B1280" s="31" t="s">
        <v>5721</v>
      </c>
      <c r="C1280" s="31" t="s">
        <v>5722</v>
      </c>
      <c r="D1280" s="98" t="s">
        <v>5692</v>
      </c>
      <c r="E1280" s="99" t="b">
        <v>0</v>
      </c>
      <c r="F1280" s="106" t="s">
        <v>5723</v>
      </c>
      <c r="G1280" s="116" t="str">
        <f>HYPERLINK("http://nsgreg.nga.mil/genc/view?v=113209&amp;gencs=T&amp;end_month=3&amp;end_day=31&amp;end_year=2014","Aube")</f>
        <v>Aube</v>
      </c>
      <c r="H1280" s="87" t="str">
        <f>HYPERLINK("http://api.nsgreg.nga.mil/geo-division/ISO3166-2/6/ed3/FR-10","FR-10")</f>
        <v>FR-10</v>
      </c>
    </row>
    <row r="1281" spans="1:8" x14ac:dyDescent="0.2">
      <c r="A1281" s="157"/>
      <c r="B1281" s="31" t="s">
        <v>5724</v>
      </c>
      <c r="C1281" s="31" t="s">
        <v>5725</v>
      </c>
      <c r="D1281" s="98" t="s">
        <v>5692</v>
      </c>
      <c r="E1281" s="99" t="b">
        <v>0</v>
      </c>
      <c r="F1281" s="106" t="s">
        <v>5726</v>
      </c>
      <c r="G1281" s="116" t="str">
        <f>HYPERLINK("http://nsgreg.nga.mil/genc/view?v=113210&amp;gencs=T&amp;end_month=3&amp;end_day=31&amp;end_year=2014","Aude")</f>
        <v>Aude</v>
      </c>
      <c r="H1281" s="87" t="str">
        <f>HYPERLINK("http://api.nsgreg.nga.mil/geo-division/ISO3166-2/6/ed3/FR-11","FR-11")</f>
        <v>FR-11</v>
      </c>
    </row>
    <row r="1282" spans="1:8" x14ac:dyDescent="0.2">
      <c r="A1282" s="157"/>
      <c r="B1282" s="31" t="s">
        <v>5727</v>
      </c>
      <c r="C1282" s="31" t="s">
        <v>5728</v>
      </c>
      <c r="D1282" s="31" t="s">
        <v>3137</v>
      </c>
      <c r="E1282" s="61" t="b">
        <v>1</v>
      </c>
      <c r="F1282" s="107" t="s">
        <v>5729</v>
      </c>
      <c r="G1282" s="116" t="str">
        <f>HYPERLINK("http://nsgreg.nga.mil/genc/view?v=201149&amp;end_month=3&amp;end_day=31&amp;end_year=2014","Auvergne")</f>
        <v>Auvergne</v>
      </c>
      <c r="H1282" s="87" t="str">
        <f>HYPERLINK("http://api.nsgreg.nga.mil/geo-division/GENC/6/ed2/FR-C","FR-C")</f>
        <v>FR-C</v>
      </c>
    </row>
    <row r="1283" spans="1:8" x14ac:dyDescent="0.2">
      <c r="A1283" s="157"/>
      <c r="B1283" s="31" t="s">
        <v>5730</v>
      </c>
      <c r="C1283" s="31" t="s">
        <v>5731</v>
      </c>
      <c r="D1283" s="98" t="s">
        <v>5692</v>
      </c>
      <c r="E1283" s="99" t="b">
        <v>0</v>
      </c>
      <c r="F1283" s="106" t="s">
        <v>5732</v>
      </c>
      <c r="G1283" s="116" t="str">
        <f>HYPERLINK("http://nsgreg.nga.mil/genc/view?v=113211&amp;gencs=T&amp;end_month=3&amp;end_day=31&amp;end_year=2014","Aveyron")</f>
        <v>Aveyron</v>
      </c>
      <c r="H1283" s="87" t="str">
        <f>HYPERLINK("http://api.nsgreg.nga.mil/geo-division/ISO3166-2/6/ed3/FR-12","FR-12")</f>
        <v>FR-12</v>
      </c>
    </row>
    <row r="1284" spans="1:8" x14ac:dyDescent="0.2">
      <c r="A1284" s="157"/>
      <c r="B1284" s="31" t="s">
        <v>5733</v>
      </c>
      <c r="C1284" s="31" t="s">
        <v>5734</v>
      </c>
      <c r="D1284" s="98" t="s">
        <v>5692</v>
      </c>
      <c r="E1284" s="99" t="b">
        <v>0</v>
      </c>
      <c r="F1284" s="106" t="s">
        <v>5735</v>
      </c>
      <c r="G1284" s="116" t="str">
        <f>HYPERLINK("http://nsgreg.nga.mil/genc/view?v=113267&amp;gencs=T&amp;end_month=3&amp;end_day=31&amp;end_year=2014","Bas-Rhin")</f>
        <v>Bas-Rhin</v>
      </c>
      <c r="H1284" s="87" t="str">
        <f>HYPERLINK("http://api.nsgreg.nga.mil/geo-division/ISO3166-2/6/ed3/FR-67","FR-67")</f>
        <v>FR-67</v>
      </c>
    </row>
    <row r="1285" spans="1:8" x14ac:dyDescent="0.2">
      <c r="A1285" s="157"/>
      <c r="B1285" s="31" t="s">
        <v>5736</v>
      </c>
      <c r="C1285" s="31" t="s">
        <v>5737</v>
      </c>
      <c r="D1285" s="31" t="s">
        <v>3137</v>
      </c>
      <c r="E1285" s="61" t="b">
        <v>1</v>
      </c>
      <c r="F1285" s="107" t="s">
        <v>5738</v>
      </c>
      <c r="G1285" s="116" t="str">
        <f>HYPERLINK("http://nsgreg.nga.mil/genc/view?v=201168&amp;end_month=3&amp;end_day=31&amp;end_year=2014","Basse-Normandie")</f>
        <v>Basse-Normandie</v>
      </c>
      <c r="H1285" s="87" t="str">
        <f>HYPERLINK("http://api.nsgreg.nga.mil/geo-division/GENC/6/ed2/FR-P","FR-P")</f>
        <v>FR-P</v>
      </c>
    </row>
    <row r="1286" spans="1:8" x14ac:dyDescent="0.2">
      <c r="A1286" s="157"/>
      <c r="B1286" s="31" t="s">
        <v>5739</v>
      </c>
      <c r="C1286" s="31" t="s">
        <v>5740</v>
      </c>
      <c r="D1286" s="98" t="s">
        <v>5692</v>
      </c>
      <c r="E1286" s="99" t="b">
        <v>0</v>
      </c>
      <c r="F1286" s="107" t="s">
        <v>5741</v>
      </c>
      <c r="G1286" s="116" t="str">
        <f>HYPERLINK("http://nsgreg.nga.mil/genc/view?v=201145&amp;end_month=3&amp;end_day=31&amp;end_year=2014","Belfort")</f>
        <v>Belfort</v>
      </c>
      <c r="H1286" s="87" t="str">
        <f>HYPERLINK("http://api.nsgreg.nga.mil/geo-division/GENC/6/ed2/FR-90","FR-90")</f>
        <v>FR-90</v>
      </c>
    </row>
    <row r="1287" spans="1:8" x14ac:dyDescent="0.2">
      <c r="A1287" s="157"/>
      <c r="B1287" s="31" t="s">
        <v>5742</v>
      </c>
      <c r="C1287" s="31" t="s">
        <v>5743</v>
      </c>
      <c r="D1287" s="98" t="s">
        <v>5692</v>
      </c>
      <c r="E1287" s="99" t="b">
        <v>0</v>
      </c>
      <c r="F1287" s="106" t="s">
        <v>5744</v>
      </c>
      <c r="G1287" s="116" t="str">
        <f>HYPERLINK("http://nsgreg.nga.mil/genc/view?v=113212&amp;gencs=T&amp;end_month=3&amp;end_day=31&amp;end_year=2014","Bouches-du-Rhône")</f>
        <v>Bouches-du-Rhône</v>
      </c>
      <c r="H1287" s="87" t="str">
        <f>HYPERLINK("http://api.nsgreg.nga.mil/geo-division/ISO3166-2/6/ed3/FR-13","FR-13")</f>
        <v>FR-13</v>
      </c>
    </row>
    <row r="1288" spans="1:8" x14ac:dyDescent="0.2">
      <c r="A1288" s="157"/>
      <c r="B1288" s="31" t="s">
        <v>5745</v>
      </c>
      <c r="C1288" s="31" t="s">
        <v>5746</v>
      </c>
      <c r="D1288" s="31" t="s">
        <v>3137</v>
      </c>
      <c r="E1288" s="61" t="b">
        <v>1</v>
      </c>
      <c r="F1288" s="107" t="s">
        <v>5747</v>
      </c>
      <c r="G1288" s="116" t="str">
        <f>HYPERLINK("http://nsgreg.nga.mil/genc/view?v=201151&amp;end_month=3&amp;end_day=31&amp;end_year=2014","Bourgogne")</f>
        <v>Bourgogne</v>
      </c>
      <c r="H1288" s="87" t="str">
        <f>HYPERLINK("http://api.nsgreg.nga.mil/geo-division/GENC/6/ed2/FR-D","FR-D")</f>
        <v>FR-D</v>
      </c>
    </row>
    <row r="1289" spans="1:8" x14ac:dyDescent="0.2">
      <c r="A1289" s="157"/>
      <c r="B1289" s="31" t="s">
        <v>5748</v>
      </c>
      <c r="C1289" s="31" t="s">
        <v>5749</v>
      </c>
      <c r="D1289" s="31" t="s">
        <v>3137</v>
      </c>
      <c r="E1289" s="61" t="b">
        <v>1</v>
      </c>
      <c r="F1289" s="107" t="s">
        <v>5750</v>
      </c>
      <c r="G1289" s="116" t="str">
        <f>HYPERLINK("http://nsgreg.nga.mil/genc/view?v=201152&amp;end_month=3&amp;end_day=31&amp;end_year=2014","Bretagne")</f>
        <v>Bretagne</v>
      </c>
      <c r="H1289" s="87" t="str">
        <f>HYPERLINK("http://api.nsgreg.nga.mil/geo-division/GENC/6/ed2/FR-E","FR-E")</f>
        <v>FR-E</v>
      </c>
    </row>
    <row r="1290" spans="1:8" x14ac:dyDescent="0.2">
      <c r="A1290" s="157"/>
      <c r="B1290" s="31" t="s">
        <v>5751</v>
      </c>
      <c r="C1290" s="31" t="s">
        <v>5752</v>
      </c>
      <c r="D1290" s="98" t="s">
        <v>5692</v>
      </c>
      <c r="E1290" s="99" t="b">
        <v>0</v>
      </c>
      <c r="F1290" s="106" t="s">
        <v>5753</v>
      </c>
      <c r="G1290" s="116" t="str">
        <f>HYPERLINK("http://nsgreg.nga.mil/genc/view?v=113213&amp;gencs=T&amp;end_month=3&amp;end_day=31&amp;end_year=2014","Calvados")</f>
        <v>Calvados</v>
      </c>
      <c r="H1290" s="87" t="str">
        <f>HYPERLINK("http://api.nsgreg.nga.mil/geo-division/ISO3166-2/6/ed3/FR-14","FR-14")</f>
        <v>FR-14</v>
      </c>
    </row>
    <row r="1291" spans="1:8" x14ac:dyDescent="0.2">
      <c r="A1291" s="157"/>
      <c r="B1291" s="31" t="s">
        <v>5754</v>
      </c>
      <c r="C1291" s="31" t="s">
        <v>5755</v>
      </c>
      <c r="D1291" s="98" t="s">
        <v>5692</v>
      </c>
      <c r="E1291" s="99" t="b">
        <v>0</v>
      </c>
      <c r="F1291" s="106" t="s">
        <v>5756</v>
      </c>
      <c r="G1291" s="116" t="str">
        <f>HYPERLINK("http://nsgreg.nga.mil/genc/view?v=113214&amp;gencs=T&amp;end_month=3&amp;end_day=31&amp;end_year=2014","Cantal")</f>
        <v>Cantal</v>
      </c>
      <c r="H1291" s="87" t="str">
        <f>HYPERLINK("http://api.nsgreg.nga.mil/geo-division/ISO3166-2/6/ed3/FR-15","FR-15")</f>
        <v>FR-15</v>
      </c>
    </row>
    <row r="1292" spans="1:8" x14ac:dyDescent="0.2">
      <c r="A1292" s="157"/>
      <c r="B1292" s="31" t="s">
        <v>5757</v>
      </c>
      <c r="C1292" s="31" t="s">
        <v>3674</v>
      </c>
      <c r="D1292" s="31" t="s">
        <v>3137</v>
      </c>
      <c r="E1292" s="61" t="b">
        <v>1</v>
      </c>
      <c r="F1292" s="107" t="s">
        <v>5758</v>
      </c>
      <c r="G1292" s="116" t="str">
        <f>HYPERLINK("http://nsgreg.nga.mil/genc/view?v=201153&amp;end_month=3&amp;end_day=31&amp;end_year=2014","Centre")</f>
        <v>Centre</v>
      </c>
      <c r="H1292" s="87" t="str">
        <f>HYPERLINK("http://api.nsgreg.nga.mil/geo-division/GENC/6/ed2/FR-F","FR-F")</f>
        <v>FR-F</v>
      </c>
    </row>
    <row r="1293" spans="1:8" x14ac:dyDescent="0.2">
      <c r="A1293" s="157"/>
      <c r="B1293" s="31" t="s">
        <v>5759</v>
      </c>
      <c r="C1293" s="31" t="s">
        <v>5760</v>
      </c>
      <c r="D1293" s="31" t="s">
        <v>3137</v>
      </c>
      <c r="E1293" s="61" t="b">
        <v>1</v>
      </c>
      <c r="F1293" s="107" t="s">
        <v>5761</v>
      </c>
      <c r="G1293" s="116" t="str">
        <f>HYPERLINK("http://nsgreg.nga.mil/genc/view?v=201154&amp;end_month=3&amp;end_day=31&amp;end_year=2014","Champagne-Ardenne")</f>
        <v>Champagne-Ardenne</v>
      </c>
      <c r="H1293" s="87" t="str">
        <f>HYPERLINK("http://api.nsgreg.nga.mil/geo-division/GENC/6/ed2/FR-G","FR-G")</f>
        <v>FR-G</v>
      </c>
    </row>
    <row r="1294" spans="1:8" x14ac:dyDescent="0.2">
      <c r="A1294" s="157"/>
      <c r="B1294" s="31" t="s">
        <v>5762</v>
      </c>
      <c r="C1294" s="31" t="s">
        <v>5763</v>
      </c>
      <c r="D1294" s="98" t="s">
        <v>5692</v>
      </c>
      <c r="E1294" s="99" t="b">
        <v>0</v>
      </c>
      <c r="F1294" s="106" t="s">
        <v>5764</v>
      </c>
      <c r="G1294" s="116" t="str">
        <f>HYPERLINK("http://nsgreg.nga.mil/genc/view?v=113215&amp;gencs=T&amp;end_month=3&amp;end_day=31&amp;end_year=2014","Charente")</f>
        <v>Charente</v>
      </c>
      <c r="H1294" s="87" t="str">
        <f>HYPERLINK("http://api.nsgreg.nga.mil/geo-division/ISO3166-2/6/ed3/FR-16","FR-16")</f>
        <v>FR-16</v>
      </c>
    </row>
    <row r="1295" spans="1:8" x14ac:dyDescent="0.2">
      <c r="A1295" s="157"/>
      <c r="B1295" s="31" t="s">
        <v>5765</v>
      </c>
      <c r="C1295" s="31" t="s">
        <v>5766</v>
      </c>
      <c r="D1295" s="98" t="s">
        <v>5692</v>
      </c>
      <c r="E1295" s="99" t="b">
        <v>0</v>
      </c>
      <c r="F1295" s="106" t="s">
        <v>5767</v>
      </c>
      <c r="G1295" s="116" t="str">
        <f>HYPERLINK("http://nsgreg.nga.mil/genc/view?v=113216&amp;gencs=T&amp;end_month=3&amp;end_day=31&amp;end_year=2014","Charente-Maritime")</f>
        <v>Charente-Maritime</v>
      </c>
      <c r="H1295" s="87" t="str">
        <f>HYPERLINK("http://api.nsgreg.nga.mil/geo-division/ISO3166-2/6/ed3/FR-17","FR-17")</f>
        <v>FR-17</v>
      </c>
    </row>
    <row r="1296" spans="1:8" x14ac:dyDescent="0.2">
      <c r="A1296" s="157"/>
      <c r="B1296" s="31" t="s">
        <v>5768</v>
      </c>
      <c r="C1296" s="31" t="s">
        <v>5769</v>
      </c>
      <c r="D1296" s="98" t="s">
        <v>5692</v>
      </c>
      <c r="E1296" s="99" t="b">
        <v>0</v>
      </c>
      <c r="F1296" s="106" t="s">
        <v>5770</v>
      </c>
      <c r="G1296" s="116" t="str">
        <f>HYPERLINK("http://nsgreg.nga.mil/genc/view?v=113217&amp;gencs=T&amp;end_month=3&amp;end_day=31&amp;end_year=2014","Cher")</f>
        <v>Cher</v>
      </c>
      <c r="H1296" s="87" t="str">
        <f>HYPERLINK("http://api.nsgreg.nga.mil/geo-division/ISO3166-2/6/ed3/FR-18","FR-18")</f>
        <v>FR-18</v>
      </c>
    </row>
    <row r="1297" spans="1:8" x14ac:dyDescent="0.2">
      <c r="A1297" s="157"/>
      <c r="B1297" s="31" t="s">
        <v>5771</v>
      </c>
      <c r="C1297" s="31" t="s">
        <v>5772</v>
      </c>
      <c r="D1297" s="98" t="s">
        <v>2377</v>
      </c>
      <c r="E1297" s="99" t="b">
        <v>0</v>
      </c>
      <c r="F1297" s="107" t="s">
        <v>5773</v>
      </c>
      <c r="G1297" s="116" t="str">
        <f>HYPERLINK("http://nsgreg.nga.mil/genc/view?v=201150&amp;end_month=3&amp;end_day=31&amp;end_year=2014","Clipperton")</f>
        <v>Clipperton</v>
      </c>
      <c r="H1297" s="87" t="str">
        <f>HYPERLINK("http://api.nsgreg.nga.mil/geo-division/GENC/6/ed2/FR-CP","FR-CP")</f>
        <v>FR-CP</v>
      </c>
    </row>
    <row r="1298" spans="1:8" x14ac:dyDescent="0.2">
      <c r="A1298" s="157"/>
      <c r="B1298" s="31" t="s">
        <v>5774</v>
      </c>
      <c r="C1298" s="31" t="s">
        <v>5775</v>
      </c>
      <c r="D1298" s="98" t="s">
        <v>5692</v>
      </c>
      <c r="E1298" s="99" t="b">
        <v>0</v>
      </c>
      <c r="F1298" s="106" t="s">
        <v>5776</v>
      </c>
      <c r="G1298" s="116" t="str">
        <f>HYPERLINK("http://nsgreg.nga.mil/genc/view?v=113218&amp;gencs=T&amp;end_month=3&amp;end_day=31&amp;end_year=2014","Corrèze")</f>
        <v>Corrèze</v>
      </c>
      <c r="H1298" s="87" t="str">
        <f>HYPERLINK("http://api.nsgreg.nga.mil/geo-division/ISO3166-2/6/ed3/FR-19","FR-19")</f>
        <v>FR-19</v>
      </c>
    </row>
    <row r="1299" spans="1:8" x14ac:dyDescent="0.2">
      <c r="A1299" s="157"/>
      <c r="B1299" s="31" t="s">
        <v>5777</v>
      </c>
      <c r="C1299" s="31" t="s">
        <v>5778</v>
      </c>
      <c r="D1299" s="98" t="s">
        <v>5692</v>
      </c>
      <c r="E1299" s="99" t="b">
        <v>0</v>
      </c>
      <c r="F1299" s="106" t="s">
        <v>5779</v>
      </c>
      <c r="G1299" s="116" t="str">
        <f>HYPERLINK("http://nsgreg.nga.mil/genc/view?v=113228&amp;gencs=T&amp;end_month=3&amp;end_day=31&amp;end_year=2014","Corse-du-Sud")</f>
        <v>Corse-du-Sud</v>
      </c>
      <c r="H1299" s="87" t="str">
        <f>HYPERLINK("http://api.nsgreg.nga.mil/geo-division/ISO3166-2/6/ed3/FR-2A","FR-2A")</f>
        <v>FR-2A</v>
      </c>
    </row>
    <row r="1300" spans="1:8" x14ac:dyDescent="0.2">
      <c r="A1300" s="157"/>
      <c r="B1300" s="31" t="s">
        <v>5780</v>
      </c>
      <c r="C1300" s="31" t="s">
        <v>5781</v>
      </c>
      <c r="D1300" s="31" t="s">
        <v>3137</v>
      </c>
      <c r="E1300" s="61" t="b">
        <v>1</v>
      </c>
      <c r="F1300" s="107" t="s">
        <v>5782</v>
      </c>
      <c r="G1300" s="116" t="str">
        <f>HYPERLINK("http://nsgreg.nga.mil/genc/view?v=201157&amp;end_month=3&amp;end_day=31&amp;end_year=2014","Corsica")</f>
        <v>Corsica</v>
      </c>
      <c r="H1300" s="87" t="str">
        <f>HYPERLINK("http://api.nsgreg.nga.mil/geo-division/GENC/6/ed2/FR-H","FR-H")</f>
        <v>FR-H</v>
      </c>
    </row>
    <row r="1301" spans="1:8" x14ac:dyDescent="0.2">
      <c r="A1301" s="157"/>
      <c r="B1301" s="31" t="s">
        <v>5783</v>
      </c>
      <c r="C1301" s="31" t="s">
        <v>5784</v>
      </c>
      <c r="D1301" s="98" t="s">
        <v>5692</v>
      </c>
      <c r="E1301" s="99" t="b">
        <v>0</v>
      </c>
      <c r="F1301" s="107" t="s">
        <v>5785</v>
      </c>
      <c r="G1301" s="116" t="str">
        <f>HYPERLINK("http://nsgreg.nga.mil/genc/view?v=203393&amp;end_month=3&amp;end_day=31&amp;end_year=2014","Côte-d’Or")</f>
        <v>Côte-d’Or</v>
      </c>
      <c r="H1301" s="87" t="str">
        <f>HYPERLINK("http://api.nsgreg.nga.mil/geo-division/GENC/6/ed2/FR-21","FR-21")</f>
        <v>FR-21</v>
      </c>
    </row>
    <row r="1302" spans="1:8" x14ac:dyDescent="0.2">
      <c r="A1302" s="157"/>
      <c r="B1302" s="31" t="s">
        <v>5786</v>
      </c>
      <c r="C1302" s="31" t="s">
        <v>5787</v>
      </c>
      <c r="D1302" s="98" t="s">
        <v>5692</v>
      </c>
      <c r="E1302" s="99" t="b">
        <v>0</v>
      </c>
      <c r="F1302" s="107" t="s">
        <v>5788</v>
      </c>
      <c r="G1302" s="116" t="str">
        <f>HYPERLINK("http://nsgreg.nga.mil/genc/view?v=203394&amp;end_month=3&amp;end_day=31&amp;end_year=2014","Côtes-d’Armor")</f>
        <v>Côtes-d’Armor</v>
      </c>
      <c r="H1302" s="87" t="str">
        <f>HYPERLINK("http://api.nsgreg.nga.mil/geo-division/GENC/6/ed2/FR-22","FR-22")</f>
        <v>FR-22</v>
      </c>
    </row>
    <row r="1303" spans="1:8" x14ac:dyDescent="0.2">
      <c r="A1303" s="157"/>
      <c r="B1303" s="31" t="s">
        <v>5789</v>
      </c>
      <c r="C1303" s="31" t="s">
        <v>5790</v>
      </c>
      <c r="D1303" s="98" t="s">
        <v>5692</v>
      </c>
      <c r="E1303" s="99" t="b">
        <v>0</v>
      </c>
      <c r="F1303" s="106" t="s">
        <v>5791</v>
      </c>
      <c r="G1303" s="116" t="str">
        <f>HYPERLINK("http://nsgreg.nga.mil/genc/view?v=113221&amp;gencs=T&amp;end_month=3&amp;end_day=31&amp;end_year=2014","Creuse")</f>
        <v>Creuse</v>
      </c>
      <c r="H1303" s="87" t="str">
        <f>HYPERLINK("http://api.nsgreg.nga.mil/geo-division/ISO3166-2/6/ed3/FR-23","FR-23")</f>
        <v>FR-23</v>
      </c>
    </row>
    <row r="1304" spans="1:8" x14ac:dyDescent="0.2">
      <c r="A1304" s="157"/>
      <c r="B1304" s="31" t="s">
        <v>5792</v>
      </c>
      <c r="C1304" s="31" t="s">
        <v>5793</v>
      </c>
      <c r="D1304" s="98" t="s">
        <v>5692</v>
      </c>
      <c r="E1304" s="99" t="b">
        <v>0</v>
      </c>
      <c r="F1304" s="106" t="s">
        <v>5794</v>
      </c>
      <c r="G1304" s="116" t="str">
        <f>HYPERLINK("http://nsgreg.nga.mil/genc/view?v=113279&amp;gencs=T&amp;end_month=3&amp;end_day=31&amp;end_year=2014","Deux-Sèvres")</f>
        <v>Deux-Sèvres</v>
      </c>
      <c r="H1304" s="87" t="str">
        <f>HYPERLINK("http://api.nsgreg.nga.mil/geo-division/ISO3166-2/6/ed3/FR-79","FR-79")</f>
        <v>FR-79</v>
      </c>
    </row>
    <row r="1305" spans="1:8" x14ac:dyDescent="0.2">
      <c r="A1305" s="157"/>
      <c r="B1305" s="31" t="s">
        <v>5795</v>
      </c>
      <c r="C1305" s="31" t="s">
        <v>5796</v>
      </c>
      <c r="D1305" s="98" t="s">
        <v>5692</v>
      </c>
      <c r="E1305" s="99" t="b">
        <v>0</v>
      </c>
      <c r="F1305" s="106" t="s">
        <v>5797</v>
      </c>
      <c r="G1305" s="116" t="str">
        <f>HYPERLINK("http://nsgreg.nga.mil/genc/view?v=113222&amp;gencs=T&amp;end_month=3&amp;end_day=31&amp;end_year=2014","Dordogne")</f>
        <v>Dordogne</v>
      </c>
      <c r="H1305" s="87" t="str">
        <f>HYPERLINK("http://api.nsgreg.nga.mil/geo-division/ISO3166-2/6/ed3/FR-24","FR-24")</f>
        <v>FR-24</v>
      </c>
    </row>
    <row r="1306" spans="1:8" x14ac:dyDescent="0.2">
      <c r="A1306" s="157"/>
      <c r="B1306" s="31" t="s">
        <v>5798</v>
      </c>
      <c r="C1306" s="31" t="s">
        <v>5799</v>
      </c>
      <c r="D1306" s="98" t="s">
        <v>5692</v>
      </c>
      <c r="E1306" s="99" t="b">
        <v>0</v>
      </c>
      <c r="F1306" s="106" t="s">
        <v>5800</v>
      </c>
      <c r="G1306" s="116" t="str">
        <f>HYPERLINK("http://nsgreg.nga.mil/genc/view?v=113223&amp;gencs=T&amp;end_month=3&amp;end_day=31&amp;end_year=2014","Doubs")</f>
        <v>Doubs</v>
      </c>
      <c r="H1306" s="87" t="str">
        <f>HYPERLINK("http://api.nsgreg.nga.mil/geo-division/ISO3166-2/6/ed3/FR-25","FR-25")</f>
        <v>FR-25</v>
      </c>
    </row>
    <row r="1307" spans="1:8" x14ac:dyDescent="0.2">
      <c r="A1307" s="157"/>
      <c r="B1307" s="31" t="s">
        <v>5801</v>
      </c>
      <c r="C1307" s="31" t="s">
        <v>5802</v>
      </c>
      <c r="D1307" s="98" t="s">
        <v>5692</v>
      </c>
      <c r="E1307" s="99" t="b">
        <v>0</v>
      </c>
      <c r="F1307" s="106" t="s">
        <v>5803</v>
      </c>
      <c r="G1307" s="116" t="str">
        <f>HYPERLINK("http://nsgreg.nga.mil/genc/view?v=113224&amp;gencs=T&amp;end_month=3&amp;end_day=31&amp;end_year=2014","Drôme")</f>
        <v>Drôme</v>
      </c>
      <c r="H1307" s="87" t="str">
        <f>HYPERLINK("http://api.nsgreg.nga.mil/geo-division/ISO3166-2/6/ed3/FR-26","FR-26")</f>
        <v>FR-26</v>
      </c>
    </row>
    <row r="1308" spans="1:8" x14ac:dyDescent="0.2">
      <c r="A1308" s="157"/>
      <c r="B1308" s="31" t="s">
        <v>5804</v>
      </c>
      <c r="C1308" s="31" t="s">
        <v>5805</v>
      </c>
      <c r="D1308" s="98" t="s">
        <v>5692</v>
      </c>
      <c r="E1308" s="99" t="b">
        <v>0</v>
      </c>
      <c r="F1308" s="106" t="s">
        <v>5806</v>
      </c>
      <c r="G1308" s="116" t="str">
        <f>HYPERLINK("http://nsgreg.nga.mil/genc/view?v=113291&amp;gencs=T&amp;end_month=3&amp;end_day=31&amp;end_year=2014","Essonne")</f>
        <v>Essonne</v>
      </c>
      <c r="H1308" s="87" t="str">
        <f>HYPERLINK("http://api.nsgreg.nga.mil/geo-division/ISO3166-2/6/ed3/FR-91","FR-91")</f>
        <v>FR-91</v>
      </c>
    </row>
    <row r="1309" spans="1:8" x14ac:dyDescent="0.2">
      <c r="A1309" s="157"/>
      <c r="B1309" s="31" t="s">
        <v>5807</v>
      </c>
      <c r="C1309" s="31" t="s">
        <v>5808</v>
      </c>
      <c r="D1309" s="98" t="s">
        <v>5692</v>
      </c>
      <c r="E1309" s="99" t="b">
        <v>0</v>
      </c>
      <c r="F1309" s="106" t="s">
        <v>5809</v>
      </c>
      <c r="G1309" s="116" t="str">
        <f>HYPERLINK("http://nsgreg.nga.mil/genc/view?v=113225&amp;gencs=T&amp;end_month=3&amp;end_day=31&amp;end_year=2014","Eure")</f>
        <v>Eure</v>
      </c>
      <c r="H1309" s="87" t="str">
        <f>HYPERLINK("http://api.nsgreg.nga.mil/geo-division/ISO3166-2/6/ed3/FR-27","FR-27")</f>
        <v>FR-27</v>
      </c>
    </row>
    <row r="1310" spans="1:8" x14ac:dyDescent="0.2">
      <c r="A1310" s="157"/>
      <c r="B1310" s="31" t="s">
        <v>5810</v>
      </c>
      <c r="C1310" s="31" t="s">
        <v>5811</v>
      </c>
      <c r="D1310" s="98" t="s">
        <v>5692</v>
      </c>
      <c r="E1310" s="99" t="b">
        <v>0</v>
      </c>
      <c r="F1310" s="106" t="s">
        <v>5812</v>
      </c>
      <c r="G1310" s="116" t="str">
        <f>HYPERLINK("http://nsgreg.nga.mil/genc/view?v=113226&amp;gencs=T&amp;end_month=3&amp;end_day=31&amp;end_year=2014","Eure-et-Loir")</f>
        <v>Eure-et-Loir</v>
      </c>
      <c r="H1310" s="87" t="str">
        <f>HYPERLINK("http://api.nsgreg.nga.mil/geo-division/ISO3166-2/6/ed3/FR-28","FR-28")</f>
        <v>FR-28</v>
      </c>
    </row>
    <row r="1311" spans="1:8" x14ac:dyDescent="0.2">
      <c r="A1311" s="157"/>
      <c r="B1311" s="31" t="s">
        <v>5813</v>
      </c>
      <c r="C1311" s="31" t="s">
        <v>5814</v>
      </c>
      <c r="D1311" s="98" t="s">
        <v>5692</v>
      </c>
      <c r="E1311" s="99" t="b">
        <v>0</v>
      </c>
      <c r="F1311" s="106" t="s">
        <v>5815</v>
      </c>
      <c r="G1311" s="116" t="str">
        <f>HYPERLINK("http://nsgreg.nga.mil/genc/view?v=113227&amp;gencs=T&amp;end_month=3&amp;end_day=31&amp;end_year=2014","Finistère")</f>
        <v>Finistère</v>
      </c>
      <c r="H1311" s="87" t="str">
        <f>HYPERLINK("http://api.nsgreg.nga.mil/geo-division/ISO3166-2/6/ed3/FR-29","FR-29")</f>
        <v>FR-29</v>
      </c>
    </row>
    <row r="1312" spans="1:8" x14ac:dyDescent="0.2">
      <c r="A1312" s="157"/>
      <c r="B1312" s="31" t="s">
        <v>5816</v>
      </c>
      <c r="C1312" s="31" t="s">
        <v>5817</v>
      </c>
      <c r="D1312" s="31" t="s">
        <v>3137</v>
      </c>
      <c r="E1312" s="61" t="b">
        <v>1</v>
      </c>
      <c r="F1312" s="107" t="s">
        <v>5818</v>
      </c>
      <c r="G1312" s="116" t="str">
        <f>HYPERLINK("http://nsgreg.nga.mil/genc/view?v=201158&amp;end_month=3&amp;end_day=31&amp;end_year=2014","Franche-Comté")</f>
        <v>Franche-Comté</v>
      </c>
      <c r="H1312" s="87" t="str">
        <f>HYPERLINK("http://api.nsgreg.nga.mil/geo-division/GENC/6/ed2/FR-I","FR-I")</f>
        <v>FR-I</v>
      </c>
    </row>
    <row r="1313" spans="1:8" x14ac:dyDescent="0.2">
      <c r="A1313" s="157"/>
      <c r="B1313" s="31" t="s">
        <v>5819</v>
      </c>
      <c r="C1313" s="31" t="s">
        <v>5820</v>
      </c>
      <c r="D1313" s="98" t="s">
        <v>5692</v>
      </c>
      <c r="E1313" s="99" t="b">
        <v>0</v>
      </c>
      <c r="F1313" s="106" t="s">
        <v>5821</v>
      </c>
      <c r="G1313" s="116" t="str">
        <f>HYPERLINK("http://nsgreg.nga.mil/genc/view?v=113230&amp;gencs=T&amp;end_month=3&amp;end_day=31&amp;end_year=2014","Gard")</f>
        <v>Gard</v>
      </c>
      <c r="H1313" s="87" t="str">
        <f>HYPERLINK("http://api.nsgreg.nga.mil/geo-division/ISO3166-2/6/ed3/FR-30","FR-30")</f>
        <v>FR-30</v>
      </c>
    </row>
    <row r="1314" spans="1:8" x14ac:dyDescent="0.2">
      <c r="A1314" s="157"/>
      <c r="B1314" s="31" t="s">
        <v>5822</v>
      </c>
      <c r="C1314" s="31" t="s">
        <v>5823</v>
      </c>
      <c r="D1314" s="98" t="s">
        <v>5692</v>
      </c>
      <c r="E1314" s="99" t="b">
        <v>0</v>
      </c>
      <c r="F1314" s="106" t="s">
        <v>5824</v>
      </c>
      <c r="G1314" s="116" t="str">
        <f>HYPERLINK("http://nsgreg.nga.mil/genc/view?v=113232&amp;gencs=T&amp;end_month=3&amp;end_day=31&amp;end_year=2014","Gers")</f>
        <v>Gers</v>
      </c>
      <c r="H1314" s="87" t="str">
        <f>HYPERLINK("http://api.nsgreg.nga.mil/geo-division/ISO3166-2/6/ed3/FR-32","FR-32")</f>
        <v>FR-32</v>
      </c>
    </row>
    <row r="1315" spans="1:8" x14ac:dyDescent="0.2">
      <c r="A1315" s="157"/>
      <c r="B1315" s="31" t="s">
        <v>5825</v>
      </c>
      <c r="C1315" s="31" t="s">
        <v>5826</v>
      </c>
      <c r="D1315" s="98" t="s">
        <v>5692</v>
      </c>
      <c r="E1315" s="99" t="b">
        <v>0</v>
      </c>
      <c r="F1315" s="106" t="s">
        <v>5827</v>
      </c>
      <c r="G1315" s="116" t="str">
        <f>HYPERLINK("http://nsgreg.nga.mil/genc/view?v=113233&amp;gencs=T&amp;end_month=3&amp;end_day=31&amp;end_year=2014","Gironde")</f>
        <v>Gironde</v>
      </c>
      <c r="H1315" s="87" t="str">
        <f>HYPERLINK("http://api.nsgreg.nga.mil/geo-division/ISO3166-2/6/ed3/FR-33","FR-33")</f>
        <v>FR-33</v>
      </c>
    </row>
    <row r="1316" spans="1:8" x14ac:dyDescent="0.2">
      <c r="A1316" s="157"/>
      <c r="B1316" s="31" t="s">
        <v>5828</v>
      </c>
      <c r="C1316" s="31" t="s">
        <v>760</v>
      </c>
      <c r="D1316" s="98" t="s">
        <v>5829</v>
      </c>
      <c r="E1316" s="99" t="b">
        <v>0</v>
      </c>
      <c r="F1316" s="107" t="s">
        <v>5830</v>
      </c>
      <c r="G1316" s="116" t="str">
        <f>HYPERLINK("http://nsgreg.nga.mil/genc/view?v=201156&amp;end_month=3&amp;end_day=31&amp;end_year=2014","Guadeloupe")</f>
        <v>Guadeloupe</v>
      </c>
      <c r="H1316" s="87" t="str">
        <f>HYPERLINK("http://api.nsgreg.nga.mil/geo-division/GENC/6/ed2/FR-GP","FR-GP")</f>
        <v>FR-GP</v>
      </c>
    </row>
    <row r="1317" spans="1:8" x14ac:dyDescent="0.2">
      <c r="A1317" s="157"/>
      <c r="B1317" s="31" t="s">
        <v>5831</v>
      </c>
      <c r="C1317" s="31" t="s">
        <v>5832</v>
      </c>
      <c r="D1317" s="98" t="s">
        <v>5829</v>
      </c>
      <c r="E1317" s="99" t="b">
        <v>0</v>
      </c>
      <c r="F1317" s="107" t="s">
        <v>5833</v>
      </c>
      <c r="G1317" s="116" t="str">
        <f>HYPERLINK("http://nsgreg.nga.mil/genc/view?v=201155&amp;end_month=3&amp;end_day=31&amp;end_year=2014","Guyane (française)")</f>
        <v>Guyane (française)</v>
      </c>
      <c r="H1317" s="87" t="str">
        <f>HYPERLINK("http://api.nsgreg.nga.mil/geo-division/GENC/6/ed2/FR-GF","FR-GF")</f>
        <v>FR-GF</v>
      </c>
    </row>
    <row r="1318" spans="1:8" x14ac:dyDescent="0.2">
      <c r="A1318" s="157"/>
      <c r="B1318" s="31" t="s">
        <v>5834</v>
      </c>
      <c r="C1318" s="31" t="s">
        <v>5835</v>
      </c>
      <c r="D1318" s="98" t="s">
        <v>5692</v>
      </c>
      <c r="E1318" s="99" t="b">
        <v>0</v>
      </c>
      <c r="F1318" s="106" t="s">
        <v>5836</v>
      </c>
      <c r="G1318" s="116" t="str">
        <f>HYPERLINK("http://nsgreg.nga.mil/genc/view?v=113229&amp;gencs=T&amp;end_month=3&amp;end_day=31&amp;end_year=2014","Haute-Corse")</f>
        <v>Haute-Corse</v>
      </c>
      <c r="H1318" s="87" t="str">
        <f>HYPERLINK("http://api.nsgreg.nga.mil/geo-division/ISO3166-2/6/ed3/FR-2B","FR-2B")</f>
        <v>FR-2B</v>
      </c>
    </row>
    <row r="1319" spans="1:8" x14ac:dyDescent="0.2">
      <c r="A1319" s="157"/>
      <c r="B1319" s="31" t="s">
        <v>5837</v>
      </c>
      <c r="C1319" s="31" t="s">
        <v>5838</v>
      </c>
      <c r="D1319" s="98" t="s">
        <v>5692</v>
      </c>
      <c r="E1319" s="99" t="b">
        <v>0</v>
      </c>
      <c r="F1319" s="106" t="s">
        <v>5839</v>
      </c>
      <c r="G1319" s="116" t="str">
        <f>HYPERLINK("http://nsgreg.nga.mil/genc/view?v=113231&amp;gencs=T&amp;end_month=3&amp;end_day=31&amp;end_year=2014","Haute-Garonne")</f>
        <v>Haute-Garonne</v>
      </c>
      <c r="H1319" s="87" t="str">
        <f>HYPERLINK("http://api.nsgreg.nga.mil/geo-division/ISO3166-2/6/ed3/FR-31","FR-31")</f>
        <v>FR-31</v>
      </c>
    </row>
    <row r="1320" spans="1:8" x14ac:dyDescent="0.2">
      <c r="A1320" s="157"/>
      <c r="B1320" s="31" t="s">
        <v>5840</v>
      </c>
      <c r="C1320" s="31" t="s">
        <v>5841</v>
      </c>
      <c r="D1320" s="98" t="s">
        <v>5692</v>
      </c>
      <c r="E1320" s="99" t="b">
        <v>0</v>
      </c>
      <c r="F1320" s="106" t="s">
        <v>5842</v>
      </c>
      <c r="G1320" s="116" t="str">
        <f>HYPERLINK("http://nsgreg.nga.mil/genc/view?v=113243&amp;gencs=T&amp;end_month=3&amp;end_day=31&amp;end_year=2014","Haute-Loire")</f>
        <v>Haute-Loire</v>
      </c>
      <c r="H1320" s="87" t="str">
        <f>HYPERLINK("http://api.nsgreg.nga.mil/geo-division/ISO3166-2/6/ed3/FR-43","FR-43")</f>
        <v>FR-43</v>
      </c>
    </row>
    <row r="1321" spans="1:8" x14ac:dyDescent="0.2">
      <c r="A1321" s="157"/>
      <c r="B1321" s="31" t="s">
        <v>5843</v>
      </c>
      <c r="C1321" s="31" t="s">
        <v>5844</v>
      </c>
      <c r="D1321" s="98" t="s">
        <v>5692</v>
      </c>
      <c r="E1321" s="99" t="b">
        <v>0</v>
      </c>
      <c r="F1321" s="106" t="s">
        <v>5845</v>
      </c>
      <c r="G1321" s="116" t="str">
        <f>HYPERLINK("http://nsgreg.nga.mil/genc/view?v=113252&amp;gencs=T&amp;end_month=3&amp;end_day=31&amp;end_year=2014","Haute-Marne")</f>
        <v>Haute-Marne</v>
      </c>
      <c r="H1321" s="87" t="str">
        <f>HYPERLINK("http://api.nsgreg.nga.mil/geo-division/ISO3166-2/6/ed3/FR-52","FR-52")</f>
        <v>FR-52</v>
      </c>
    </row>
    <row r="1322" spans="1:8" x14ac:dyDescent="0.2">
      <c r="A1322" s="157"/>
      <c r="B1322" s="31" t="s">
        <v>5846</v>
      </c>
      <c r="C1322" s="31" t="s">
        <v>5847</v>
      </c>
      <c r="D1322" s="31" t="s">
        <v>3137</v>
      </c>
      <c r="E1322" s="61" t="b">
        <v>1</v>
      </c>
      <c r="F1322" s="107" t="s">
        <v>5848</v>
      </c>
      <c r="G1322" s="116" t="str">
        <f>HYPERLINK("http://nsgreg.nga.mil/genc/view?v=201171&amp;end_month=3&amp;end_day=31&amp;end_year=2014","Haute-Normandie")</f>
        <v>Haute-Normandie</v>
      </c>
      <c r="H1322" s="87" t="str">
        <f>HYPERLINK("http://api.nsgreg.nga.mil/geo-division/GENC/6/ed2/FR-Q","FR-Q")</f>
        <v>FR-Q</v>
      </c>
    </row>
    <row r="1323" spans="1:8" x14ac:dyDescent="0.2">
      <c r="A1323" s="157"/>
      <c r="B1323" s="31" t="s">
        <v>5849</v>
      </c>
      <c r="C1323" s="31" t="s">
        <v>5850</v>
      </c>
      <c r="D1323" s="98" t="s">
        <v>5692</v>
      </c>
      <c r="E1323" s="99" t="b">
        <v>0</v>
      </c>
      <c r="F1323" s="106" t="s">
        <v>5851</v>
      </c>
      <c r="G1323" s="116" t="str">
        <f>HYPERLINK("http://nsgreg.nga.mil/genc/view?v=113204&amp;gencs=T&amp;end_month=3&amp;end_day=31&amp;end_year=2014","Hautes-Alpes")</f>
        <v>Hautes-Alpes</v>
      </c>
      <c r="H1323" s="87" t="str">
        <f>HYPERLINK("http://api.nsgreg.nga.mil/geo-division/ISO3166-2/6/ed3/FR-05","FR-05")</f>
        <v>FR-05</v>
      </c>
    </row>
    <row r="1324" spans="1:8" x14ac:dyDescent="0.2">
      <c r="A1324" s="157"/>
      <c r="B1324" s="31" t="s">
        <v>5852</v>
      </c>
      <c r="C1324" s="31" t="s">
        <v>5853</v>
      </c>
      <c r="D1324" s="98" t="s">
        <v>5692</v>
      </c>
      <c r="E1324" s="99" t="b">
        <v>0</v>
      </c>
      <c r="F1324" s="106" t="s">
        <v>5854</v>
      </c>
      <c r="G1324" s="116" t="str">
        <f>HYPERLINK("http://nsgreg.nga.mil/genc/view?v=113270&amp;gencs=T&amp;end_month=3&amp;end_day=31&amp;end_year=2014","Haute-Saône")</f>
        <v>Haute-Saône</v>
      </c>
      <c r="H1324" s="87" t="str">
        <f>HYPERLINK("http://api.nsgreg.nga.mil/geo-division/ISO3166-2/6/ed3/FR-70","FR-70")</f>
        <v>FR-70</v>
      </c>
    </row>
    <row r="1325" spans="1:8" x14ac:dyDescent="0.2">
      <c r="A1325" s="157"/>
      <c r="B1325" s="31" t="s">
        <v>5855</v>
      </c>
      <c r="C1325" s="31" t="s">
        <v>5856</v>
      </c>
      <c r="D1325" s="98" t="s">
        <v>5692</v>
      </c>
      <c r="E1325" s="99" t="b">
        <v>0</v>
      </c>
      <c r="F1325" s="106" t="s">
        <v>5857</v>
      </c>
      <c r="G1325" s="116" t="str">
        <f>HYPERLINK("http://nsgreg.nga.mil/genc/view?v=113274&amp;gencs=T&amp;end_month=3&amp;end_day=31&amp;end_year=2014","Haute-Savoie")</f>
        <v>Haute-Savoie</v>
      </c>
      <c r="H1325" s="87" t="str">
        <f>HYPERLINK("http://api.nsgreg.nga.mil/geo-division/ISO3166-2/6/ed3/FR-74","FR-74")</f>
        <v>FR-74</v>
      </c>
    </row>
    <row r="1326" spans="1:8" x14ac:dyDescent="0.2">
      <c r="A1326" s="157"/>
      <c r="B1326" s="31" t="s">
        <v>5858</v>
      </c>
      <c r="C1326" s="31" t="s">
        <v>5859</v>
      </c>
      <c r="D1326" s="98" t="s">
        <v>5692</v>
      </c>
      <c r="E1326" s="99" t="b">
        <v>0</v>
      </c>
      <c r="F1326" s="106" t="s">
        <v>5860</v>
      </c>
      <c r="G1326" s="116" t="str">
        <f>HYPERLINK("http://nsgreg.nga.mil/genc/view?v=113265&amp;gencs=T&amp;end_month=3&amp;end_day=31&amp;end_year=2014","Hautes-Pyrénées")</f>
        <v>Hautes-Pyrénées</v>
      </c>
      <c r="H1326" s="87" t="str">
        <f>HYPERLINK("http://api.nsgreg.nga.mil/geo-division/ISO3166-2/6/ed3/FR-65","FR-65")</f>
        <v>FR-65</v>
      </c>
    </row>
    <row r="1327" spans="1:8" x14ac:dyDescent="0.2">
      <c r="A1327" s="157"/>
      <c r="B1327" s="31" t="s">
        <v>5861</v>
      </c>
      <c r="C1327" s="31" t="s">
        <v>5862</v>
      </c>
      <c r="D1327" s="98" t="s">
        <v>5692</v>
      </c>
      <c r="E1327" s="99" t="b">
        <v>0</v>
      </c>
      <c r="F1327" s="106" t="s">
        <v>5863</v>
      </c>
      <c r="G1327" s="116" t="str">
        <f>HYPERLINK("http://nsgreg.nga.mil/genc/view?v=113287&amp;gencs=T&amp;end_month=3&amp;end_day=31&amp;end_year=2014","Haute-Vienne")</f>
        <v>Haute-Vienne</v>
      </c>
      <c r="H1327" s="87" t="str">
        <f>HYPERLINK("http://api.nsgreg.nga.mil/geo-division/ISO3166-2/6/ed3/FR-87","FR-87")</f>
        <v>FR-87</v>
      </c>
    </row>
    <row r="1328" spans="1:8" x14ac:dyDescent="0.2">
      <c r="A1328" s="157"/>
      <c r="B1328" s="31" t="s">
        <v>5864</v>
      </c>
      <c r="C1328" s="31" t="s">
        <v>5865</v>
      </c>
      <c r="D1328" s="98" t="s">
        <v>5692</v>
      </c>
      <c r="E1328" s="99" t="b">
        <v>0</v>
      </c>
      <c r="F1328" s="106" t="s">
        <v>5866</v>
      </c>
      <c r="G1328" s="116" t="str">
        <f>HYPERLINK("http://nsgreg.nga.mil/genc/view?v=113268&amp;gencs=T&amp;end_month=3&amp;end_day=31&amp;end_year=2014","Haut-Rhin")</f>
        <v>Haut-Rhin</v>
      </c>
      <c r="H1328" s="87" t="str">
        <f>HYPERLINK("http://api.nsgreg.nga.mil/geo-division/ISO3166-2/6/ed3/FR-68","FR-68")</f>
        <v>FR-68</v>
      </c>
    </row>
    <row r="1329" spans="1:8" x14ac:dyDescent="0.2">
      <c r="A1329" s="157"/>
      <c r="B1329" s="31" t="s">
        <v>5867</v>
      </c>
      <c r="C1329" s="31" t="s">
        <v>5868</v>
      </c>
      <c r="D1329" s="98" t="s">
        <v>5692</v>
      </c>
      <c r="E1329" s="99" t="b">
        <v>0</v>
      </c>
      <c r="F1329" s="106" t="s">
        <v>5869</v>
      </c>
      <c r="G1329" s="116" t="str">
        <f>HYPERLINK("http://nsgreg.nga.mil/genc/view?v=113292&amp;gencs=T&amp;end_month=3&amp;end_day=31&amp;end_year=2014","Hauts-de-Seine")</f>
        <v>Hauts-de-Seine</v>
      </c>
      <c r="H1329" s="87" t="str">
        <f>HYPERLINK("http://api.nsgreg.nga.mil/geo-division/ISO3166-2/6/ed3/FR-92","FR-92")</f>
        <v>FR-92</v>
      </c>
    </row>
    <row r="1330" spans="1:8" x14ac:dyDescent="0.2">
      <c r="A1330" s="157"/>
      <c r="B1330" s="31" t="s">
        <v>5870</v>
      </c>
      <c r="C1330" s="31" t="s">
        <v>5871</v>
      </c>
      <c r="D1330" s="98" t="s">
        <v>5692</v>
      </c>
      <c r="E1330" s="99" t="b">
        <v>0</v>
      </c>
      <c r="F1330" s="106" t="s">
        <v>5872</v>
      </c>
      <c r="G1330" s="116" t="str">
        <f>HYPERLINK("http://nsgreg.nga.mil/genc/view?v=113234&amp;gencs=T&amp;end_month=3&amp;end_day=31&amp;end_year=2014","Hérault")</f>
        <v>Hérault</v>
      </c>
      <c r="H1330" s="87" t="str">
        <f>HYPERLINK("http://api.nsgreg.nga.mil/geo-division/ISO3166-2/6/ed3/FR-34","FR-34")</f>
        <v>FR-34</v>
      </c>
    </row>
    <row r="1331" spans="1:8" x14ac:dyDescent="0.2">
      <c r="A1331" s="157"/>
      <c r="B1331" s="31" t="s">
        <v>5873</v>
      </c>
      <c r="C1331" s="31" t="s">
        <v>5874</v>
      </c>
      <c r="D1331" s="31" t="s">
        <v>3137</v>
      </c>
      <c r="E1331" s="61" t="b">
        <v>1</v>
      </c>
      <c r="F1331" s="107" t="s">
        <v>5875</v>
      </c>
      <c r="G1331" s="116" t="str">
        <f>HYPERLINK("http://nsgreg.nga.mil/genc/view?v=201159&amp;end_month=3&amp;end_day=31&amp;end_year=2014","Île-de-France")</f>
        <v>Île-de-France</v>
      </c>
      <c r="H1331" s="87" t="str">
        <f>HYPERLINK("http://api.nsgreg.nga.mil/geo-division/GENC/6/ed2/FR-J","FR-J")</f>
        <v>FR-J</v>
      </c>
    </row>
    <row r="1332" spans="1:8" x14ac:dyDescent="0.2">
      <c r="A1332" s="157"/>
      <c r="B1332" s="31" t="s">
        <v>5876</v>
      </c>
      <c r="C1332" s="31" t="s">
        <v>5877</v>
      </c>
      <c r="D1332" s="98" t="s">
        <v>5692</v>
      </c>
      <c r="E1332" s="99" t="b">
        <v>0</v>
      </c>
      <c r="F1332" s="106" t="s">
        <v>5878</v>
      </c>
      <c r="G1332" s="116" t="str">
        <f>HYPERLINK("http://nsgreg.nga.mil/genc/view?v=113235&amp;gencs=T&amp;end_month=3&amp;end_day=31&amp;end_year=2014","Ille-et-Vilaine")</f>
        <v>Ille-et-Vilaine</v>
      </c>
      <c r="H1332" s="87" t="str">
        <f>HYPERLINK("http://api.nsgreg.nga.mil/geo-division/ISO3166-2/6/ed3/FR-35","FR-35")</f>
        <v>FR-35</v>
      </c>
    </row>
    <row r="1333" spans="1:8" x14ac:dyDescent="0.2">
      <c r="A1333" s="157"/>
      <c r="B1333" s="31" t="s">
        <v>5879</v>
      </c>
      <c r="C1333" s="31" t="s">
        <v>5880</v>
      </c>
      <c r="D1333" s="98" t="s">
        <v>5692</v>
      </c>
      <c r="E1333" s="99" t="b">
        <v>0</v>
      </c>
      <c r="F1333" s="106" t="s">
        <v>5881</v>
      </c>
      <c r="G1333" s="116" t="str">
        <f>HYPERLINK("http://nsgreg.nga.mil/genc/view?v=113236&amp;gencs=T&amp;end_month=3&amp;end_day=31&amp;end_year=2014","Indre")</f>
        <v>Indre</v>
      </c>
      <c r="H1333" s="87" t="str">
        <f>HYPERLINK("http://api.nsgreg.nga.mil/geo-division/ISO3166-2/6/ed3/FR-36","FR-36")</f>
        <v>FR-36</v>
      </c>
    </row>
    <row r="1334" spans="1:8" x14ac:dyDescent="0.2">
      <c r="A1334" s="157"/>
      <c r="B1334" s="31" t="s">
        <v>5882</v>
      </c>
      <c r="C1334" s="31" t="s">
        <v>5883</v>
      </c>
      <c r="D1334" s="98" t="s">
        <v>5692</v>
      </c>
      <c r="E1334" s="99" t="b">
        <v>0</v>
      </c>
      <c r="F1334" s="106" t="s">
        <v>5884</v>
      </c>
      <c r="G1334" s="116" t="str">
        <f>HYPERLINK("http://nsgreg.nga.mil/genc/view?v=113237&amp;gencs=T&amp;end_month=3&amp;end_day=31&amp;end_year=2014","Indre-et-Loire")</f>
        <v>Indre-et-Loire</v>
      </c>
      <c r="H1334" s="87" t="str">
        <f>HYPERLINK("http://api.nsgreg.nga.mil/geo-division/ISO3166-2/6/ed3/FR-37","FR-37")</f>
        <v>FR-37</v>
      </c>
    </row>
    <row r="1335" spans="1:8" x14ac:dyDescent="0.2">
      <c r="A1335" s="157"/>
      <c r="B1335" s="31" t="s">
        <v>5885</v>
      </c>
      <c r="C1335" s="31" t="s">
        <v>5886</v>
      </c>
      <c r="D1335" s="98" t="s">
        <v>5692</v>
      </c>
      <c r="E1335" s="99" t="b">
        <v>0</v>
      </c>
      <c r="F1335" s="106" t="s">
        <v>5887</v>
      </c>
      <c r="G1335" s="116" t="str">
        <f>HYPERLINK("http://nsgreg.nga.mil/genc/view?v=113238&amp;gencs=T&amp;end_month=3&amp;end_day=31&amp;end_year=2014","Isère")</f>
        <v>Isère</v>
      </c>
      <c r="H1335" s="87" t="str">
        <f>HYPERLINK("http://api.nsgreg.nga.mil/geo-division/ISO3166-2/6/ed3/FR-38","FR-38")</f>
        <v>FR-38</v>
      </c>
    </row>
    <row r="1336" spans="1:8" x14ac:dyDescent="0.2">
      <c r="A1336" s="157"/>
      <c r="B1336" s="31" t="s">
        <v>5888</v>
      </c>
      <c r="C1336" s="31" t="s">
        <v>5889</v>
      </c>
      <c r="D1336" s="98" t="s">
        <v>5692</v>
      </c>
      <c r="E1336" s="99" t="b">
        <v>0</v>
      </c>
      <c r="F1336" s="106" t="s">
        <v>5890</v>
      </c>
      <c r="G1336" s="116" t="str">
        <f>HYPERLINK("http://nsgreg.nga.mil/genc/view?v=113239&amp;gencs=T&amp;end_month=3&amp;end_day=31&amp;end_year=2014","Jura")</f>
        <v>Jura</v>
      </c>
      <c r="H1336" s="87" t="str">
        <f>HYPERLINK("http://api.nsgreg.nga.mil/geo-division/ISO3166-2/6/ed3/FR-39","FR-39")</f>
        <v>FR-39</v>
      </c>
    </row>
    <row r="1337" spans="1:8" x14ac:dyDescent="0.2">
      <c r="A1337" s="157"/>
      <c r="B1337" s="31" t="s">
        <v>5891</v>
      </c>
      <c r="C1337" s="31" t="s">
        <v>5892</v>
      </c>
      <c r="D1337" s="98" t="s">
        <v>5692</v>
      </c>
      <c r="E1337" s="99" t="b">
        <v>0</v>
      </c>
      <c r="F1337" s="106" t="s">
        <v>5893</v>
      </c>
      <c r="G1337" s="116" t="str">
        <f>HYPERLINK("http://nsgreg.nga.mil/genc/view?v=113240&amp;gencs=T&amp;end_month=3&amp;end_day=31&amp;end_year=2014","Landes")</f>
        <v>Landes</v>
      </c>
      <c r="H1337" s="87" t="str">
        <f>HYPERLINK("http://api.nsgreg.nga.mil/geo-division/ISO3166-2/6/ed3/FR-40","FR-40")</f>
        <v>FR-40</v>
      </c>
    </row>
    <row r="1338" spans="1:8" x14ac:dyDescent="0.2">
      <c r="A1338" s="157"/>
      <c r="B1338" s="31" t="s">
        <v>5894</v>
      </c>
      <c r="C1338" s="31" t="s">
        <v>5895</v>
      </c>
      <c r="D1338" s="31" t="s">
        <v>3137</v>
      </c>
      <c r="E1338" s="61" t="b">
        <v>1</v>
      </c>
      <c r="F1338" s="107" t="s">
        <v>5896</v>
      </c>
      <c r="G1338" s="116" t="str">
        <f>HYPERLINK("http://nsgreg.nga.mil/genc/view?v=201160&amp;end_month=3&amp;end_day=31&amp;end_year=2014","Languedoc-Roussillon")</f>
        <v>Languedoc-Roussillon</v>
      </c>
      <c r="H1338" s="87" t="str">
        <f>HYPERLINK("http://api.nsgreg.nga.mil/geo-division/GENC/6/ed2/FR-K","FR-K")</f>
        <v>FR-K</v>
      </c>
    </row>
    <row r="1339" spans="1:8" x14ac:dyDescent="0.2">
      <c r="A1339" s="157"/>
      <c r="B1339" s="31" t="s">
        <v>5897</v>
      </c>
      <c r="C1339" s="31" t="s">
        <v>5898</v>
      </c>
      <c r="D1339" s="98" t="s">
        <v>5829</v>
      </c>
      <c r="E1339" s="99" t="b">
        <v>0</v>
      </c>
      <c r="F1339" s="107" t="s">
        <v>5899</v>
      </c>
      <c r="G1339" s="116" t="str">
        <f>HYPERLINK("http://nsgreg.nga.mil/genc/view?v=201173&amp;end_month=3&amp;end_day=31&amp;end_year=2014","La Réunion")</f>
        <v>La Réunion</v>
      </c>
      <c r="H1339" s="87" t="str">
        <f>HYPERLINK("http://api.nsgreg.nga.mil/geo-division/GENC/6/ed2/FR-RE","FR-RE")</f>
        <v>FR-RE</v>
      </c>
    </row>
    <row r="1340" spans="1:8" x14ac:dyDescent="0.2">
      <c r="A1340" s="157"/>
      <c r="B1340" s="31" t="s">
        <v>5900</v>
      </c>
      <c r="C1340" s="31" t="s">
        <v>5901</v>
      </c>
      <c r="D1340" s="31" t="s">
        <v>3137</v>
      </c>
      <c r="E1340" s="61" t="b">
        <v>1</v>
      </c>
      <c r="F1340" s="107" t="s">
        <v>5902</v>
      </c>
      <c r="G1340" s="116" t="str">
        <f>HYPERLINK("http://nsgreg.nga.mil/genc/view?v=201161&amp;end_month=3&amp;end_day=31&amp;end_year=2014","Limousin")</f>
        <v>Limousin</v>
      </c>
      <c r="H1340" s="87" t="str">
        <f>HYPERLINK("http://api.nsgreg.nga.mil/geo-division/GENC/6/ed2/FR-L","FR-L")</f>
        <v>FR-L</v>
      </c>
    </row>
    <row r="1341" spans="1:8" x14ac:dyDescent="0.2">
      <c r="A1341" s="157"/>
      <c r="B1341" s="31" t="s">
        <v>5903</v>
      </c>
      <c r="C1341" s="31" t="s">
        <v>5904</v>
      </c>
      <c r="D1341" s="98" t="s">
        <v>5692</v>
      </c>
      <c r="E1341" s="99" t="b">
        <v>0</v>
      </c>
      <c r="F1341" s="106" t="s">
        <v>5905</v>
      </c>
      <c r="G1341" s="116" t="str">
        <f>HYPERLINK("http://nsgreg.nga.mil/genc/view?v=113242&amp;gencs=T&amp;end_month=3&amp;end_day=31&amp;end_year=2014","Loire")</f>
        <v>Loire</v>
      </c>
      <c r="H1341" s="87" t="str">
        <f>HYPERLINK("http://api.nsgreg.nga.mil/geo-division/ISO3166-2/6/ed3/FR-42","FR-42")</f>
        <v>FR-42</v>
      </c>
    </row>
    <row r="1342" spans="1:8" x14ac:dyDescent="0.2">
      <c r="A1342" s="157"/>
      <c r="B1342" s="31" t="s">
        <v>5906</v>
      </c>
      <c r="C1342" s="31" t="s">
        <v>5907</v>
      </c>
      <c r="D1342" s="98" t="s">
        <v>5692</v>
      </c>
      <c r="E1342" s="99" t="b">
        <v>0</v>
      </c>
      <c r="F1342" s="106" t="s">
        <v>5908</v>
      </c>
      <c r="G1342" s="116" t="str">
        <f>HYPERLINK("http://nsgreg.nga.mil/genc/view?v=113244&amp;gencs=T&amp;end_month=3&amp;end_day=31&amp;end_year=2014","Loire-Atlantique")</f>
        <v>Loire-Atlantique</v>
      </c>
      <c r="H1342" s="87" t="str">
        <f>HYPERLINK("http://api.nsgreg.nga.mil/geo-division/ISO3166-2/6/ed3/FR-44","FR-44")</f>
        <v>FR-44</v>
      </c>
    </row>
    <row r="1343" spans="1:8" x14ac:dyDescent="0.2">
      <c r="A1343" s="157"/>
      <c r="B1343" s="31" t="s">
        <v>5909</v>
      </c>
      <c r="C1343" s="31" t="s">
        <v>5910</v>
      </c>
      <c r="D1343" s="98" t="s">
        <v>5692</v>
      </c>
      <c r="E1343" s="99" t="b">
        <v>0</v>
      </c>
      <c r="F1343" s="106" t="s">
        <v>5911</v>
      </c>
      <c r="G1343" s="116" t="str">
        <f>HYPERLINK("http://nsgreg.nga.mil/genc/view?v=113245&amp;gencs=T&amp;end_month=3&amp;end_day=31&amp;end_year=2014","Loiret")</f>
        <v>Loiret</v>
      </c>
      <c r="H1343" s="87" t="str">
        <f>HYPERLINK("http://api.nsgreg.nga.mil/geo-division/ISO3166-2/6/ed3/FR-45","FR-45")</f>
        <v>FR-45</v>
      </c>
    </row>
    <row r="1344" spans="1:8" x14ac:dyDescent="0.2">
      <c r="A1344" s="157"/>
      <c r="B1344" s="31" t="s">
        <v>5912</v>
      </c>
      <c r="C1344" s="31" t="s">
        <v>5913</v>
      </c>
      <c r="D1344" s="98" t="s">
        <v>5692</v>
      </c>
      <c r="E1344" s="99" t="b">
        <v>0</v>
      </c>
      <c r="F1344" s="106" t="s">
        <v>5914</v>
      </c>
      <c r="G1344" s="116" t="str">
        <f>HYPERLINK("http://nsgreg.nga.mil/genc/view?v=113241&amp;gencs=T&amp;end_month=3&amp;end_day=31&amp;end_year=2014","Loir-et-Cher")</f>
        <v>Loir-et-Cher</v>
      </c>
      <c r="H1344" s="87" t="str">
        <f>HYPERLINK("http://api.nsgreg.nga.mil/geo-division/ISO3166-2/6/ed3/FR-41","FR-41")</f>
        <v>FR-41</v>
      </c>
    </row>
    <row r="1345" spans="1:8" x14ac:dyDescent="0.2">
      <c r="A1345" s="157"/>
      <c r="B1345" s="31" t="s">
        <v>5915</v>
      </c>
      <c r="C1345" s="31" t="s">
        <v>5916</v>
      </c>
      <c r="D1345" s="31" t="s">
        <v>3137</v>
      </c>
      <c r="E1345" s="61" t="b">
        <v>1</v>
      </c>
      <c r="F1345" s="107" t="s">
        <v>5917</v>
      </c>
      <c r="G1345" s="116" t="str">
        <f>HYPERLINK("http://nsgreg.nga.mil/genc/view?v=201162&amp;end_month=3&amp;end_day=31&amp;end_year=2014","Lorraine")</f>
        <v>Lorraine</v>
      </c>
      <c r="H1345" s="87" t="str">
        <f>HYPERLINK("http://api.nsgreg.nga.mil/geo-division/GENC/6/ed2/FR-M","FR-M")</f>
        <v>FR-M</v>
      </c>
    </row>
    <row r="1346" spans="1:8" x14ac:dyDescent="0.2">
      <c r="A1346" s="157"/>
      <c r="B1346" s="31" t="s">
        <v>5918</v>
      </c>
      <c r="C1346" s="31" t="s">
        <v>5919</v>
      </c>
      <c r="D1346" s="98" t="s">
        <v>5692</v>
      </c>
      <c r="E1346" s="99" t="b">
        <v>0</v>
      </c>
      <c r="F1346" s="106" t="s">
        <v>5920</v>
      </c>
      <c r="G1346" s="116" t="str">
        <f>HYPERLINK("http://nsgreg.nga.mil/genc/view?v=113246&amp;gencs=T&amp;end_month=3&amp;end_day=31&amp;end_year=2014","Lot")</f>
        <v>Lot</v>
      </c>
      <c r="H1346" s="87" t="str">
        <f>HYPERLINK("http://api.nsgreg.nga.mil/geo-division/ISO3166-2/6/ed3/FR-46","FR-46")</f>
        <v>FR-46</v>
      </c>
    </row>
    <row r="1347" spans="1:8" x14ac:dyDescent="0.2">
      <c r="A1347" s="157"/>
      <c r="B1347" s="31" t="s">
        <v>5921</v>
      </c>
      <c r="C1347" s="31" t="s">
        <v>5922</v>
      </c>
      <c r="D1347" s="98" t="s">
        <v>5692</v>
      </c>
      <c r="E1347" s="99" t="b">
        <v>0</v>
      </c>
      <c r="F1347" s="106" t="s">
        <v>5923</v>
      </c>
      <c r="G1347" s="116" t="str">
        <f>HYPERLINK("http://nsgreg.nga.mil/genc/view?v=113247&amp;gencs=T&amp;end_month=3&amp;end_day=31&amp;end_year=2014","Lot-et-Garonne")</f>
        <v>Lot-et-Garonne</v>
      </c>
      <c r="H1347" s="87" t="str">
        <f>HYPERLINK("http://api.nsgreg.nga.mil/geo-division/ISO3166-2/6/ed3/FR-47","FR-47")</f>
        <v>FR-47</v>
      </c>
    </row>
    <row r="1348" spans="1:8" x14ac:dyDescent="0.2">
      <c r="A1348" s="157"/>
      <c r="B1348" s="31" t="s">
        <v>5924</v>
      </c>
      <c r="C1348" s="31" t="s">
        <v>5925</v>
      </c>
      <c r="D1348" s="98" t="s">
        <v>5692</v>
      </c>
      <c r="E1348" s="99" t="b">
        <v>0</v>
      </c>
      <c r="F1348" s="106" t="s">
        <v>5926</v>
      </c>
      <c r="G1348" s="116" t="str">
        <f>HYPERLINK("http://nsgreg.nga.mil/genc/view?v=113248&amp;gencs=T&amp;end_month=3&amp;end_day=31&amp;end_year=2014","Lozère")</f>
        <v>Lozère</v>
      </c>
      <c r="H1348" s="87" t="str">
        <f>HYPERLINK("http://api.nsgreg.nga.mil/geo-division/ISO3166-2/6/ed3/FR-48","FR-48")</f>
        <v>FR-48</v>
      </c>
    </row>
    <row r="1349" spans="1:8" x14ac:dyDescent="0.2">
      <c r="A1349" s="157"/>
      <c r="B1349" s="31" t="s">
        <v>5927</v>
      </c>
      <c r="C1349" s="31" t="s">
        <v>5928</v>
      </c>
      <c r="D1349" s="98" t="s">
        <v>5692</v>
      </c>
      <c r="E1349" s="99" t="b">
        <v>0</v>
      </c>
      <c r="F1349" s="106" t="s">
        <v>5929</v>
      </c>
      <c r="G1349" s="116" t="str">
        <f>HYPERLINK("http://nsgreg.nga.mil/genc/view?v=113249&amp;gencs=T&amp;end_month=3&amp;end_day=31&amp;end_year=2014","Maine-et-Loire")</f>
        <v>Maine-et-Loire</v>
      </c>
      <c r="H1349" s="87" t="str">
        <f>HYPERLINK("http://api.nsgreg.nga.mil/geo-division/ISO3166-2/6/ed3/FR-49","FR-49")</f>
        <v>FR-49</v>
      </c>
    </row>
    <row r="1350" spans="1:8" x14ac:dyDescent="0.2">
      <c r="A1350" s="157"/>
      <c r="B1350" s="31" t="s">
        <v>5930</v>
      </c>
      <c r="C1350" s="31" t="s">
        <v>5931</v>
      </c>
      <c r="D1350" s="98" t="s">
        <v>5692</v>
      </c>
      <c r="E1350" s="99" t="b">
        <v>0</v>
      </c>
      <c r="F1350" s="106" t="s">
        <v>5932</v>
      </c>
      <c r="G1350" s="116" t="str">
        <f>HYPERLINK("http://nsgreg.nga.mil/genc/view?v=113250&amp;gencs=T&amp;end_month=3&amp;end_day=31&amp;end_year=2014","Manche")</f>
        <v>Manche</v>
      </c>
      <c r="H1350" s="87" t="str">
        <f>HYPERLINK("http://api.nsgreg.nga.mil/geo-division/ISO3166-2/6/ed3/FR-50","FR-50")</f>
        <v>FR-50</v>
      </c>
    </row>
    <row r="1351" spans="1:8" x14ac:dyDescent="0.2">
      <c r="A1351" s="157"/>
      <c r="B1351" s="31" t="s">
        <v>5933</v>
      </c>
      <c r="C1351" s="31" t="s">
        <v>5934</v>
      </c>
      <c r="D1351" s="98" t="s">
        <v>5692</v>
      </c>
      <c r="E1351" s="99" t="b">
        <v>0</v>
      </c>
      <c r="F1351" s="106" t="s">
        <v>5935</v>
      </c>
      <c r="G1351" s="116" t="str">
        <f>HYPERLINK("http://nsgreg.nga.mil/genc/view?v=113251&amp;gencs=T&amp;end_month=3&amp;end_day=31&amp;end_year=2014","Marne")</f>
        <v>Marne</v>
      </c>
      <c r="H1351" s="87" t="str">
        <f>HYPERLINK("http://api.nsgreg.nga.mil/geo-division/ISO3166-2/6/ed3/FR-51","FR-51")</f>
        <v>FR-51</v>
      </c>
    </row>
    <row r="1352" spans="1:8" x14ac:dyDescent="0.2">
      <c r="A1352" s="157"/>
      <c r="B1352" s="31" t="s">
        <v>5936</v>
      </c>
      <c r="C1352" s="31" t="s">
        <v>1144</v>
      </c>
      <c r="D1352" s="98" t="s">
        <v>5829</v>
      </c>
      <c r="E1352" s="99" t="b">
        <v>0</v>
      </c>
      <c r="F1352" s="107" t="s">
        <v>5937</v>
      </c>
      <c r="G1352" s="116" t="str">
        <f>HYPERLINK("http://nsgreg.nga.mil/genc/view?v=201164&amp;end_month=3&amp;end_day=31&amp;end_year=2014","Martinique")</f>
        <v>Martinique</v>
      </c>
      <c r="H1352" s="87" t="str">
        <f>HYPERLINK("http://api.nsgreg.nga.mil/geo-division/GENC/6/ed2/FR-MQ","FR-MQ")</f>
        <v>FR-MQ</v>
      </c>
    </row>
    <row r="1353" spans="1:8" x14ac:dyDescent="0.2">
      <c r="A1353" s="157"/>
      <c r="B1353" s="31" t="s">
        <v>5938</v>
      </c>
      <c r="C1353" s="31" t="s">
        <v>5939</v>
      </c>
      <c r="D1353" s="98" t="s">
        <v>5692</v>
      </c>
      <c r="E1353" s="99" t="b">
        <v>0</v>
      </c>
      <c r="F1353" s="106" t="s">
        <v>5940</v>
      </c>
      <c r="G1353" s="116" t="str">
        <f>HYPERLINK("http://nsgreg.nga.mil/genc/view?v=113253&amp;gencs=T&amp;end_month=3&amp;end_day=31&amp;end_year=2014","Mayenne")</f>
        <v>Mayenne</v>
      </c>
      <c r="H1353" s="87" t="str">
        <f>HYPERLINK("http://api.nsgreg.nga.mil/geo-division/ISO3166-2/6/ed3/FR-53","FR-53")</f>
        <v>FR-53</v>
      </c>
    </row>
    <row r="1354" spans="1:8" x14ac:dyDescent="0.2">
      <c r="A1354" s="157"/>
      <c r="B1354" s="31" t="s">
        <v>5941</v>
      </c>
      <c r="C1354" s="31" t="s">
        <v>1165</v>
      </c>
      <c r="D1354" s="98" t="s">
        <v>5829</v>
      </c>
      <c r="E1354" s="99" t="b">
        <v>0</v>
      </c>
      <c r="F1354" s="107" t="s">
        <v>5942</v>
      </c>
      <c r="G1354" s="116" t="str">
        <f>HYPERLINK("http://nsgreg.nga.mil/genc/view?v=201180&amp;end_month=3&amp;end_day=31&amp;end_year=2014","Mayotte")</f>
        <v>Mayotte</v>
      </c>
      <c r="H1354" s="87" t="str">
        <f>HYPERLINK("http://api.nsgreg.nga.mil/geo-division/GENC/6/ed2/FR-YT","FR-YT")</f>
        <v>FR-YT</v>
      </c>
    </row>
    <row r="1355" spans="1:8" x14ac:dyDescent="0.2">
      <c r="A1355" s="157"/>
      <c r="B1355" s="31" t="s">
        <v>5943</v>
      </c>
      <c r="C1355" s="31" t="s">
        <v>5944</v>
      </c>
      <c r="D1355" s="98" t="s">
        <v>5692</v>
      </c>
      <c r="E1355" s="99" t="b">
        <v>0</v>
      </c>
      <c r="F1355" s="106" t="s">
        <v>5945</v>
      </c>
      <c r="G1355" s="116" t="str">
        <f>HYPERLINK("http://nsgreg.nga.mil/genc/view?v=113254&amp;gencs=T&amp;end_month=3&amp;end_day=31&amp;end_year=2014","Meurthe-et-Moselle")</f>
        <v>Meurthe-et-Moselle</v>
      </c>
      <c r="H1355" s="87" t="str">
        <f>HYPERLINK("http://api.nsgreg.nga.mil/geo-division/ISO3166-2/6/ed3/FR-54","FR-54")</f>
        <v>FR-54</v>
      </c>
    </row>
    <row r="1356" spans="1:8" x14ac:dyDescent="0.2">
      <c r="A1356" s="157"/>
      <c r="B1356" s="31" t="s">
        <v>5946</v>
      </c>
      <c r="C1356" s="31" t="s">
        <v>5947</v>
      </c>
      <c r="D1356" s="98" t="s">
        <v>5692</v>
      </c>
      <c r="E1356" s="99" t="b">
        <v>0</v>
      </c>
      <c r="F1356" s="106" t="s">
        <v>5948</v>
      </c>
      <c r="G1356" s="116" t="str">
        <f>HYPERLINK("http://nsgreg.nga.mil/genc/view?v=113255&amp;gencs=T&amp;end_month=3&amp;end_day=31&amp;end_year=2014","Meuse")</f>
        <v>Meuse</v>
      </c>
      <c r="H1356" s="87" t="str">
        <f>HYPERLINK("http://api.nsgreg.nga.mil/geo-division/ISO3166-2/6/ed3/FR-55","FR-55")</f>
        <v>FR-55</v>
      </c>
    </row>
    <row r="1357" spans="1:8" x14ac:dyDescent="0.2">
      <c r="A1357" s="157"/>
      <c r="B1357" s="31" t="s">
        <v>5949</v>
      </c>
      <c r="C1357" s="31" t="s">
        <v>5950</v>
      </c>
      <c r="D1357" s="31" t="s">
        <v>3137</v>
      </c>
      <c r="E1357" s="61" t="b">
        <v>1</v>
      </c>
      <c r="F1357" s="107" t="s">
        <v>5951</v>
      </c>
      <c r="G1357" s="116" t="str">
        <f>HYPERLINK("http://nsgreg.nga.mil/genc/view?v=201165&amp;end_month=3&amp;end_day=31&amp;end_year=2014","Midi-Pyrénées")</f>
        <v>Midi-Pyrénées</v>
      </c>
      <c r="H1357" s="87" t="str">
        <f>HYPERLINK("http://api.nsgreg.nga.mil/geo-division/GENC/6/ed2/FR-N","FR-N")</f>
        <v>FR-N</v>
      </c>
    </row>
    <row r="1358" spans="1:8" x14ac:dyDescent="0.2">
      <c r="A1358" s="157"/>
      <c r="B1358" s="31" t="s">
        <v>5952</v>
      </c>
      <c r="C1358" s="31" t="s">
        <v>5953</v>
      </c>
      <c r="D1358" s="98" t="s">
        <v>5692</v>
      </c>
      <c r="E1358" s="99" t="b">
        <v>0</v>
      </c>
      <c r="F1358" s="106" t="s">
        <v>5954</v>
      </c>
      <c r="G1358" s="116" t="str">
        <f>HYPERLINK("http://nsgreg.nga.mil/genc/view?v=113256&amp;gencs=T&amp;end_month=3&amp;end_day=31&amp;end_year=2014","Morbihan")</f>
        <v>Morbihan</v>
      </c>
      <c r="H1358" s="87" t="str">
        <f>HYPERLINK("http://api.nsgreg.nga.mil/geo-division/ISO3166-2/6/ed3/FR-56","FR-56")</f>
        <v>FR-56</v>
      </c>
    </row>
    <row r="1359" spans="1:8" x14ac:dyDescent="0.2">
      <c r="A1359" s="157"/>
      <c r="B1359" s="31" t="s">
        <v>5955</v>
      </c>
      <c r="C1359" s="31" t="s">
        <v>5956</v>
      </c>
      <c r="D1359" s="98" t="s">
        <v>5692</v>
      </c>
      <c r="E1359" s="99" t="b">
        <v>0</v>
      </c>
      <c r="F1359" s="106" t="s">
        <v>5957</v>
      </c>
      <c r="G1359" s="116" t="str">
        <f>HYPERLINK("http://nsgreg.nga.mil/genc/view?v=113257&amp;gencs=T&amp;end_month=3&amp;end_day=31&amp;end_year=2014","Moselle")</f>
        <v>Moselle</v>
      </c>
      <c r="H1359" s="87" t="str">
        <f>HYPERLINK("http://api.nsgreg.nga.mil/geo-division/ISO3166-2/6/ed3/FR-57","FR-57")</f>
        <v>FR-57</v>
      </c>
    </row>
    <row r="1360" spans="1:8" x14ac:dyDescent="0.2">
      <c r="A1360" s="157"/>
      <c r="B1360" s="31" t="s">
        <v>5958</v>
      </c>
      <c r="C1360" s="31" t="s">
        <v>5959</v>
      </c>
      <c r="D1360" s="98" t="s">
        <v>5692</v>
      </c>
      <c r="E1360" s="99" t="b">
        <v>0</v>
      </c>
      <c r="F1360" s="106" t="s">
        <v>5960</v>
      </c>
      <c r="G1360" s="116" t="str">
        <f>HYPERLINK("http://nsgreg.nga.mil/genc/view?v=113258&amp;gencs=T&amp;end_month=3&amp;end_day=31&amp;end_year=2014","Nièvre")</f>
        <v>Nièvre</v>
      </c>
      <c r="H1360" s="87" t="str">
        <f>HYPERLINK("http://api.nsgreg.nga.mil/geo-division/ISO3166-2/6/ed3/FR-58","FR-58")</f>
        <v>FR-58</v>
      </c>
    </row>
    <row r="1361" spans="1:8" x14ac:dyDescent="0.2">
      <c r="A1361" s="157"/>
      <c r="B1361" s="31" t="s">
        <v>5961</v>
      </c>
      <c r="C1361" s="31" t="s">
        <v>3755</v>
      </c>
      <c r="D1361" s="98" t="s">
        <v>5692</v>
      </c>
      <c r="E1361" s="99" t="b">
        <v>0</v>
      </c>
      <c r="F1361" s="106" t="s">
        <v>5962</v>
      </c>
      <c r="G1361" s="116" t="str">
        <f>HYPERLINK("http://nsgreg.nga.mil/genc/view?v=113259&amp;gencs=T&amp;end_month=3&amp;end_day=31&amp;end_year=2014","Nord")</f>
        <v>Nord</v>
      </c>
      <c r="H1361" s="87" t="str">
        <f>HYPERLINK("http://api.nsgreg.nga.mil/geo-division/ISO3166-2/6/ed3/FR-59","FR-59")</f>
        <v>FR-59</v>
      </c>
    </row>
    <row r="1362" spans="1:8" x14ac:dyDescent="0.2">
      <c r="A1362" s="157"/>
      <c r="B1362" s="31" t="s">
        <v>5963</v>
      </c>
      <c r="C1362" s="31" t="s">
        <v>5964</v>
      </c>
      <c r="D1362" s="31" t="s">
        <v>3137</v>
      </c>
      <c r="E1362" s="61" t="b">
        <v>1</v>
      </c>
      <c r="F1362" s="107" t="s">
        <v>5965</v>
      </c>
      <c r="G1362" s="116" t="str">
        <f>HYPERLINK("http://nsgreg.nga.mil/genc/view?v=201167&amp;end_month=3&amp;end_day=31&amp;end_year=2014","Nord-Pas-de-Calais")</f>
        <v>Nord-Pas-de-Calais</v>
      </c>
      <c r="H1362" s="87" t="str">
        <f>HYPERLINK("http://api.nsgreg.nga.mil/geo-division/GENC/6/ed2/FR-O","FR-O")</f>
        <v>FR-O</v>
      </c>
    </row>
    <row r="1363" spans="1:8" x14ac:dyDescent="0.2">
      <c r="A1363" s="157"/>
      <c r="B1363" s="31" t="s">
        <v>5966</v>
      </c>
      <c r="C1363" s="31" t="s">
        <v>5967</v>
      </c>
      <c r="D1363" s="98" t="s">
        <v>5968</v>
      </c>
      <c r="E1363" s="99" t="b">
        <v>0</v>
      </c>
      <c r="F1363" s="107" t="s">
        <v>5969</v>
      </c>
      <c r="G1363" s="116" t="str">
        <f>HYPERLINK("http://nsgreg.nga.mil/genc/view?v=201166&amp;end_month=3&amp;end_day=31&amp;end_year=2014","Nouvelle-Calédonie")</f>
        <v>Nouvelle-Calédonie</v>
      </c>
      <c r="H1363" s="87" t="str">
        <f>HYPERLINK("http://api.nsgreg.nga.mil/geo-division/GENC/6/ed2/FR-NC","FR-NC")</f>
        <v>FR-NC</v>
      </c>
    </row>
    <row r="1364" spans="1:8" x14ac:dyDescent="0.2">
      <c r="A1364" s="157"/>
      <c r="B1364" s="31" t="s">
        <v>5970</v>
      </c>
      <c r="C1364" s="31" t="s">
        <v>5971</v>
      </c>
      <c r="D1364" s="98" t="s">
        <v>5692</v>
      </c>
      <c r="E1364" s="99" t="b">
        <v>0</v>
      </c>
      <c r="F1364" s="106" t="s">
        <v>5972</v>
      </c>
      <c r="G1364" s="116" t="str">
        <f>HYPERLINK("http://nsgreg.nga.mil/genc/view?v=113260&amp;gencs=T&amp;end_month=3&amp;end_day=31&amp;end_year=2014","Oise")</f>
        <v>Oise</v>
      </c>
      <c r="H1364" s="87" t="str">
        <f>HYPERLINK("http://api.nsgreg.nga.mil/geo-division/ISO3166-2/6/ed3/FR-60","FR-60")</f>
        <v>FR-60</v>
      </c>
    </row>
    <row r="1365" spans="1:8" x14ac:dyDescent="0.2">
      <c r="A1365" s="157"/>
      <c r="B1365" s="31" t="s">
        <v>5973</v>
      </c>
      <c r="C1365" s="31" t="s">
        <v>5974</v>
      </c>
      <c r="D1365" s="98" t="s">
        <v>5692</v>
      </c>
      <c r="E1365" s="99" t="b">
        <v>0</v>
      </c>
      <c r="F1365" s="106" t="s">
        <v>5975</v>
      </c>
      <c r="G1365" s="116" t="str">
        <f>HYPERLINK("http://nsgreg.nga.mil/genc/view?v=113261&amp;gencs=T&amp;end_month=3&amp;end_day=31&amp;end_year=2014","Orne")</f>
        <v>Orne</v>
      </c>
      <c r="H1365" s="87" t="str">
        <f>HYPERLINK("http://api.nsgreg.nga.mil/geo-division/ISO3166-2/6/ed3/FR-61","FR-61")</f>
        <v>FR-61</v>
      </c>
    </row>
    <row r="1366" spans="1:8" x14ac:dyDescent="0.2">
      <c r="A1366" s="157"/>
      <c r="B1366" s="31" t="s">
        <v>5976</v>
      </c>
      <c r="C1366" s="31" t="s">
        <v>5977</v>
      </c>
      <c r="D1366" s="98" t="s">
        <v>5692</v>
      </c>
      <c r="E1366" s="99" t="b">
        <v>0</v>
      </c>
      <c r="F1366" s="106" t="s">
        <v>5978</v>
      </c>
      <c r="G1366" s="116" t="str">
        <f>HYPERLINK("http://nsgreg.nga.mil/genc/view?v=113275&amp;gencs=T&amp;end_month=3&amp;end_day=31&amp;end_year=2014","Paris")</f>
        <v>Paris</v>
      </c>
      <c r="H1366" s="87" t="str">
        <f>HYPERLINK("http://api.nsgreg.nga.mil/geo-division/ISO3166-2/6/ed3/FR-75","FR-75")</f>
        <v>FR-75</v>
      </c>
    </row>
    <row r="1367" spans="1:8" x14ac:dyDescent="0.2">
      <c r="A1367" s="157"/>
      <c r="B1367" s="31" t="s">
        <v>5979</v>
      </c>
      <c r="C1367" s="31" t="s">
        <v>5980</v>
      </c>
      <c r="D1367" s="98" t="s">
        <v>5692</v>
      </c>
      <c r="E1367" s="99" t="b">
        <v>0</v>
      </c>
      <c r="F1367" s="106" t="s">
        <v>5981</v>
      </c>
      <c r="G1367" s="116" t="str">
        <f>HYPERLINK("http://nsgreg.nga.mil/genc/view?v=113262&amp;gencs=T&amp;end_month=3&amp;end_day=31&amp;end_year=2014","Pas-de-Calais")</f>
        <v>Pas-de-Calais</v>
      </c>
      <c r="H1367" s="87" t="str">
        <f>HYPERLINK("http://api.nsgreg.nga.mil/geo-division/ISO3166-2/6/ed3/FR-62","FR-62")</f>
        <v>FR-62</v>
      </c>
    </row>
    <row r="1368" spans="1:8" x14ac:dyDescent="0.2">
      <c r="A1368" s="157"/>
      <c r="B1368" s="31" t="s">
        <v>5982</v>
      </c>
      <c r="C1368" s="31" t="s">
        <v>5983</v>
      </c>
      <c r="D1368" s="31" t="s">
        <v>3137</v>
      </c>
      <c r="E1368" s="61" t="b">
        <v>1</v>
      </c>
      <c r="F1368" s="107" t="s">
        <v>5984</v>
      </c>
      <c r="G1368" s="116" t="str">
        <f>HYPERLINK("http://nsgreg.nga.mil/genc/view?v=201172&amp;end_month=3&amp;end_day=31&amp;end_year=2014","Pays de la Loire")</f>
        <v>Pays de la Loire</v>
      </c>
      <c r="H1368" s="87" t="str">
        <f>HYPERLINK("http://api.nsgreg.nga.mil/geo-division/GENC/6/ed2/FR-R","FR-R")</f>
        <v>FR-R</v>
      </c>
    </row>
    <row r="1369" spans="1:8" x14ac:dyDescent="0.2">
      <c r="A1369" s="157"/>
      <c r="B1369" s="31" t="s">
        <v>5985</v>
      </c>
      <c r="C1369" s="31" t="s">
        <v>5986</v>
      </c>
      <c r="D1369" s="31" t="s">
        <v>3137</v>
      </c>
      <c r="E1369" s="61" t="b">
        <v>1</v>
      </c>
      <c r="F1369" s="107" t="s">
        <v>5987</v>
      </c>
      <c r="G1369" s="116" t="str">
        <f>HYPERLINK("http://nsgreg.nga.mil/genc/view?v=201174&amp;end_month=3&amp;end_day=31&amp;end_year=2014","Picardie")</f>
        <v>Picardie</v>
      </c>
      <c r="H1369" s="87" t="str">
        <f>HYPERLINK("http://api.nsgreg.nga.mil/geo-division/GENC/6/ed2/FR-S","FR-S")</f>
        <v>FR-S</v>
      </c>
    </row>
    <row r="1370" spans="1:8" x14ac:dyDescent="0.2">
      <c r="A1370" s="157"/>
      <c r="B1370" s="31" t="s">
        <v>5988</v>
      </c>
      <c r="C1370" s="31" t="s">
        <v>5989</v>
      </c>
      <c r="D1370" s="31" t="s">
        <v>3137</v>
      </c>
      <c r="E1370" s="61" t="b">
        <v>1</v>
      </c>
      <c r="F1370" s="107" t="s">
        <v>5990</v>
      </c>
      <c r="G1370" s="116" t="str">
        <f>HYPERLINK("http://nsgreg.nga.mil/genc/view?v=201175&amp;end_month=3&amp;end_day=31&amp;end_year=2014","Poitou-Charentes")</f>
        <v>Poitou-Charentes</v>
      </c>
      <c r="H1370" s="87" t="str">
        <f>HYPERLINK("http://api.nsgreg.nga.mil/geo-division/GENC/6/ed2/FR-T","FR-T")</f>
        <v>FR-T</v>
      </c>
    </row>
    <row r="1371" spans="1:8" x14ac:dyDescent="0.2">
      <c r="A1371" s="157"/>
      <c r="B1371" s="31" t="s">
        <v>5991</v>
      </c>
      <c r="C1371" s="31" t="s">
        <v>5992</v>
      </c>
      <c r="D1371" s="98" t="s">
        <v>5968</v>
      </c>
      <c r="E1371" s="99" t="b">
        <v>0</v>
      </c>
      <c r="F1371" s="107" t="s">
        <v>5993</v>
      </c>
      <c r="G1371" s="116" t="str">
        <f>HYPERLINK("http://nsgreg.nga.mil/genc/view?v=201169&amp;end_month=3&amp;end_day=31&amp;end_year=2014","Polynésie française")</f>
        <v>Polynésie française</v>
      </c>
      <c r="H1371" s="87" t="str">
        <f>HYPERLINK("http://api.nsgreg.nga.mil/geo-division/GENC/6/ed2/FR-PF","FR-PF")</f>
        <v>FR-PF</v>
      </c>
    </row>
    <row r="1372" spans="1:8" x14ac:dyDescent="0.2">
      <c r="A1372" s="157"/>
      <c r="B1372" s="31" t="s">
        <v>5994</v>
      </c>
      <c r="C1372" s="31" t="s">
        <v>5995</v>
      </c>
      <c r="D1372" s="31" t="s">
        <v>3137</v>
      </c>
      <c r="E1372" s="61" t="b">
        <v>1</v>
      </c>
      <c r="F1372" s="107" t="s">
        <v>5996</v>
      </c>
      <c r="G1372" s="116" t="str">
        <f>HYPERLINK("http://nsgreg.nga.mil/genc/view?v=201177&amp;end_month=3&amp;end_day=31&amp;end_year=2014","Provence-Alpes-Côte d’Azur")</f>
        <v>Provence-Alpes-Côte d’Azur</v>
      </c>
      <c r="H1372" s="87" t="str">
        <f>HYPERLINK("http://api.nsgreg.nga.mil/geo-division/GENC/6/ed2/FR-U","FR-U")</f>
        <v>FR-U</v>
      </c>
    </row>
    <row r="1373" spans="1:8" x14ac:dyDescent="0.2">
      <c r="A1373" s="157"/>
      <c r="B1373" s="31" t="s">
        <v>5997</v>
      </c>
      <c r="C1373" s="31" t="s">
        <v>5998</v>
      </c>
      <c r="D1373" s="98" t="s">
        <v>5692</v>
      </c>
      <c r="E1373" s="99" t="b">
        <v>0</v>
      </c>
      <c r="F1373" s="106" t="s">
        <v>5999</v>
      </c>
      <c r="G1373" s="116" t="str">
        <f>HYPERLINK("http://nsgreg.nga.mil/genc/view?v=113263&amp;gencs=T&amp;end_month=3&amp;end_day=31&amp;end_year=2014","Puy-de-Dôme")</f>
        <v>Puy-de-Dôme</v>
      </c>
      <c r="H1373" s="87" t="str">
        <f>HYPERLINK("http://api.nsgreg.nga.mil/geo-division/ISO3166-2/6/ed3/FR-63","FR-63")</f>
        <v>FR-63</v>
      </c>
    </row>
    <row r="1374" spans="1:8" x14ac:dyDescent="0.2">
      <c r="A1374" s="157"/>
      <c r="B1374" s="31" t="s">
        <v>6000</v>
      </c>
      <c r="C1374" s="31" t="s">
        <v>6001</v>
      </c>
      <c r="D1374" s="98" t="s">
        <v>5692</v>
      </c>
      <c r="E1374" s="99" t="b">
        <v>0</v>
      </c>
      <c r="F1374" s="106" t="s">
        <v>6002</v>
      </c>
      <c r="G1374" s="116" t="str">
        <f>HYPERLINK("http://nsgreg.nga.mil/genc/view?v=113264&amp;gencs=T&amp;end_month=3&amp;end_day=31&amp;end_year=2014","Pyrénées-Atlantiques")</f>
        <v>Pyrénées-Atlantiques</v>
      </c>
      <c r="H1374" s="87" t="str">
        <f>HYPERLINK("http://api.nsgreg.nga.mil/geo-division/ISO3166-2/6/ed3/FR-64","FR-64")</f>
        <v>FR-64</v>
      </c>
    </row>
    <row r="1375" spans="1:8" x14ac:dyDescent="0.2">
      <c r="A1375" s="157"/>
      <c r="B1375" s="31" t="s">
        <v>6003</v>
      </c>
      <c r="C1375" s="31" t="s">
        <v>6004</v>
      </c>
      <c r="D1375" s="98" t="s">
        <v>5692</v>
      </c>
      <c r="E1375" s="99" t="b">
        <v>0</v>
      </c>
      <c r="F1375" s="106" t="s">
        <v>6005</v>
      </c>
      <c r="G1375" s="116" t="str">
        <f>HYPERLINK("http://nsgreg.nga.mil/genc/view?v=113266&amp;gencs=T&amp;end_month=3&amp;end_day=31&amp;end_year=2014","Pyrénées-Orientales")</f>
        <v>Pyrénées-Orientales</v>
      </c>
      <c r="H1375" s="87" t="str">
        <f>HYPERLINK("http://api.nsgreg.nga.mil/geo-division/ISO3166-2/6/ed3/FR-66","FR-66")</f>
        <v>FR-66</v>
      </c>
    </row>
    <row r="1376" spans="1:8" x14ac:dyDescent="0.2">
      <c r="A1376" s="157"/>
      <c r="B1376" s="31" t="s">
        <v>6006</v>
      </c>
      <c r="C1376" s="31" t="s">
        <v>6007</v>
      </c>
      <c r="D1376" s="98" t="s">
        <v>5692</v>
      </c>
      <c r="E1376" s="99" t="b">
        <v>0</v>
      </c>
      <c r="F1376" s="106" t="s">
        <v>6008</v>
      </c>
      <c r="G1376" s="116" t="str">
        <f>HYPERLINK("http://nsgreg.nga.mil/genc/view?v=113269&amp;gencs=T&amp;end_month=3&amp;end_day=31&amp;end_year=2014","Rhône")</f>
        <v>Rhône</v>
      </c>
      <c r="H1376" s="87" t="str">
        <f>HYPERLINK("http://api.nsgreg.nga.mil/geo-division/ISO3166-2/6/ed3/FR-69","FR-69")</f>
        <v>FR-69</v>
      </c>
    </row>
    <row r="1377" spans="1:8" x14ac:dyDescent="0.2">
      <c r="A1377" s="157"/>
      <c r="B1377" s="31" t="s">
        <v>6009</v>
      </c>
      <c r="C1377" s="31" t="s">
        <v>6010</v>
      </c>
      <c r="D1377" s="31" t="s">
        <v>3137</v>
      </c>
      <c r="E1377" s="61" t="b">
        <v>1</v>
      </c>
      <c r="F1377" s="107" t="s">
        <v>6011</v>
      </c>
      <c r="G1377" s="116" t="str">
        <f>HYPERLINK("http://nsgreg.nga.mil/genc/view?v=201178&amp;end_month=3&amp;end_day=31&amp;end_year=2014","Rhône-Alpes")</f>
        <v>Rhône-Alpes</v>
      </c>
      <c r="H1377" s="87" t="str">
        <f>HYPERLINK("http://api.nsgreg.nga.mil/geo-division/GENC/6/ed2/FR-V","FR-V")</f>
        <v>FR-V</v>
      </c>
    </row>
    <row r="1378" spans="1:8" x14ac:dyDescent="0.2">
      <c r="A1378" s="157"/>
      <c r="B1378" s="31" t="s">
        <v>6012</v>
      </c>
      <c r="C1378" s="31" t="s">
        <v>6013</v>
      </c>
      <c r="D1378" s="98" t="s">
        <v>5968</v>
      </c>
      <c r="E1378" s="99" t="b">
        <v>0</v>
      </c>
      <c r="F1378" s="107" t="s">
        <v>6014</v>
      </c>
      <c r="G1378" s="116" t="str">
        <f>HYPERLINK("http://nsgreg.nga.mil/genc/view?v=201148&amp;end_month=3&amp;end_day=31&amp;end_year=2014","Saint-Barthélemy")</f>
        <v>Saint-Barthélemy</v>
      </c>
      <c r="H1378" s="87" t="str">
        <f>HYPERLINK("http://api.nsgreg.nga.mil/geo-division/GENC/6/ed2/FR-BL","FR-BL")</f>
        <v>FR-BL</v>
      </c>
    </row>
    <row r="1379" spans="1:8" x14ac:dyDescent="0.2">
      <c r="A1379" s="157"/>
      <c r="B1379" s="31" t="s">
        <v>6015</v>
      </c>
      <c r="C1379" s="31" t="s">
        <v>6016</v>
      </c>
      <c r="D1379" s="98" t="s">
        <v>5968</v>
      </c>
      <c r="E1379" s="99" t="b">
        <v>0</v>
      </c>
      <c r="F1379" s="107" t="s">
        <v>6017</v>
      </c>
      <c r="G1379" s="116" t="str">
        <f>HYPERLINK("http://nsgreg.nga.mil/genc/view?v=201163&amp;end_month=3&amp;end_day=31&amp;end_year=2014","Saint-Martin")</f>
        <v>Saint-Martin</v>
      </c>
      <c r="H1379" s="87" t="str">
        <f>HYPERLINK("http://api.nsgreg.nga.mil/geo-division/GENC/6/ed2/FR-MF","FR-MF")</f>
        <v>FR-MF</v>
      </c>
    </row>
    <row r="1380" spans="1:8" x14ac:dyDescent="0.2">
      <c r="A1380" s="157"/>
      <c r="B1380" s="31" t="s">
        <v>6018</v>
      </c>
      <c r="C1380" s="31" t="s">
        <v>6019</v>
      </c>
      <c r="D1380" s="98" t="s">
        <v>5968</v>
      </c>
      <c r="E1380" s="99" t="b">
        <v>0</v>
      </c>
      <c r="F1380" s="107" t="s">
        <v>6020</v>
      </c>
      <c r="G1380" s="116" t="str">
        <f>HYPERLINK("http://nsgreg.nga.mil/genc/view?v=201170&amp;end_month=3&amp;end_day=31&amp;end_year=2014","Saint-Pierre-et-Miquelon")</f>
        <v>Saint-Pierre-et-Miquelon</v>
      </c>
      <c r="H1380" s="87" t="str">
        <f>HYPERLINK("http://api.nsgreg.nga.mil/geo-division/GENC/6/ed2/FR-PM","FR-PM")</f>
        <v>FR-PM</v>
      </c>
    </row>
    <row r="1381" spans="1:8" x14ac:dyDescent="0.2">
      <c r="A1381" s="157"/>
      <c r="B1381" s="31" t="s">
        <v>6021</v>
      </c>
      <c r="C1381" s="31" t="s">
        <v>6022</v>
      </c>
      <c r="D1381" s="98" t="s">
        <v>5692</v>
      </c>
      <c r="E1381" s="99" t="b">
        <v>0</v>
      </c>
      <c r="F1381" s="106" t="s">
        <v>6023</v>
      </c>
      <c r="G1381" s="116" t="str">
        <f>HYPERLINK("http://nsgreg.nga.mil/genc/view?v=113271&amp;gencs=T&amp;end_month=3&amp;end_day=31&amp;end_year=2014","Saône-et-Loire")</f>
        <v>Saône-et-Loire</v>
      </c>
      <c r="H1381" s="87" t="str">
        <f>HYPERLINK("http://api.nsgreg.nga.mil/geo-division/ISO3166-2/6/ed3/FR-71","FR-71")</f>
        <v>FR-71</v>
      </c>
    </row>
    <row r="1382" spans="1:8" x14ac:dyDescent="0.2">
      <c r="A1382" s="157"/>
      <c r="B1382" s="31" t="s">
        <v>6024</v>
      </c>
      <c r="C1382" s="31" t="s">
        <v>6025</v>
      </c>
      <c r="D1382" s="98" t="s">
        <v>5692</v>
      </c>
      <c r="E1382" s="99" t="b">
        <v>0</v>
      </c>
      <c r="F1382" s="106" t="s">
        <v>6026</v>
      </c>
      <c r="G1382" s="116" t="str">
        <f>HYPERLINK("http://nsgreg.nga.mil/genc/view?v=113272&amp;gencs=T&amp;end_month=3&amp;end_day=31&amp;end_year=2014","Sarthe")</f>
        <v>Sarthe</v>
      </c>
      <c r="H1382" s="87" t="str">
        <f>HYPERLINK("http://api.nsgreg.nga.mil/geo-division/ISO3166-2/6/ed3/FR-72","FR-72")</f>
        <v>FR-72</v>
      </c>
    </row>
    <row r="1383" spans="1:8" x14ac:dyDescent="0.2">
      <c r="A1383" s="157"/>
      <c r="B1383" s="31" t="s">
        <v>6027</v>
      </c>
      <c r="C1383" s="31" t="s">
        <v>6028</v>
      </c>
      <c r="D1383" s="98" t="s">
        <v>5692</v>
      </c>
      <c r="E1383" s="99" t="b">
        <v>0</v>
      </c>
      <c r="F1383" s="106" t="s">
        <v>6029</v>
      </c>
      <c r="G1383" s="116" t="str">
        <f>HYPERLINK("http://nsgreg.nga.mil/genc/view?v=113273&amp;gencs=T&amp;end_month=3&amp;end_day=31&amp;end_year=2014","Savoie")</f>
        <v>Savoie</v>
      </c>
      <c r="H1383" s="87" t="str">
        <f>HYPERLINK("http://api.nsgreg.nga.mil/geo-division/ISO3166-2/6/ed3/FR-73","FR-73")</f>
        <v>FR-73</v>
      </c>
    </row>
    <row r="1384" spans="1:8" x14ac:dyDescent="0.2">
      <c r="A1384" s="157"/>
      <c r="B1384" s="31" t="s">
        <v>6030</v>
      </c>
      <c r="C1384" s="31" t="s">
        <v>6031</v>
      </c>
      <c r="D1384" s="98" t="s">
        <v>5692</v>
      </c>
      <c r="E1384" s="99" t="b">
        <v>0</v>
      </c>
      <c r="F1384" s="106" t="s">
        <v>6032</v>
      </c>
      <c r="G1384" s="116" t="str">
        <f>HYPERLINK("http://nsgreg.nga.mil/genc/view?v=113277&amp;gencs=T&amp;end_month=3&amp;end_day=31&amp;end_year=2014","Seine-et-Marne")</f>
        <v>Seine-et-Marne</v>
      </c>
      <c r="H1384" s="87" t="str">
        <f>HYPERLINK("http://api.nsgreg.nga.mil/geo-division/ISO3166-2/6/ed3/FR-77","FR-77")</f>
        <v>FR-77</v>
      </c>
    </row>
    <row r="1385" spans="1:8" x14ac:dyDescent="0.2">
      <c r="A1385" s="157"/>
      <c r="B1385" s="31" t="s">
        <v>6033</v>
      </c>
      <c r="C1385" s="31" t="s">
        <v>6034</v>
      </c>
      <c r="D1385" s="98" t="s">
        <v>5692</v>
      </c>
      <c r="E1385" s="99" t="b">
        <v>0</v>
      </c>
      <c r="F1385" s="106" t="s">
        <v>6035</v>
      </c>
      <c r="G1385" s="116" t="str">
        <f>HYPERLINK("http://nsgreg.nga.mil/genc/view?v=113276&amp;gencs=T&amp;end_month=3&amp;end_day=31&amp;end_year=2014","Seine-Maritime")</f>
        <v>Seine-Maritime</v>
      </c>
      <c r="H1385" s="87" t="str">
        <f>HYPERLINK("http://api.nsgreg.nga.mil/geo-division/ISO3166-2/6/ed3/FR-76","FR-76")</f>
        <v>FR-76</v>
      </c>
    </row>
    <row r="1386" spans="1:8" x14ac:dyDescent="0.2">
      <c r="A1386" s="157"/>
      <c r="B1386" s="31" t="s">
        <v>6036</v>
      </c>
      <c r="C1386" s="31" t="s">
        <v>6037</v>
      </c>
      <c r="D1386" s="98" t="s">
        <v>5692</v>
      </c>
      <c r="E1386" s="99" t="b">
        <v>0</v>
      </c>
      <c r="F1386" s="106" t="s">
        <v>6038</v>
      </c>
      <c r="G1386" s="116" t="str">
        <f>HYPERLINK("http://nsgreg.nga.mil/genc/view?v=113293&amp;gencs=T&amp;end_month=3&amp;end_day=31&amp;end_year=2014","Seine-Saint-Denis")</f>
        <v>Seine-Saint-Denis</v>
      </c>
      <c r="H1386" s="87" t="str">
        <f>HYPERLINK("http://api.nsgreg.nga.mil/geo-division/ISO3166-2/6/ed3/FR-93","FR-93")</f>
        <v>FR-93</v>
      </c>
    </row>
    <row r="1387" spans="1:8" x14ac:dyDescent="0.2">
      <c r="A1387" s="157"/>
      <c r="B1387" s="31" t="s">
        <v>6039</v>
      </c>
      <c r="C1387" s="31" t="s">
        <v>6040</v>
      </c>
      <c r="D1387" s="98" t="s">
        <v>5692</v>
      </c>
      <c r="E1387" s="99" t="b">
        <v>0</v>
      </c>
      <c r="F1387" s="106" t="s">
        <v>6041</v>
      </c>
      <c r="G1387" s="116" t="str">
        <f>HYPERLINK("http://nsgreg.nga.mil/genc/view?v=113280&amp;gencs=T&amp;end_month=3&amp;end_day=31&amp;end_year=2014","Somme")</f>
        <v>Somme</v>
      </c>
      <c r="H1387" s="87" t="str">
        <f>HYPERLINK("http://api.nsgreg.nga.mil/geo-division/ISO3166-2/6/ed3/FR-80","FR-80")</f>
        <v>FR-80</v>
      </c>
    </row>
    <row r="1388" spans="1:8" x14ac:dyDescent="0.2">
      <c r="A1388" s="157"/>
      <c r="B1388" s="31" t="s">
        <v>6042</v>
      </c>
      <c r="C1388" s="31" t="s">
        <v>6043</v>
      </c>
      <c r="D1388" s="98" t="s">
        <v>5692</v>
      </c>
      <c r="E1388" s="99" t="b">
        <v>0</v>
      </c>
      <c r="F1388" s="106" t="s">
        <v>6044</v>
      </c>
      <c r="G1388" s="116" t="str">
        <f>HYPERLINK("http://nsgreg.nga.mil/genc/view?v=113281&amp;gencs=T&amp;end_month=3&amp;end_day=31&amp;end_year=2014","Tarn")</f>
        <v>Tarn</v>
      </c>
      <c r="H1388" s="87" t="str">
        <f>HYPERLINK("http://api.nsgreg.nga.mil/geo-division/ISO3166-2/6/ed3/FR-81","FR-81")</f>
        <v>FR-81</v>
      </c>
    </row>
    <row r="1389" spans="1:8" x14ac:dyDescent="0.2">
      <c r="A1389" s="157"/>
      <c r="B1389" s="31" t="s">
        <v>6045</v>
      </c>
      <c r="C1389" s="31" t="s">
        <v>6046</v>
      </c>
      <c r="D1389" s="98" t="s">
        <v>5692</v>
      </c>
      <c r="E1389" s="99" t="b">
        <v>0</v>
      </c>
      <c r="F1389" s="106" t="s">
        <v>6047</v>
      </c>
      <c r="G1389" s="116" t="str">
        <f>HYPERLINK("http://nsgreg.nga.mil/genc/view?v=113282&amp;gencs=T&amp;end_month=3&amp;end_day=31&amp;end_year=2014","Tarn-et-Garonne")</f>
        <v>Tarn-et-Garonne</v>
      </c>
      <c r="H1389" s="87" t="str">
        <f>HYPERLINK("http://api.nsgreg.nga.mil/geo-division/ISO3166-2/6/ed3/FR-82","FR-82")</f>
        <v>FR-82</v>
      </c>
    </row>
    <row r="1390" spans="1:8" x14ac:dyDescent="0.2">
      <c r="A1390" s="157"/>
      <c r="B1390" s="31" t="s">
        <v>6048</v>
      </c>
      <c r="C1390" s="31" t="s">
        <v>6049</v>
      </c>
      <c r="D1390" s="98" t="s">
        <v>5968</v>
      </c>
      <c r="E1390" s="99" t="b">
        <v>0</v>
      </c>
      <c r="F1390" s="107" t="s">
        <v>6050</v>
      </c>
      <c r="G1390" s="116" t="str">
        <f>HYPERLINK("http://nsgreg.nga.mil/genc/view?v=201176&amp;end_month=3&amp;end_day=31&amp;end_year=2014","Terres australes françaises")</f>
        <v>Terres australes françaises</v>
      </c>
      <c r="H1390" s="87" t="str">
        <f>HYPERLINK("http://api.nsgreg.nga.mil/geo-division/GENC/6/ed2/FR-TF","FR-TF")</f>
        <v>FR-TF</v>
      </c>
    </row>
    <row r="1391" spans="1:8" x14ac:dyDescent="0.2">
      <c r="A1391" s="157"/>
      <c r="B1391" s="31" t="s">
        <v>6051</v>
      </c>
      <c r="C1391" s="31" t="s">
        <v>6052</v>
      </c>
      <c r="D1391" s="98" t="s">
        <v>5692</v>
      </c>
      <c r="E1391" s="99" t="b">
        <v>0</v>
      </c>
      <c r="F1391" s="106" t="s">
        <v>6053</v>
      </c>
      <c r="G1391" s="116" t="str">
        <f>HYPERLINK("http://nsgreg.nga.mil/genc/view?v=113294&amp;gencs=T&amp;end_month=3&amp;end_day=31&amp;end_year=2014","Val-de-Marne")</f>
        <v>Val-de-Marne</v>
      </c>
      <c r="H1391" s="87" t="str">
        <f>HYPERLINK("http://api.nsgreg.nga.mil/geo-division/ISO3166-2/6/ed3/FR-94","FR-94")</f>
        <v>FR-94</v>
      </c>
    </row>
    <row r="1392" spans="1:8" x14ac:dyDescent="0.2">
      <c r="A1392" s="157"/>
      <c r="B1392" s="31" t="s">
        <v>6054</v>
      </c>
      <c r="C1392" s="31" t="s">
        <v>6055</v>
      </c>
      <c r="D1392" s="98" t="s">
        <v>5692</v>
      </c>
      <c r="E1392" s="99" t="b">
        <v>0</v>
      </c>
      <c r="F1392" s="107" t="s">
        <v>6056</v>
      </c>
      <c r="G1392" s="116" t="str">
        <f>HYPERLINK("http://nsgreg.nga.mil/genc/view?v=203395&amp;end_month=3&amp;end_day=31&amp;end_year=2014","Val-d’Oise")</f>
        <v>Val-d’Oise</v>
      </c>
      <c r="H1392" s="87" t="str">
        <f>HYPERLINK("http://api.nsgreg.nga.mil/geo-division/GENC/6/ed2/FR-95","FR-95")</f>
        <v>FR-95</v>
      </c>
    </row>
    <row r="1393" spans="1:8" x14ac:dyDescent="0.2">
      <c r="A1393" s="157"/>
      <c r="B1393" s="31" t="s">
        <v>6057</v>
      </c>
      <c r="C1393" s="31" t="s">
        <v>6058</v>
      </c>
      <c r="D1393" s="98" t="s">
        <v>5692</v>
      </c>
      <c r="E1393" s="99" t="b">
        <v>0</v>
      </c>
      <c r="F1393" s="106" t="s">
        <v>6059</v>
      </c>
      <c r="G1393" s="116" t="str">
        <f>HYPERLINK("http://nsgreg.nga.mil/genc/view?v=113283&amp;gencs=T&amp;end_month=3&amp;end_day=31&amp;end_year=2014","Var")</f>
        <v>Var</v>
      </c>
      <c r="H1393" s="87" t="str">
        <f>HYPERLINK("http://api.nsgreg.nga.mil/geo-division/ISO3166-2/6/ed3/FR-83","FR-83")</f>
        <v>FR-83</v>
      </c>
    </row>
    <row r="1394" spans="1:8" x14ac:dyDescent="0.2">
      <c r="A1394" s="157"/>
      <c r="B1394" s="31" t="s">
        <v>6060</v>
      </c>
      <c r="C1394" s="31" t="s">
        <v>6061</v>
      </c>
      <c r="D1394" s="98" t="s">
        <v>5692</v>
      </c>
      <c r="E1394" s="99" t="b">
        <v>0</v>
      </c>
      <c r="F1394" s="106" t="s">
        <v>6062</v>
      </c>
      <c r="G1394" s="116" t="str">
        <f>HYPERLINK("http://nsgreg.nga.mil/genc/view?v=113284&amp;gencs=T&amp;end_month=3&amp;end_day=31&amp;end_year=2014","Vaucluse")</f>
        <v>Vaucluse</v>
      </c>
      <c r="H1394" s="87" t="str">
        <f>HYPERLINK("http://api.nsgreg.nga.mil/geo-division/ISO3166-2/6/ed3/FR-84","FR-84")</f>
        <v>FR-84</v>
      </c>
    </row>
    <row r="1395" spans="1:8" x14ac:dyDescent="0.2">
      <c r="A1395" s="157"/>
      <c r="B1395" s="31" t="s">
        <v>6063</v>
      </c>
      <c r="C1395" s="31" t="s">
        <v>6064</v>
      </c>
      <c r="D1395" s="98" t="s">
        <v>5692</v>
      </c>
      <c r="E1395" s="99" t="b">
        <v>0</v>
      </c>
      <c r="F1395" s="106" t="s">
        <v>6065</v>
      </c>
      <c r="G1395" s="116" t="str">
        <f>HYPERLINK("http://nsgreg.nga.mil/genc/view?v=113285&amp;gencs=T&amp;end_month=3&amp;end_day=31&amp;end_year=2014","Vendée")</f>
        <v>Vendée</v>
      </c>
      <c r="H1395" s="87" t="str">
        <f>HYPERLINK("http://api.nsgreg.nga.mil/geo-division/ISO3166-2/6/ed3/FR-85","FR-85")</f>
        <v>FR-85</v>
      </c>
    </row>
    <row r="1396" spans="1:8" x14ac:dyDescent="0.2">
      <c r="A1396" s="157"/>
      <c r="B1396" s="31" t="s">
        <v>6066</v>
      </c>
      <c r="C1396" s="31" t="s">
        <v>6067</v>
      </c>
      <c r="D1396" s="98" t="s">
        <v>5692</v>
      </c>
      <c r="E1396" s="99" t="b">
        <v>0</v>
      </c>
      <c r="F1396" s="106" t="s">
        <v>6068</v>
      </c>
      <c r="G1396" s="116" t="str">
        <f>HYPERLINK("http://nsgreg.nga.mil/genc/view?v=113286&amp;gencs=T&amp;end_month=3&amp;end_day=31&amp;end_year=2014","Vienne")</f>
        <v>Vienne</v>
      </c>
      <c r="H1396" s="87" t="str">
        <f>HYPERLINK("http://api.nsgreg.nga.mil/geo-division/ISO3166-2/6/ed3/FR-86","FR-86")</f>
        <v>FR-86</v>
      </c>
    </row>
    <row r="1397" spans="1:8" x14ac:dyDescent="0.2">
      <c r="A1397" s="157"/>
      <c r="B1397" s="31" t="s">
        <v>6069</v>
      </c>
      <c r="C1397" s="31" t="s">
        <v>6070</v>
      </c>
      <c r="D1397" s="98" t="s">
        <v>5692</v>
      </c>
      <c r="E1397" s="99" t="b">
        <v>0</v>
      </c>
      <c r="F1397" s="106" t="s">
        <v>6071</v>
      </c>
      <c r="G1397" s="116" t="str">
        <f>HYPERLINK("http://nsgreg.nga.mil/genc/view?v=113288&amp;gencs=T&amp;end_month=3&amp;end_day=31&amp;end_year=2014","Vosges")</f>
        <v>Vosges</v>
      </c>
      <c r="H1397" s="87" t="str">
        <f>HYPERLINK("http://api.nsgreg.nga.mil/geo-division/ISO3166-2/6/ed3/FR-88","FR-88")</f>
        <v>FR-88</v>
      </c>
    </row>
    <row r="1398" spans="1:8" x14ac:dyDescent="0.2">
      <c r="A1398" s="157"/>
      <c r="B1398" s="31" t="s">
        <v>6072</v>
      </c>
      <c r="C1398" s="31" t="s">
        <v>6073</v>
      </c>
      <c r="D1398" s="98" t="s">
        <v>5968</v>
      </c>
      <c r="E1398" s="99" t="b">
        <v>0</v>
      </c>
      <c r="F1398" s="107" t="s">
        <v>6074</v>
      </c>
      <c r="G1398" s="116" t="str">
        <f>HYPERLINK("http://nsgreg.nga.mil/genc/view?v=201179&amp;end_month=3&amp;end_day=31&amp;end_year=2014","Wallis-et-Futuna")</f>
        <v>Wallis-et-Futuna</v>
      </c>
      <c r="H1398" s="87" t="str">
        <f>HYPERLINK("http://api.nsgreg.nga.mil/geo-division/GENC/6/ed2/FR-WF","FR-WF")</f>
        <v>FR-WF</v>
      </c>
    </row>
    <row r="1399" spans="1:8" x14ac:dyDescent="0.2">
      <c r="A1399" s="157"/>
      <c r="B1399" s="31" t="s">
        <v>6075</v>
      </c>
      <c r="C1399" s="31" t="s">
        <v>6076</v>
      </c>
      <c r="D1399" s="98" t="s">
        <v>5692</v>
      </c>
      <c r="E1399" s="99" t="b">
        <v>0</v>
      </c>
      <c r="F1399" s="106" t="s">
        <v>6077</v>
      </c>
      <c r="G1399" s="116" t="str">
        <f>HYPERLINK("http://nsgreg.nga.mil/genc/view?v=113289&amp;gencs=T&amp;end_month=3&amp;end_day=31&amp;end_year=2014","Yonne")</f>
        <v>Yonne</v>
      </c>
      <c r="H1399" s="87" t="str">
        <f>HYPERLINK("http://api.nsgreg.nga.mil/geo-division/ISO3166-2/6/ed3/FR-89","FR-89")</f>
        <v>FR-89</v>
      </c>
    </row>
    <row r="1400" spans="1:8" x14ac:dyDescent="0.2">
      <c r="A1400" s="158"/>
      <c r="B1400" s="58" t="s">
        <v>6078</v>
      </c>
      <c r="C1400" s="58" t="s">
        <v>6079</v>
      </c>
      <c r="D1400" s="100" t="s">
        <v>5692</v>
      </c>
      <c r="E1400" s="101" t="b">
        <v>0</v>
      </c>
      <c r="F1400" s="108" t="s">
        <v>6080</v>
      </c>
      <c r="G1400" s="117" t="str">
        <f>HYPERLINK("http://nsgreg.nga.mil/genc/view?v=113278&amp;gencs=T&amp;end_month=3&amp;end_day=31&amp;end_year=2014","Yvelines")</f>
        <v>Yvelines</v>
      </c>
      <c r="H1400" s="89" t="str">
        <f>HYPERLINK("http://api.nsgreg.nga.mil/geo-division/ISO3166-2/6/ed3/FR-78","FR-78")</f>
        <v>FR-78</v>
      </c>
    </row>
    <row r="1401" spans="1:8" x14ac:dyDescent="0.2">
      <c r="A1401" s="156" t="str">
        <f>HYPERLINK("[#]Geopolitical_Entities!A98:I98","GABON")</f>
        <v>GABON</v>
      </c>
      <c r="B1401" s="52" t="s">
        <v>6081</v>
      </c>
      <c r="C1401" s="52" t="s">
        <v>6082</v>
      </c>
      <c r="D1401" s="52" t="s">
        <v>1920</v>
      </c>
      <c r="E1401" s="60" t="b">
        <v>1</v>
      </c>
      <c r="F1401" s="109" t="s">
        <v>6083</v>
      </c>
      <c r="G1401" s="118" t="str">
        <f>HYPERLINK("http://nsgreg.nga.mil/genc/view?v=113331&amp;gencs=T&amp;end_month=3&amp;end_day=31&amp;end_year=2014","Estuaire")</f>
        <v>Estuaire</v>
      </c>
      <c r="H1401" s="91" t="str">
        <f>HYPERLINK("http://api.nsgreg.nga.mil/geo-division/ISO3166-2/6/ed3/GA-1","GA-1")</f>
        <v>GA-1</v>
      </c>
    </row>
    <row r="1402" spans="1:8" x14ac:dyDescent="0.2">
      <c r="A1402" s="157"/>
      <c r="B1402" s="31" t="s">
        <v>6084</v>
      </c>
      <c r="C1402" s="31" t="s">
        <v>6085</v>
      </c>
      <c r="D1402" s="31" t="s">
        <v>1920</v>
      </c>
      <c r="E1402" s="61" t="b">
        <v>1</v>
      </c>
      <c r="F1402" s="106" t="s">
        <v>6086</v>
      </c>
      <c r="G1402" s="116" t="str">
        <f>HYPERLINK("http://nsgreg.nga.mil/genc/view?v=113332&amp;gencs=T&amp;end_month=3&amp;end_day=31&amp;end_year=2014","Haut-Ogooué")</f>
        <v>Haut-Ogooué</v>
      </c>
      <c r="H1402" s="87" t="str">
        <f>HYPERLINK("http://api.nsgreg.nga.mil/geo-division/ISO3166-2/6/ed3/GA-2","GA-2")</f>
        <v>GA-2</v>
      </c>
    </row>
    <row r="1403" spans="1:8" x14ac:dyDescent="0.2">
      <c r="A1403" s="157"/>
      <c r="B1403" s="31" t="s">
        <v>6087</v>
      </c>
      <c r="C1403" s="31" t="s">
        <v>6088</v>
      </c>
      <c r="D1403" s="31" t="s">
        <v>1920</v>
      </c>
      <c r="E1403" s="61" t="b">
        <v>1</v>
      </c>
      <c r="F1403" s="106" t="s">
        <v>6089</v>
      </c>
      <c r="G1403" s="116" t="str">
        <f>HYPERLINK("http://nsgreg.nga.mil/genc/view?v=113333&amp;gencs=T&amp;end_month=3&amp;end_day=31&amp;end_year=2014","Moyen-Ogooué")</f>
        <v>Moyen-Ogooué</v>
      </c>
      <c r="H1403" s="87" t="str">
        <f>HYPERLINK("http://api.nsgreg.nga.mil/geo-division/ISO3166-2/6/ed3/GA-3","GA-3")</f>
        <v>GA-3</v>
      </c>
    </row>
    <row r="1404" spans="1:8" x14ac:dyDescent="0.2">
      <c r="A1404" s="157"/>
      <c r="B1404" s="31" t="s">
        <v>6090</v>
      </c>
      <c r="C1404" s="31" t="s">
        <v>6091</v>
      </c>
      <c r="D1404" s="31" t="s">
        <v>1920</v>
      </c>
      <c r="E1404" s="61" t="b">
        <v>1</v>
      </c>
      <c r="F1404" s="106" t="s">
        <v>6092</v>
      </c>
      <c r="G1404" s="116" t="str">
        <f>HYPERLINK("http://nsgreg.nga.mil/genc/view?v=113334&amp;gencs=T&amp;end_month=3&amp;end_day=31&amp;end_year=2014","Ngounié")</f>
        <v>Ngounié</v>
      </c>
      <c r="H1404" s="87" t="str">
        <f>HYPERLINK("http://api.nsgreg.nga.mil/geo-division/ISO3166-2/6/ed3/GA-4","GA-4")</f>
        <v>GA-4</v>
      </c>
    </row>
    <row r="1405" spans="1:8" x14ac:dyDescent="0.2">
      <c r="A1405" s="157"/>
      <c r="B1405" s="31" t="s">
        <v>6093</v>
      </c>
      <c r="C1405" s="31" t="s">
        <v>6094</v>
      </c>
      <c r="D1405" s="31" t="s">
        <v>1920</v>
      </c>
      <c r="E1405" s="61" t="b">
        <v>1</v>
      </c>
      <c r="F1405" s="106" t="s">
        <v>6095</v>
      </c>
      <c r="G1405" s="116" t="str">
        <f>HYPERLINK("http://nsgreg.nga.mil/genc/view?v=113335&amp;gencs=T&amp;end_month=3&amp;end_day=31&amp;end_year=2014","Nyanga")</f>
        <v>Nyanga</v>
      </c>
      <c r="H1405" s="87" t="str">
        <f>HYPERLINK("http://api.nsgreg.nga.mil/geo-division/ISO3166-2/6/ed3/GA-5","GA-5")</f>
        <v>GA-5</v>
      </c>
    </row>
    <row r="1406" spans="1:8" x14ac:dyDescent="0.2">
      <c r="A1406" s="157"/>
      <c r="B1406" s="31" t="s">
        <v>6096</v>
      </c>
      <c r="C1406" s="31" t="s">
        <v>6097</v>
      </c>
      <c r="D1406" s="31" t="s">
        <v>1920</v>
      </c>
      <c r="E1406" s="61" t="b">
        <v>1</v>
      </c>
      <c r="F1406" s="106" t="s">
        <v>6098</v>
      </c>
      <c r="G1406" s="116" t="str">
        <f>HYPERLINK("http://nsgreg.nga.mil/genc/view?v=113336&amp;gencs=T&amp;end_month=3&amp;end_day=31&amp;end_year=2014","Ogooué-Ivindo")</f>
        <v>Ogooué-Ivindo</v>
      </c>
      <c r="H1406" s="87" t="str">
        <f>HYPERLINK("http://api.nsgreg.nga.mil/geo-division/ISO3166-2/6/ed3/GA-6","GA-6")</f>
        <v>GA-6</v>
      </c>
    </row>
    <row r="1407" spans="1:8" x14ac:dyDescent="0.2">
      <c r="A1407" s="157"/>
      <c r="B1407" s="31" t="s">
        <v>6099</v>
      </c>
      <c r="C1407" s="31" t="s">
        <v>6100</v>
      </c>
      <c r="D1407" s="31" t="s">
        <v>1920</v>
      </c>
      <c r="E1407" s="61" t="b">
        <v>1</v>
      </c>
      <c r="F1407" s="106" t="s">
        <v>6101</v>
      </c>
      <c r="G1407" s="116" t="str">
        <f>HYPERLINK("http://nsgreg.nga.mil/genc/view?v=113337&amp;gencs=T&amp;end_month=3&amp;end_day=31&amp;end_year=2014","Ogooué-Lolo")</f>
        <v>Ogooué-Lolo</v>
      </c>
      <c r="H1407" s="87" t="str">
        <f>HYPERLINK("http://api.nsgreg.nga.mil/geo-division/ISO3166-2/6/ed3/GA-7","GA-7")</f>
        <v>GA-7</v>
      </c>
    </row>
    <row r="1408" spans="1:8" x14ac:dyDescent="0.2">
      <c r="A1408" s="157"/>
      <c r="B1408" s="31" t="s">
        <v>6102</v>
      </c>
      <c r="C1408" s="31" t="s">
        <v>6103</v>
      </c>
      <c r="D1408" s="31" t="s">
        <v>1920</v>
      </c>
      <c r="E1408" s="61" t="b">
        <v>1</v>
      </c>
      <c r="F1408" s="106" t="s">
        <v>6104</v>
      </c>
      <c r="G1408" s="116" t="str">
        <f>HYPERLINK("http://nsgreg.nga.mil/genc/view?v=113338&amp;gencs=T&amp;end_month=3&amp;end_day=31&amp;end_year=2014","Ogooué-Maritime")</f>
        <v>Ogooué-Maritime</v>
      </c>
      <c r="H1408" s="87" t="str">
        <f>HYPERLINK("http://api.nsgreg.nga.mil/geo-division/ISO3166-2/6/ed3/GA-8","GA-8")</f>
        <v>GA-8</v>
      </c>
    </row>
    <row r="1409" spans="1:8" x14ac:dyDescent="0.2">
      <c r="A1409" s="158"/>
      <c r="B1409" s="58" t="s">
        <v>6105</v>
      </c>
      <c r="C1409" s="58" t="s">
        <v>6106</v>
      </c>
      <c r="D1409" s="58" t="s">
        <v>1920</v>
      </c>
      <c r="E1409" s="62" t="b">
        <v>1</v>
      </c>
      <c r="F1409" s="108" t="s">
        <v>6107</v>
      </c>
      <c r="G1409" s="117" t="str">
        <f>HYPERLINK("http://nsgreg.nga.mil/genc/view?v=113339&amp;gencs=T&amp;end_month=3&amp;end_day=31&amp;end_year=2014","Woleu-Ntem")</f>
        <v>Woleu-Ntem</v>
      </c>
      <c r="H1409" s="89" t="str">
        <f>HYPERLINK("http://api.nsgreg.nga.mil/geo-division/ISO3166-2/6/ed3/GA-9","GA-9")</f>
        <v>GA-9</v>
      </c>
    </row>
    <row r="1410" spans="1:8" x14ac:dyDescent="0.2">
      <c r="A1410" s="156" t="str">
        <f>HYPERLINK("[#]Geopolitical_Entities!A99:I99","GAMBIA, THE")</f>
        <v>GAMBIA, THE</v>
      </c>
      <c r="B1410" s="52" t="s">
        <v>6108</v>
      </c>
      <c r="C1410" s="52" t="s">
        <v>6109</v>
      </c>
      <c r="D1410" s="52" t="s">
        <v>2405</v>
      </c>
      <c r="E1410" s="60" t="b">
        <v>1</v>
      </c>
      <c r="F1410" s="109" t="s">
        <v>6110</v>
      </c>
      <c r="G1410" s="118" t="str">
        <f>HYPERLINK("http://nsgreg.nga.mil/genc/view?v=113608&amp;gencs=T&amp;end_month=3&amp;end_day=31&amp;end_year=2014","Banjul")</f>
        <v>Banjul</v>
      </c>
      <c r="H1410" s="91" t="str">
        <f>HYPERLINK("http://api.nsgreg.nga.mil/geo-division/ISO3166-2/6/ed3/GM-B","GM-B")</f>
        <v>GM-B</v>
      </c>
    </row>
    <row r="1411" spans="1:8" x14ac:dyDescent="0.2">
      <c r="A1411" s="157"/>
      <c r="B1411" s="31" t="s">
        <v>6111</v>
      </c>
      <c r="C1411" s="31" t="s">
        <v>6112</v>
      </c>
      <c r="D1411" s="31" t="s">
        <v>2912</v>
      </c>
      <c r="E1411" s="61" t="b">
        <v>1</v>
      </c>
      <c r="F1411" s="106" t="s">
        <v>6113</v>
      </c>
      <c r="G1411" s="116" t="str">
        <f>HYPERLINK("http://nsgreg.nga.mil/genc/view?v=113610&amp;gencs=T&amp;end_month=3&amp;end_day=31&amp;end_year=2014","Central River")</f>
        <v>Central River</v>
      </c>
      <c r="H1411" s="87" t="str">
        <f>HYPERLINK("http://api.nsgreg.nga.mil/geo-division/ISO3166-2/6/ed3/GM-M","GM-M")</f>
        <v>GM-M</v>
      </c>
    </row>
    <row r="1412" spans="1:8" x14ac:dyDescent="0.2">
      <c r="A1412" s="157"/>
      <c r="B1412" s="31" t="s">
        <v>6114</v>
      </c>
      <c r="C1412" s="31" t="s">
        <v>6115</v>
      </c>
      <c r="D1412" s="31" t="s">
        <v>2912</v>
      </c>
      <c r="E1412" s="61" t="b">
        <v>1</v>
      </c>
      <c r="F1412" s="106" t="s">
        <v>6116</v>
      </c>
      <c r="G1412" s="116" t="str">
        <f>HYPERLINK("http://nsgreg.nga.mil/genc/view?v=113609&amp;gencs=T&amp;end_month=3&amp;end_day=31&amp;end_year=2014","Lower River")</f>
        <v>Lower River</v>
      </c>
      <c r="H1412" s="87" t="str">
        <f>HYPERLINK("http://api.nsgreg.nga.mil/geo-division/ISO3166-2/6/ed3/GM-L","GM-L")</f>
        <v>GM-L</v>
      </c>
    </row>
    <row r="1413" spans="1:8" x14ac:dyDescent="0.2">
      <c r="A1413" s="157"/>
      <c r="B1413" s="31" t="s">
        <v>6117</v>
      </c>
      <c r="C1413" s="31" t="s">
        <v>6118</v>
      </c>
      <c r="D1413" s="31" t="s">
        <v>2912</v>
      </c>
      <c r="E1413" s="61" t="b">
        <v>1</v>
      </c>
      <c r="F1413" s="106" t="s">
        <v>6119</v>
      </c>
      <c r="G1413" s="116" t="str">
        <f>HYPERLINK("http://nsgreg.nga.mil/genc/view?v=113611&amp;gencs=T&amp;end_month=3&amp;end_day=31&amp;end_year=2014","North Bank")</f>
        <v>North Bank</v>
      </c>
      <c r="H1413" s="87" t="str">
        <f>HYPERLINK("http://api.nsgreg.nga.mil/geo-division/ISO3166-2/6/ed3/GM-N","GM-N")</f>
        <v>GM-N</v>
      </c>
    </row>
    <row r="1414" spans="1:8" x14ac:dyDescent="0.2">
      <c r="A1414" s="157"/>
      <c r="B1414" s="31" t="s">
        <v>6120</v>
      </c>
      <c r="C1414" s="31" t="s">
        <v>6121</v>
      </c>
      <c r="D1414" s="31" t="s">
        <v>2912</v>
      </c>
      <c r="E1414" s="61" t="b">
        <v>1</v>
      </c>
      <c r="F1414" s="106" t="s">
        <v>6122</v>
      </c>
      <c r="G1414" s="116" t="str">
        <f>HYPERLINK("http://nsgreg.nga.mil/genc/view?v=113612&amp;gencs=T&amp;end_month=3&amp;end_day=31&amp;end_year=2014","Upper River")</f>
        <v>Upper River</v>
      </c>
      <c r="H1414" s="87" t="str">
        <f>HYPERLINK("http://api.nsgreg.nga.mil/geo-division/ISO3166-2/6/ed3/GM-U","GM-U")</f>
        <v>GM-U</v>
      </c>
    </row>
    <row r="1415" spans="1:8" x14ac:dyDescent="0.2">
      <c r="A1415" s="158"/>
      <c r="B1415" s="58" t="s">
        <v>6123</v>
      </c>
      <c r="C1415" s="58" t="s">
        <v>5631</v>
      </c>
      <c r="D1415" s="58" t="s">
        <v>2912</v>
      </c>
      <c r="E1415" s="62" t="b">
        <v>1</v>
      </c>
      <c r="F1415" s="108" t="s">
        <v>6124</v>
      </c>
      <c r="G1415" s="117" t="str">
        <f>HYPERLINK("http://nsgreg.nga.mil/genc/view?v=113613&amp;gencs=T&amp;end_month=3&amp;end_day=31&amp;end_year=2014","Western")</f>
        <v>Western</v>
      </c>
      <c r="H1415" s="89" t="str">
        <f>HYPERLINK("http://api.nsgreg.nga.mil/geo-division/ISO3166-2/6/ed3/GM-W","GM-W")</f>
        <v>GM-W</v>
      </c>
    </row>
    <row r="1416" spans="1:8" x14ac:dyDescent="0.2">
      <c r="A1416" s="156" t="str">
        <f>HYPERLINK("[#]Geopolitical_Entities!A101:I101","GEORGIA")</f>
        <v>GEORGIA</v>
      </c>
      <c r="B1416" s="52" t="s">
        <v>6125</v>
      </c>
      <c r="C1416" s="52" t="s">
        <v>6126</v>
      </c>
      <c r="D1416" s="52" t="s">
        <v>2668</v>
      </c>
      <c r="E1416" s="60" t="b">
        <v>1</v>
      </c>
      <c r="F1416" s="110" t="s">
        <v>6127</v>
      </c>
      <c r="G1416" s="118" t="str">
        <f>HYPERLINK("http://nsgreg.nga.mil/genc/view?v=201313&amp;end_month=3&amp;end_day=31&amp;end_year=2014","Abkhazia")</f>
        <v>Abkhazia</v>
      </c>
      <c r="H1416" s="91" t="str">
        <f>HYPERLINK("http://api.nsgreg.nga.mil/geo-division/GENC/6/ed2/GE-AB","GE-AB")</f>
        <v>GE-AB</v>
      </c>
    </row>
    <row r="1417" spans="1:8" x14ac:dyDescent="0.2">
      <c r="A1417" s="157"/>
      <c r="B1417" s="31" t="s">
        <v>6128</v>
      </c>
      <c r="C1417" s="31" t="s">
        <v>6129</v>
      </c>
      <c r="D1417" s="31" t="s">
        <v>2668</v>
      </c>
      <c r="E1417" s="61" t="b">
        <v>1</v>
      </c>
      <c r="F1417" s="107" t="s">
        <v>6130</v>
      </c>
      <c r="G1417" s="116" t="str">
        <f>HYPERLINK("http://nsgreg.nga.mil/genc/view?v=201314&amp;end_month=3&amp;end_day=31&amp;end_year=2014","Ajaria")</f>
        <v>Ajaria</v>
      </c>
      <c r="H1417" s="87" t="str">
        <f>HYPERLINK("http://api.nsgreg.nga.mil/geo-division/GENC/6/ed2/GE-AJ","GE-AJ")</f>
        <v>GE-AJ</v>
      </c>
    </row>
    <row r="1418" spans="1:8" x14ac:dyDescent="0.2">
      <c r="A1418" s="157"/>
      <c r="B1418" s="31" t="s">
        <v>6131</v>
      </c>
      <c r="C1418" s="31" t="s">
        <v>6132</v>
      </c>
      <c r="D1418" s="31" t="s">
        <v>3137</v>
      </c>
      <c r="E1418" s="61" t="b">
        <v>1</v>
      </c>
      <c r="F1418" s="106" t="s">
        <v>6133</v>
      </c>
      <c r="G1418" s="116" t="str">
        <f>HYPERLINK("http://nsgreg.nga.mil/genc/view?v=113584&amp;gencs=T&amp;end_month=3&amp;end_day=31&amp;end_year=2014","Guria")</f>
        <v>Guria</v>
      </c>
      <c r="H1418" s="87" t="str">
        <f>HYPERLINK("http://api.nsgreg.nga.mil/geo-division/ISO3166-2/6/ed3/GE-GU","GE-GU")</f>
        <v>GE-GU</v>
      </c>
    </row>
    <row r="1419" spans="1:8" x14ac:dyDescent="0.2">
      <c r="A1419" s="157"/>
      <c r="B1419" s="31" t="s">
        <v>6134</v>
      </c>
      <c r="C1419" s="31" t="s">
        <v>6135</v>
      </c>
      <c r="D1419" s="31" t="s">
        <v>3137</v>
      </c>
      <c r="E1419" s="61" t="b">
        <v>1</v>
      </c>
      <c r="F1419" s="106" t="s">
        <v>6136</v>
      </c>
      <c r="G1419" s="116" t="str">
        <f>HYPERLINK("http://nsgreg.nga.mil/genc/view?v=113585&amp;gencs=T&amp;end_month=3&amp;end_day=31&amp;end_year=2014","Imereti")</f>
        <v>Imereti</v>
      </c>
      <c r="H1419" s="87" t="str">
        <f>HYPERLINK("http://api.nsgreg.nga.mil/geo-division/ISO3166-2/6/ed3/GE-IM","GE-IM")</f>
        <v>GE-IM</v>
      </c>
    </row>
    <row r="1420" spans="1:8" x14ac:dyDescent="0.2">
      <c r="A1420" s="157"/>
      <c r="B1420" s="31" t="s">
        <v>6137</v>
      </c>
      <c r="C1420" s="31" t="s">
        <v>6138</v>
      </c>
      <c r="D1420" s="31" t="s">
        <v>3137</v>
      </c>
      <c r="E1420" s="61" t="b">
        <v>1</v>
      </c>
      <c r="F1420" s="107" t="s">
        <v>6139</v>
      </c>
      <c r="G1420" s="116" t="str">
        <f>HYPERLINK("http://nsgreg.nga.mil/genc/view?v=204502&amp;end_month=3&amp;end_day=31&amp;end_year=2014","K’akheti")</f>
        <v>K’akheti</v>
      </c>
      <c r="H1420" s="87" t="str">
        <f>HYPERLINK("http://api.nsgreg.nga.mil/geo-division/GENC/6/ed2/GE-KA","GE-KA")</f>
        <v>GE-KA</v>
      </c>
    </row>
    <row r="1421" spans="1:8" x14ac:dyDescent="0.2">
      <c r="A1421" s="157"/>
      <c r="B1421" s="31" t="s">
        <v>6140</v>
      </c>
      <c r="C1421" s="31" t="s">
        <v>6141</v>
      </c>
      <c r="D1421" s="31" t="s">
        <v>3137</v>
      </c>
      <c r="E1421" s="61" t="b">
        <v>1</v>
      </c>
      <c r="F1421" s="106" t="s">
        <v>6142</v>
      </c>
      <c r="G1421" s="116" t="str">
        <f>HYPERLINK("http://nsgreg.nga.mil/genc/view?v=113587&amp;gencs=T&amp;end_month=3&amp;end_day=31&amp;end_year=2014","Kvemo Kartli")</f>
        <v>Kvemo Kartli</v>
      </c>
      <c r="H1421" s="87" t="str">
        <f>HYPERLINK("http://api.nsgreg.nga.mil/geo-division/ISO3166-2/6/ed3/GE-KK","GE-KK")</f>
        <v>GE-KK</v>
      </c>
    </row>
    <row r="1422" spans="1:8" x14ac:dyDescent="0.2">
      <c r="A1422" s="157"/>
      <c r="B1422" s="31" t="s">
        <v>6143</v>
      </c>
      <c r="C1422" s="31" t="s">
        <v>6144</v>
      </c>
      <c r="D1422" s="31" t="s">
        <v>3137</v>
      </c>
      <c r="E1422" s="61" t="b">
        <v>1</v>
      </c>
      <c r="F1422" s="107" t="s">
        <v>6145</v>
      </c>
      <c r="G1422" s="116" t="str">
        <f>HYPERLINK("http://nsgreg.nga.mil/genc/view?v=204514&amp;end_month=3&amp;end_day=31&amp;end_year=2014","Mtskheta Mtianeti")</f>
        <v>Mtskheta Mtianeti</v>
      </c>
      <c r="H1422" s="87" t="str">
        <f>HYPERLINK("http://api.nsgreg.nga.mil/geo-division/GENC/6/ed2/GE-MM","GE-MM")</f>
        <v>GE-MM</v>
      </c>
    </row>
    <row r="1423" spans="1:8" x14ac:dyDescent="0.2">
      <c r="A1423" s="157"/>
      <c r="B1423" s="31" t="s">
        <v>6146</v>
      </c>
      <c r="C1423" s="31" t="s">
        <v>6147</v>
      </c>
      <c r="D1423" s="31" t="s">
        <v>3137</v>
      </c>
      <c r="E1423" s="61" t="b">
        <v>1</v>
      </c>
      <c r="F1423" s="107" t="s">
        <v>6148</v>
      </c>
      <c r="G1423" s="116" t="str">
        <f>HYPERLINK("http://nsgreg.nga.mil/genc/view?v=204503&amp;end_month=3&amp;end_day=31&amp;end_year=2014","Rach’a-Lechkhumi da Kvemo Svaneti")</f>
        <v>Rach’a-Lechkhumi da Kvemo Svaneti</v>
      </c>
      <c r="H1423" s="87" t="str">
        <f>HYPERLINK("http://api.nsgreg.nga.mil/geo-division/GENC/6/ed2/GE-RL","GE-RL")</f>
        <v>GE-RL</v>
      </c>
    </row>
    <row r="1424" spans="1:8" x14ac:dyDescent="0.2">
      <c r="A1424" s="157"/>
      <c r="B1424" s="31" t="s">
        <v>6149</v>
      </c>
      <c r="C1424" s="31" t="s">
        <v>6150</v>
      </c>
      <c r="D1424" s="31" t="s">
        <v>3137</v>
      </c>
      <c r="E1424" s="61" t="b">
        <v>1</v>
      </c>
      <c r="F1424" s="106" t="s">
        <v>6151</v>
      </c>
      <c r="G1424" s="116" t="str">
        <f>HYPERLINK("http://nsgreg.nga.mil/genc/view?v=113592&amp;gencs=T&amp;end_month=3&amp;end_day=31&amp;end_year=2014","Samegrelo-Zemo Svaneti")</f>
        <v>Samegrelo-Zemo Svaneti</v>
      </c>
      <c r="H1424" s="87" t="str">
        <f>HYPERLINK("http://api.nsgreg.nga.mil/geo-division/ISO3166-2/6/ed3/GE-SZ","GE-SZ")</f>
        <v>GE-SZ</v>
      </c>
    </row>
    <row r="1425" spans="1:8" x14ac:dyDescent="0.2">
      <c r="A1425" s="157"/>
      <c r="B1425" s="31" t="s">
        <v>6152</v>
      </c>
      <c r="C1425" s="31" t="s">
        <v>6153</v>
      </c>
      <c r="D1425" s="31" t="s">
        <v>3137</v>
      </c>
      <c r="E1425" s="61" t="b">
        <v>1</v>
      </c>
      <c r="F1425" s="106" t="s">
        <v>6154</v>
      </c>
      <c r="G1425" s="116" t="str">
        <f>HYPERLINK("http://nsgreg.nga.mil/genc/view?v=113590&amp;gencs=T&amp;end_month=3&amp;end_day=31&amp;end_year=2014","Samtskhe-Javakheti")</f>
        <v>Samtskhe-Javakheti</v>
      </c>
      <c r="H1425" s="87" t="str">
        <f>HYPERLINK("http://api.nsgreg.nga.mil/geo-division/ISO3166-2/6/ed3/GE-SJ","GE-SJ")</f>
        <v>GE-SJ</v>
      </c>
    </row>
    <row r="1426" spans="1:8" x14ac:dyDescent="0.2">
      <c r="A1426" s="157"/>
      <c r="B1426" s="31" t="s">
        <v>6155</v>
      </c>
      <c r="C1426" s="31" t="s">
        <v>6156</v>
      </c>
      <c r="D1426" s="31" t="s">
        <v>3137</v>
      </c>
      <c r="E1426" s="61" t="b">
        <v>1</v>
      </c>
      <c r="F1426" s="106" t="s">
        <v>6157</v>
      </c>
      <c r="G1426" s="116" t="str">
        <f>HYPERLINK("http://nsgreg.nga.mil/genc/view?v=113591&amp;gencs=T&amp;end_month=3&amp;end_day=31&amp;end_year=2014","Shida Kartli")</f>
        <v>Shida Kartli</v>
      </c>
      <c r="H1426" s="87" t="str">
        <f>HYPERLINK("http://api.nsgreg.nga.mil/geo-division/ISO3166-2/6/ed3/GE-SK","GE-SK")</f>
        <v>GE-SK</v>
      </c>
    </row>
    <row r="1427" spans="1:8" x14ac:dyDescent="0.2">
      <c r="A1427" s="158"/>
      <c r="B1427" s="58" t="s">
        <v>6158</v>
      </c>
      <c r="C1427" s="58" t="s">
        <v>6159</v>
      </c>
      <c r="D1427" s="58" t="s">
        <v>3137</v>
      </c>
      <c r="E1427" s="62" t="b">
        <v>1</v>
      </c>
      <c r="F1427" s="111" t="s">
        <v>6160</v>
      </c>
      <c r="G1427" s="117" t="str">
        <f>HYPERLINK("http://nsgreg.nga.mil/genc/view?v=201323&amp;end_month=3&amp;end_day=31&amp;end_year=2014","Tbilisi")</f>
        <v>Tbilisi</v>
      </c>
      <c r="H1427" s="89" t="str">
        <f>HYPERLINK("http://api.nsgreg.nga.mil/geo-division/GENC/6/ed2/GE-TB","GE-TB")</f>
        <v>GE-TB</v>
      </c>
    </row>
    <row r="1428" spans="1:8" x14ac:dyDescent="0.2">
      <c r="A1428" s="156" t="str">
        <f>HYPERLINK("[#]Geopolitical_Entities!A102:I102","GERMANY")</f>
        <v>GERMANY</v>
      </c>
      <c r="B1428" s="52" t="s">
        <v>6161</v>
      </c>
      <c r="C1428" s="52" t="s">
        <v>6162</v>
      </c>
      <c r="D1428" s="52" t="s">
        <v>2512</v>
      </c>
      <c r="E1428" s="60" t="b">
        <v>1</v>
      </c>
      <c r="F1428" s="110" t="s">
        <v>6163</v>
      </c>
      <c r="G1428" s="118" t="str">
        <f>HYPERLINK("http://nsgreg.nga.mil/genc/view?v=203443&amp;end_month=3&amp;end_day=31&amp;end_year=2014","Baden-Württemberg")</f>
        <v>Baden-Württemberg</v>
      </c>
      <c r="H1428" s="91" t="str">
        <f>HYPERLINK("http://api.nsgreg.nga.mil/geo-division/GENC/6/ed2/DE-BW","DE-BW")</f>
        <v>DE-BW</v>
      </c>
    </row>
    <row r="1429" spans="1:8" x14ac:dyDescent="0.2">
      <c r="A1429" s="157"/>
      <c r="B1429" s="31" t="s">
        <v>6164</v>
      </c>
      <c r="C1429" s="31" t="s">
        <v>6165</v>
      </c>
      <c r="D1429" s="31" t="s">
        <v>2512</v>
      </c>
      <c r="E1429" s="61" t="b">
        <v>1</v>
      </c>
      <c r="F1429" s="107" t="s">
        <v>6166</v>
      </c>
      <c r="G1429" s="116" t="str">
        <f>HYPERLINK("http://nsgreg.nga.mil/genc/view?v=203444&amp;end_month=3&amp;end_day=31&amp;end_year=2014","Bayern")</f>
        <v>Bayern</v>
      </c>
      <c r="H1429" s="87" t="str">
        <f>HYPERLINK("http://api.nsgreg.nga.mil/geo-division/GENC/6/ed2/DE-BY","DE-BY")</f>
        <v>DE-BY</v>
      </c>
    </row>
    <row r="1430" spans="1:8" x14ac:dyDescent="0.2">
      <c r="A1430" s="157"/>
      <c r="B1430" s="31" t="s">
        <v>6167</v>
      </c>
      <c r="C1430" s="31" t="s">
        <v>6168</v>
      </c>
      <c r="D1430" s="31" t="s">
        <v>2512</v>
      </c>
      <c r="E1430" s="61" t="b">
        <v>1</v>
      </c>
      <c r="F1430" s="107" t="s">
        <v>6169</v>
      </c>
      <c r="G1430" s="116" t="str">
        <f>HYPERLINK("http://nsgreg.nga.mil/genc/view?v=203442&amp;end_month=3&amp;end_day=31&amp;end_year=2014","Berlin")</f>
        <v>Berlin</v>
      </c>
      <c r="H1430" s="87" t="str">
        <f>HYPERLINK("http://api.nsgreg.nga.mil/geo-division/GENC/6/ed2/DE-BE","DE-BE")</f>
        <v>DE-BE</v>
      </c>
    </row>
    <row r="1431" spans="1:8" x14ac:dyDescent="0.2">
      <c r="A1431" s="157"/>
      <c r="B1431" s="31" t="s">
        <v>6170</v>
      </c>
      <c r="C1431" s="31" t="s">
        <v>6171</v>
      </c>
      <c r="D1431" s="31" t="s">
        <v>2512</v>
      </c>
      <c r="E1431" s="61" t="b">
        <v>1</v>
      </c>
      <c r="F1431" s="107" t="s">
        <v>6172</v>
      </c>
      <c r="G1431" s="116" t="str">
        <f>HYPERLINK("http://nsgreg.nga.mil/genc/view?v=203441&amp;end_month=3&amp;end_day=31&amp;end_year=2014","Brandenburg")</f>
        <v>Brandenburg</v>
      </c>
      <c r="H1431" s="87" t="str">
        <f>HYPERLINK("http://api.nsgreg.nga.mil/geo-division/GENC/6/ed2/DE-BB","DE-BB")</f>
        <v>DE-BB</v>
      </c>
    </row>
    <row r="1432" spans="1:8" x14ac:dyDescent="0.2">
      <c r="A1432" s="157"/>
      <c r="B1432" s="31" t="s">
        <v>6173</v>
      </c>
      <c r="C1432" s="31" t="s">
        <v>6174</v>
      </c>
      <c r="D1432" s="31" t="s">
        <v>2512</v>
      </c>
      <c r="E1432" s="61" t="b">
        <v>1</v>
      </c>
      <c r="F1432" s="107" t="s">
        <v>6175</v>
      </c>
      <c r="G1432" s="116" t="str">
        <f>HYPERLINK("http://nsgreg.nga.mil/genc/view?v=203445&amp;end_month=3&amp;end_day=31&amp;end_year=2014","Bremen")</f>
        <v>Bremen</v>
      </c>
      <c r="H1432" s="87" t="str">
        <f>HYPERLINK("http://api.nsgreg.nga.mil/geo-division/GENC/6/ed2/DE-HB","DE-HB")</f>
        <v>DE-HB</v>
      </c>
    </row>
    <row r="1433" spans="1:8" x14ac:dyDescent="0.2">
      <c r="A1433" s="157"/>
      <c r="B1433" s="31" t="s">
        <v>6176</v>
      </c>
      <c r="C1433" s="31" t="s">
        <v>6177</v>
      </c>
      <c r="D1433" s="31" t="s">
        <v>2512</v>
      </c>
      <c r="E1433" s="61" t="b">
        <v>1</v>
      </c>
      <c r="F1433" s="107" t="s">
        <v>6178</v>
      </c>
      <c r="G1433" s="116" t="str">
        <f>HYPERLINK("http://nsgreg.nga.mil/genc/view?v=203447&amp;end_month=3&amp;end_day=31&amp;end_year=2014","Hamburg")</f>
        <v>Hamburg</v>
      </c>
      <c r="H1433" s="87" t="str">
        <f>HYPERLINK("http://api.nsgreg.nga.mil/geo-division/GENC/6/ed2/DE-HH","DE-HH")</f>
        <v>DE-HH</v>
      </c>
    </row>
    <row r="1434" spans="1:8" x14ac:dyDescent="0.2">
      <c r="A1434" s="157"/>
      <c r="B1434" s="31" t="s">
        <v>6179</v>
      </c>
      <c r="C1434" s="31" t="s">
        <v>6180</v>
      </c>
      <c r="D1434" s="31" t="s">
        <v>2512</v>
      </c>
      <c r="E1434" s="61" t="b">
        <v>1</v>
      </c>
      <c r="F1434" s="107" t="s">
        <v>6181</v>
      </c>
      <c r="G1434" s="116" t="str">
        <f>HYPERLINK("http://nsgreg.nga.mil/genc/view?v=203446&amp;end_month=3&amp;end_day=31&amp;end_year=2014","Hessen")</f>
        <v>Hessen</v>
      </c>
      <c r="H1434" s="87" t="str">
        <f>HYPERLINK("http://api.nsgreg.nga.mil/geo-division/GENC/6/ed2/DE-HE","DE-HE")</f>
        <v>DE-HE</v>
      </c>
    </row>
    <row r="1435" spans="1:8" x14ac:dyDescent="0.2">
      <c r="A1435" s="157"/>
      <c r="B1435" s="31" t="s">
        <v>6182</v>
      </c>
      <c r="C1435" s="31" t="s">
        <v>6183</v>
      </c>
      <c r="D1435" s="31" t="s">
        <v>2512</v>
      </c>
      <c r="E1435" s="61" t="b">
        <v>1</v>
      </c>
      <c r="F1435" s="107" t="s">
        <v>6184</v>
      </c>
      <c r="G1435" s="116" t="str">
        <f>HYPERLINK("http://nsgreg.nga.mil/genc/view?v=203448&amp;end_month=3&amp;end_day=31&amp;end_year=2014","Mecklenburg-Vorpommern")</f>
        <v>Mecklenburg-Vorpommern</v>
      </c>
      <c r="H1435" s="87" t="str">
        <f>HYPERLINK("http://api.nsgreg.nga.mil/geo-division/GENC/6/ed2/DE-MV","DE-MV")</f>
        <v>DE-MV</v>
      </c>
    </row>
    <row r="1436" spans="1:8" x14ac:dyDescent="0.2">
      <c r="A1436" s="157"/>
      <c r="B1436" s="31" t="s">
        <v>6185</v>
      </c>
      <c r="C1436" s="31" t="s">
        <v>6186</v>
      </c>
      <c r="D1436" s="31" t="s">
        <v>2512</v>
      </c>
      <c r="E1436" s="61" t="b">
        <v>1</v>
      </c>
      <c r="F1436" s="107" t="s">
        <v>6187</v>
      </c>
      <c r="G1436" s="116" t="str">
        <f>HYPERLINK("http://nsgreg.nga.mil/genc/view?v=203449&amp;end_month=3&amp;end_day=31&amp;end_year=2014","Niedersachsen")</f>
        <v>Niedersachsen</v>
      </c>
      <c r="H1436" s="87" t="str">
        <f>HYPERLINK("http://api.nsgreg.nga.mil/geo-division/GENC/6/ed2/DE-NI","DE-NI")</f>
        <v>DE-NI</v>
      </c>
    </row>
    <row r="1437" spans="1:8" x14ac:dyDescent="0.2">
      <c r="A1437" s="157"/>
      <c r="B1437" s="31" t="s">
        <v>6188</v>
      </c>
      <c r="C1437" s="31" t="s">
        <v>6189</v>
      </c>
      <c r="D1437" s="31" t="s">
        <v>2512</v>
      </c>
      <c r="E1437" s="61" t="b">
        <v>1</v>
      </c>
      <c r="F1437" s="107" t="s">
        <v>6190</v>
      </c>
      <c r="G1437" s="116" t="str">
        <f>HYPERLINK("http://nsgreg.nga.mil/genc/view?v=203450&amp;end_month=3&amp;end_day=31&amp;end_year=2014","Nordrhein-Westfalen")</f>
        <v>Nordrhein-Westfalen</v>
      </c>
      <c r="H1437" s="87" t="str">
        <f>HYPERLINK("http://api.nsgreg.nga.mil/geo-division/GENC/6/ed2/DE-NW","DE-NW")</f>
        <v>DE-NW</v>
      </c>
    </row>
    <row r="1438" spans="1:8" x14ac:dyDescent="0.2">
      <c r="A1438" s="157"/>
      <c r="B1438" s="31" t="s">
        <v>6191</v>
      </c>
      <c r="C1438" s="31" t="s">
        <v>6192</v>
      </c>
      <c r="D1438" s="31" t="s">
        <v>2512</v>
      </c>
      <c r="E1438" s="61" t="b">
        <v>1</v>
      </c>
      <c r="F1438" s="107" t="s">
        <v>6193</v>
      </c>
      <c r="G1438" s="116" t="str">
        <f>HYPERLINK("http://nsgreg.nga.mil/genc/view?v=203451&amp;end_month=3&amp;end_day=31&amp;end_year=2014","Rheinland-Pfalz")</f>
        <v>Rheinland-Pfalz</v>
      </c>
      <c r="H1438" s="87" t="str">
        <f>HYPERLINK("http://api.nsgreg.nga.mil/geo-division/GENC/6/ed2/DE-RP","DE-RP")</f>
        <v>DE-RP</v>
      </c>
    </row>
    <row r="1439" spans="1:8" x14ac:dyDescent="0.2">
      <c r="A1439" s="157"/>
      <c r="B1439" s="31" t="s">
        <v>6194</v>
      </c>
      <c r="C1439" s="31" t="s">
        <v>6195</v>
      </c>
      <c r="D1439" s="31" t="s">
        <v>2512</v>
      </c>
      <c r="E1439" s="61" t="b">
        <v>1</v>
      </c>
      <c r="F1439" s="107" t="s">
        <v>6196</v>
      </c>
      <c r="G1439" s="116" t="str">
        <f>HYPERLINK("http://nsgreg.nga.mil/genc/view?v=203453&amp;end_month=3&amp;end_day=31&amp;end_year=2014","Saarland")</f>
        <v>Saarland</v>
      </c>
      <c r="H1439" s="87" t="str">
        <f>HYPERLINK("http://api.nsgreg.nga.mil/geo-division/GENC/6/ed2/DE-SL","DE-SL")</f>
        <v>DE-SL</v>
      </c>
    </row>
    <row r="1440" spans="1:8" x14ac:dyDescent="0.2">
      <c r="A1440" s="157"/>
      <c r="B1440" s="31" t="s">
        <v>6197</v>
      </c>
      <c r="C1440" s="31" t="s">
        <v>6198</v>
      </c>
      <c r="D1440" s="31" t="s">
        <v>2512</v>
      </c>
      <c r="E1440" s="61" t="b">
        <v>1</v>
      </c>
      <c r="F1440" s="107" t="s">
        <v>6199</v>
      </c>
      <c r="G1440" s="116" t="str">
        <f>HYPERLINK("http://nsgreg.nga.mil/genc/view?v=203454&amp;end_month=3&amp;end_day=31&amp;end_year=2014","Sachsen")</f>
        <v>Sachsen</v>
      </c>
      <c r="H1440" s="87" t="str">
        <f>HYPERLINK("http://api.nsgreg.nga.mil/geo-division/GENC/6/ed2/DE-SN","DE-SN")</f>
        <v>DE-SN</v>
      </c>
    </row>
    <row r="1441" spans="1:8" x14ac:dyDescent="0.2">
      <c r="A1441" s="157"/>
      <c r="B1441" s="31" t="s">
        <v>6200</v>
      </c>
      <c r="C1441" s="31" t="s">
        <v>6201</v>
      </c>
      <c r="D1441" s="31" t="s">
        <v>2512</v>
      </c>
      <c r="E1441" s="61" t="b">
        <v>1</v>
      </c>
      <c r="F1441" s="107" t="s">
        <v>6202</v>
      </c>
      <c r="G1441" s="116" t="str">
        <f>HYPERLINK("http://nsgreg.nga.mil/genc/view?v=203455&amp;end_month=3&amp;end_day=31&amp;end_year=2014","Sachsen-Anhalt")</f>
        <v>Sachsen-Anhalt</v>
      </c>
      <c r="H1441" s="87" t="str">
        <f>HYPERLINK("http://api.nsgreg.nga.mil/geo-division/GENC/6/ed2/DE-ST","DE-ST")</f>
        <v>DE-ST</v>
      </c>
    </row>
    <row r="1442" spans="1:8" x14ac:dyDescent="0.2">
      <c r="A1442" s="157"/>
      <c r="B1442" s="31" t="s">
        <v>6203</v>
      </c>
      <c r="C1442" s="31" t="s">
        <v>6204</v>
      </c>
      <c r="D1442" s="31" t="s">
        <v>2512</v>
      </c>
      <c r="E1442" s="61" t="b">
        <v>1</v>
      </c>
      <c r="F1442" s="107" t="s">
        <v>6205</v>
      </c>
      <c r="G1442" s="116" t="str">
        <f>HYPERLINK("http://nsgreg.nga.mil/genc/view?v=203452&amp;end_month=3&amp;end_day=31&amp;end_year=2014","Schleswig-Holstein")</f>
        <v>Schleswig-Holstein</v>
      </c>
      <c r="H1442" s="87" t="str">
        <f>HYPERLINK("http://api.nsgreg.nga.mil/geo-division/GENC/6/ed2/DE-SH","DE-SH")</f>
        <v>DE-SH</v>
      </c>
    </row>
    <row r="1443" spans="1:8" x14ac:dyDescent="0.2">
      <c r="A1443" s="158"/>
      <c r="B1443" s="58" t="s">
        <v>6206</v>
      </c>
      <c r="C1443" s="58" t="s">
        <v>6207</v>
      </c>
      <c r="D1443" s="58" t="s">
        <v>2512</v>
      </c>
      <c r="E1443" s="62" t="b">
        <v>1</v>
      </c>
      <c r="F1443" s="111" t="s">
        <v>6208</v>
      </c>
      <c r="G1443" s="117" t="str">
        <f>HYPERLINK("http://nsgreg.nga.mil/genc/view?v=203456&amp;end_month=3&amp;end_day=31&amp;end_year=2014","Thüringen")</f>
        <v>Thüringen</v>
      </c>
      <c r="H1443" s="89" t="str">
        <f>HYPERLINK("http://api.nsgreg.nga.mil/geo-division/GENC/6/ed2/DE-TH","DE-TH")</f>
        <v>DE-TH</v>
      </c>
    </row>
    <row r="1444" spans="1:8" x14ac:dyDescent="0.2">
      <c r="A1444" s="156" t="str">
        <f>HYPERLINK("[#]Geopolitical_Entities!A103:I103","GHANA")</f>
        <v>GHANA</v>
      </c>
      <c r="B1444" s="52" t="s">
        <v>6209</v>
      </c>
      <c r="C1444" s="52" t="s">
        <v>6210</v>
      </c>
      <c r="D1444" s="52" t="s">
        <v>3137</v>
      </c>
      <c r="E1444" s="60" t="b">
        <v>1</v>
      </c>
      <c r="F1444" s="109" t="s">
        <v>6211</v>
      </c>
      <c r="G1444" s="118" t="str">
        <f>HYPERLINK("http://nsgreg.nga.mil/genc/view?v=113595&amp;gencs=T&amp;end_month=3&amp;end_day=31&amp;end_year=2014","Ashanti")</f>
        <v>Ashanti</v>
      </c>
      <c r="H1444" s="91" t="str">
        <f>HYPERLINK("http://api.nsgreg.nga.mil/geo-division/ISO3166-2/6/ed3/GH-AH","GH-AH")</f>
        <v>GH-AH</v>
      </c>
    </row>
    <row r="1445" spans="1:8" x14ac:dyDescent="0.2">
      <c r="A1445" s="157"/>
      <c r="B1445" s="31" t="s">
        <v>6212</v>
      </c>
      <c r="C1445" s="31" t="s">
        <v>6213</v>
      </c>
      <c r="D1445" s="31" t="s">
        <v>3137</v>
      </c>
      <c r="E1445" s="61" t="b">
        <v>1</v>
      </c>
      <c r="F1445" s="106" t="s">
        <v>6214</v>
      </c>
      <c r="G1445" s="116" t="str">
        <f>HYPERLINK("http://nsgreg.nga.mil/genc/view?v=113596&amp;gencs=T&amp;end_month=3&amp;end_day=31&amp;end_year=2014","Brong-Ahafo")</f>
        <v>Brong-Ahafo</v>
      </c>
      <c r="H1445" s="87" t="str">
        <f>HYPERLINK("http://api.nsgreg.nga.mil/geo-division/ISO3166-2/6/ed3/GH-BA","GH-BA")</f>
        <v>GH-BA</v>
      </c>
    </row>
    <row r="1446" spans="1:8" x14ac:dyDescent="0.2">
      <c r="A1446" s="157"/>
      <c r="B1446" s="31" t="s">
        <v>6215</v>
      </c>
      <c r="C1446" s="31" t="s">
        <v>3420</v>
      </c>
      <c r="D1446" s="31" t="s">
        <v>3137</v>
      </c>
      <c r="E1446" s="61" t="b">
        <v>1</v>
      </c>
      <c r="F1446" s="106" t="s">
        <v>6216</v>
      </c>
      <c r="G1446" s="116" t="str">
        <f>HYPERLINK("http://nsgreg.nga.mil/genc/view?v=113597&amp;gencs=T&amp;end_month=3&amp;end_day=31&amp;end_year=2014","Central")</f>
        <v>Central</v>
      </c>
      <c r="H1446" s="87" t="str">
        <f>HYPERLINK("http://api.nsgreg.nga.mil/geo-division/ISO3166-2/6/ed3/GH-CP","GH-CP")</f>
        <v>GH-CP</v>
      </c>
    </row>
    <row r="1447" spans="1:8" x14ac:dyDescent="0.2">
      <c r="A1447" s="157"/>
      <c r="B1447" s="31" t="s">
        <v>6217</v>
      </c>
      <c r="C1447" s="31" t="s">
        <v>5622</v>
      </c>
      <c r="D1447" s="31" t="s">
        <v>3137</v>
      </c>
      <c r="E1447" s="61" t="b">
        <v>1</v>
      </c>
      <c r="F1447" s="106" t="s">
        <v>6218</v>
      </c>
      <c r="G1447" s="116" t="str">
        <f>HYPERLINK("http://nsgreg.nga.mil/genc/view?v=113598&amp;gencs=T&amp;end_month=3&amp;end_day=31&amp;end_year=2014","Eastern")</f>
        <v>Eastern</v>
      </c>
      <c r="H1447" s="87" t="str">
        <f>HYPERLINK("http://api.nsgreg.nga.mil/geo-division/ISO3166-2/6/ed3/GH-EP","GH-EP")</f>
        <v>GH-EP</v>
      </c>
    </row>
    <row r="1448" spans="1:8" x14ac:dyDescent="0.2">
      <c r="A1448" s="157"/>
      <c r="B1448" s="31" t="s">
        <v>6219</v>
      </c>
      <c r="C1448" s="31" t="s">
        <v>6220</v>
      </c>
      <c r="D1448" s="31" t="s">
        <v>3137</v>
      </c>
      <c r="E1448" s="61" t="b">
        <v>1</v>
      </c>
      <c r="F1448" s="106" t="s">
        <v>6221</v>
      </c>
      <c r="G1448" s="116" t="str">
        <f>HYPERLINK("http://nsgreg.nga.mil/genc/view?v=113594&amp;gencs=T&amp;end_month=3&amp;end_day=31&amp;end_year=2014","Greater Accra")</f>
        <v>Greater Accra</v>
      </c>
      <c r="H1448" s="87" t="str">
        <f>HYPERLINK("http://api.nsgreg.nga.mil/geo-division/ISO3166-2/6/ed3/GH-AA","GH-AA")</f>
        <v>GH-AA</v>
      </c>
    </row>
    <row r="1449" spans="1:8" x14ac:dyDescent="0.2">
      <c r="A1449" s="157"/>
      <c r="B1449" s="31" t="s">
        <v>6222</v>
      </c>
      <c r="C1449" s="31" t="s">
        <v>5625</v>
      </c>
      <c r="D1449" s="31" t="s">
        <v>3137</v>
      </c>
      <c r="E1449" s="61" t="b">
        <v>1</v>
      </c>
      <c r="F1449" s="106" t="s">
        <v>6223</v>
      </c>
      <c r="G1449" s="116" t="str">
        <f>HYPERLINK("http://nsgreg.nga.mil/genc/view?v=113599&amp;gencs=T&amp;end_month=3&amp;end_day=31&amp;end_year=2014","Northern")</f>
        <v>Northern</v>
      </c>
      <c r="H1449" s="87" t="str">
        <f>HYPERLINK("http://api.nsgreg.nga.mil/geo-division/ISO3166-2/6/ed3/GH-NP","GH-NP")</f>
        <v>GH-NP</v>
      </c>
    </row>
    <row r="1450" spans="1:8" x14ac:dyDescent="0.2">
      <c r="A1450" s="157"/>
      <c r="B1450" s="31" t="s">
        <v>6224</v>
      </c>
      <c r="C1450" s="31" t="s">
        <v>6225</v>
      </c>
      <c r="D1450" s="31" t="s">
        <v>3137</v>
      </c>
      <c r="E1450" s="61" t="b">
        <v>1</v>
      </c>
      <c r="F1450" s="106" t="s">
        <v>6226</v>
      </c>
      <c r="G1450" s="116" t="str">
        <f>HYPERLINK("http://nsgreg.nga.mil/genc/view?v=113601&amp;gencs=T&amp;end_month=3&amp;end_day=31&amp;end_year=2014","Upper East")</f>
        <v>Upper East</v>
      </c>
      <c r="H1450" s="87" t="str">
        <f>HYPERLINK("http://api.nsgreg.nga.mil/geo-division/ISO3166-2/6/ed3/GH-UE","GH-UE")</f>
        <v>GH-UE</v>
      </c>
    </row>
    <row r="1451" spans="1:8" x14ac:dyDescent="0.2">
      <c r="A1451" s="157"/>
      <c r="B1451" s="31" t="s">
        <v>6227</v>
      </c>
      <c r="C1451" s="31" t="s">
        <v>6228</v>
      </c>
      <c r="D1451" s="31" t="s">
        <v>3137</v>
      </c>
      <c r="E1451" s="61" t="b">
        <v>1</v>
      </c>
      <c r="F1451" s="106" t="s">
        <v>6229</v>
      </c>
      <c r="G1451" s="116" t="str">
        <f>HYPERLINK("http://nsgreg.nga.mil/genc/view?v=113602&amp;gencs=T&amp;end_month=3&amp;end_day=31&amp;end_year=2014","Upper West")</f>
        <v>Upper West</v>
      </c>
      <c r="H1451" s="87" t="str">
        <f>HYPERLINK("http://api.nsgreg.nga.mil/geo-division/ISO3166-2/6/ed3/GH-UW","GH-UW")</f>
        <v>GH-UW</v>
      </c>
    </row>
    <row r="1452" spans="1:8" x14ac:dyDescent="0.2">
      <c r="A1452" s="157"/>
      <c r="B1452" s="31" t="s">
        <v>6230</v>
      </c>
      <c r="C1452" s="31" t="s">
        <v>6231</v>
      </c>
      <c r="D1452" s="31" t="s">
        <v>3137</v>
      </c>
      <c r="E1452" s="61" t="b">
        <v>1</v>
      </c>
      <c r="F1452" s="106" t="s">
        <v>6232</v>
      </c>
      <c r="G1452" s="116" t="str">
        <f>HYPERLINK("http://nsgreg.nga.mil/genc/view?v=113600&amp;gencs=T&amp;end_month=3&amp;end_day=31&amp;end_year=2014","Volta")</f>
        <v>Volta</v>
      </c>
      <c r="H1452" s="87" t="str">
        <f>HYPERLINK("http://api.nsgreg.nga.mil/geo-division/ISO3166-2/6/ed3/GH-TV","GH-TV")</f>
        <v>GH-TV</v>
      </c>
    </row>
    <row r="1453" spans="1:8" x14ac:dyDescent="0.2">
      <c r="A1453" s="158"/>
      <c r="B1453" s="58" t="s">
        <v>6233</v>
      </c>
      <c r="C1453" s="58" t="s">
        <v>5631</v>
      </c>
      <c r="D1453" s="58" t="s">
        <v>3137</v>
      </c>
      <c r="E1453" s="62" t="b">
        <v>1</v>
      </c>
      <c r="F1453" s="108" t="s">
        <v>6234</v>
      </c>
      <c r="G1453" s="117" t="str">
        <f>HYPERLINK("http://nsgreg.nga.mil/genc/view?v=113603&amp;gencs=T&amp;end_month=3&amp;end_day=31&amp;end_year=2014","Western")</f>
        <v>Western</v>
      </c>
      <c r="H1453" s="89" t="str">
        <f>HYPERLINK("http://api.nsgreg.nga.mil/geo-division/ISO3166-2/6/ed3/GH-WP","GH-WP")</f>
        <v>GH-WP</v>
      </c>
    </row>
    <row r="1454" spans="1:8" x14ac:dyDescent="0.2">
      <c r="A1454" s="156" t="str">
        <f>HYPERLINK("[#]Geopolitical_Entities!A106:I106","GREECE")</f>
        <v>GREECE</v>
      </c>
      <c r="B1454" s="52" t="s">
        <v>6235</v>
      </c>
      <c r="C1454" s="52" t="s">
        <v>6236</v>
      </c>
      <c r="D1454" s="102" t="s">
        <v>3214</v>
      </c>
      <c r="E1454" s="103" t="b">
        <v>0</v>
      </c>
      <c r="F1454" s="109" t="s">
        <v>6237</v>
      </c>
      <c r="G1454" s="118" t="str">
        <f>HYPERLINK("http://nsgreg.nga.mil/genc/view?v=113672&amp;gencs=T&amp;end_month=3&amp;end_day=31&amp;end_year=2014","Achaïa")</f>
        <v>Achaïa</v>
      </c>
      <c r="H1454" s="91" t="str">
        <f>HYPERLINK("http://api.nsgreg.nga.mil/geo-division/ISO3166-2/6/ed3/GR-13","GR-13")</f>
        <v>GR-13</v>
      </c>
    </row>
    <row r="1455" spans="1:8" x14ac:dyDescent="0.2">
      <c r="A1455" s="157"/>
      <c r="B1455" s="31" t="s">
        <v>6238</v>
      </c>
      <c r="C1455" s="31" t="s">
        <v>6239</v>
      </c>
      <c r="D1455" s="31" t="s">
        <v>6240</v>
      </c>
      <c r="E1455" s="61" t="b">
        <v>1</v>
      </c>
      <c r="F1455" s="107" t="s">
        <v>6241</v>
      </c>
      <c r="G1455" s="116" t="str">
        <f>HYPERLINK("http://nsgreg.nga.mil/genc/view?v=201376&amp;end_month=3&amp;end_day=31&amp;end_year=2014","Ágion Óros")</f>
        <v>Ágion Óros</v>
      </c>
      <c r="H1455" s="87" t="str">
        <f>HYPERLINK("http://api.nsgreg.nga.mil/geo-division/GENC/6/ed2/GR-69","GR-69")</f>
        <v>GR-69</v>
      </c>
    </row>
    <row r="1456" spans="1:8" x14ac:dyDescent="0.2">
      <c r="A1456" s="157"/>
      <c r="B1456" s="31" t="s">
        <v>6242</v>
      </c>
      <c r="C1456" s="31" t="s">
        <v>6243</v>
      </c>
      <c r="D1456" s="98" t="s">
        <v>3214</v>
      </c>
      <c r="E1456" s="99" t="b">
        <v>0</v>
      </c>
      <c r="F1456" s="107" t="s">
        <v>6244</v>
      </c>
      <c r="G1456" s="116" t="str">
        <f>HYPERLINK("http://nsgreg.nga.mil/genc/view?v=201339&amp;end_month=3&amp;end_day=31&amp;end_year=2014","Aitoloakarnanía")</f>
        <v>Aitoloakarnanía</v>
      </c>
      <c r="H1456" s="87" t="str">
        <f>HYPERLINK("http://api.nsgreg.nga.mil/geo-division/GENC/6/ed2/GR-01","GR-01")</f>
        <v>GR-01</v>
      </c>
    </row>
    <row r="1457" spans="1:8" x14ac:dyDescent="0.2">
      <c r="A1457" s="157"/>
      <c r="B1457" s="31" t="s">
        <v>6245</v>
      </c>
      <c r="C1457" s="31" t="s">
        <v>6246</v>
      </c>
      <c r="D1457" s="31" t="s">
        <v>6247</v>
      </c>
      <c r="E1457" s="61" t="b">
        <v>1</v>
      </c>
      <c r="F1457" s="107" t="s">
        <v>6248</v>
      </c>
      <c r="G1457" s="116" t="str">
        <f>HYPERLINK("http://nsgreg.nga.mil/genc/view?v=201389&amp;end_month=3&amp;end_day=31&amp;end_year=2014","Anatolikí Makedonía kai Thráki")</f>
        <v>Anatolikí Makedonía kai Thráki</v>
      </c>
      <c r="H1457" s="87" t="str">
        <f>HYPERLINK("http://api.nsgreg.nga.mil/geo-division/GENC/6/ed2/GR-A","GR-A")</f>
        <v>GR-A</v>
      </c>
    </row>
    <row r="1458" spans="1:8" x14ac:dyDescent="0.2">
      <c r="A1458" s="157"/>
      <c r="B1458" s="31" t="s">
        <v>6249</v>
      </c>
      <c r="C1458" s="31" t="s">
        <v>6250</v>
      </c>
      <c r="D1458" s="98" t="s">
        <v>3214</v>
      </c>
      <c r="E1458" s="99" t="b">
        <v>0</v>
      </c>
      <c r="F1458" s="107" t="s">
        <v>6251</v>
      </c>
      <c r="G1458" s="116" t="str">
        <f>HYPERLINK("http://nsgreg.nga.mil/genc/view?v=201345&amp;end_month=3&amp;end_day=31&amp;end_year=2014","Argolída")</f>
        <v>Argolída</v>
      </c>
      <c r="H1458" s="87" t="str">
        <f>HYPERLINK("http://api.nsgreg.nga.mil/geo-division/GENC/6/ed2/GR-11","GR-11")</f>
        <v>GR-11</v>
      </c>
    </row>
    <row r="1459" spans="1:8" x14ac:dyDescent="0.2">
      <c r="A1459" s="157"/>
      <c r="B1459" s="31" t="s">
        <v>6252</v>
      </c>
      <c r="C1459" s="31" t="s">
        <v>6253</v>
      </c>
      <c r="D1459" s="98" t="s">
        <v>3214</v>
      </c>
      <c r="E1459" s="99" t="b">
        <v>0</v>
      </c>
      <c r="F1459" s="107" t="s">
        <v>6254</v>
      </c>
      <c r="G1459" s="116" t="str">
        <f>HYPERLINK("http://nsgreg.nga.mil/genc/view?v=201346&amp;end_month=3&amp;end_day=31&amp;end_year=2014","Arkadía")</f>
        <v>Arkadía</v>
      </c>
      <c r="H1459" s="87" t="str">
        <f>HYPERLINK("http://api.nsgreg.nga.mil/geo-division/GENC/6/ed2/GR-12","GR-12")</f>
        <v>GR-12</v>
      </c>
    </row>
    <row r="1460" spans="1:8" x14ac:dyDescent="0.2">
      <c r="A1460" s="157"/>
      <c r="B1460" s="31" t="s">
        <v>6255</v>
      </c>
      <c r="C1460" s="31" t="s">
        <v>6256</v>
      </c>
      <c r="D1460" s="98" t="s">
        <v>3214</v>
      </c>
      <c r="E1460" s="99" t="b">
        <v>0</v>
      </c>
      <c r="F1460" s="107" t="s">
        <v>6257</v>
      </c>
      <c r="G1460" s="116" t="str">
        <f>HYPERLINK("http://nsgreg.nga.mil/genc/view?v=201355&amp;end_month=3&amp;end_day=31&amp;end_year=2014","Árta")</f>
        <v>Árta</v>
      </c>
      <c r="H1460" s="87" t="str">
        <f>HYPERLINK("http://api.nsgreg.nga.mil/geo-division/GENC/6/ed2/GR-31","GR-31")</f>
        <v>GR-31</v>
      </c>
    </row>
    <row r="1461" spans="1:8" x14ac:dyDescent="0.2">
      <c r="A1461" s="157"/>
      <c r="B1461" s="31" t="s">
        <v>6258</v>
      </c>
      <c r="C1461" s="31" t="s">
        <v>6259</v>
      </c>
      <c r="D1461" s="31" t="s">
        <v>6247</v>
      </c>
      <c r="E1461" s="61" t="b">
        <v>1</v>
      </c>
      <c r="F1461" s="107" t="s">
        <v>6260</v>
      </c>
      <c r="G1461" s="116" t="str">
        <f>HYPERLINK("http://nsgreg.nga.mil/genc/view?v=201398&amp;end_month=3&amp;end_day=31&amp;end_year=2014","Attikí")</f>
        <v>Attikí</v>
      </c>
      <c r="H1461" s="87" t="str">
        <f>HYPERLINK("http://api.nsgreg.nga.mil/geo-division/GENC/6/ed2/GR-I","GR-I")</f>
        <v>GR-I</v>
      </c>
    </row>
    <row r="1462" spans="1:8" x14ac:dyDescent="0.2">
      <c r="A1462" s="157"/>
      <c r="B1462" s="31" t="s">
        <v>6261</v>
      </c>
      <c r="C1462" s="31" t="s">
        <v>6259</v>
      </c>
      <c r="D1462" s="98" t="s">
        <v>3214</v>
      </c>
      <c r="E1462" s="99" t="b">
        <v>0</v>
      </c>
      <c r="F1462" s="107" t="s">
        <v>6262</v>
      </c>
      <c r="G1462" s="116" t="str">
        <f>HYPERLINK("http://nsgreg.nga.mil/genc/view?v=201390&amp;end_month=3&amp;end_day=31&amp;end_year=2014","Attikí")</f>
        <v>Attikí</v>
      </c>
      <c r="H1462" s="87" t="str">
        <f>HYPERLINK("http://api.nsgreg.nga.mil/geo-division/GENC/6/ed2/GR-A1","GR-A1")</f>
        <v>GR-A1</v>
      </c>
    </row>
    <row r="1463" spans="1:8" x14ac:dyDescent="0.2">
      <c r="A1463" s="157"/>
      <c r="B1463" s="31" t="s">
        <v>6263</v>
      </c>
      <c r="C1463" s="31" t="s">
        <v>6264</v>
      </c>
      <c r="D1463" s="98" t="s">
        <v>3214</v>
      </c>
      <c r="E1463" s="99" t="b">
        <v>0</v>
      </c>
      <c r="F1463" s="107" t="s">
        <v>6265</v>
      </c>
      <c r="G1463" s="116" t="str">
        <f>HYPERLINK("http://nsgreg.nga.mil/genc/view?v=201375&amp;end_month=3&amp;end_day=31&amp;end_year=2014","Chalkidikí")</f>
        <v>Chalkidikí</v>
      </c>
      <c r="H1463" s="87" t="str">
        <f>HYPERLINK("http://api.nsgreg.nga.mil/geo-division/GENC/6/ed2/GR-64","GR-64")</f>
        <v>GR-64</v>
      </c>
    </row>
    <row r="1464" spans="1:8" x14ac:dyDescent="0.2">
      <c r="A1464" s="157"/>
      <c r="B1464" s="31" t="s">
        <v>6266</v>
      </c>
      <c r="C1464" s="31" t="s">
        <v>6267</v>
      </c>
      <c r="D1464" s="98" t="s">
        <v>3214</v>
      </c>
      <c r="E1464" s="99" t="b">
        <v>0</v>
      </c>
      <c r="F1464" s="107" t="s">
        <v>6268</v>
      </c>
      <c r="G1464" s="116" t="str">
        <f>HYPERLINK("http://nsgreg.nga.mil/genc/view?v=201388&amp;end_month=3&amp;end_day=31&amp;end_year=2014","Chaniá")</f>
        <v>Chaniá</v>
      </c>
      <c r="H1464" s="87" t="str">
        <f>HYPERLINK("http://api.nsgreg.nga.mil/geo-division/GENC/6/ed2/GR-94","GR-94")</f>
        <v>GR-94</v>
      </c>
    </row>
    <row r="1465" spans="1:8" x14ac:dyDescent="0.2">
      <c r="A1465" s="157"/>
      <c r="B1465" s="31" t="s">
        <v>6269</v>
      </c>
      <c r="C1465" s="31" t="s">
        <v>6270</v>
      </c>
      <c r="D1465" s="98" t="s">
        <v>3214</v>
      </c>
      <c r="E1465" s="99" t="b">
        <v>0</v>
      </c>
      <c r="F1465" s="107" t="s">
        <v>6271</v>
      </c>
      <c r="G1465" s="116" t="str">
        <f>HYPERLINK("http://nsgreg.nga.mil/genc/view?v=201384&amp;end_month=3&amp;end_day=31&amp;end_year=2014","Chíos")</f>
        <v>Chíos</v>
      </c>
      <c r="H1465" s="87" t="str">
        <f>HYPERLINK("http://api.nsgreg.nga.mil/geo-division/GENC/6/ed2/GR-85","GR-85")</f>
        <v>GR-85</v>
      </c>
    </row>
    <row r="1466" spans="1:8" x14ac:dyDescent="0.2">
      <c r="A1466" s="157"/>
      <c r="B1466" s="31" t="s">
        <v>6272</v>
      </c>
      <c r="C1466" s="31" t="s">
        <v>6273</v>
      </c>
      <c r="D1466" s="98" t="s">
        <v>3214</v>
      </c>
      <c r="E1466" s="99" t="b">
        <v>0</v>
      </c>
      <c r="F1466" s="107" t="s">
        <v>6274</v>
      </c>
      <c r="G1466" s="116" t="str">
        <f>HYPERLINK("http://nsgreg.nga.mil/genc/view?v=201380&amp;end_month=3&amp;end_day=31&amp;end_year=2014","Dodekánisa")</f>
        <v>Dodekánisa</v>
      </c>
      <c r="H1466" s="87" t="str">
        <f>HYPERLINK("http://api.nsgreg.nga.mil/geo-division/GENC/6/ed2/GR-81","GR-81")</f>
        <v>GR-81</v>
      </c>
    </row>
    <row r="1467" spans="1:8" x14ac:dyDescent="0.2">
      <c r="A1467" s="157"/>
      <c r="B1467" s="31" t="s">
        <v>6275</v>
      </c>
      <c r="C1467" s="31" t="s">
        <v>6276</v>
      </c>
      <c r="D1467" s="98" t="s">
        <v>3214</v>
      </c>
      <c r="E1467" s="99" t="b">
        <v>0</v>
      </c>
      <c r="F1467" s="107" t="s">
        <v>6277</v>
      </c>
      <c r="G1467" s="116" t="str">
        <f>HYPERLINK("http://nsgreg.nga.mil/genc/view?v=201364&amp;end_month=3&amp;end_day=31&amp;end_year=2014","Dráma")</f>
        <v>Dráma</v>
      </c>
      <c r="H1467" s="87" t="str">
        <f>HYPERLINK("http://api.nsgreg.nga.mil/geo-division/GENC/6/ed2/GR-52","GR-52")</f>
        <v>GR-52</v>
      </c>
    </row>
    <row r="1468" spans="1:8" x14ac:dyDescent="0.2">
      <c r="A1468" s="157"/>
      <c r="B1468" s="31" t="s">
        <v>6278</v>
      </c>
      <c r="C1468" s="31" t="s">
        <v>6279</v>
      </c>
      <c r="D1468" s="31" t="s">
        <v>6247</v>
      </c>
      <c r="E1468" s="61" t="b">
        <v>1</v>
      </c>
      <c r="F1468" s="107" t="s">
        <v>6280</v>
      </c>
      <c r="G1468" s="116" t="str">
        <f>HYPERLINK("http://nsgreg.nga.mil/genc/view?v=201396&amp;end_month=3&amp;end_day=31&amp;end_year=2014","Dytikí Elláda")</f>
        <v>Dytikí Elláda</v>
      </c>
      <c r="H1468" s="87" t="str">
        <f>HYPERLINK("http://api.nsgreg.nga.mil/geo-division/GENC/6/ed2/GR-G","GR-G")</f>
        <v>GR-G</v>
      </c>
    </row>
    <row r="1469" spans="1:8" x14ac:dyDescent="0.2">
      <c r="A1469" s="157"/>
      <c r="B1469" s="31" t="s">
        <v>6281</v>
      </c>
      <c r="C1469" s="31" t="s">
        <v>6282</v>
      </c>
      <c r="D1469" s="31" t="s">
        <v>6247</v>
      </c>
      <c r="E1469" s="61" t="b">
        <v>1</v>
      </c>
      <c r="F1469" s="107" t="s">
        <v>6283</v>
      </c>
      <c r="G1469" s="116" t="str">
        <f>HYPERLINK("http://nsgreg.nga.mil/genc/view?v=201392&amp;end_month=3&amp;end_day=31&amp;end_year=2014","Dytikí Makedonía")</f>
        <v>Dytikí Makedonía</v>
      </c>
      <c r="H1469" s="87" t="str">
        <f>HYPERLINK("http://api.nsgreg.nga.mil/geo-division/GENC/6/ed2/GR-C","GR-C")</f>
        <v>GR-C</v>
      </c>
    </row>
    <row r="1470" spans="1:8" x14ac:dyDescent="0.2">
      <c r="A1470" s="157"/>
      <c r="B1470" s="31" t="s">
        <v>6284</v>
      </c>
      <c r="C1470" s="31" t="s">
        <v>6285</v>
      </c>
      <c r="D1470" s="98" t="s">
        <v>3214</v>
      </c>
      <c r="E1470" s="99" t="b">
        <v>0</v>
      </c>
      <c r="F1470" s="107" t="s">
        <v>6286</v>
      </c>
      <c r="G1470" s="116" t="str">
        <f>HYPERLINK("http://nsgreg.nga.mil/genc/view?v=201377&amp;end_month=3&amp;end_day=31&amp;end_year=2014","Évros")</f>
        <v>Évros</v>
      </c>
      <c r="H1470" s="87" t="str">
        <f>HYPERLINK("http://api.nsgreg.nga.mil/geo-division/GENC/6/ed2/GR-71","GR-71")</f>
        <v>GR-71</v>
      </c>
    </row>
    <row r="1471" spans="1:8" x14ac:dyDescent="0.2">
      <c r="A1471" s="157"/>
      <c r="B1471" s="31" t="s">
        <v>6287</v>
      </c>
      <c r="C1471" s="31" t="s">
        <v>6288</v>
      </c>
      <c r="D1471" s="98" t="s">
        <v>3214</v>
      </c>
      <c r="E1471" s="99" t="b">
        <v>0</v>
      </c>
      <c r="F1471" s="107" t="s">
        <v>6289</v>
      </c>
      <c r="G1471" s="116" t="str">
        <f>HYPERLINK("http://nsgreg.nga.mil/genc/view?v=201342&amp;end_month=3&amp;end_day=31&amp;end_year=2014","Evrytanía")</f>
        <v>Evrytanía</v>
      </c>
      <c r="H1471" s="87" t="str">
        <f>HYPERLINK("http://api.nsgreg.nga.mil/geo-division/GENC/6/ed2/GR-05","GR-05")</f>
        <v>GR-05</v>
      </c>
    </row>
    <row r="1472" spans="1:8" x14ac:dyDescent="0.2">
      <c r="A1472" s="157"/>
      <c r="B1472" s="31" t="s">
        <v>6290</v>
      </c>
      <c r="C1472" s="31" t="s">
        <v>6291</v>
      </c>
      <c r="D1472" s="98" t="s">
        <v>3214</v>
      </c>
      <c r="E1472" s="99" t="b">
        <v>0</v>
      </c>
      <c r="F1472" s="107" t="s">
        <v>6292</v>
      </c>
      <c r="G1472" s="116" t="str">
        <f>HYPERLINK("http://nsgreg.nga.mil/genc/view?v=201341&amp;end_month=3&amp;end_day=31&amp;end_year=2014","Évvoia")</f>
        <v>Évvoia</v>
      </c>
      <c r="H1472" s="87" t="str">
        <f>HYPERLINK("http://api.nsgreg.nga.mil/geo-division/GENC/6/ed2/GR-04","GR-04")</f>
        <v>GR-04</v>
      </c>
    </row>
    <row r="1473" spans="1:8" x14ac:dyDescent="0.2">
      <c r="A1473" s="157"/>
      <c r="B1473" s="31" t="s">
        <v>6293</v>
      </c>
      <c r="C1473" s="31" t="s">
        <v>6294</v>
      </c>
      <c r="D1473" s="98" t="s">
        <v>3214</v>
      </c>
      <c r="E1473" s="99" t="b">
        <v>0</v>
      </c>
      <c r="F1473" s="107" t="s">
        <v>6295</v>
      </c>
      <c r="G1473" s="116" t="str">
        <f>HYPERLINK("http://nsgreg.nga.mil/genc/view?v=201374&amp;end_month=3&amp;end_day=31&amp;end_year=2014","Flórina")</f>
        <v>Flórina</v>
      </c>
      <c r="H1473" s="87" t="str">
        <f>HYPERLINK("http://api.nsgreg.nga.mil/geo-division/GENC/6/ed2/GR-63","GR-63")</f>
        <v>GR-63</v>
      </c>
    </row>
    <row r="1474" spans="1:8" x14ac:dyDescent="0.2">
      <c r="A1474" s="157"/>
      <c r="B1474" s="31" t="s">
        <v>6296</v>
      </c>
      <c r="C1474" s="31" t="s">
        <v>6297</v>
      </c>
      <c r="D1474" s="98" t="s">
        <v>3214</v>
      </c>
      <c r="E1474" s="99" t="b">
        <v>0</v>
      </c>
      <c r="F1474" s="107" t="s">
        <v>6298</v>
      </c>
      <c r="G1474" s="116" t="str">
        <f>HYPERLINK("http://nsgreg.nga.mil/genc/view?v=201344&amp;end_month=3&amp;end_day=31&amp;end_year=2014","Fokída")</f>
        <v>Fokída</v>
      </c>
      <c r="H1474" s="87" t="str">
        <f>HYPERLINK("http://api.nsgreg.nga.mil/geo-division/GENC/6/ed2/GR-07","GR-07")</f>
        <v>GR-07</v>
      </c>
    </row>
    <row r="1475" spans="1:8" x14ac:dyDescent="0.2">
      <c r="A1475" s="157"/>
      <c r="B1475" s="31" t="s">
        <v>6299</v>
      </c>
      <c r="C1475" s="31" t="s">
        <v>6300</v>
      </c>
      <c r="D1475" s="98" t="s">
        <v>3214</v>
      </c>
      <c r="E1475" s="99" t="b">
        <v>0</v>
      </c>
      <c r="F1475" s="107" t="s">
        <v>6301</v>
      </c>
      <c r="G1475" s="116" t="str">
        <f>HYPERLINK("http://nsgreg.nga.mil/genc/view?v=201343&amp;end_month=3&amp;end_day=31&amp;end_year=2014","Fthiótida")</f>
        <v>Fthiótida</v>
      </c>
      <c r="H1475" s="87" t="str">
        <f>HYPERLINK("http://api.nsgreg.nga.mil/geo-division/GENC/6/ed2/GR-06","GR-06")</f>
        <v>GR-06</v>
      </c>
    </row>
    <row r="1476" spans="1:8" x14ac:dyDescent="0.2">
      <c r="A1476" s="157"/>
      <c r="B1476" s="31" t="s">
        <v>6302</v>
      </c>
      <c r="C1476" s="31" t="s">
        <v>6303</v>
      </c>
      <c r="D1476" s="98" t="s">
        <v>3214</v>
      </c>
      <c r="E1476" s="99" t="b">
        <v>0</v>
      </c>
      <c r="F1476" s="107" t="s">
        <v>6304</v>
      </c>
      <c r="G1476" s="116" t="str">
        <f>HYPERLINK("http://nsgreg.nga.mil/genc/view?v=201363&amp;end_month=3&amp;end_day=31&amp;end_year=2014","Grevená")</f>
        <v>Grevená</v>
      </c>
      <c r="H1476" s="87" t="str">
        <f>HYPERLINK("http://api.nsgreg.nga.mil/geo-division/GENC/6/ed2/GR-51","GR-51")</f>
        <v>GR-51</v>
      </c>
    </row>
    <row r="1477" spans="1:8" x14ac:dyDescent="0.2">
      <c r="A1477" s="157"/>
      <c r="B1477" s="31" t="s">
        <v>6305</v>
      </c>
      <c r="C1477" s="31" t="s">
        <v>6306</v>
      </c>
      <c r="D1477" s="98" t="s">
        <v>3214</v>
      </c>
      <c r="E1477" s="99" t="b">
        <v>0</v>
      </c>
      <c r="F1477" s="107" t="s">
        <v>6307</v>
      </c>
      <c r="G1477" s="116" t="str">
        <f>HYPERLINK("http://nsgreg.nga.mil/genc/view?v=201347&amp;end_month=3&amp;end_day=31&amp;end_year=2014","Ileía")</f>
        <v>Ileía</v>
      </c>
      <c r="H1477" s="87" t="str">
        <f>HYPERLINK("http://api.nsgreg.nga.mil/geo-division/GENC/6/ed2/GR-14","GR-14")</f>
        <v>GR-14</v>
      </c>
    </row>
    <row r="1478" spans="1:8" x14ac:dyDescent="0.2">
      <c r="A1478" s="157"/>
      <c r="B1478" s="31" t="s">
        <v>6308</v>
      </c>
      <c r="C1478" s="31" t="s">
        <v>6309</v>
      </c>
      <c r="D1478" s="98" t="s">
        <v>3214</v>
      </c>
      <c r="E1478" s="99" t="b">
        <v>0</v>
      </c>
      <c r="F1478" s="107" t="s">
        <v>6310</v>
      </c>
      <c r="G1478" s="116" t="str">
        <f>HYPERLINK("http://nsgreg.nga.mil/genc/view?v=201365&amp;end_month=3&amp;end_day=31&amp;end_year=2014","Imathía")</f>
        <v>Imathía</v>
      </c>
      <c r="H1478" s="87" t="str">
        <f>HYPERLINK("http://api.nsgreg.nga.mil/geo-division/GENC/6/ed2/GR-53","GR-53")</f>
        <v>GR-53</v>
      </c>
    </row>
    <row r="1479" spans="1:8" x14ac:dyDescent="0.2">
      <c r="A1479" s="157"/>
      <c r="B1479" s="31" t="s">
        <v>6311</v>
      </c>
      <c r="C1479" s="31" t="s">
        <v>6312</v>
      </c>
      <c r="D1479" s="98" t="s">
        <v>3214</v>
      </c>
      <c r="E1479" s="99" t="b">
        <v>0</v>
      </c>
      <c r="F1479" s="107" t="s">
        <v>6313</v>
      </c>
      <c r="G1479" s="116" t="str">
        <f>HYPERLINK("http://nsgreg.nga.mil/genc/view?v=201357&amp;end_month=3&amp;end_day=31&amp;end_year=2014","Ioánnina")</f>
        <v>Ioánnina</v>
      </c>
      <c r="H1479" s="87" t="str">
        <f>HYPERLINK("http://api.nsgreg.nga.mil/geo-division/GENC/6/ed2/GR-33","GR-33")</f>
        <v>GR-33</v>
      </c>
    </row>
    <row r="1480" spans="1:8" x14ac:dyDescent="0.2">
      <c r="A1480" s="157"/>
      <c r="B1480" s="31" t="s">
        <v>6314</v>
      </c>
      <c r="C1480" s="31" t="s">
        <v>6315</v>
      </c>
      <c r="D1480" s="31" t="s">
        <v>6247</v>
      </c>
      <c r="E1480" s="61" t="b">
        <v>1</v>
      </c>
      <c r="F1480" s="107" t="s">
        <v>6316</v>
      </c>
      <c r="G1480" s="116" t="str">
        <f>HYPERLINK("http://nsgreg.nga.mil/genc/view?v=201395&amp;end_month=3&amp;end_day=31&amp;end_year=2014","Ionía Nísia")</f>
        <v>Ionía Nísia</v>
      </c>
      <c r="H1480" s="87" t="str">
        <f>HYPERLINK("http://api.nsgreg.nga.mil/geo-division/GENC/6/ed2/GR-F","GR-F")</f>
        <v>GR-F</v>
      </c>
    </row>
    <row r="1481" spans="1:8" x14ac:dyDescent="0.2">
      <c r="A1481" s="157"/>
      <c r="B1481" s="31" t="s">
        <v>6317</v>
      </c>
      <c r="C1481" s="31" t="s">
        <v>6318</v>
      </c>
      <c r="D1481" s="31" t="s">
        <v>6247</v>
      </c>
      <c r="E1481" s="61" t="b">
        <v>1</v>
      </c>
      <c r="F1481" s="107" t="s">
        <v>6319</v>
      </c>
      <c r="G1481" s="116" t="str">
        <f>HYPERLINK("http://nsgreg.nga.mil/genc/view?v=201393&amp;end_month=3&amp;end_day=31&amp;end_year=2014","Ípeiros")</f>
        <v>Ípeiros</v>
      </c>
      <c r="H1481" s="87" t="str">
        <f>HYPERLINK("http://api.nsgreg.nga.mil/geo-division/GENC/6/ed2/GR-D","GR-D")</f>
        <v>GR-D</v>
      </c>
    </row>
    <row r="1482" spans="1:8" x14ac:dyDescent="0.2">
      <c r="A1482" s="157"/>
      <c r="B1482" s="31" t="s">
        <v>6320</v>
      </c>
      <c r="C1482" s="31" t="s">
        <v>6321</v>
      </c>
      <c r="D1482" s="98" t="s">
        <v>3214</v>
      </c>
      <c r="E1482" s="99" t="b">
        <v>0</v>
      </c>
      <c r="F1482" s="107" t="s">
        <v>6322</v>
      </c>
      <c r="G1482" s="116" t="str">
        <f>HYPERLINK("http://nsgreg.nga.mil/genc/view?v=201385&amp;end_month=3&amp;end_day=31&amp;end_year=2014","Irakleío")</f>
        <v>Irakleío</v>
      </c>
      <c r="H1482" s="87" t="str">
        <f>HYPERLINK("http://api.nsgreg.nga.mil/geo-division/GENC/6/ed2/GR-91","GR-91")</f>
        <v>GR-91</v>
      </c>
    </row>
    <row r="1483" spans="1:8" x14ac:dyDescent="0.2">
      <c r="A1483" s="157"/>
      <c r="B1483" s="31" t="s">
        <v>6323</v>
      </c>
      <c r="C1483" s="31" t="s">
        <v>6324</v>
      </c>
      <c r="D1483" s="98" t="s">
        <v>3214</v>
      </c>
      <c r="E1483" s="99" t="b">
        <v>0</v>
      </c>
      <c r="F1483" s="107" t="s">
        <v>6325</v>
      </c>
      <c r="G1483" s="116" t="str">
        <f>HYPERLINK("http://nsgreg.nga.mil/genc/view?v=201359&amp;end_month=3&amp;end_day=31&amp;end_year=2014","Kardítsa")</f>
        <v>Kardítsa</v>
      </c>
      <c r="H1483" s="87" t="str">
        <f>HYPERLINK("http://api.nsgreg.nga.mil/geo-division/GENC/6/ed2/GR-41","GR-41")</f>
        <v>GR-41</v>
      </c>
    </row>
    <row r="1484" spans="1:8" x14ac:dyDescent="0.2">
      <c r="A1484" s="157"/>
      <c r="B1484" s="31" t="s">
        <v>6326</v>
      </c>
      <c r="C1484" s="31" t="s">
        <v>6327</v>
      </c>
      <c r="D1484" s="98" t="s">
        <v>3214</v>
      </c>
      <c r="E1484" s="99" t="b">
        <v>0</v>
      </c>
      <c r="F1484" s="107" t="s">
        <v>6328</v>
      </c>
      <c r="G1484" s="116" t="str">
        <f>HYPERLINK("http://nsgreg.nga.mil/genc/view?v=201368&amp;end_month=3&amp;end_day=31&amp;end_year=2014","Kastoriá")</f>
        <v>Kastoriá</v>
      </c>
      <c r="H1484" s="87" t="str">
        <f>HYPERLINK("http://api.nsgreg.nga.mil/geo-division/GENC/6/ed2/GR-56","GR-56")</f>
        <v>GR-56</v>
      </c>
    </row>
    <row r="1485" spans="1:8" x14ac:dyDescent="0.2">
      <c r="A1485" s="157"/>
      <c r="B1485" s="31" t="s">
        <v>6329</v>
      </c>
      <c r="C1485" s="31" t="s">
        <v>6330</v>
      </c>
      <c r="D1485" s="98" t="s">
        <v>3214</v>
      </c>
      <c r="E1485" s="99" t="b">
        <v>0</v>
      </c>
      <c r="F1485" s="107" t="s">
        <v>6331</v>
      </c>
      <c r="G1485" s="116" t="str">
        <f>HYPERLINK("http://nsgreg.nga.mil/genc/view?v=201367&amp;end_month=3&amp;end_day=31&amp;end_year=2014","Kavála")</f>
        <v>Kavála</v>
      </c>
      <c r="H1485" s="87" t="str">
        <f>HYPERLINK("http://api.nsgreg.nga.mil/geo-division/GENC/6/ed2/GR-55","GR-55")</f>
        <v>GR-55</v>
      </c>
    </row>
    <row r="1486" spans="1:8" x14ac:dyDescent="0.2">
      <c r="A1486" s="157"/>
      <c r="B1486" s="31" t="s">
        <v>6332</v>
      </c>
      <c r="C1486" s="31" t="s">
        <v>6333</v>
      </c>
      <c r="D1486" s="98" t="s">
        <v>3214</v>
      </c>
      <c r="E1486" s="99" t="b">
        <v>0</v>
      </c>
      <c r="F1486" s="107" t="s">
        <v>6334</v>
      </c>
      <c r="G1486" s="116" t="str">
        <f>HYPERLINK("http://nsgreg.nga.mil/genc/view?v=201353&amp;end_month=3&amp;end_day=31&amp;end_year=2014","Kefallinía")</f>
        <v>Kefallinía</v>
      </c>
      <c r="H1486" s="87" t="str">
        <f>HYPERLINK("http://api.nsgreg.nga.mil/geo-division/GENC/6/ed2/GR-23","GR-23")</f>
        <v>GR-23</v>
      </c>
    </row>
    <row r="1487" spans="1:8" x14ac:dyDescent="0.2">
      <c r="A1487" s="157"/>
      <c r="B1487" s="31" t="s">
        <v>6335</v>
      </c>
      <c r="C1487" s="31" t="s">
        <v>6336</v>
      </c>
      <c r="D1487" s="31" t="s">
        <v>6247</v>
      </c>
      <c r="E1487" s="61" t="b">
        <v>1</v>
      </c>
      <c r="F1487" s="107" t="s">
        <v>6337</v>
      </c>
      <c r="G1487" s="116" t="str">
        <f>HYPERLINK("http://nsgreg.nga.mil/genc/view?v=201391&amp;end_month=3&amp;end_day=31&amp;end_year=2014","Kentrikí Makedonía")</f>
        <v>Kentrikí Makedonía</v>
      </c>
      <c r="H1487" s="87" t="str">
        <f>HYPERLINK("http://api.nsgreg.nga.mil/geo-division/GENC/6/ed2/GR-B","GR-B")</f>
        <v>GR-B</v>
      </c>
    </row>
    <row r="1488" spans="1:8" x14ac:dyDescent="0.2">
      <c r="A1488" s="157"/>
      <c r="B1488" s="31" t="s">
        <v>6338</v>
      </c>
      <c r="C1488" s="31" t="s">
        <v>6339</v>
      </c>
      <c r="D1488" s="98" t="s">
        <v>3214</v>
      </c>
      <c r="E1488" s="99" t="b">
        <v>0</v>
      </c>
      <c r="F1488" s="107" t="s">
        <v>6340</v>
      </c>
      <c r="G1488" s="116" t="str">
        <f>HYPERLINK("http://nsgreg.nga.mil/genc/view?v=201352&amp;end_month=3&amp;end_day=31&amp;end_year=2014","Kérkyra")</f>
        <v>Kérkyra</v>
      </c>
      <c r="H1488" s="87" t="str">
        <f>HYPERLINK("http://api.nsgreg.nga.mil/geo-division/GENC/6/ed2/GR-22","GR-22")</f>
        <v>GR-22</v>
      </c>
    </row>
    <row r="1489" spans="1:8" x14ac:dyDescent="0.2">
      <c r="A1489" s="157"/>
      <c r="B1489" s="31" t="s">
        <v>6341</v>
      </c>
      <c r="C1489" s="31" t="s">
        <v>6342</v>
      </c>
      <c r="D1489" s="98" t="s">
        <v>3214</v>
      </c>
      <c r="E1489" s="99" t="b">
        <v>0</v>
      </c>
      <c r="F1489" s="107" t="s">
        <v>6343</v>
      </c>
      <c r="G1489" s="116" t="str">
        <f>HYPERLINK("http://nsgreg.nga.mil/genc/view?v=201369&amp;end_month=3&amp;end_day=31&amp;end_year=2014","Kilkís")</f>
        <v>Kilkís</v>
      </c>
      <c r="H1489" s="87" t="str">
        <f>HYPERLINK("http://api.nsgreg.nga.mil/geo-division/GENC/6/ed2/GR-57","GR-57")</f>
        <v>GR-57</v>
      </c>
    </row>
    <row r="1490" spans="1:8" x14ac:dyDescent="0.2">
      <c r="A1490" s="157"/>
      <c r="B1490" s="31" t="s">
        <v>6344</v>
      </c>
      <c r="C1490" s="31" t="s">
        <v>6345</v>
      </c>
      <c r="D1490" s="98" t="s">
        <v>3214</v>
      </c>
      <c r="E1490" s="99" t="b">
        <v>0</v>
      </c>
      <c r="F1490" s="107" t="s">
        <v>6346</v>
      </c>
      <c r="G1490" s="116" t="str">
        <f>HYPERLINK("http://nsgreg.nga.mil/genc/view?v=201348&amp;end_month=3&amp;end_day=31&amp;end_year=2014","Korinthía")</f>
        <v>Korinthía</v>
      </c>
      <c r="H1490" s="87" t="str">
        <f>HYPERLINK("http://api.nsgreg.nga.mil/geo-division/GENC/6/ed2/GR-15","GR-15")</f>
        <v>GR-15</v>
      </c>
    </row>
    <row r="1491" spans="1:8" x14ac:dyDescent="0.2">
      <c r="A1491" s="157"/>
      <c r="B1491" s="31" t="s">
        <v>6347</v>
      </c>
      <c r="C1491" s="31" t="s">
        <v>6348</v>
      </c>
      <c r="D1491" s="98" t="s">
        <v>3214</v>
      </c>
      <c r="E1491" s="99" t="b">
        <v>0</v>
      </c>
      <c r="F1491" s="107" t="s">
        <v>6349</v>
      </c>
      <c r="G1491" s="116" t="str">
        <f>HYPERLINK("http://nsgreg.nga.mil/genc/view?v=201370&amp;end_month=3&amp;end_day=31&amp;end_year=2014","Kozáni")</f>
        <v>Kozáni</v>
      </c>
      <c r="H1491" s="87" t="str">
        <f>HYPERLINK("http://api.nsgreg.nga.mil/geo-division/GENC/6/ed2/GR-58","GR-58")</f>
        <v>GR-58</v>
      </c>
    </row>
    <row r="1492" spans="1:8" x14ac:dyDescent="0.2">
      <c r="A1492" s="157"/>
      <c r="B1492" s="31" t="s">
        <v>6350</v>
      </c>
      <c r="C1492" s="31" t="s">
        <v>6351</v>
      </c>
      <c r="D1492" s="31" t="s">
        <v>6247</v>
      </c>
      <c r="E1492" s="61" t="b">
        <v>1</v>
      </c>
      <c r="F1492" s="107" t="s">
        <v>6352</v>
      </c>
      <c r="G1492" s="116" t="str">
        <f>HYPERLINK("http://nsgreg.nga.mil/genc/view?v=201402&amp;end_month=3&amp;end_day=31&amp;end_year=2014","Kríti")</f>
        <v>Kríti</v>
      </c>
      <c r="H1492" s="87" t="str">
        <f>HYPERLINK("http://api.nsgreg.nga.mil/geo-division/GENC/6/ed2/GR-M","GR-M")</f>
        <v>GR-M</v>
      </c>
    </row>
    <row r="1493" spans="1:8" x14ac:dyDescent="0.2">
      <c r="A1493" s="157"/>
      <c r="B1493" s="31" t="s">
        <v>6353</v>
      </c>
      <c r="C1493" s="31" t="s">
        <v>6354</v>
      </c>
      <c r="D1493" s="98" t="s">
        <v>3214</v>
      </c>
      <c r="E1493" s="99" t="b">
        <v>0</v>
      </c>
      <c r="F1493" s="107" t="s">
        <v>6355</v>
      </c>
      <c r="G1493" s="116" t="str">
        <f>HYPERLINK("http://nsgreg.nga.mil/genc/view?v=201381&amp;end_month=3&amp;end_day=31&amp;end_year=2014","Kykládes")</f>
        <v>Kykládes</v>
      </c>
      <c r="H1493" s="87" t="str">
        <f>HYPERLINK("http://api.nsgreg.nga.mil/geo-division/GENC/6/ed2/GR-82","GR-82")</f>
        <v>GR-82</v>
      </c>
    </row>
    <row r="1494" spans="1:8" x14ac:dyDescent="0.2">
      <c r="A1494" s="157"/>
      <c r="B1494" s="31" t="s">
        <v>6356</v>
      </c>
      <c r="C1494" s="31" t="s">
        <v>6357</v>
      </c>
      <c r="D1494" s="98" t="s">
        <v>3214</v>
      </c>
      <c r="E1494" s="99" t="b">
        <v>0</v>
      </c>
      <c r="F1494" s="107" t="s">
        <v>6358</v>
      </c>
      <c r="G1494" s="116" t="str">
        <f>HYPERLINK("http://nsgreg.nga.mil/genc/view?v=201349&amp;end_month=3&amp;end_day=31&amp;end_year=2014","Lakonía")</f>
        <v>Lakonía</v>
      </c>
      <c r="H1494" s="87" t="str">
        <f>HYPERLINK("http://api.nsgreg.nga.mil/geo-division/GENC/6/ed2/GR-16","GR-16")</f>
        <v>GR-16</v>
      </c>
    </row>
    <row r="1495" spans="1:8" x14ac:dyDescent="0.2">
      <c r="A1495" s="157"/>
      <c r="B1495" s="31" t="s">
        <v>6359</v>
      </c>
      <c r="C1495" s="31" t="s">
        <v>6360</v>
      </c>
      <c r="D1495" s="98" t="s">
        <v>3214</v>
      </c>
      <c r="E1495" s="99" t="b">
        <v>0</v>
      </c>
      <c r="F1495" s="107" t="s">
        <v>6361</v>
      </c>
      <c r="G1495" s="116" t="str">
        <f>HYPERLINK("http://nsgreg.nga.mil/genc/view?v=201360&amp;end_month=3&amp;end_day=31&amp;end_year=2014","Lárisa")</f>
        <v>Lárisa</v>
      </c>
      <c r="H1495" s="87" t="str">
        <f>HYPERLINK("http://api.nsgreg.nga.mil/geo-division/GENC/6/ed2/GR-42","GR-42")</f>
        <v>GR-42</v>
      </c>
    </row>
    <row r="1496" spans="1:8" x14ac:dyDescent="0.2">
      <c r="A1496" s="157"/>
      <c r="B1496" s="31" t="s">
        <v>6362</v>
      </c>
      <c r="C1496" s="31" t="s">
        <v>6363</v>
      </c>
      <c r="D1496" s="98" t="s">
        <v>3214</v>
      </c>
      <c r="E1496" s="99" t="b">
        <v>0</v>
      </c>
      <c r="F1496" s="107" t="s">
        <v>6364</v>
      </c>
      <c r="G1496" s="116" t="str">
        <f>HYPERLINK("http://nsgreg.nga.mil/genc/view?v=201386&amp;end_month=3&amp;end_day=31&amp;end_year=2014","Lasíthi")</f>
        <v>Lasíthi</v>
      </c>
      <c r="H1496" s="87" t="str">
        <f>HYPERLINK("http://api.nsgreg.nga.mil/geo-division/GENC/6/ed2/GR-92","GR-92")</f>
        <v>GR-92</v>
      </c>
    </row>
    <row r="1497" spans="1:8" x14ac:dyDescent="0.2">
      <c r="A1497" s="157"/>
      <c r="B1497" s="31" t="s">
        <v>6365</v>
      </c>
      <c r="C1497" s="31" t="s">
        <v>6366</v>
      </c>
      <c r="D1497" s="98" t="s">
        <v>3214</v>
      </c>
      <c r="E1497" s="99" t="b">
        <v>0</v>
      </c>
      <c r="F1497" s="107" t="s">
        <v>6367</v>
      </c>
      <c r="G1497" s="116" t="str">
        <f>HYPERLINK("http://nsgreg.nga.mil/genc/view?v=201354&amp;end_month=3&amp;end_day=31&amp;end_year=2014","Lefkáda")</f>
        <v>Lefkáda</v>
      </c>
      <c r="H1497" s="87" t="str">
        <f>HYPERLINK("http://api.nsgreg.nga.mil/geo-division/GENC/6/ed2/GR-24","GR-24")</f>
        <v>GR-24</v>
      </c>
    </row>
    <row r="1498" spans="1:8" x14ac:dyDescent="0.2">
      <c r="A1498" s="157"/>
      <c r="B1498" s="31" t="s">
        <v>6368</v>
      </c>
      <c r="C1498" s="31" t="s">
        <v>6369</v>
      </c>
      <c r="D1498" s="98" t="s">
        <v>3214</v>
      </c>
      <c r="E1498" s="99" t="b">
        <v>0</v>
      </c>
      <c r="F1498" s="107" t="s">
        <v>6370</v>
      </c>
      <c r="G1498" s="116" t="str">
        <f>HYPERLINK("http://nsgreg.nga.mil/genc/view?v=201382&amp;end_month=3&amp;end_day=31&amp;end_year=2014","Lésvos")</f>
        <v>Lésvos</v>
      </c>
      <c r="H1498" s="87" t="str">
        <f>HYPERLINK("http://api.nsgreg.nga.mil/geo-division/GENC/6/ed2/GR-83","GR-83")</f>
        <v>GR-83</v>
      </c>
    </row>
    <row r="1499" spans="1:8" x14ac:dyDescent="0.2">
      <c r="A1499" s="157"/>
      <c r="B1499" s="31" t="s">
        <v>6371</v>
      </c>
      <c r="C1499" s="31" t="s">
        <v>6372</v>
      </c>
      <c r="D1499" s="98" t="s">
        <v>3214</v>
      </c>
      <c r="E1499" s="99" t="b">
        <v>0</v>
      </c>
      <c r="F1499" s="107" t="s">
        <v>6373</v>
      </c>
      <c r="G1499" s="116" t="str">
        <f>HYPERLINK("http://nsgreg.nga.mil/genc/view?v=201361&amp;end_month=3&amp;end_day=31&amp;end_year=2014","Magnisía")</f>
        <v>Magnisía</v>
      </c>
      <c r="H1499" s="87" t="str">
        <f>HYPERLINK("http://api.nsgreg.nga.mil/geo-division/GENC/6/ed2/GR-43","GR-43")</f>
        <v>GR-43</v>
      </c>
    </row>
    <row r="1500" spans="1:8" x14ac:dyDescent="0.2">
      <c r="A1500" s="157"/>
      <c r="B1500" s="31" t="s">
        <v>6374</v>
      </c>
      <c r="C1500" s="31" t="s">
        <v>6375</v>
      </c>
      <c r="D1500" s="98" t="s">
        <v>3214</v>
      </c>
      <c r="E1500" s="99" t="b">
        <v>0</v>
      </c>
      <c r="F1500" s="107" t="s">
        <v>6376</v>
      </c>
      <c r="G1500" s="116" t="str">
        <f>HYPERLINK("http://nsgreg.nga.mil/genc/view?v=201350&amp;end_month=3&amp;end_day=31&amp;end_year=2014","Messinía")</f>
        <v>Messinía</v>
      </c>
      <c r="H1500" s="87" t="str">
        <f>HYPERLINK("http://api.nsgreg.nga.mil/geo-division/GENC/6/ed2/GR-17","GR-17")</f>
        <v>GR-17</v>
      </c>
    </row>
    <row r="1501" spans="1:8" x14ac:dyDescent="0.2">
      <c r="A1501" s="157"/>
      <c r="B1501" s="31" t="s">
        <v>6377</v>
      </c>
      <c r="C1501" s="31" t="s">
        <v>6378</v>
      </c>
      <c r="D1501" s="31" t="s">
        <v>6247</v>
      </c>
      <c r="E1501" s="61" t="b">
        <v>1</v>
      </c>
      <c r="F1501" s="107" t="s">
        <v>6379</v>
      </c>
      <c r="G1501" s="116" t="str">
        <f>HYPERLINK("http://nsgreg.nga.mil/genc/view?v=201401&amp;end_month=3&amp;end_day=31&amp;end_year=2014","Notío Aigaío")</f>
        <v>Notío Aigaío</v>
      </c>
      <c r="H1501" s="87" t="str">
        <f>HYPERLINK("http://api.nsgreg.nga.mil/geo-division/GENC/6/ed2/GR-L","GR-L")</f>
        <v>GR-L</v>
      </c>
    </row>
    <row r="1502" spans="1:8" x14ac:dyDescent="0.2">
      <c r="A1502" s="157"/>
      <c r="B1502" s="31" t="s">
        <v>6380</v>
      </c>
      <c r="C1502" s="31" t="s">
        <v>6381</v>
      </c>
      <c r="D1502" s="98" t="s">
        <v>3214</v>
      </c>
      <c r="E1502" s="99" t="b">
        <v>0</v>
      </c>
      <c r="F1502" s="107" t="s">
        <v>6382</v>
      </c>
      <c r="G1502" s="116" t="str">
        <f>HYPERLINK("http://nsgreg.nga.mil/genc/view?v=201371&amp;end_month=3&amp;end_day=31&amp;end_year=2014","Pélla")</f>
        <v>Pélla</v>
      </c>
      <c r="H1502" s="87" t="str">
        <f>HYPERLINK("http://api.nsgreg.nga.mil/geo-division/GENC/6/ed2/GR-59","GR-59")</f>
        <v>GR-59</v>
      </c>
    </row>
    <row r="1503" spans="1:8" x14ac:dyDescent="0.2">
      <c r="A1503" s="157"/>
      <c r="B1503" s="31" t="s">
        <v>6383</v>
      </c>
      <c r="C1503" s="31" t="s">
        <v>6384</v>
      </c>
      <c r="D1503" s="31" t="s">
        <v>6247</v>
      </c>
      <c r="E1503" s="61" t="b">
        <v>1</v>
      </c>
      <c r="F1503" s="107" t="s">
        <v>6385</v>
      </c>
      <c r="G1503" s="116" t="str">
        <f>HYPERLINK("http://nsgreg.nga.mil/genc/view?v=201399&amp;end_month=3&amp;end_day=31&amp;end_year=2014","Peloponnísos")</f>
        <v>Peloponnísos</v>
      </c>
      <c r="H1503" s="87" t="str">
        <f>HYPERLINK("http://api.nsgreg.nga.mil/geo-division/GENC/6/ed2/GR-J","GR-J")</f>
        <v>GR-J</v>
      </c>
    </row>
    <row r="1504" spans="1:8" x14ac:dyDescent="0.2">
      <c r="A1504" s="157"/>
      <c r="B1504" s="31" t="s">
        <v>6386</v>
      </c>
      <c r="C1504" s="31" t="s">
        <v>6387</v>
      </c>
      <c r="D1504" s="98" t="s">
        <v>3214</v>
      </c>
      <c r="E1504" s="99" t="b">
        <v>0</v>
      </c>
      <c r="F1504" s="107" t="s">
        <v>6388</v>
      </c>
      <c r="G1504" s="116" t="str">
        <f>HYPERLINK("http://nsgreg.nga.mil/genc/view?v=201372&amp;end_month=3&amp;end_day=31&amp;end_year=2014","Piería")</f>
        <v>Piería</v>
      </c>
      <c r="H1504" s="87" t="str">
        <f>HYPERLINK("http://api.nsgreg.nga.mil/geo-division/GENC/6/ed2/GR-61","GR-61")</f>
        <v>GR-61</v>
      </c>
    </row>
    <row r="1505" spans="1:8" x14ac:dyDescent="0.2">
      <c r="A1505" s="157"/>
      <c r="B1505" s="31" t="s">
        <v>6389</v>
      </c>
      <c r="C1505" s="31" t="s">
        <v>6390</v>
      </c>
      <c r="D1505" s="98" t="s">
        <v>3214</v>
      </c>
      <c r="E1505" s="99" t="b">
        <v>0</v>
      </c>
      <c r="F1505" s="107" t="s">
        <v>6391</v>
      </c>
      <c r="G1505" s="116" t="str">
        <f>HYPERLINK("http://nsgreg.nga.mil/genc/view?v=201358&amp;end_month=3&amp;end_day=31&amp;end_year=2014","Préveza")</f>
        <v>Préveza</v>
      </c>
      <c r="H1505" s="87" t="str">
        <f>HYPERLINK("http://api.nsgreg.nga.mil/geo-division/GENC/6/ed2/GR-34","GR-34")</f>
        <v>GR-34</v>
      </c>
    </row>
    <row r="1506" spans="1:8" x14ac:dyDescent="0.2">
      <c r="A1506" s="157"/>
      <c r="B1506" s="31" t="s">
        <v>6392</v>
      </c>
      <c r="C1506" s="31" t="s">
        <v>6393</v>
      </c>
      <c r="D1506" s="98" t="s">
        <v>3214</v>
      </c>
      <c r="E1506" s="99" t="b">
        <v>0</v>
      </c>
      <c r="F1506" s="107" t="s">
        <v>6394</v>
      </c>
      <c r="G1506" s="116" t="str">
        <f>HYPERLINK("http://nsgreg.nga.mil/genc/view?v=201387&amp;end_month=3&amp;end_day=31&amp;end_year=2014","Rethýmnis")</f>
        <v>Rethýmnis</v>
      </c>
      <c r="H1506" s="87" t="str">
        <f>HYPERLINK("http://api.nsgreg.nga.mil/geo-division/GENC/6/ed2/GR-93","GR-93")</f>
        <v>GR-93</v>
      </c>
    </row>
    <row r="1507" spans="1:8" x14ac:dyDescent="0.2">
      <c r="A1507" s="157"/>
      <c r="B1507" s="31" t="s">
        <v>6395</v>
      </c>
      <c r="C1507" s="31" t="s">
        <v>6396</v>
      </c>
      <c r="D1507" s="98" t="s">
        <v>3214</v>
      </c>
      <c r="E1507" s="99" t="b">
        <v>0</v>
      </c>
      <c r="F1507" s="107" t="s">
        <v>6397</v>
      </c>
      <c r="G1507" s="116" t="str">
        <f>HYPERLINK("http://nsgreg.nga.mil/genc/view?v=201379&amp;end_month=3&amp;end_day=31&amp;end_year=2014","Rodópi")</f>
        <v>Rodópi</v>
      </c>
      <c r="H1507" s="87" t="str">
        <f>HYPERLINK("http://api.nsgreg.nga.mil/geo-division/GENC/6/ed2/GR-73","GR-73")</f>
        <v>GR-73</v>
      </c>
    </row>
    <row r="1508" spans="1:8" x14ac:dyDescent="0.2">
      <c r="A1508" s="157"/>
      <c r="B1508" s="31" t="s">
        <v>6398</v>
      </c>
      <c r="C1508" s="31" t="s">
        <v>6399</v>
      </c>
      <c r="D1508" s="98" t="s">
        <v>3214</v>
      </c>
      <c r="E1508" s="99" t="b">
        <v>0</v>
      </c>
      <c r="F1508" s="107" t="s">
        <v>6400</v>
      </c>
      <c r="G1508" s="116" t="str">
        <f>HYPERLINK("http://nsgreg.nga.mil/genc/view?v=201383&amp;end_month=3&amp;end_day=31&amp;end_year=2014","Sámos")</f>
        <v>Sámos</v>
      </c>
      <c r="H1508" s="87" t="str">
        <f>HYPERLINK("http://api.nsgreg.nga.mil/geo-division/GENC/6/ed2/GR-84","GR-84")</f>
        <v>GR-84</v>
      </c>
    </row>
    <row r="1509" spans="1:8" x14ac:dyDescent="0.2">
      <c r="A1509" s="157"/>
      <c r="B1509" s="31" t="s">
        <v>6401</v>
      </c>
      <c r="C1509" s="31" t="s">
        <v>6402</v>
      </c>
      <c r="D1509" s="98" t="s">
        <v>3214</v>
      </c>
      <c r="E1509" s="99" t="b">
        <v>0</v>
      </c>
      <c r="F1509" s="107" t="s">
        <v>6403</v>
      </c>
      <c r="G1509" s="116" t="str">
        <f>HYPERLINK("http://nsgreg.nga.mil/genc/view?v=201373&amp;end_month=3&amp;end_day=31&amp;end_year=2014","Sérres")</f>
        <v>Sérres</v>
      </c>
      <c r="H1509" s="87" t="str">
        <f>HYPERLINK("http://api.nsgreg.nga.mil/geo-division/GENC/6/ed2/GR-62","GR-62")</f>
        <v>GR-62</v>
      </c>
    </row>
    <row r="1510" spans="1:8" x14ac:dyDescent="0.2">
      <c r="A1510" s="157"/>
      <c r="B1510" s="31" t="s">
        <v>6404</v>
      </c>
      <c r="C1510" s="31" t="s">
        <v>6405</v>
      </c>
      <c r="D1510" s="31" t="s">
        <v>6247</v>
      </c>
      <c r="E1510" s="61" t="b">
        <v>1</v>
      </c>
      <c r="F1510" s="107" t="s">
        <v>6406</v>
      </c>
      <c r="G1510" s="116" t="str">
        <f>HYPERLINK("http://nsgreg.nga.mil/genc/view?v=201397&amp;end_month=3&amp;end_day=31&amp;end_year=2014","Stereá Elláda")</f>
        <v>Stereá Elláda</v>
      </c>
      <c r="H1510" s="87" t="str">
        <f>HYPERLINK("http://api.nsgreg.nga.mil/geo-division/GENC/6/ed2/GR-H","GR-H")</f>
        <v>GR-H</v>
      </c>
    </row>
    <row r="1511" spans="1:8" x14ac:dyDescent="0.2">
      <c r="A1511" s="157"/>
      <c r="B1511" s="31" t="s">
        <v>6407</v>
      </c>
      <c r="C1511" s="31" t="s">
        <v>6408</v>
      </c>
      <c r="D1511" s="98" t="s">
        <v>3214</v>
      </c>
      <c r="E1511" s="99" t="b">
        <v>0</v>
      </c>
      <c r="F1511" s="107" t="s">
        <v>6409</v>
      </c>
      <c r="G1511" s="116" t="str">
        <f>HYPERLINK("http://nsgreg.nga.mil/genc/view?v=201356&amp;end_month=3&amp;end_day=31&amp;end_year=2014","Thesprotía")</f>
        <v>Thesprotía</v>
      </c>
      <c r="H1511" s="87" t="str">
        <f>HYPERLINK("http://api.nsgreg.nga.mil/geo-division/GENC/6/ed2/GR-32","GR-32")</f>
        <v>GR-32</v>
      </c>
    </row>
    <row r="1512" spans="1:8" x14ac:dyDescent="0.2">
      <c r="A1512" s="157"/>
      <c r="B1512" s="31" t="s">
        <v>6410</v>
      </c>
      <c r="C1512" s="31" t="s">
        <v>6411</v>
      </c>
      <c r="D1512" s="31" t="s">
        <v>6247</v>
      </c>
      <c r="E1512" s="61" t="b">
        <v>1</v>
      </c>
      <c r="F1512" s="107" t="s">
        <v>6412</v>
      </c>
      <c r="G1512" s="116" t="str">
        <f>HYPERLINK("http://nsgreg.nga.mil/genc/view?v=201394&amp;end_month=3&amp;end_day=31&amp;end_year=2014","Thessalía")</f>
        <v>Thessalía</v>
      </c>
      <c r="H1512" s="87" t="str">
        <f>HYPERLINK("http://api.nsgreg.nga.mil/geo-division/GENC/6/ed2/GR-E","GR-E")</f>
        <v>GR-E</v>
      </c>
    </row>
    <row r="1513" spans="1:8" x14ac:dyDescent="0.2">
      <c r="A1513" s="157"/>
      <c r="B1513" s="31" t="s">
        <v>6413</v>
      </c>
      <c r="C1513" s="31" t="s">
        <v>6414</v>
      </c>
      <c r="D1513" s="98" t="s">
        <v>3214</v>
      </c>
      <c r="E1513" s="99" t="b">
        <v>0</v>
      </c>
      <c r="F1513" s="107" t="s">
        <v>6415</v>
      </c>
      <c r="G1513" s="116" t="str">
        <f>HYPERLINK("http://nsgreg.nga.mil/genc/view?v=201366&amp;end_month=3&amp;end_day=31&amp;end_year=2014","Thessaloníki")</f>
        <v>Thessaloníki</v>
      </c>
      <c r="H1513" s="87" t="str">
        <f>HYPERLINK("http://api.nsgreg.nga.mil/geo-division/GENC/6/ed2/GR-54","GR-54")</f>
        <v>GR-54</v>
      </c>
    </row>
    <row r="1514" spans="1:8" x14ac:dyDescent="0.2">
      <c r="A1514" s="157"/>
      <c r="B1514" s="31" t="s">
        <v>6416</v>
      </c>
      <c r="C1514" s="31" t="s">
        <v>6417</v>
      </c>
      <c r="D1514" s="98" t="s">
        <v>3214</v>
      </c>
      <c r="E1514" s="99" t="b">
        <v>0</v>
      </c>
      <c r="F1514" s="107" t="s">
        <v>6418</v>
      </c>
      <c r="G1514" s="116" t="str">
        <f>HYPERLINK("http://nsgreg.nga.mil/genc/view?v=201362&amp;end_month=3&amp;end_day=31&amp;end_year=2014","Tríkala")</f>
        <v>Tríkala</v>
      </c>
      <c r="H1514" s="87" t="str">
        <f>HYPERLINK("http://api.nsgreg.nga.mil/geo-division/GENC/6/ed2/GR-44","GR-44")</f>
        <v>GR-44</v>
      </c>
    </row>
    <row r="1515" spans="1:8" x14ac:dyDescent="0.2">
      <c r="A1515" s="157"/>
      <c r="B1515" s="31" t="s">
        <v>6419</v>
      </c>
      <c r="C1515" s="31" t="s">
        <v>6420</v>
      </c>
      <c r="D1515" s="98" t="s">
        <v>3214</v>
      </c>
      <c r="E1515" s="99" t="b">
        <v>0</v>
      </c>
      <c r="F1515" s="107" t="s">
        <v>6421</v>
      </c>
      <c r="G1515" s="116" t="str">
        <f>HYPERLINK("http://nsgreg.nga.mil/genc/view?v=201340&amp;end_month=3&amp;end_day=31&amp;end_year=2014","Voiotía")</f>
        <v>Voiotía</v>
      </c>
      <c r="H1515" s="87" t="str">
        <f>HYPERLINK("http://api.nsgreg.nga.mil/geo-division/GENC/6/ed2/GR-03","GR-03")</f>
        <v>GR-03</v>
      </c>
    </row>
    <row r="1516" spans="1:8" x14ac:dyDescent="0.2">
      <c r="A1516" s="157"/>
      <c r="B1516" s="31" t="s">
        <v>6422</v>
      </c>
      <c r="C1516" s="31" t="s">
        <v>6423</v>
      </c>
      <c r="D1516" s="31" t="s">
        <v>6247</v>
      </c>
      <c r="E1516" s="61" t="b">
        <v>1</v>
      </c>
      <c r="F1516" s="107" t="s">
        <v>6424</v>
      </c>
      <c r="G1516" s="116" t="str">
        <f>HYPERLINK("http://nsgreg.nga.mil/genc/view?v=201400&amp;end_month=3&amp;end_day=31&amp;end_year=2014","Voreío Aigaío")</f>
        <v>Voreío Aigaío</v>
      </c>
      <c r="H1516" s="87" t="str">
        <f>HYPERLINK("http://api.nsgreg.nga.mil/geo-division/GENC/6/ed2/GR-K","GR-K")</f>
        <v>GR-K</v>
      </c>
    </row>
    <row r="1517" spans="1:8" x14ac:dyDescent="0.2">
      <c r="A1517" s="157"/>
      <c r="B1517" s="31" t="s">
        <v>6425</v>
      </c>
      <c r="C1517" s="31" t="s">
        <v>6426</v>
      </c>
      <c r="D1517" s="98" t="s">
        <v>3214</v>
      </c>
      <c r="E1517" s="99" t="b">
        <v>0</v>
      </c>
      <c r="F1517" s="107" t="s">
        <v>6427</v>
      </c>
      <c r="G1517" s="116" t="str">
        <f>HYPERLINK("http://nsgreg.nga.mil/genc/view?v=201378&amp;end_month=3&amp;end_day=31&amp;end_year=2014","Xánthi")</f>
        <v>Xánthi</v>
      </c>
      <c r="H1517" s="87" t="str">
        <f>HYPERLINK("http://api.nsgreg.nga.mil/geo-division/GENC/6/ed2/GR-72","GR-72")</f>
        <v>GR-72</v>
      </c>
    </row>
    <row r="1518" spans="1:8" x14ac:dyDescent="0.2">
      <c r="A1518" s="158"/>
      <c r="B1518" s="58" t="s">
        <v>6428</v>
      </c>
      <c r="C1518" s="58" t="s">
        <v>6429</v>
      </c>
      <c r="D1518" s="100" t="s">
        <v>3214</v>
      </c>
      <c r="E1518" s="101" t="b">
        <v>0</v>
      </c>
      <c r="F1518" s="111" t="s">
        <v>6430</v>
      </c>
      <c r="G1518" s="117" t="str">
        <f>HYPERLINK("http://nsgreg.nga.mil/genc/view?v=201351&amp;end_month=3&amp;end_day=31&amp;end_year=2014","Zakyýnthos")</f>
        <v>Zakyýnthos</v>
      </c>
      <c r="H1518" s="89" t="str">
        <f>HYPERLINK("http://api.nsgreg.nga.mil/geo-division/GENC/6/ed2/GR-21","GR-21")</f>
        <v>GR-21</v>
      </c>
    </row>
    <row r="1519" spans="1:8" x14ac:dyDescent="0.2">
      <c r="A1519" s="156" t="str">
        <f>HYPERLINK("[#]Geopolitical_Entities!A107:I107","GREENLAND")</f>
        <v>GREENLAND</v>
      </c>
      <c r="B1519" s="52" t="s">
        <v>6431</v>
      </c>
      <c r="C1519" s="52" t="s">
        <v>6432</v>
      </c>
      <c r="D1519" s="52" t="s">
        <v>3254</v>
      </c>
      <c r="E1519" s="60" t="b">
        <v>1</v>
      </c>
      <c r="F1519" s="110" t="s">
        <v>6433</v>
      </c>
      <c r="G1519" s="118" t="str">
        <f>HYPERLINK("http://nsgreg.nga.mil/genc/view?v=201324&amp;end_month=3&amp;end_day=31&amp;end_year=2014","Kujalleq")</f>
        <v>Kujalleq</v>
      </c>
      <c r="H1519" s="91" t="str">
        <f>HYPERLINK("http://api.nsgreg.nga.mil/geo-division/GENC/6/ed2/GL-KU","GL-KU")</f>
        <v>GL-KU</v>
      </c>
    </row>
    <row r="1520" spans="1:8" x14ac:dyDescent="0.2">
      <c r="A1520" s="157"/>
      <c r="B1520" s="31" t="s">
        <v>6434</v>
      </c>
      <c r="C1520" s="31" t="s">
        <v>6435</v>
      </c>
      <c r="D1520" s="31" t="s">
        <v>3254</v>
      </c>
      <c r="E1520" s="61" t="b">
        <v>1</v>
      </c>
      <c r="F1520" s="107" t="s">
        <v>6436</v>
      </c>
      <c r="G1520" s="116" t="str">
        <f>HYPERLINK("http://nsgreg.nga.mil/genc/view?v=201325&amp;end_month=3&amp;end_day=31&amp;end_year=2014","Qaasuitsup")</f>
        <v>Qaasuitsup</v>
      </c>
      <c r="H1520" s="87" t="str">
        <f>HYPERLINK("http://api.nsgreg.nga.mil/geo-division/GENC/6/ed2/GL-QA","GL-QA")</f>
        <v>GL-QA</v>
      </c>
    </row>
    <row r="1521" spans="1:8" x14ac:dyDescent="0.2">
      <c r="A1521" s="157"/>
      <c r="B1521" s="31" t="s">
        <v>6437</v>
      </c>
      <c r="C1521" s="31" t="s">
        <v>6438</v>
      </c>
      <c r="D1521" s="31" t="s">
        <v>3254</v>
      </c>
      <c r="E1521" s="61" t="b">
        <v>1</v>
      </c>
      <c r="F1521" s="107" t="s">
        <v>6439</v>
      </c>
      <c r="G1521" s="116" t="str">
        <f>HYPERLINK("http://nsgreg.nga.mil/genc/view?v=201326&amp;end_month=3&amp;end_day=31&amp;end_year=2014","Qeqqata")</f>
        <v>Qeqqata</v>
      </c>
      <c r="H1521" s="87" t="str">
        <f>HYPERLINK("http://api.nsgreg.nga.mil/geo-division/GENC/6/ed2/GL-QE","GL-QE")</f>
        <v>GL-QE</v>
      </c>
    </row>
    <row r="1522" spans="1:8" x14ac:dyDescent="0.2">
      <c r="A1522" s="158"/>
      <c r="B1522" s="58" t="s">
        <v>6440</v>
      </c>
      <c r="C1522" s="58" t="s">
        <v>6441</v>
      </c>
      <c r="D1522" s="58" t="s">
        <v>3254</v>
      </c>
      <c r="E1522" s="62" t="b">
        <v>1</v>
      </c>
      <c r="F1522" s="111" t="s">
        <v>6442</v>
      </c>
      <c r="G1522" s="117" t="str">
        <f>HYPERLINK("http://nsgreg.nga.mil/genc/view?v=201327&amp;end_month=3&amp;end_day=31&amp;end_year=2014","Sermersooq")</f>
        <v>Sermersooq</v>
      </c>
      <c r="H1522" s="89" t="str">
        <f>HYPERLINK("http://api.nsgreg.nga.mil/geo-division/GENC/6/ed2/GL-SM","GL-SM")</f>
        <v>GL-SM</v>
      </c>
    </row>
    <row r="1523" spans="1:8" x14ac:dyDescent="0.2">
      <c r="A1523" s="156" t="str">
        <f>HYPERLINK("[#]Geopolitical_Entities!A108:I108","GRENADA")</f>
        <v>GRENADA</v>
      </c>
      <c r="B1523" s="52" t="s">
        <v>6443</v>
      </c>
      <c r="C1523" s="52" t="s">
        <v>3110</v>
      </c>
      <c r="D1523" s="52" t="s">
        <v>2301</v>
      </c>
      <c r="E1523" s="60" t="b">
        <v>1</v>
      </c>
      <c r="F1523" s="109" t="s">
        <v>6444</v>
      </c>
      <c r="G1523" s="118" t="str">
        <f>HYPERLINK("http://nsgreg.nga.mil/genc/view?v=113575&amp;gencs=T&amp;end_month=3&amp;end_day=31&amp;end_year=2014","Saint Andrew")</f>
        <v>Saint Andrew</v>
      </c>
      <c r="H1523" s="91" t="str">
        <f>HYPERLINK("http://api.nsgreg.nga.mil/geo-division/ISO3166-2/6/ed3/GD-01","GD-01")</f>
        <v>GD-01</v>
      </c>
    </row>
    <row r="1524" spans="1:8" x14ac:dyDescent="0.2">
      <c r="A1524" s="157"/>
      <c r="B1524" s="31" t="s">
        <v>6445</v>
      </c>
      <c r="C1524" s="31" t="s">
        <v>5152</v>
      </c>
      <c r="D1524" s="31" t="s">
        <v>2301</v>
      </c>
      <c r="E1524" s="61" t="b">
        <v>1</v>
      </c>
      <c r="F1524" s="106" t="s">
        <v>6446</v>
      </c>
      <c r="G1524" s="116" t="str">
        <f>HYPERLINK("http://nsgreg.nga.mil/genc/view?v=113576&amp;gencs=T&amp;end_month=3&amp;end_day=31&amp;end_year=2014","Saint David")</f>
        <v>Saint David</v>
      </c>
      <c r="H1524" s="87" t="str">
        <f>HYPERLINK("http://api.nsgreg.nga.mil/geo-division/ISO3166-2/6/ed3/GD-02","GD-02")</f>
        <v>GD-02</v>
      </c>
    </row>
    <row r="1525" spans="1:8" x14ac:dyDescent="0.2">
      <c r="A1525" s="157"/>
      <c r="B1525" s="31" t="s">
        <v>6447</v>
      </c>
      <c r="C1525" s="31" t="s">
        <v>2383</v>
      </c>
      <c r="D1525" s="31" t="s">
        <v>2301</v>
      </c>
      <c r="E1525" s="61" t="b">
        <v>1</v>
      </c>
      <c r="F1525" s="106" t="s">
        <v>6448</v>
      </c>
      <c r="G1525" s="116" t="str">
        <f>HYPERLINK("http://nsgreg.nga.mil/genc/view?v=113577&amp;gencs=T&amp;end_month=3&amp;end_day=31&amp;end_year=2014","Saint George")</f>
        <v>Saint George</v>
      </c>
      <c r="H1525" s="87" t="str">
        <f>HYPERLINK("http://api.nsgreg.nga.mil/geo-division/ISO3166-2/6/ed3/GD-03","GD-03")</f>
        <v>GD-03</v>
      </c>
    </row>
    <row r="1526" spans="1:8" x14ac:dyDescent="0.2">
      <c r="A1526" s="157"/>
      <c r="B1526" s="31" t="s">
        <v>6449</v>
      </c>
      <c r="C1526" s="31" t="s">
        <v>2386</v>
      </c>
      <c r="D1526" s="31" t="s">
        <v>2301</v>
      </c>
      <c r="E1526" s="61" t="b">
        <v>1</v>
      </c>
      <c r="F1526" s="106" t="s">
        <v>6450</v>
      </c>
      <c r="G1526" s="116" t="str">
        <f>HYPERLINK("http://nsgreg.nga.mil/genc/view?v=113578&amp;gencs=T&amp;end_month=3&amp;end_day=31&amp;end_year=2014","Saint John")</f>
        <v>Saint John</v>
      </c>
      <c r="H1526" s="87" t="str">
        <f>HYPERLINK("http://api.nsgreg.nga.mil/geo-division/ISO3166-2/6/ed3/GD-04","GD-04")</f>
        <v>GD-04</v>
      </c>
    </row>
    <row r="1527" spans="1:8" x14ac:dyDescent="0.2">
      <c r="A1527" s="157"/>
      <c r="B1527" s="31" t="s">
        <v>6451</v>
      </c>
      <c r="C1527" s="31" t="s">
        <v>5164</v>
      </c>
      <c r="D1527" s="31" t="s">
        <v>2301</v>
      </c>
      <c r="E1527" s="61" t="b">
        <v>1</v>
      </c>
      <c r="F1527" s="106" t="s">
        <v>6452</v>
      </c>
      <c r="G1527" s="116" t="str">
        <f>HYPERLINK("http://nsgreg.nga.mil/genc/view?v=113579&amp;gencs=T&amp;end_month=3&amp;end_day=31&amp;end_year=2014","Saint Mark")</f>
        <v>Saint Mark</v>
      </c>
      <c r="H1527" s="87" t="str">
        <f>HYPERLINK("http://api.nsgreg.nga.mil/geo-division/ISO3166-2/6/ed3/GD-05","GD-05")</f>
        <v>GD-05</v>
      </c>
    </row>
    <row r="1528" spans="1:8" x14ac:dyDescent="0.2">
      <c r="A1528" s="157"/>
      <c r="B1528" s="31" t="s">
        <v>6453</v>
      </c>
      <c r="C1528" s="31" t="s">
        <v>5167</v>
      </c>
      <c r="D1528" s="31" t="s">
        <v>2301</v>
      </c>
      <c r="E1528" s="61" t="b">
        <v>1</v>
      </c>
      <c r="F1528" s="106" t="s">
        <v>6454</v>
      </c>
      <c r="G1528" s="116" t="str">
        <f>HYPERLINK("http://nsgreg.nga.mil/genc/view?v=113580&amp;gencs=T&amp;end_month=3&amp;end_day=31&amp;end_year=2014","Saint Patrick")</f>
        <v>Saint Patrick</v>
      </c>
      <c r="H1528" s="87" t="str">
        <f>HYPERLINK("http://api.nsgreg.nga.mil/geo-division/ISO3166-2/6/ed3/GD-06","GD-06")</f>
        <v>GD-06</v>
      </c>
    </row>
    <row r="1529" spans="1:8" x14ac:dyDescent="0.2">
      <c r="A1529" s="158"/>
      <c r="B1529" s="58" t="s">
        <v>6455</v>
      </c>
      <c r="C1529" s="58" t="s">
        <v>6456</v>
      </c>
      <c r="D1529" s="100" t="s">
        <v>2377</v>
      </c>
      <c r="E1529" s="101" t="b">
        <v>0</v>
      </c>
      <c r="F1529" s="108" t="s">
        <v>6457</v>
      </c>
      <c r="G1529" s="117" t="str">
        <f>HYPERLINK("http://nsgreg.nga.mil/genc/view?v=113581&amp;gencs=T&amp;end_month=3&amp;end_day=31&amp;end_year=2014","Southern Grenadine Islands")</f>
        <v>Southern Grenadine Islands</v>
      </c>
      <c r="H1529" s="89" t="str">
        <f>HYPERLINK("http://api.nsgreg.nga.mil/geo-division/ISO3166-2/6/ed3/GD-10","GD-10")</f>
        <v>GD-10</v>
      </c>
    </row>
    <row r="1530" spans="1:8" x14ac:dyDescent="0.2">
      <c r="A1530" s="156" t="str">
        <f>HYPERLINK("[#]Geopolitical_Entities!A112:I112","GUATEMALA")</f>
        <v>GUATEMALA</v>
      </c>
      <c r="B1530" s="52" t="s">
        <v>6458</v>
      </c>
      <c r="C1530" s="52" t="s">
        <v>6459</v>
      </c>
      <c r="D1530" s="52" t="s">
        <v>3214</v>
      </c>
      <c r="E1530" s="60" t="b">
        <v>1</v>
      </c>
      <c r="F1530" s="109" t="s">
        <v>6460</v>
      </c>
      <c r="G1530" s="118" t="str">
        <f>HYPERLINK("http://nsgreg.nga.mil/genc/view?v=113729&amp;gencs=T&amp;end_month=3&amp;end_day=31&amp;end_year=2014","Alta Verapaz")</f>
        <v>Alta Verapaz</v>
      </c>
      <c r="H1530" s="91" t="str">
        <f>HYPERLINK("http://api.nsgreg.nga.mil/geo-division/ISO3166-2/6/ed3/GT-AV","GT-AV")</f>
        <v>GT-AV</v>
      </c>
    </row>
    <row r="1531" spans="1:8" x14ac:dyDescent="0.2">
      <c r="A1531" s="157"/>
      <c r="B1531" s="31" t="s">
        <v>6461</v>
      </c>
      <c r="C1531" s="31" t="s">
        <v>6462</v>
      </c>
      <c r="D1531" s="31" t="s">
        <v>3214</v>
      </c>
      <c r="E1531" s="61" t="b">
        <v>1</v>
      </c>
      <c r="F1531" s="106" t="s">
        <v>6463</v>
      </c>
      <c r="G1531" s="116" t="str">
        <f>HYPERLINK("http://nsgreg.nga.mil/genc/view?v=113730&amp;gencs=T&amp;end_month=3&amp;end_day=31&amp;end_year=2014","Baja Verapaz")</f>
        <v>Baja Verapaz</v>
      </c>
      <c r="H1531" s="87" t="str">
        <f>HYPERLINK("http://api.nsgreg.nga.mil/geo-division/ISO3166-2/6/ed3/GT-BV","GT-BV")</f>
        <v>GT-BV</v>
      </c>
    </row>
    <row r="1532" spans="1:8" x14ac:dyDescent="0.2">
      <c r="A1532" s="157"/>
      <c r="B1532" s="31" t="s">
        <v>6464</v>
      </c>
      <c r="C1532" s="31" t="s">
        <v>6465</v>
      </c>
      <c r="D1532" s="31" t="s">
        <v>3214</v>
      </c>
      <c r="E1532" s="61" t="b">
        <v>1</v>
      </c>
      <c r="F1532" s="106" t="s">
        <v>6466</v>
      </c>
      <c r="G1532" s="116" t="str">
        <f>HYPERLINK("http://nsgreg.nga.mil/genc/view?v=113731&amp;gencs=T&amp;end_month=3&amp;end_day=31&amp;end_year=2014","Chimaltenango")</f>
        <v>Chimaltenango</v>
      </c>
      <c r="H1532" s="87" t="str">
        <f>HYPERLINK("http://api.nsgreg.nga.mil/geo-division/ISO3166-2/6/ed3/GT-CM","GT-CM")</f>
        <v>GT-CM</v>
      </c>
    </row>
    <row r="1533" spans="1:8" x14ac:dyDescent="0.2">
      <c r="A1533" s="157"/>
      <c r="B1533" s="31" t="s">
        <v>6467</v>
      </c>
      <c r="C1533" s="31" t="s">
        <v>6468</v>
      </c>
      <c r="D1533" s="31" t="s">
        <v>3214</v>
      </c>
      <c r="E1533" s="61" t="b">
        <v>1</v>
      </c>
      <c r="F1533" s="106" t="s">
        <v>6469</v>
      </c>
      <c r="G1533" s="116" t="str">
        <f>HYPERLINK("http://nsgreg.nga.mil/genc/view?v=113732&amp;gencs=T&amp;end_month=3&amp;end_day=31&amp;end_year=2014","Chiquimula")</f>
        <v>Chiquimula</v>
      </c>
      <c r="H1533" s="87" t="str">
        <f>HYPERLINK("http://api.nsgreg.nga.mil/geo-division/ISO3166-2/6/ed3/GT-CQ","GT-CQ")</f>
        <v>GT-CQ</v>
      </c>
    </row>
    <row r="1534" spans="1:8" x14ac:dyDescent="0.2">
      <c r="A1534" s="157"/>
      <c r="B1534" s="31" t="s">
        <v>6470</v>
      </c>
      <c r="C1534" s="31" t="s">
        <v>6471</v>
      </c>
      <c r="D1534" s="31" t="s">
        <v>3214</v>
      </c>
      <c r="E1534" s="61" t="b">
        <v>1</v>
      </c>
      <c r="F1534" s="106" t="s">
        <v>6472</v>
      </c>
      <c r="G1534" s="116" t="str">
        <f>HYPERLINK("http://nsgreg.nga.mil/genc/view?v=113740&amp;gencs=T&amp;end_month=3&amp;end_day=31&amp;end_year=2014","El Progreso")</f>
        <v>El Progreso</v>
      </c>
      <c r="H1534" s="87" t="str">
        <f>HYPERLINK("http://api.nsgreg.nga.mil/geo-division/ISO3166-2/6/ed3/GT-PR","GT-PR")</f>
        <v>GT-PR</v>
      </c>
    </row>
    <row r="1535" spans="1:8" x14ac:dyDescent="0.2">
      <c r="A1535" s="157"/>
      <c r="B1535" s="31" t="s">
        <v>6473</v>
      </c>
      <c r="C1535" s="31" t="s">
        <v>6474</v>
      </c>
      <c r="D1535" s="31" t="s">
        <v>3214</v>
      </c>
      <c r="E1535" s="61" t="b">
        <v>1</v>
      </c>
      <c r="F1535" s="106" t="s">
        <v>6475</v>
      </c>
      <c r="G1535" s="116" t="str">
        <f>HYPERLINK("http://nsgreg.nga.mil/genc/view?v=113733&amp;gencs=T&amp;end_month=3&amp;end_day=31&amp;end_year=2014","Escuintla")</f>
        <v>Escuintla</v>
      </c>
      <c r="H1535" s="87" t="str">
        <f>HYPERLINK("http://api.nsgreg.nga.mil/geo-division/ISO3166-2/6/ed3/GT-ES","GT-ES")</f>
        <v>GT-ES</v>
      </c>
    </row>
    <row r="1536" spans="1:8" x14ac:dyDescent="0.2">
      <c r="A1536" s="157"/>
      <c r="B1536" s="31" t="s">
        <v>6476</v>
      </c>
      <c r="C1536" s="31" t="s">
        <v>779</v>
      </c>
      <c r="D1536" s="31" t="s">
        <v>3214</v>
      </c>
      <c r="E1536" s="61" t="b">
        <v>1</v>
      </c>
      <c r="F1536" s="106" t="s">
        <v>6477</v>
      </c>
      <c r="G1536" s="116" t="str">
        <f>HYPERLINK("http://nsgreg.nga.mil/genc/view?v=113734&amp;gencs=T&amp;end_month=3&amp;end_day=31&amp;end_year=2014","Guatemala")</f>
        <v>Guatemala</v>
      </c>
      <c r="H1536" s="87" t="str">
        <f>HYPERLINK("http://api.nsgreg.nga.mil/geo-division/ISO3166-2/6/ed3/GT-GU","GT-GU")</f>
        <v>GT-GU</v>
      </c>
    </row>
    <row r="1537" spans="1:8" x14ac:dyDescent="0.2">
      <c r="A1537" s="157"/>
      <c r="B1537" s="31" t="s">
        <v>6478</v>
      </c>
      <c r="C1537" s="31" t="s">
        <v>6479</v>
      </c>
      <c r="D1537" s="31" t="s">
        <v>3214</v>
      </c>
      <c r="E1537" s="61" t="b">
        <v>1</v>
      </c>
      <c r="F1537" s="106" t="s">
        <v>6480</v>
      </c>
      <c r="G1537" s="116" t="str">
        <f>HYPERLINK("http://nsgreg.nga.mil/genc/view?v=113735&amp;gencs=T&amp;end_month=3&amp;end_day=31&amp;end_year=2014","Huehuetenango")</f>
        <v>Huehuetenango</v>
      </c>
      <c r="H1537" s="87" t="str">
        <f>HYPERLINK("http://api.nsgreg.nga.mil/geo-division/ISO3166-2/6/ed3/GT-HU","GT-HU")</f>
        <v>GT-HU</v>
      </c>
    </row>
    <row r="1538" spans="1:8" x14ac:dyDescent="0.2">
      <c r="A1538" s="157"/>
      <c r="B1538" s="31" t="s">
        <v>6481</v>
      </c>
      <c r="C1538" s="31" t="s">
        <v>6482</v>
      </c>
      <c r="D1538" s="31" t="s">
        <v>3214</v>
      </c>
      <c r="E1538" s="61" t="b">
        <v>1</v>
      </c>
      <c r="F1538" s="106" t="s">
        <v>6483</v>
      </c>
      <c r="G1538" s="116" t="str">
        <f>HYPERLINK("http://nsgreg.nga.mil/genc/view?v=113736&amp;gencs=T&amp;end_month=3&amp;end_day=31&amp;end_year=2014","Izabal")</f>
        <v>Izabal</v>
      </c>
      <c r="H1538" s="87" t="str">
        <f>HYPERLINK("http://api.nsgreg.nga.mil/geo-division/ISO3166-2/6/ed3/GT-IZ","GT-IZ")</f>
        <v>GT-IZ</v>
      </c>
    </row>
    <row r="1539" spans="1:8" x14ac:dyDescent="0.2">
      <c r="A1539" s="157"/>
      <c r="B1539" s="31" t="s">
        <v>6484</v>
      </c>
      <c r="C1539" s="31" t="s">
        <v>6485</v>
      </c>
      <c r="D1539" s="31" t="s">
        <v>3214</v>
      </c>
      <c r="E1539" s="61" t="b">
        <v>1</v>
      </c>
      <c r="F1539" s="106" t="s">
        <v>6486</v>
      </c>
      <c r="G1539" s="116" t="str">
        <f>HYPERLINK("http://nsgreg.nga.mil/genc/view?v=113737&amp;gencs=T&amp;end_month=3&amp;end_day=31&amp;end_year=2014","Jalapa")</f>
        <v>Jalapa</v>
      </c>
      <c r="H1539" s="87" t="str">
        <f>HYPERLINK("http://api.nsgreg.nga.mil/geo-division/ISO3166-2/6/ed3/GT-JA","GT-JA")</f>
        <v>GT-JA</v>
      </c>
    </row>
    <row r="1540" spans="1:8" x14ac:dyDescent="0.2">
      <c r="A1540" s="157"/>
      <c r="B1540" s="31" t="s">
        <v>6487</v>
      </c>
      <c r="C1540" s="31" t="s">
        <v>6488</v>
      </c>
      <c r="D1540" s="31" t="s">
        <v>3214</v>
      </c>
      <c r="E1540" s="61" t="b">
        <v>1</v>
      </c>
      <c r="F1540" s="106" t="s">
        <v>6489</v>
      </c>
      <c r="G1540" s="116" t="str">
        <f>HYPERLINK("http://nsgreg.nga.mil/genc/view?v=113738&amp;gencs=T&amp;end_month=3&amp;end_day=31&amp;end_year=2014","Jutiapa")</f>
        <v>Jutiapa</v>
      </c>
      <c r="H1540" s="87" t="str">
        <f>HYPERLINK("http://api.nsgreg.nga.mil/geo-division/ISO3166-2/6/ed3/GT-JU","GT-JU")</f>
        <v>GT-JU</v>
      </c>
    </row>
    <row r="1541" spans="1:8" x14ac:dyDescent="0.2">
      <c r="A1541" s="157"/>
      <c r="B1541" s="31" t="s">
        <v>6490</v>
      </c>
      <c r="C1541" s="31" t="s">
        <v>6491</v>
      </c>
      <c r="D1541" s="31" t="s">
        <v>3214</v>
      </c>
      <c r="E1541" s="61" t="b">
        <v>1</v>
      </c>
      <c r="F1541" s="106" t="s">
        <v>6492</v>
      </c>
      <c r="G1541" s="116" t="str">
        <f>HYPERLINK("http://nsgreg.nga.mil/genc/view?v=113739&amp;gencs=T&amp;end_month=3&amp;end_day=31&amp;end_year=2014","Petén")</f>
        <v>Petén</v>
      </c>
      <c r="H1541" s="87" t="str">
        <f>HYPERLINK("http://api.nsgreg.nga.mil/geo-division/ISO3166-2/6/ed3/GT-PE","GT-PE")</f>
        <v>GT-PE</v>
      </c>
    </row>
    <row r="1542" spans="1:8" x14ac:dyDescent="0.2">
      <c r="A1542" s="157"/>
      <c r="B1542" s="31" t="s">
        <v>6493</v>
      </c>
      <c r="C1542" s="31" t="s">
        <v>6494</v>
      </c>
      <c r="D1542" s="31" t="s">
        <v>3214</v>
      </c>
      <c r="E1542" s="61" t="b">
        <v>1</v>
      </c>
      <c r="F1542" s="106" t="s">
        <v>6495</v>
      </c>
      <c r="G1542" s="116" t="str">
        <f>HYPERLINK("http://nsgreg.nga.mil/genc/view?v=113742&amp;gencs=T&amp;end_month=3&amp;end_day=31&amp;end_year=2014","Quetzaltenango")</f>
        <v>Quetzaltenango</v>
      </c>
      <c r="H1542" s="87" t="str">
        <f>HYPERLINK("http://api.nsgreg.nga.mil/geo-division/ISO3166-2/6/ed3/GT-QZ","GT-QZ")</f>
        <v>GT-QZ</v>
      </c>
    </row>
    <row r="1543" spans="1:8" x14ac:dyDescent="0.2">
      <c r="A1543" s="157"/>
      <c r="B1543" s="31" t="s">
        <v>6496</v>
      </c>
      <c r="C1543" s="31" t="s">
        <v>6497</v>
      </c>
      <c r="D1543" s="31" t="s">
        <v>3214</v>
      </c>
      <c r="E1543" s="61" t="b">
        <v>1</v>
      </c>
      <c r="F1543" s="106" t="s">
        <v>6498</v>
      </c>
      <c r="G1543" s="116" t="str">
        <f>HYPERLINK("http://nsgreg.nga.mil/genc/view?v=113741&amp;gencs=T&amp;end_month=3&amp;end_day=31&amp;end_year=2014","Quiché")</f>
        <v>Quiché</v>
      </c>
      <c r="H1543" s="87" t="str">
        <f>HYPERLINK("http://api.nsgreg.nga.mil/geo-division/ISO3166-2/6/ed3/GT-QC","GT-QC")</f>
        <v>GT-QC</v>
      </c>
    </row>
    <row r="1544" spans="1:8" x14ac:dyDescent="0.2">
      <c r="A1544" s="157"/>
      <c r="B1544" s="31" t="s">
        <v>6499</v>
      </c>
      <c r="C1544" s="31" t="s">
        <v>6500</v>
      </c>
      <c r="D1544" s="31" t="s">
        <v>3214</v>
      </c>
      <c r="E1544" s="61" t="b">
        <v>1</v>
      </c>
      <c r="F1544" s="106" t="s">
        <v>6501</v>
      </c>
      <c r="G1544" s="116" t="str">
        <f>HYPERLINK("http://nsgreg.nga.mil/genc/view?v=113743&amp;gencs=T&amp;end_month=3&amp;end_day=31&amp;end_year=2014","Retalhuleu")</f>
        <v>Retalhuleu</v>
      </c>
      <c r="H1544" s="87" t="str">
        <f>HYPERLINK("http://api.nsgreg.nga.mil/geo-division/ISO3166-2/6/ed3/GT-RE","GT-RE")</f>
        <v>GT-RE</v>
      </c>
    </row>
    <row r="1545" spans="1:8" x14ac:dyDescent="0.2">
      <c r="A1545" s="157"/>
      <c r="B1545" s="31" t="s">
        <v>6502</v>
      </c>
      <c r="C1545" s="31" t="s">
        <v>6503</v>
      </c>
      <c r="D1545" s="31" t="s">
        <v>3214</v>
      </c>
      <c r="E1545" s="61" t="b">
        <v>1</v>
      </c>
      <c r="F1545" s="106" t="s">
        <v>6504</v>
      </c>
      <c r="G1545" s="116" t="str">
        <f>HYPERLINK("http://nsgreg.nga.mil/genc/view?v=113744&amp;gencs=T&amp;end_month=3&amp;end_day=31&amp;end_year=2014","Sacatepéquez")</f>
        <v>Sacatepéquez</v>
      </c>
      <c r="H1545" s="87" t="str">
        <f>HYPERLINK("http://api.nsgreg.nga.mil/geo-division/ISO3166-2/6/ed3/GT-SA","GT-SA")</f>
        <v>GT-SA</v>
      </c>
    </row>
    <row r="1546" spans="1:8" x14ac:dyDescent="0.2">
      <c r="A1546" s="157"/>
      <c r="B1546" s="31" t="s">
        <v>6505</v>
      </c>
      <c r="C1546" s="31" t="s">
        <v>6506</v>
      </c>
      <c r="D1546" s="31" t="s">
        <v>3214</v>
      </c>
      <c r="E1546" s="61" t="b">
        <v>1</v>
      </c>
      <c r="F1546" s="106" t="s">
        <v>6507</v>
      </c>
      <c r="G1546" s="116" t="str">
        <f>HYPERLINK("http://nsgreg.nga.mil/genc/view?v=113745&amp;gencs=T&amp;end_month=3&amp;end_day=31&amp;end_year=2014","San Marcos")</f>
        <v>San Marcos</v>
      </c>
      <c r="H1546" s="87" t="str">
        <f>HYPERLINK("http://api.nsgreg.nga.mil/geo-division/ISO3166-2/6/ed3/GT-SM","GT-SM")</f>
        <v>GT-SM</v>
      </c>
    </row>
    <row r="1547" spans="1:8" x14ac:dyDescent="0.2">
      <c r="A1547" s="157"/>
      <c r="B1547" s="31" t="s">
        <v>6508</v>
      </c>
      <c r="C1547" s="31" t="s">
        <v>6509</v>
      </c>
      <c r="D1547" s="31" t="s">
        <v>3214</v>
      </c>
      <c r="E1547" s="61" t="b">
        <v>1</v>
      </c>
      <c r="F1547" s="106" t="s">
        <v>6510</v>
      </c>
      <c r="G1547" s="116" t="str">
        <f>HYPERLINK("http://nsgreg.nga.mil/genc/view?v=113747&amp;gencs=T&amp;end_month=3&amp;end_day=31&amp;end_year=2014","Santa Rosa")</f>
        <v>Santa Rosa</v>
      </c>
      <c r="H1547" s="87" t="str">
        <f>HYPERLINK("http://api.nsgreg.nga.mil/geo-division/ISO3166-2/6/ed3/GT-SR","GT-SR")</f>
        <v>GT-SR</v>
      </c>
    </row>
    <row r="1548" spans="1:8" x14ac:dyDescent="0.2">
      <c r="A1548" s="157"/>
      <c r="B1548" s="31" t="s">
        <v>6511</v>
      </c>
      <c r="C1548" s="31" t="s">
        <v>6512</v>
      </c>
      <c r="D1548" s="31" t="s">
        <v>3214</v>
      </c>
      <c r="E1548" s="61" t="b">
        <v>1</v>
      </c>
      <c r="F1548" s="106" t="s">
        <v>6513</v>
      </c>
      <c r="G1548" s="116" t="str">
        <f>HYPERLINK("http://nsgreg.nga.mil/genc/view?v=113746&amp;gencs=T&amp;end_month=3&amp;end_day=31&amp;end_year=2014","Sololá")</f>
        <v>Sololá</v>
      </c>
      <c r="H1548" s="87" t="str">
        <f>HYPERLINK("http://api.nsgreg.nga.mil/geo-division/ISO3166-2/6/ed3/GT-SO","GT-SO")</f>
        <v>GT-SO</v>
      </c>
    </row>
    <row r="1549" spans="1:8" x14ac:dyDescent="0.2">
      <c r="A1549" s="157"/>
      <c r="B1549" s="31" t="s">
        <v>6514</v>
      </c>
      <c r="C1549" s="31" t="s">
        <v>6515</v>
      </c>
      <c r="D1549" s="31" t="s">
        <v>3214</v>
      </c>
      <c r="E1549" s="61" t="b">
        <v>1</v>
      </c>
      <c r="F1549" s="106" t="s">
        <v>6516</v>
      </c>
      <c r="G1549" s="116" t="str">
        <f>HYPERLINK("http://nsgreg.nga.mil/genc/view?v=113748&amp;gencs=T&amp;end_month=3&amp;end_day=31&amp;end_year=2014","Suchitepéquez")</f>
        <v>Suchitepéquez</v>
      </c>
      <c r="H1549" s="87" t="str">
        <f>HYPERLINK("http://api.nsgreg.nga.mil/geo-division/ISO3166-2/6/ed3/GT-SU","GT-SU")</f>
        <v>GT-SU</v>
      </c>
    </row>
    <row r="1550" spans="1:8" x14ac:dyDescent="0.2">
      <c r="A1550" s="157"/>
      <c r="B1550" s="31" t="s">
        <v>6517</v>
      </c>
      <c r="C1550" s="31" t="s">
        <v>6518</v>
      </c>
      <c r="D1550" s="31" t="s">
        <v>3214</v>
      </c>
      <c r="E1550" s="61" t="b">
        <v>1</v>
      </c>
      <c r="F1550" s="106" t="s">
        <v>6519</v>
      </c>
      <c r="G1550" s="116" t="str">
        <f>HYPERLINK("http://nsgreg.nga.mil/genc/view?v=113749&amp;gencs=T&amp;end_month=3&amp;end_day=31&amp;end_year=2014","Totonicapán")</f>
        <v>Totonicapán</v>
      </c>
      <c r="H1550" s="87" t="str">
        <f>HYPERLINK("http://api.nsgreg.nga.mil/geo-division/ISO3166-2/6/ed3/GT-TO","GT-TO")</f>
        <v>GT-TO</v>
      </c>
    </row>
    <row r="1551" spans="1:8" x14ac:dyDescent="0.2">
      <c r="A1551" s="158"/>
      <c r="B1551" s="58" t="s">
        <v>6520</v>
      </c>
      <c r="C1551" s="58" t="s">
        <v>6521</v>
      </c>
      <c r="D1551" s="58" t="s">
        <v>3214</v>
      </c>
      <c r="E1551" s="62" t="b">
        <v>1</v>
      </c>
      <c r="F1551" s="108" t="s">
        <v>6522</v>
      </c>
      <c r="G1551" s="117" t="str">
        <f>HYPERLINK("http://nsgreg.nga.mil/genc/view?v=113750&amp;gencs=T&amp;end_month=3&amp;end_day=31&amp;end_year=2014","Zacapa")</f>
        <v>Zacapa</v>
      </c>
      <c r="H1551" s="89" t="str">
        <f>HYPERLINK("http://api.nsgreg.nga.mil/geo-division/ISO3166-2/6/ed3/GT-ZA","GT-ZA")</f>
        <v>GT-ZA</v>
      </c>
    </row>
    <row r="1552" spans="1:8" x14ac:dyDescent="0.2">
      <c r="A1552" s="156" t="str">
        <f>HYPERLINK("[#]Geopolitical_Entities!A114:I114","GUINEA")</f>
        <v>GUINEA</v>
      </c>
      <c r="B1552" s="52" t="s">
        <v>6523</v>
      </c>
      <c r="C1552" s="52" t="s">
        <v>6524</v>
      </c>
      <c r="D1552" s="102" t="s">
        <v>4127</v>
      </c>
      <c r="E1552" s="103" t="b">
        <v>0</v>
      </c>
      <c r="F1552" s="109" t="s">
        <v>6525</v>
      </c>
      <c r="G1552" s="118" t="str">
        <f>HYPERLINK("http://nsgreg.nga.mil/genc/view?v=113615&amp;gencs=T&amp;end_month=3&amp;end_day=31&amp;end_year=2014","Beyla")</f>
        <v>Beyla</v>
      </c>
      <c r="H1552" s="91" t="str">
        <f>HYPERLINK("http://api.nsgreg.nga.mil/geo-division/ISO3166-2/6/ed3/GN-BE","GN-BE")</f>
        <v>GN-BE</v>
      </c>
    </row>
    <row r="1553" spans="1:8" x14ac:dyDescent="0.2">
      <c r="A1553" s="157"/>
      <c r="B1553" s="31" t="s">
        <v>6526</v>
      </c>
      <c r="C1553" s="31" t="s">
        <v>6527</v>
      </c>
      <c r="D1553" s="98" t="s">
        <v>4127</v>
      </c>
      <c r="E1553" s="99" t="b">
        <v>0</v>
      </c>
      <c r="F1553" s="106" t="s">
        <v>6528</v>
      </c>
      <c r="G1553" s="116" t="str">
        <f>HYPERLINK("http://nsgreg.nga.mil/genc/view?v=113616&amp;gencs=T&amp;end_month=3&amp;end_day=31&amp;end_year=2014","Boffa")</f>
        <v>Boffa</v>
      </c>
      <c r="H1553" s="87" t="str">
        <f>HYPERLINK("http://api.nsgreg.nga.mil/geo-division/ISO3166-2/6/ed3/GN-BF","GN-BF")</f>
        <v>GN-BF</v>
      </c>
    </row>
    <row r="1554" spans="1:8" x14ac:dyDescent="0.2">
      <c r="A1554" s="157"/>
      <c r="B1554" s="31" t="s">
        <v>6529</v>
      </c>
      <c r="C1554" s="31" t="s">
        <v>6530</v>
      </c>
      <c r="D1554" s="31" t="s">
        <v>6247</v>
      </c>
      <c r="E1554" s="61" t="b">
        <v>1</v>
      </c>
      <c r="F1554" s="107" t="s">
        <v>6531</v>
      </c>
      <c r="G1554" s="116" t="str">
        <f>HYPERLINK("http://nsgreg.nga.mil/genc/view?v=204504&amp;end_month=3&amp;end_day=31&amp;end_year=2014","Boké")</f>
        <v>Boké</v>
      </c>
      <c r="H1554" s="87" t="str">
        <f>HYPERLINK("http://api.nsgreg.nga.mil/geo-division/GENC/6/ed2/GN-B","GN-B")</f>
        <v>GN-B</v>
      </c>
    </row>
    <row r="1555" spans="1:8" x14ac:dyDescent="0.2">
      <c r="A1555" s="157"/>
      <c r="B1555" s="31" t="s">
        <v>6532</v>
      </c>
      <c r="C1555" s="31" t="s">
        <v>6530</v>
      </c>
      <c r="D1555" s="98" t="s">
        <v>4127</v>
      </c>
      <c r="E1555" s="99" t="b">
        <v>0</v>
      </c>
      <c r="F1555" s="106" t="s">
        <v>6533</v>
      </c>
      <c r="G1555" s="116" t="str">
        <f>HYPERLINK("http://nsgreg.nga.mil/genc/view?v=113617&amp;gencs=T&amp;end_month=3&amp;end_day=31&amp;end_year=2014","Boké")</f>
        <v>Boké</v>
      </c>
      <c r="H1555" s="87" t="str">
        <f>HYPERLINK("http://api.nsgreg.nga.mil/geo-division/ISO3166-2/6/ed3/GN-BK","GN-BK")</f>
        <v>GN-BK</v>
      </c>
    </row>
    <row r="1556" spans="1:8" x14ac:dyDescent="0.2">
      <c r="A1556" s="157"/>
      <c r="B1556" s="31" t="s">
        <v>6534</v>
      </c>
      <c r="C1556" s="31" t="s">
        <v>6535</v>
      </c>
      <c r="D1556" s="31" t="s">
        <v>2885</v>
      </c>
      <c r="E1556" s="61" t="b">
        <v>1</v>
      </c>
      <c r="F1556" s="107" t="s">
        <v>6536</v>
      </c>
      <c r="G1556" s="116" t="str">
        <f>HYPERLINK("http://nsgreg.nga.mil/genc/view?v=201328&amp;end_month=3&amp;end_day=31&amp;end_year=2014","Conakry")</f>
        <v>Conakry</v>
      </c>
      <c r="H1556" s="87" t="str">
        <f>HYPERLINK("http://api.nsgreg.nga.mil/geo-division/GENC/6/ed2/GN-C","GN-C")</f>
        <v>GN-C</v>
      </c>
    </row>
    <row r="1557" spans="1:8" x14ac:dyDescent="0.2">
      <c r="A1557" s="157"/>
      <c r="B1557" s="31" t="s">
        <v>6537</v>
      </c>
      <c r="C1557" s="31" t="s">
        <v>6538</v>
      </c>
      <c r="D1557" s="98" t="s">
        <v>4127</v>
      </c>
      <c r="E1557" s="99" t="b">
        <v>0</v>
      </c>
      <c r="F1557" s="106" t="s">
        <v>6539</v>
      </c>
      <c r="G1557" s="116" t="str">
        <f>HYPERLINK("http://nsgreg.nga.mil/genc/view?v=113619&amp;gencs=T&amp;end_month=3&amp;end_day=31&amp;end_year=2014","Coyah")</f>
        <v>Coyah</v>
      </c>
      <c r="H1557" s="87" t="str">
        <f>HYPERLINK("http://api.nsgreg.nga.mil/geo-division/ISO3166-2/6/ed3/GN-CO","GN-CO")</f>
        <v>GN-CO</v>
      </c>
    </row>
    <row r="1558" spans="1:8" x14ac:dyDescent="0.2">
      <c r="A1558" s="157"/>
      <c r="B1558" s="31" t="s">
        <v>6540</v>
      </c>
      <c r="C1558" s="31" t="s">
        <v>6541</v>
      </c>
      <c r="D1558" s="98" t="s">
        <v>4127</v>
      </c>
      <c r="E1558" s="99" t="b">
        <v>0</v>
      </c>
      <c r="F1558" s="106" t="s">
        <v>6542</v>
      </c>
      <c r="G1558" s="116" t="str">
        <f>HYPERLINK("http://nsgreg.nga.mil/genc/view?v=113621&amp;gencs=T&amp;end_month=3&amp;end_day=31&amp;end_year=2014","Dabola")</f>
        <v>Dabola</v>
      </c>
      <c r="H1558" s="87" t="str">
        <f>HYPERLINK("http://api.nsgreg.nga.mil/geo-division/ISO3166-2/6/ed3/GN-DB","GN-DB")</f>
        <v>GN-DB</v>
      </c>
    </row>
    <row r="1559" spans="1:8" x14ac:dyDescent="0.2">
      <c r="A1559" s="157"/>
      <c r="B1559" s="31" t="s">
        <v>6543</v>
      </c>
      <c r="C1559" s="31" t="s">
        <v>6544</v>
      </c>
      <c r="D1559" s="98" t="s">
        <v>4127</v>
      </c>
      <c r="E1559" s="99" t="b">
        <v>0</v>
      </c>
      <c r="F1559" s="106" t="s">
        <v>6545</v>
      </c>
      <c r="G1559" s="116" t="str">
        <f>HYPERLINK("http://nsgreg.nga.mil/genc/view?v=113623&amp;gencs=T&amp;end_month=3&amp;end_day=31&amp;end_year=2014","Dalaba")</f>
        <v>Dalaba</v>
      </c>
      <c r="H1559" s="87" t="str">
        <f>HYPERLINK("http://api.nsgreg.nga.mil/geo-division/ISO3166-2/6/ed3/GN-DL","GN-DL")</f>
        <v>GN-DL</v>
      </c>
    </row>
    <row r="1560" spans="1:8" x14ac:dyDescent="0.2">
      <c r="A1560" s="157"/>
      <c r="B1560" s="31" t="s">
        <v>6546</v>
      </c>
      <c r="C1560" s="31" t="s">
        <v>6547</v>
      </c>
      <c r="D1560" s="98" t="s">
        <v>4127</v>
      </c>
      <c r="E1560" s="99" t="b">
        <v>0</v>
      </c>
      <c r="F1560" s="106" t="s">
        <v>6548</v>
      </c>
      <c r="G1560" s="116" t="str">
        <f>HYPERLINK("http://nsgreg.nga.mil/genc/view?v=113622&amp;gencs=T&amp;end_month=3&amp;end_day=31&amp;end_year=2014","Dinguiraye")</f>
        <v>Dinguiraye</v>
      </c>
      <c r="H1560" s="87" t="str">
        <f>HYPERLINK("http://api.nsgreg.nga.mil/geo-division/ISO3166-2/6/ed3/GN-DI","GN-DI")</f>
        <v>GN-DI</v>
      </c>
    </row>
    <row r="1561" spans="1:8" x14ac:dyDescent="0.2">
      <c r="A1561" s="157"/>
      <c r="B1561" s="31" t="s">
        <v>6549</v>
      </c>
      <c r="C1561" s="31" t="s">
        <v>6550</v>
      </c>
      <c r="D1561" s="98" t="s">
        <v>4127</v>
      </c>
      <c r="E1561" s="99" t="b">
        <v>0</v>
      </c>
      <c r="F1561" s="106" t="s">
        <v>6551</v>
      </c>
      <c r="G1561" s="116" t="str">
        <f>HYPERLINK("http://nsgreg.nga.mil/genc/view?v=113624&amp;gencs=T&amp;end_month=3&amp;end_day=31&amp;end_year=2014","Dubréka")</f>
        <v>Dubréka</v>
      </c>
      <c r="H1561" s="87" t="str">
        <f>HYPERLINK("http://api.nsgreg.nga.mil/geo-division/ISO3166-2/6/ed3/GN-DU","GN-DU")</f>
        <v>GN-DU</v>
      </c>
    </row>
    <row r="1562" spans="1:8" x14ac:dyDescent="0.2">
      <c r="A1562" s="157"/>
      <c r="B1562" s="31" t="s">
        <v>6552</v>
      </c>
      <c r="C1562" s="31" t="s">
        <v>6553</v>
      </c>
      <c r="D1562" s="31" t="s">
        <v>6247</v>
      </c>
      <c r="E1562" s="61" t="b">
        <v>1</v>
      </c>
      <c r="F1562" s="107" t="s">
        <v>6554</v>
      </c>
      <c r="G1562" s="116" t="str">
        <f>HYPERLINK("http://nsgreg.nga.mil/genc/view?v=204505&amp;end_month=3&amp;end_day=31&amp;end_year=2014","Faranah")</f>
        <v>Faranah</v>
      </c>
      <c r="H1562" s="87" t="str">
        <f>HYPERLINK("http://api.nsgreg.nga.mil/geo-division/GENC/6/ed2/GN-F","GN-F")</f>
        <v>GN-F</v>
      </c>
    </row>
    <row r="1563" spans="1:8" x14ac:dyDescent="0.2">
      <c r="A1563" s="157"/>
      <c r="B1563" s="31" t="s">
        <v>6555</v>
      </c>
      <c r="C1563" s="31" t="s">
        <v>6553</v>
      </c>
      <c r="D1563" s="98" t="s">
        <v>4127</v>
      </c>
      <c r="E1563" s="99" t="b">
        <v>0</v>
      </c>
      <c r="F1563" s="106" t="s">
        <v>6556</v>
      </c>
      <c r="G1563" s="116" t="str">
        <f>HYPERLINK("http://nsgreg.nga.mil/genc/view?v=113626&amp;gencs=T&amp;end_month=3&amp;end_day=31&amp;end_year=2014","Faranah")</f>
        <v>Faranah</v>
      </c>
      <c r="H1563" s="87" t="str">
        <f>HYPERLINK("http://api.nsgreg.nga.mil/geo-division/ISO3166-2/6/ed3/GN-FA","GN-FA")</f>
        <v>GN-FA</v>
      </c>
    </row>
    <row r="1564" spans="1:8" x14ac:dyDescent="0.2">
      <c r="A1564" s="157"/>
      <c r="B1564" s="31" t="s">
        <v>6557</v>
      </c>
      <c r="C1564" s="31" t="s">
        <v>6558</v>
      </c>
      <c r="D1564" s="98" t="s">
        <v>4127</v>
      </c>
      <c r="E1564" s="99" t="b">
        <v>0</v>
      </c>
      <c r="F1564" s="106" t="s">
        <v>6559</v>
      </c>
      <c r="G1564" s="116" t="str">
        <f>HYPERLINK("http://nsgreg.nga.mil/genc/view?v=113627&amp;gencs=T&amp;end_month=3&amp;end_day=31&amp;end_year=2014","Forécariah")</f>
        <v>Forécariah</v>
      </c>
      <c r="H1564" s="87" t="str">
        <f>HYPERLINK("http://api.nsgreg.nga.mil/geo-division/ISO3166-2/6/ed3/GN-FO","GN-FO")</f>
        <v>GN-FO</v>
      </c>
    </row>
    <row r="1565" spans="1:8" x14ac:dyDescent="0.2">
      <c r="A1565" s="157"/>
      <c r="B1565" s="31" t="s">
        <v>6560</v>
      </c>
      <c r="C1565" s="31" t="s">
        <v>6561</v>
      </c>
      <c r="D1565" s="98" t="s">
        <v>4127</v>
      </c>
      <c r="E1565" s="99" t="b">
        <v>0</v>
      </c>
      <c r="F1565" s="106" t="s">
        <v>6562</v>
      </c>
      <c r="G1565" s="116" t="str">
        <f>HYPERLINK("http://nsgreg.nga.mil/genc/view?v=113628&amp;gencs=T&amp;end_month=3&amp;end_day=31&amp;end_year=2014","Fria")</f>
        <v>Fria</v>
      </c>
      <c r="H1565" s="87" t="str">
        <f>HYPERLINK("http://api.nsgreg.nga.mil/geo-division/ISO3166-2/6/ed3/GN-FR","GN-FR")</f>
        <v>GN-FR</v>
      </c>
    </row>
    <row r="1566" spans="1:8" x14ac:dyDescent="0.2">
      <c r="A1566" s="157"/>
      <c r="B1566" s="31" t="s">
        <v>6563</v>
      </c>
      <c r="C1566" s="31" t="s">
        <v>6564</v>
      </c>
      <c r="D1566" s="98" t="s">
        <v>4127</v>
      </c>
      <c r="E1566" s="99" t="b">
        <v>0</v>
      </c>
      <c r="F1566" s="106" t="s">
        <v>6565</v>
      </c>
      <c r="G1566" s="116" t="str">
        <f>HYPERLINK("http://nsgreg.nga.mil/genc/view?v=113629&amp;gencs=T&amp;end_month=3&amp;end_day=31&amp;end_year=2014","Gaoual")</f>
        <v>Gaoual</v>
      </c>
      <c r="H1566" s="87" t="str">
        <f>HYPERLINK("http://api.nsgreg.nga.mil/geo-division/ISO3166-2/6/ed3/GN-GA","GN-GA")</f>
        <v>GN-GA</v>
      </c>
    </row>
    <row r="1567" spans="1:8" x14ac:dyDescent="0.2">
      <c r="A1567" s="157"/>
      <c r="B1567" s="31" t="s">
        <v>6566</v>
      </c>
      <c r="C1567" s="31" t="s">
        <v>6567</v>
      </c>
      <c r="D1567" s="98" t="s">
        <v>4127</v>
      </c>
      <c r="E1567" s="99" t="b">
        <v>0</v>
      </c>
      <c r="F1567" s="106" t="s">
        <v>6568</v>
      </c>
      <c r="G1567" s="116" t="str">
        <f>HYPERLINK("http://nsgreg.nga.mil/genc/view?v=113630&amp;gencs=T&amp;end_month=3&amp;end_day=31&amp;end_year=2014","Guékédou")</f>
        <v>Guékédou</v>
      </c>
      <c r="H1567" s="87" t="str">
        <f>HYPERLINK("http://api.nsgreg.nga.mil/geo-division/ISO3166-2/6/ed3/GN-GU","GN-GU")</f>
        <v>GN-GU</v>
      </c>
    </row>
    <row r="1568" spans="1:8" x14ac:dyDescent="0.2">
      <c r="A1568" s="157"/>
      <c r="B1568" s="31" t="s">
        <v>6569</v>
      </c>
      <c r="C1568" s="31" t="s">
        <v>6570</v>
      </c>
      <c r="D1568" s="31" t="s">
        <v>6247</v>
      </c>
      <c r="E1568" s="61" t="b">
        <v>1</v>
      </c>
      <c r="F1568" s="107" t="s">
        <v>6571</v>
      </c>
      <c r="G1568" s="116" t="str">
        <f>HYPERLINK("http://nsgreg.nga.mil/genc/view?v=204506&amp;end_month=3&amp;end_day=31&amp;end_year=2014","Kankan")</f>
        <v>Kankan</v>
      </c>
      <c r="H1568" s="87" t="str">
        <f>HYPERLINK("http://api.nsgreg.nga.mil/geo-division/GENC/6/ed2/GN-K","GN-K")</f>
        <v>GN-K</v>
      </c>
    </row>
    <row r="1569" spans="1:8" x14ac:dyDescent="0.2">
      <c r="A1569" s="157"/>
      <c r="B1569" s="31" t="s">
        <v>6572</v>
      </c>
      <c r="C1569" s="31" t="s">
        <v>6570</v>
      </c>
      <c r="D1569" s="98" t="s">
        <v>4127</v>
      </c>
      <c r="E1569" s="99" t="b">
        <v>0</v>
      </c>
      <c r="F1569" s="106" t="s">
        <v>6573</v>
      </c>
      <c r="G1569" s="116" t="str">
        <f>HYPERLINK("http://nsgreg.nga.mil/genc/view?v=113632&amp;gencs=T&amp;end_month=3&amp;end_day=31&amp;end_year=2014","Kankan")</f>
        <v>Kankan</v>
      </c>
      <c r="H1569" s="87" t="str">
        <f>HYPERLINK("http://api.nsgreg.nga.mil/geo-division/ISO3166-2/6/ed3/GN-KA","GN-KA")</f>
        <v>GN-KA</v>
      </c>
    </row>
    <row r="1570" spans="1:8" x14ac:dyDescent="0.2">
      <c r="A1570" s="157"/>
      <c r="B1570" s="31" t="s">
        <v>6574</v>
      </c>
      <c r="C1570" s="31" t="s">
        <v>6575</v>
      </c>
      <c r="D1570" s="98" t="s">
        <v>4127</v>
      </c>
      <c r="E1570" s="99" t="b">
        <v>0</v>
      </c>
      <c r="F1570" s="106" t="s">
        <v>6576</v>
      </c>
      <c r="G1570" s="116" t="str">
        <f>HYPERLINK("http://nsgreg.nga.mil/genc/view?v=113635&amp;gencs=T&amp;end_month=3&amp;end_day=31&amp;end_year=2014","Kérouané")</f>
        <v>Kérouané</v>
      </c>
      <c r="H1570" s="87" t="str">
        <f>HYPERLINK("http://api.nsgreg.nga.mil/geo-division/ISO3166-2/6/ed3/GN-KE","GN-KE")</f>
        <v>GN-KE</v>
      </c>
    </row>
    <row r="1571" spans="1:8" x14ac:dyDescent="0.2">
      <c r="A1571" s="157"/>
      <c r="B1571" s="31" t="s">
        <v>6577</v>
      </c>
      <c r="C1571" s="31" t="s">
        <v>6578</v>
      </c>
      <c r="D1571" s="31" t="s">
        <v>6247</v>
      </c>
      <c r="E1571" s="61" t="b">
        <v>1</v>
      </c>
      <c r="F1571" s="107" t="s">
        <v>6579</v>
      </c>
      <c r="G1571" s="116" t="str">
        <f>HYPERLINK("http://nsgreg.nga.mil/genc/view?v=204507&amp;end_month=3&amp;end_day=31&amp;end_year=2014","Kindia")</f>
        <v>Kindia</v>
      </c>
      <c r="H1571" s="87" t="str">
        <f>HYPERLINK("http://api.nsgreg.nga.mil/geo-division/GENC/6/ed2/GN-D","GN-D")</f>
        <v>GN-D</v>
      </c>
    </row>
    <row r="1572" spans="1:8" x14ac:dyDescent="0.2">
      <c r="A1572" s="157"/>
      <c r="B1572" s="31" t="s">
        <v>6580</v>
      </c>
      <c r="C1572" s="31" t="s">
        <v>6578</v>
      </c>
      <c r="D1572" s="98" t="s">
        <v>4127</v>
      </c>
      <c r="E1572" s="99" t="b">
        <v>0</v>
      </c>
      <c r="F1572" s="106" t="s">
        <v>6581</v>
      </c>
      <c r="G1572" s="116" t="str">
        <f>HYPERLINK("http://nsgreg.nga.mil/genc/view?v=113634&amp;gencs=T&amp;end_month=3&amp;end_day=31&amp;end_year=2014","Kindia")</f>
        <v>Kindia</v>
      </c>
      <c r="H1572" s="87" t="str">
        <f>HYPERLINK("http://api.nsgreg.nga.mil/geo-division/ISO3166-2/6/ed3/GN-KD","GN-KD")</f>
        <v>GN-KD</v>
      </c>
    </row>
    <row r="1573" spans="1:8" x14ac:dyDescent="0.2">
      <c r="A1573" s="157"/>
      <c r="B1573" s="31" t="s">
        <v>6582</v>
      </c>
      <c r="C1573" s="31" t="s">
        <v>6583</v>
      </c>
      <c r="D1573" s="98" t="s">
        <v>4127</v>
      </c>
      <c r="E1573" s="99" t="b">
        <v>0</v>
      </c>
      <c r="F1573" s="106" t="s">
        <v>6584</v>
      </c>
      <c r="G1573" s="116" t="str">
        <f>HYPERLINK("http://nsgreg.nga.mil/genc/view?v=113638&amp;gencs=T&amp;end_month=3&amp;end_day=31&amp;end_year=2014","Kissidougou")</f>
        <v>Kissidougou</v>
      </c>
      <c r="H1573" s="87" t="str">
        <f>HYPERLINK("http://api.nsgreg.nga.mil/geo-division/ISO3166-2/6/ed3/GN-KS","GN-KS")</f>
        <v>GN-KS</v>
      </c>
    </row>
    <row r="1574" spans="1:8" x14ac:dyDescent="0.2">
      <c r="A1574" s="157"/>
      <c r="B1574" s="31" t="s">
        <v>6585</v>
      </c>
      <c r="C1574" s="31" t="s">
        <v>6586</v>
      </c>
      <c r="D1574" s="98" t="s">
        <v>4127</v>
      </c>
      <c r="E1574" s="99" t="b">
        <v>0</v>
      </c>
      <c r="F1574" s="106" t="s">
        <v>6587</v>
      </c>
      <c r="G1574" s="116" t="str">
        <f>HYPERLINK("http://nsgreg.nga.mil/genc/view?v=113633&amp;gencs=T&amp;end_month=3&amp;end_day=31&amp;end_year=2014","Koubia")</f>
        <v>Koubia</v>
      </c>
      <c r="H1574" s="87" t="str">
        <f>HYPERLINK("http://api.nsgreg.nga.mil/geo-division/ISO3166-2/6/ed3/GN-KB","GN-KB")</f>
        <v>GN-KB</v>
      </c>
    </row>
    <row r="1575" spans="1:8" x14ac:dyDescent="0.2">
      <c r="A1575" s="157"/>
      <c r="B1575" s="31" t="s">
        <v>6588</v>
      </c>
      <c r="C1575" s="31" t="s">
        <v>6589</v>
      </c>
      <c r="D1575" s="98" t="s">
        <v>4127</v>
      </c>
      <c r="E1575" s="99" t="b">
        <v>0</v>
      </c>
      <c r="F1575" s="106" t="s">
        <v>6590</v>
      </c>
      <c r="G1575" s="116" t="str">
        <f>HYPERLINK("http://nsgreg.nga.mil/genc/view?v=113636&amp;gencs=T&amp;end_month=3&amp;end_day=31&amp;end_year=2014","Koundara")</f>
        <v>Koundara</v>
      </c>
      <c r="H1575" s="87" t="str">
        <f>HYPERLINK("http://api.nsgreg.nga.mil/geo-division/ISO3166-2/6/ed3/GN-KN","GN-KN")</f>
        <v>GN-KN</v>
      </c>
    </row>
    <row r="1576" spans="1:8" x14ac:dyDescent="0.2">
      <c r="A1576" s="157"/>
      <c r="B1576" s="31" t="s">
        <v>6591</v>
      </c>
      <c r="C1576" s="31" t="s">
        <v>6592</v>
      </c>
      <c r="D1576" s="98" t="s">
        <v>4127</v>
      </c>
      <c r="E1576" s="99" t="b">
        <v>0</v>
      </c>
      <c r="F1576" s="106" t="s">
        <v>6593</v>
      </c>
      <c r="G1576" s="116" t="str">
        <f>HYPERLINK("http://nsgreg.nga.mil/genc/view?v=113637&amp;gencs=T&amp;end_month=3&amp;end_day=31&amp;end_year=2014","Kouroussa")</f>
        <v>Kouroussa</v>
      </c>
      <c r="H1576" s="87" t="str">
        <f>HYPERLINK("http://api.nsgreg.nga.mil/geo-division/ISO3166-2/6/ed3/GN-KO","GN-KO")</f>
        <v>GN-KO</v>
      </c>
    </row>
    <row r="1577" spans="1:8" x14ac:dyDescent="0.2">
      <c r="A1577" s="157"/>
      <c r="B1577" s="31" t="s">
        <v>6594</v>
      </c>
      <c r="C1577" s="31" t="s">
        <v>6595</v>
      </c>
      <c r="D1577" s="31" t="s">
        <v>6247</v>
      </c>
      <c r="E1577" s="61" t="b">
        <v>1</v>
      </c>
      <c r="F1577" s="107" t="s">
        <v>6596</v>
      </c>
      <c r="G1577" s="116" t="str">
        <f>HYPERLINK("http://nsgreg.nga.mil/genc/view?v=204508&amp;end_month=3&amp;end_day=31&amp;end_year=2014","Labé")</f>
        <v>Labé</v>
      </c>
      <c r="H1577" s="87" t="str">
        <f>HYPERLINK("http://api.nsgreg.nga.mil/geo-division/GENC/6/ed2/GN-L","GN-L")</f>
        <v>GN-L</v>
      </c>
    </row>
    <row r="1578" spans="1:8" x14ac:dyDescent="0.2">
      <c r="A1578" s="157"/>
      <c r="B1578" s="31" t="s">
        <v>6597</v>
      </c>
      <c r="C1578" s="31" t="s">
        <v>6595</v>
      </c>
      <c r="D1578" s="98" t="s">
        <v>4127</v>
      </c>
      <c r="E1578" s="99" t="b">
        <v>0</v>
      </c>
      <c r="F1578" s="106" t="s">
        <v>6598</v>
      </c>
      <c r="G1578" s="116" t="str">
        <f>HYPERLINK("http://nsgreg.nga.mil/genc/view?v=113640&amp;gencs=T&amp;end_month=3&amp;end_day=31&amp;end_year=2014","Labé")</f>
        <v>Labé</v>
      </c>
      <c r="H1578" s="87" t="str">
        <f>HYPERLINK("http://api.nsgreg.nga.mil/geo-division/ISO3166-2/6/ed3/GN-LA","GN-LA")</f>
        <v>GN-LA</v>
      </c>
    </row>
    <row r="1579" spans="1:8" x14ac:dyDescent="0.2">
      <c r="A1579" s="157"/>
      <c r="B1579" s="31" t="s">
        <v>6599</v>
      </c>
      <c r="C1579" s="31" t="s">
        <v>6600</v>
      </c>
      <c r="D1579" s="98" t="s">
        <v>4127</v>
      </c>
      <c r="E1579" s="99" t="b">
        <v>0</v>
      </c>
      <c r="F1579" s="106" t="s">
        <v>6601</v>
      </c>
      <c r="G1579" s="116" t="str">
        <f>HYPERLINK("http://nsgreg.nga.mil/genc/view?v=113641&amp;gencs=T&amp;end_month=3&amp;end_day=31&amp;end_year=2014","Lélouma")</f>
        <v>Lélouma</v>
      </c>
      <c r="H1579" s="87" t="str">
        <f>HYPERLINK("http://api.nsgreg.nga.mil/geo-division/ISO3166-2/6/ed3/GN-LE","GN-LE")</f>
        <v>GN-LE</v>
      </c>
    </row>
    <row r="1580" spans="1:8" x14ac:dyDescent="0.2">
      <c r="A1580" s="157"/>
      <c r="B1580" s="31" t="s">
        <v>6602</v>
      </c>
      <c r="C1580" s="31" t="s">
        <v>6603</v>
      </c>
      <c r="D1580" s="98" t="s">
        <v>4127</v>
      </c>
      <c r="E1580" s="99" t="b">
        <v>0</v>
      </c>
      <c r="F1580" s="106" t="s">
        <v>6604</v>
      </c>
      <c r="G1580" s="116" t="str">
        <f>HYPERLINK("http://nsgreg.nga.mil/genc/view?v=113642&amp;gencs=T&amp;end_month=3&amp;end_day=31&amp;end_year=2014","Lola")</f>
        <v>Lola</v>
      </c>
      <c r="H1580" s="87" t="str">
        <f>HYPERLINK("http://api.nsgreg.nga.mil/geo-division/ISO3166-2/6/ed3/GN-LO","GN-LO")</f>
        <v>GN-LO</v>
      </c>
    </row>
    <row r="1581" spans="1:8" x14ac:dyDescent="0.2">
      <c r="A1581" s="157"/>
      <c r="B1581" s="31" t="s">
        <v>6605</v>
      </c>
      <c r="C1581" s="31" t="s">
        <v>6606</v>
      </c>
      <c r="D1581" s="98" t="s">
        <v>4127</v>
      </c>
      <c r="E1581" s="99" t="b">
        <v>0</v>
      </c>
      <c r="F1581" s="106" t="s">
        <v>6607</v>
      </c>
      <c r="G1581" s="116" t="str">
        <f>HYPERLINK("http://nsgreg.nga.mil/genc/view?v=113644&amp;gencs=T&amp;end_month=3&amp;end_day=31&amp;end_year=2014","Macenta")</f>
        <v>Macenta</v>
      </c>
      <c r="H1581" s="87" t="str">
        <f>HYPERLINK("http://api.nsgreg.nga.mil/geo-division/ISO3166-2/6/ed3/GN-MC","GN-MC")</f>
        <v>GN-MC</v>
      </c>
    </row>
    <row r="1582" spans="1:8" x14ac:dyDescent="0.2">
      <c r="A1582" s="157"/>
      <c r="B1582" s="31" t="s">
        <v>6608</v>
      </c>
      <c r="C1582" s="31" t="s">
        <v>1123</v>
      </c>
      <c r="D1582" s="98" t="s">
        <v>4127</v>
      </c>
      <c r="E1582" s="99" t="b">
        <v>0</v>
      </c>
      <c r="F1582" s="106" t="s">
        <v>6609</v>
      </c>
      <c r="G1582" s="116" t="str">
        <f>HYPERLINK("http://nsgreg.nga.mil/genc/view?v=113646&amp;gencs=T&amp;end_month=3&amp;end_day=31&amp;end_year=2014","Mali")</f>
        <v>Mali</v>
      </c>
      <c r="H1582" s="87" t="str">
        <f>HYPERLINK("http://api.nsgreg.nga.mil/geo-division/ISO3166-2/6/ed3/GN-ML","GN-ML")</f>
        <v>GN-ML</v>
      </c>
    </row>
    <row r="1583" spans="1:8" x14ac:dyDescent="0.2">
      <c r="A1583" s="157"/>
      <c r="B1583" s="31" t="s">
        <v>6610</v>
      </c>
      <c r="C1583" s="31" t="s">
        <v>6611</v>
      </c>
      <c r="D1583" s="31" t="s">
        <v>6247</v>
      </c>
      <c r="E1583" s="61" t="b">
        <v>1</v>
      </c>
      <c r="F1583" s="107" t="s">
        <v>6612</v>
      </c>
      <c r="G1583" s="116" t="str">
        <f>HYPERLINK("http://nsgreg.nga.mil/genc/view?v=204509&amp;end_month=3&amp;end_day=31&amp;end_year=2014","Mamou")</f>
        <v>Mamou</v>
      </c>
      <c r="H1583" s="87" t="str">
        <f>HYPERLINK("http://api.nsgreg.nga.mil/geo-division/GENC/6/ed2/GN-M","GN-M")</f>
        <v>GN-M</v>
      </c>
    </row>
    <row r="1584" spans="1:8" x14ac:dyDescent="0.2">
      <c r="A1584" s="157"/>
      <c r="B1584" s="31" t="s">
        <v>6613</v>
      </c>
      <c r="C1584" s="31" t="s">
        <v>6611</v>
      </c>
      <c r="D1584" s="98" t="s">
        <v>4127</v>
      </c>
      <c r="E1584" s="99" t="b">
        <v>0</v>
      </c>
      <c r="F1584" s="106" t="s">
        <v>6614</v>
      </c>
      <c r="G1584" s="116" t="str">
        <f>HYPERLINK("http://nsgreg.nga.mil/genc/view?v=113647&amp;gencs=T&amp;end_month=3&amp;end_day=31&amp;end_year=2014","Mamou")</f>
        <v>Mamou</v>
      </c>
      <c r="H1584" s="87" t="str">
        <f>HYPERLINK("http://api.nsgreg.nga.mil/geo-division/ISO3166-2/6/ed3/GN-MM","GN-MM")</f>
        <v>GN-MM</v>
      </c>
    </row>
    <row r="1585" spans="1:8" x14ac:dyDescent="0.2">
      <c r="A1585" s="157"/>
      <c r="B1585" s="31" t="s">
        <v>6615</v>
      </c>
      <c r="C1585" s="31" t="s">
        <v>6616</v>
      </c>
      <c r="D1585" s="98" t="s">
        <v>4127</v>
      </c>
      <c r="E1585" s="99" t="b">
        <v>0</v>
      </c>
      <c r="F1585" s="106" t="s">
        <v>6617</v>
      </c>
      <c r="G1585" s="116" t="str">
        <f>HYPERLINK("http://nsgreg.nga.mil/genc/view?v=113645&amp;gencs=T&amp;end_month=3&amp;end_day=31&amp;end_year=2014","Mandiana")</f>
        <v>Mandiana</v>
      </c>
      <c r="H1585" s="87" t="str">
        <f>HYPERLINK("http://api.nsgreg.nga.mil/geo-division/ISO3166-2/6/ed3/GN-MD","GN-MD")</f>
        <v>GN-MD</v>
      </c>
    </row>
    <row r="1586" spans="1:8" x14ac:dyDescent="0.2">
      <c r="A1586" s="157"/>
      <c r="B1586" s="31" t="s">
        <v>6618</v>
      </c>
      <c r="C1586" s="31" t="s">
        <v>6619</v>
      </c>
      <c r="D1586" s="31" t="s">
        <v>6247</v>
      </c>
      <c r="E1586" s="61" t="b">
        <v>1</v>
      </c>
      <c r="F1586" s="107" t="s">
        <v>6620</v>
      </c>
      <c r="G1586" s="116" t="str">
        <f>HYPERLINK("http://nsgreg.nga.mil/genc/view?v=201329&amp;end_month=3&amp;end_day=31&amp;end_year=2014","N’Zérékoré")</f>
        <v>N’Zérékoré</v>
      </c>
      <c r="H1586" s="87" t="str">
        <f>HYPERLINK("http://api.nsgreg.nga.mil/geo-division/GENC/6/ed2/GN-N","GN-N")</f>
        <v>GN-N</v>
      </c>
    </row>
    <row r="1587" spans="1:8" x14ac:dyDescent="0.2">
      <c r="A1587" s="157"/>
      <c r="B1587" s="31" t="s">
        <v>6621</v>
      </c>
      <c r="C1587" s="31" t="s">
        <v>6619</v>
      </c>
      <c r="D1587" s="98" t="s">
        <v>4127</v>
      </c>
      <c r="E1587" s="99" t="b">
        <v>0</v>
      </c>
      <c r="F1587" s="107" t="s">
        <v>6622</v>
      </c>
      <c r="G1587" s="116" t="str">
        <f>HYPERLINK("http://nsgreg.nga.mil/genc/view?v=203396&amp;end_month=3&amp;end_day=31&amp;end_year=2014","N’Zérékoré")</f>
        <v>N’Zérékoré</v>
      </c>
      <c r="H1587" s="87" t="str">
        <f>HYPERLINK("http://api.nsgreg.nga.mil/geo-division/GENC/6/ed2/GN-NZ","GN-NZ")</f>
        <v>GN-NZ</v>
      </c>
    </row>
    <row r="1588" spans="1:8" x14ac:dyDescent="0.2">
      <c r="A1588" s="157"/>
      <c r="B1588" s="31" t="s">
        <v>6623</v>
      </c>
      <c r="C1588" s="31" t="s">
        <v>6624</v>
      </c>
      <c r="D1588" s="98" t="s">
        <v>4127</v>
      </c>
      <c r="E1588" s="99" t="b">
        <v>0</v>
      </c>
      <c r="F1588" s="106" t="s">
        <v>6625</v>
      </c>
      <c r="G1588" s="116" t="str">
        <f>HYPERLINK("http://nsgreg.nga.mil/genc/view?v=113650&amp;gencs=T&amp;end_month=3&amp;end_day=31&amp;end_year=2014","Pita")</f>
        <v>Pita</v>
      </c>
      <c r="H1588" s="87" t="str">
        <f>HYPERLINK("http://api.nsgreg.nga.mil/geo-division/ISO3166-2/6/ed3/GN-PI","GN-PI")</f>
        <v>GN-PI</v>
      </c>
    </row>
    <row r="1589" spans="1:8" x14ac:dyDescent="0.2">
      <c r="A1589" s="157"/>
      <c r="B1589" s="31" t="s">
        <v>6626</v>
      </c>
      <c r="C1589" s="31" t="s">
        <v>6627</v>
      </c>
      <c r="D1589" s="98" t="s">
        <v>4127</v>
      </c>
      <c r="E1589" s="99" t="b">
        <v>0</v>
      </c>
      <c r="F1589" s="106" t="s">
        <v>6628</v>
      </c>
      <c r="G1589" s="116" t="str">
        <f>HYPERLINK("http://nsgreg.nga.mil/genc/view?v=113651&amp;gencs=T&amp;end_month=3&amp;end_day=31&amp;end_year=2014","Siguiri")</f>
        <v>Siguiri</v>
      </c>
      <c r="H1589" s="87" t="str">
        <f>HYPERLINK("http://api.nsgreg.nga.mil/geo-division/ISO3166-2/6/ed3/GN-SI","GN-SI")</f>
        <v>GN-SI</v>
      </c>
    </row>
    <row r="1590" spans="1:8" x14ac:dyDescent="0.2">
      <c r="A1590" s="157"/>
      <c r="B1590" s="31" t="s">
        <v>6629</v>
      </c>
      <c r="C1590" s="31" t="s">
        <v>6630</v>
      </c>
      <c r="D1590" s="98" t="s">
        <v>4127</v>
      </c>
      <c r="E1590" s="99" t="b">
        <v>0</v>
      </c>
      <c r="F1590" s="106" t="s">
        <v>6631</v>
      </c>
      <c r="G1590" s="116" t="str">
        <f>HYPERLINK("http://nsgreg.nga.mil/genc/view?v=113652&amp;gencs=T&amp;end_month=3&amp;end_day=31&amp;end_year=2014","Télimélé")</f>
        <v>Télimélé</v>
      </c>
      <c r="H1590" s="87" t="str">
        <f>HYPERLINK("http://api.nsgreg.nga.mil/geo-division/ISO3166-2/6/ed3/GN-TE","GN-TE")</f>
        <v>GN-TE</v>
      </c>
    </row>
    <row r="1591" spans="1:8" x14ac:dyDescent="0.2">
      <c r="A1591" s="157"/>
      <c r="B1591" s="31" t="s">
        <v>6632</v>
      </c>
      <c r="C1591" s="31" t="s">
        <v>6633</v>
      </c>
      <c r="D1591" s="98" t="s">
        <v>4127</v>
      </c>
      <c r="E1591" s="99" t="b">
        <v>0</v>
      </c>
      <c r="F1591" s="106" t="s">
        <v>6634</v>
      </c>
      <c r="G1591" s="116" t="str">
        <f>HYPERLINK("http://nsgreg.nga.mil/genc/view?v=113653&amp;gencs=T&amp;end_month=3&amp;end_day=31&amp;end_year=2014","Tougué")</f>
        <v>Tougué</v>
      </c>
      <c r="H1591" s="87" t="str">
        <f>HYPERLINK("http://api.nsgreg.nga.mil/geo-division/ISO3166-2/6/ed3/GN-TO","GN-TO")</f>
        <v>GN-TO</v>
      </c>
    </row>
    <row r="1592" spans="1:8" x14ac:dyDescent="0.2">
      <c r="A1592" s="158"/>
      <c r="B1592" s="58" t="s">
        <v>6635</v>
      </c>
      <c r="C1592" s="58" t="s">
        <v>6636</v>
      </c>
      <c r="D1592" s="100" t="s">
        <v>4127</v>
      </c>
      <c r="E1592" s="101" t="b">
        <v>0</v>
      </c>
      <c r="F1592" s="108" t="s">
        <v>6637</v>
      </c>
      <c r="G1592" s="117" t="str">
        <f>HYPERLINK("http://nsgreg.nga.mil/genc/view?v=113654&amp;gencs=T&amp;end_month=3&amp;end_day=31&amp;end_year=2014","Yomou")</f>
        <v>Yomou</v>
      </c>
      <c r="H1592" s="89" t="str">
        <f>HYPERLINK("http://api.nsgreg.nga.mil/geo-division/ISO3166-2/6/ed3/GN-YO","GN-YO")</f>
        <v>GN-YO</v>
      </c>
    </row>
    <row r="1593" spans="1:8" x14ac:dyDescent="0.2">
      <c r="A1593" s="156" t="str">
        <f>HYPERLINK("[#]Geopolitical_Entities!A115:I115","GUINEA-BISSAU")</f>
        <v>GUINEA-BISSAU</v>
      </c>
      <c r="B1593" s="52" t="s">
        <v>6638</v>
      </c>
      <c r="C1593" s="52" t="s">
        <v>6639</v>
      </c>
      <c r="D1593" s="52" t="s">
        <v>3137</v>
      </c>
      <c r="E1593" s="60" t="b">
        <v>1</v>
      </c>
      <c r="F1593" s="110" t="s">
        <v>6640</v>
      </c>
      <c r="G1593" s="118" t="str">
        <f>HYPERLINK("http://nsgreg.nga.mil/genc/view?v=201403&amp;end_month=3&amp;end_day=31&amp;end_year=2014","Bafatá")</f>
        <v>Bafatá</v>
      </c>
      <c r="H1593" s="91" t="str">
        <f>HYPERLINK("http://api.nsgreg.nga.mil/geo-division/GENC/6/ed2/GW-BA","GW-BA")</f>
        <v>GW-BA</v>
      </c>
    </row>
    <row r="1594" spans="1:8" x14ac:dyDescent="0.2">
      <c r="A1594" s="157"/>
      <c r="B1594" s="31" t="s">
        <v>6641</v>
      </c>
      <c r="C1594" s="31" t="s">
        <v>6642</v>
      </c>
      <c r="D1594" s="31" t="s">
        <v>3137</v>
      </c>
      <c r="E1594" s="61" t="b">
        <v>1</v>
      </c>
      <c r="F1594" s="107" t="s">
        <v>6643</v>
      </c>
      <c r="G1594" s="116" t="str">
        <f>HYPERLINK("http://nsgreg.nga.mil/genc/view?v=201405&amp;end_month=3&amp;end_day=31&amp;end_year=2014","Biombo")</f>
        <v>Biombo</v>
      </c>
      <c r="H1594" s="87" t="str">
        <f>HYPERLINK("http://api.nsgreg.nga.mil/geo-division/GENC/6/ed2/GW-BM","GW-BM")</f>
        <v>GW-BM</v>
      </c>
    </row>
    <row r="1595" spans="1:8" x14ac:dyDescent="0.2">
      <c r="A1595" s="157"/>
      <c r="B1595" s="31" t="s">
        <v>6644</v>
      </c>
      <c r="C1595" s="31" t="s">
        <v>6645</v>
      </c>
      <c r="D1595" s="31" t="s">
        <v>6646</v>
      </c>
      <c r="E1595" s="61" t="b">
        <v>1</v>
      </c>
      <c r="F1595" s="107" t="s">
        <v>6647</v>
      </c>
      <c r="G1595" s="116" t="str">
        <f>HYPERLINK("http://nsgreg.nga.mil/genc/view?v=201406&amp;end_month=3&amp;end_day=31&amp;end_year=2014","Bissau")</f>
        <v>Bissau</v>
      </c>
      <c r="H1595" s="87" t="str">
        <f>HYPERLINK("http://api.nsgreg.nga.mil/geo-division/GENC/6/ed2/GW-BS","GW-BS")</f>
        <v>GW-BS</v>
      </c>
    </row>
    <row r="1596" spans="1:8" x14ac:dyDescent="0.2">
      <c r="A1596" s="157"/>
      <c r="B1596" s="31" t="s">
        <v>6648</v>
      </c>
      <c r="C1596" s="31" t="s">
        <v>6649</v>
      </c>
      <c r="D1596" s="31" t="s">
        <v>3137</v>
      </c>
      <c r="E1596" s="61" t="b">
        <v>1</v>
      </c>
      <c r="F1596" s="107" t="s">
        <v>6650</v>
      </c>
      <c r="G1596" s="116" t="str">
        <f>HYPERLINK("http://nsgreg.nga.mil/genc/view?v=201404&amp;end_month=3&amp;end_day=31&amp;end_year=2014","Bolama")</f>
        <v>Bolama</v>
      </c>
      <c r="H1596" s="87" t="str">
        <f>HYPERLINK("http://api.nsgreg.nga.mil/geo-division/GENC/6/ed2/GW-BL","GW-BL")</f>
        <v>GW-BL</v>
      </c>
    </row>
    <row r="1597" spans="1:8" x14ac:dyDescent="0.2">
      <c r="A1597" s="157"/>
      <c r="B1597" s="31" t="s">
        <v>6651</v>
      </c>
      <c r="C1597" s="31" t="s">
        <v>6652</v>
      </c>
      <c r="D1597" s="31" t="s">
        <v>3137</v>
      </c>
      <c r="E1597" s="61" t="b">
        <v>1</v>
      </c>
      <c r="F1597" s="107" t="s">
        <v>6653</v>
      </c>
      <c r="G1597" s="116" t="str">
        <f>HYPERLINK("http://nsgreg.nga.mil/genc/view?v=201407&amp;end_month=3&amp;end_day=31&amp;end_year=2014","Cacheu")</f>
        <v>Cacheu</v>
      </c>
      <c r="H1597" s="87" t="str">
        <f>HYPERLINK("http://api.nsgreg.nga.mil/geo-division/GENC/6/ed2/GW-CA","GW-CA")</f>
        <v>GW-CA</v>
      </c>
    </row>
    <row r="1598" spans="1:8" x14ac:dyDescent="0.2">
      <c r="A1598" s="157"/>
      <c r="B1598" s="31" t="s">
        <v>6654</v>
      </c>
      <c r="C1598" s="31" t="s">
        <v>6655</v>
      </c>
      <c r="D1598" s="31" t="s">
        <v>3137</v>
      </c>
      <c r="E1598" s="61" t="b">
        <v>1</v>
      </c>
      <c r="F1598" s="107" t="s">
        <v>6656</v>
      </c>
      <c r="G1598" s="116" t="str">
        <f>HYPERLINK("http://nsgreg.nga.mil/genc/view?v=201408&amp;end_month=3&amp;end_day=31&amp;end_year=2014","Gabú")</f>
        <v>Gabú</v>
      </c>
      <c r="H1598" s="87" t="str">
        <f>HYPERLINK("http://api.nsgreg.nga.mil/geo-division/GENC/6/ed2/GW-GA","GW-GA")</f>
        <v>GW-GA</v>
      </c>
    </row>
    <row r="1599" spans="1:8" x14ac:dyDescent="0.2">
      <c r="A1599" s="157"/>
      <c r="B1599" s="31" t="s">
        <v>6657</v>
      </c>
      <c r="C1599" s="31" t="s">
        <v>6658</v>
      </c>
      <c r="D1599" s="98" t="s">
        <v>1920</v>
      </c>
      <c r="E1599" s="99" t="b">
        <v>0</v>
      </c>
      <c r="F1599" s="107" t="s">
        <v>6659</v>
      </c>
      <c r="G1599" s="116" t="str">
        <f>HYPERLINK("http://nsgreg.nga.mil/genc/view?v=201409&amp;end_month=3&amp;end_day=31&amp;end_year=2014","Leste")</f>
        <v>Leste</v>
      </c>
      <c r="H1599" s="87" t="str">
        <f>HYPERLINK("http://api.nsgreg.nga.mil/geo-division/GENC/6/ed2/GW-L","GW-L")</f>
        <v>GW-L</v>
      </c>
    </row>
    <row r="1600" spans="1:8" x14ac:dyDescent="0.2">
      <c r="A1600" s="157"/>
      <c r="B1600" s="31" t="s">
        <v>6660</v>
      </c>
      <c r="C1600" s="31" t="s">
        <v>6661</v>
      </c>
      <c r="D1600" s="98" t="s">
        <v>1920</v>
      </c>
      <c r="E1600" s="99" t="b">
        <v>0</v>
      </c>
      <c r="F1600" s="107" t="s">
        <v>6662</v>
      </c>
      <c r="G1600" s="116" t="str">
        <f>HYPERLINK("http://nsgreg.nga.mil/genc/view?v=201410&amp;end_month=3&amp;end_day=31&amp;end_year=2014","Norte")</f>
        <v>Norte</v>
      </c>
      <c r="H1600" s="87" t="str">
        <f>HYPERLINK("http://api.nsgreg.nga.mil/geo-division/GENC/6/ed2/GW-N","GW-N")</f>
        <v>GW-N</v>
      </c>
    </row>
    <row r="1601" spans="1:8" x14ac:dyDescent="0.2">
      <c r="A1601" s="157"/>
      <c r="B1601" s="31" t="s">
        <v>6663</v>
      </c>
      <c r="C1601" s="31" t="s">
        <v>6664</v>
      </c>
      <c r="D1601" s="31" t="s">
        <v>3137</v>
      </c>
      <c r="E1601" s="61" t="b">
        <v>1</v>
      </c>
      <c r="F1601" s="107" t="s">
        <v>6665</v>
      </c>
      <c r="G1601" s="116" t="str">
        <f>HYPERLINK("http://nsgreg.nga.mil/genc/view?v=201411&amp;end_month=3&amp;end_day=31&amp;end_year=2014","Oio")</f>
        <v>Oio</v>
      </c>
      <c r="H1601" s="87" t="str">
        <f>HYPERLINK("http://api.nsgreg.nga.mil/geo-division/GENC/6/ed2/GW-OI","GW-OI")</f>
        <v>GW-OI</v>
      </c>
    </row>
    <row r="1602" spans="1:8" x14ac:dyDescent="0.2">
      <c r="A1602" s="157"/>
      <c r="B1602" s="31" t="s">
        <v>6666</v>
      </c>
      <c r="C1602" s="31" t="s">
        <v>6667</v>
      </c>
      <c r="D1602" s="31" t="s">
        <v>3137</v>
      </c>
      <c r="E1602" s="61" t="b">
        <v>1</v>
      </c>
      <c r="F1602" s="107" t="s">
        <v>6668</v>
      </c>
      <c r="G1602" s="116" t="str">
        <f>HYPERLINK("http://nsgreg.nga.mil/genc/view?v=201412&amp;end_month=3&amp;end_day=31&amp;end_year=2014","Quinara")</f>
        <v>Quinara</v>
      </c>
      <c r="H1602" s="87" t="str">
        <f>HYPERLINK("http://api.nsgreg.nga.mil/geo-division/GENC/6/ed2/GW-QU","GW-QU")</f>
        <v>GW-QU</v>
      </c>
    </row>
    <row r="1603" spans="1:8" x14ac:dyDescent="0.2">
      <c r="A1603" s="157"/>
      <c r="B1603" s="31" t="s">
        <v>6669</v>
      </c>
      <c r="C1603" s="31" t="s">
        <v>6670</v>
      </c>
      <c r="D1603" s="98" t="s">
        <v>1920</v>
      </c>
      <c r="E1603" s="99" t="b">
        <v>0</v>
      </c>
      <c r="F1603" s="107" t="s">
        <v>6671</v>
      </c>
      <c r="G1603" s="116" t="str">
        <f>HYPERLINK("http://nsgreg.nga.mil/genc/view?v=201413&amp;end_month=3&amp;end_day=31&amp;end_year=2014","Sul")</f>
        <v>Sul</v>
      </c>
      <c r="H1603" s="87" t="str">
        <f>HYPERLINK("http://api.nsgreg.nga.mil/geo-division/GENC/6/ed2/GW-S","GW-S")</f>
        <v>GW-S</v>
      </c>
    </row>
    <row r="1604" spans="1:8" x14ac:dyDescent="0.2">
      <c r="A1604" s="158"/>
      <c r="B1604" s="58" t="s">
        <v>6672</v>
      </c>
      <c r="C1604" s="58" t="s">
        <v>6673</v>
      </c>
      <c r="D1604" s="58" t="s">
        <v>3137</v>
      </c>
      <c r="E1604" s="62" t="b">
        <v>1</v>
      </c>
      <c r="F1604" s="111" t="s">
        <v>6674</v>
      </c>
      <c r="G1604" s="117" t="str">
        <f>HYPERLINK("http://nsgreg.nga.mil/genc/view?v=201414&amp;end_month=3&amp;end_day=31&amp;end_year=2014","Tombali")</f>
        <v>Tombali</v>
      </c>
      <c r="H1604" s="89" t="str">
        <f>HYPERLINK("http://api.nsgreg.nga.mil/geo-division/GENC/6/ed2/GW-TO","GW-TO")</f>
        <v>GW-TO</v>
      </c>
    </row>
    <row r="1605" spans="1:8" x14ac:dyDescent="0.2">
      <c r="A1605" s="156" t="str">
        <f>HYPERLINK("[#]Geopolitical_Entities!A116:I116","GUYANA")</f>
        <v>GUYANA</v>
      </c>
      <c r="B1605" s="52" t="s">
        <v>6675</v>
      </c>
      <c r="C1605" s="52" t="s">
        <v>6676</v>
      </c>
      <c r="D1605" s="52" t="s">
        <v>3137</v>
      </c>
      <c r="E1605" s="60" t="b">
        <v>1</v>
      </c>
      <c r="F1605" s="109" t="s">
        <v>6677</v>
      </c>
      <c r="G1605" s="118" t="str">
        <f>HYPERLINK("http://nsgreg.nga.mil/genc/view?v=113763&amp;gencs=T&amp;end_month=3&amp;end_day=31&amp;end_year=2014","Barima-Waini")</f>
        <v>Barima-Waini</v>
      </c>
      <c r="H1605" s="91" t="str">
        <f>HYPERLINK("http://api.nsgreg.nga.mil/geo-division/ISO3166-2/6/ed3/GY-BA","GY-BA")</f>
        <v>GY-BA</v>
      </c>
    </row>
    <row r="1606" spans="1:8" x14ac:dyDescent="0.2">
      <c r="A1606" s="157"/>
      <c r="B1606" s="31" t="s">
        <v>6678</v>
      </c>
      <c r="C1606" s="31" t="s">
        <v>6679</v>
      </c>
      <c r="D1606" s="31" t="s">
        <v>3137</v>
      </c>
      <c r="E1606" s="61" t="b">
        <v>1</v>
      </c>
      <c r="F1606" s="106" t="s">
        <v>6680</v>
      </c>
      <c r="G1606" s="116" t="str">
        <f>HYPERLINK("http://nsgreg.nga.mil/genc/view?v=113764&amp;gencs=T&amp;end_month=3&amp;end_day=31&amp;end_year=2014","Cuyuni-Mazaruni")</f>
        <v>Cuyuni-Mazaruni</v>
      </c>
      <c r="H1606" s="87" t="str">
        <f>HYPERLINK("http://api.nsgreg.nga.mil/geo-division/ISO3166-2/6/ed3/GY-CU","GY-CU")</f>
        <v>GY-CU</v>
      </c>
    </row>
    <row r="1607" spans="1:8" x14ac:dyDescent="0.2">
      <c r="A1607" s="157"/>
      <c r="B1607" s="31" t="s">
        <v>6681</v>
      </c>
      <c r="C1607" s="31" t="s">
        <v>6682</v>
      </c>
      <c r="D1607" s="31" t="s">
        <v>3137</v>
      </c>
      <c r="E1607" s="61" t="b">
        <v>1</v>
      </c>
      <c r="F1607" s="106" t="s">
        <v>6683</v>
      </c>
      <c r="G1607" s="116" t="str">
        <f>HYPERLINK("http://nsgreg.nga.mil/genc/view?v=113765&amp;gencs=T&amp;end_month=3&amp;end_day=31&amp;end_year=2014","Demerara-Mahaica")</f>
        <v>Demerara-Mahaica</v>
      </c>
      <c r="H1607" s="87" t="str">
        <f>HYPERLINK("http://api.nsgreg.nga.mil/geo-division/ISO3166-2/6/ed3/GY-DE","GY-DE")</f>
        <v>GY-DE</v>
      </c>
    </row>
    <row r="1608" spans="1:8" x14ac:dyDescent="0.2">
      <c r="A1608" s="157"/>
      <c r="B1608" s="31" t="s">
        <v>6684</v>
      </c>
      <c r="C1608" s="31" t="s">
        <v>6685</v>
      </c>
      <c r="D1608" s="31" t="s">
        <v>3137</v>
      </c>
      <c r="E1608" s="61" t="b">
        <v>1</v>
      </c>
      <c r="F1608" s="106" t="s">
        <v>6686</v>
      </c>
      <c r="G1608" s="116" t="str">
        <f>HYPERLINK("http://nsgreg.nga.mil/genc/view?v=113766&amp;gencs=T&amp;end_month=3&amp;end_day=31&amp;end_year=2014","East Berbice-Corentyne")</f>
        <v>East Berbice-Corentyne</v>
      </c>
      <c r="H1608" s="87" t="str">
        <f>HYPERLINK("http://api.nsgreg.nga.mil/geo-division/ISO3166-2/6/ed3/GY-EB","GY-EB")</f>
        <v>GY-EB</v>
      </c>
    </row>
    <row r="1609" spans="1:8" x14ac:dyDescent="0.2">
      <c r="A1609" s="157"/>
      <c r="B1609" s="31" t="s">
        <v>6687</v>
      </c>
      <c r="C1609" s="31" t="s">
        <v>6688</v>
      </c>
      <c r="D1609" s="31" t="s">
        <v>3137</v>
      </c>
      <c r="E1609" s="61" t="b">
        <v>1</v>
      </c>
      <c r="F1609" s="106" t="s">
        <v>6689</v>
      </c>
      <c r="G1609" s="116" t="str">
        <f>HYPERLINK("http://nsgreg.nga.mil/genc/view?v=113767&amp;gencs=T&amp;end_month=3&amp;end_day=31&amp;end_year=2014","Essequibo Islands-West Demerara")</f>
        <v>Essequibo Islands-West Demerara</v>
      </c>
      <c r="H1609" s="87" t="str">
        <f>HYPERLINK("http://api.nsgreg.nga.mil/geo-division/ISO3166-2/6/ed3/GY-ES","GY-ES")</f>
        <v>GY-ES</v>
      </c>
    </row>
    <row r="1610" spans="1:8" x14ac:dyDescent="0.2">
      <c r="A1610" s="157"/>
      <c r="B1610" s="31" t="s">
        <v>6690</v>
      </c>
      <c r="C1610" s="31" t="s">
        <v>6691</v>
      </c>
      <c r="D1610" s="31" t="s">
        <v>3137</v>
      </c>
      <c r="E1610" s="61" t="b">
        <v>1</v>
      </c>
      <c r="F1610" s="106" t="s">
        <v>6692</v>
      </c>
      <c r="G1610" s="116" t="str">
        <f>HYPERLINK("http://nsgreg.nga.mil/genc/view?v=113768&amp;gencs=T&amp;end_month=3&amp;end_day=31&amp;end_year=2014","Mahaica-Berbice")</f>
        <v>Mahaica-Berbice</v>
      </c>
      <c r="H1610" s="87" t="str">
        <f>HYPERLINK("http://api.nsgreg.nga.mil/geo-division/ISO3166-2/6/ed3/GY-MA","GY-MA")</f>
        <v>GY-MA</v>
      </c>
    </row>
    <row r="1611" spans="1:8" x14ac:dyDescent="0.2">
      <c r="A1611" s="157"/>
      <c r="B1611" s="31" t="s">
        <v>6693</v>
      </c>
      <c r="C1611" s="31" t="s">
        <v>6694</v>
      </c>
      <c r="D1611" s="31" t="s">
        <v>3137</v>
      </c>
      <c r="E1611" s="61" t="b">
        <v>1</v>
      </c>
      <c r="F1611" s="106" t="s">
        <v>6695</v>
      </c>
      <c r="G1611" s="116" t="str">
        <f>HYPERLINK("http://nsgreg.nga.mil/genc/view?v=113769&amp;gencs=T&amp;end_month=3&amp;end_day=31&amp;end_year=2014","Pomeroon-Supenaam")</f>
        <v>Pomeroon-Supenaam</v>
      </c>
      <c r="H1611" s="87" t="str">
        <f>HYPERLINK("http://api.nsgreg.nga.mil/geo-division/ISO3166-2/6/ed3/GY-PM","GY-PM")</f>
        <v>GY-PM</v>
      </c>
    </row>
    <row r="1612" spans="1:8" x14ac:dyDescent="0.2">
      <c r="A1612" s="157"/>
      <c r="B1612" s="31" t="s">
        <v>6696</v>
      </c>
      <c r="C1612" s="31" t="s">
        <v>6697</v>
      </c>
      <c r="D1612" s="31" t="s">
        <v>3137</v>
      </c>
      <c r="E1612" s="61" t="b">
        <v>1</v>
      </c>
      <c r="F1612" s="106" t="s">
        <v>6698</v>
      </c>
      <c r="G1612" s="116" t="str">
        <f>HYPERLINK("http://nsgreg.nga.mil/genc/view?v=113770&amp;gencs=T&amp;end_month=3&amp;end_day=31&amp;end_year=2014","Potaro-Siparuni")</f>
        <v>Potaro-Siparuni</v>
      </c>
      <c r="H1612" s="87" t="str">
        <f>HYPERLINK("http://api.nsgreg.nga.mil/geo-division/ISO3166-2/6/ed3/GY-PT","GY-PT")</f>
        <v>GY-PT</v>
      </c>
    </row>
    <row r="1613" spans="1:8" x14ac:dyDescent="0.2">
      <c r="A1613" s="157"/>
      <c r="B1613" s="31" t="s">
        <v>6699</v>
      </c>
      <c r="C1613" s="31" t="s">
        <v>6700</v>
      </c>
      <c r="D1613" s="31" t="s">
        <v>3137</v>
      </c>
      <c r="E1613" s="61" t="b">
        <v>1</v>
      </c>
      <c r="F1613" s="106" t="s">
        <v>6701</v>
      </c>
      <c r="G1613" s="116" t="str">
        <f>HYPERLINK("http://nsgreg.nga.mil/genc/view?v=113771&amp;gencs=T&amp;end_month=3&amp;end_day=31&amp;end_year=2014","Upper Demerara-Berbice")</f>
        <v>Upper Demerara-Berbice</v>
      </c>
      <c r="H1613" s="87" t="str">
        <f>HYPERLINK("http://api.nsgreg.nga.mil/geo-division/ISO3166-2/6/ed3/GY-UD","GY-UD")</f>
        <v>GY-UD</v>
      </c>
    </row>
    <row r="1614" spans="1:8" x14ac:dyDescent="0.2">
      <c r="A1614" s="158"/>
      <c r="B1614" s="58" t="s">
        <v>6702</v>
      </c>
      <c r="C1614" s="58" t="s">
        <v>6703</v>
      </c>
      <c r="D1614" s="58" t="s">
        <v>3137</v>
      </c>
      <c r="E1614" s="62" t="b">
        <v>1</v>
      </c>
      <c r="F1614" s="108" t="s">
        <v>6704</v>
      </c>
      <c r="G1614" s="117" t="str">
        <f>HYPERLINK("http://nsgreg.nga.mil/genc/view?v=113772&amp;gencs=T&amp;end_month=3&amp;end_day=31&amp;end_year=2014","Upper Takutu-Upper Essequibo")</f>
        <v>Upper Takutu-Upper Essequibo</v>
      </c>
      <c r="H1614" s="89" t="str">
        <f>HYPERLINK("http://api.nsgreg.nga.mil/geo-division/ISO3166-2/6/ed3/GY-UT","GY-UT")</f>
        <v>GY-UT</v>
      </c>
    </row>
    <row r="1615" spans="1:8" x14ac:dyDescent="0.2">
      <c r="A1615" s="156" t="str">
        <f>HYPERLINK("[#]Geopolitical_Entities!A117:I117","HAITI")</f>
        <v>HAITI</v>
      </c>
      <c r="B1615" s="52" t="s">
        <v>6705</v>
      </c>
      <c r="C1615" s="52" t="s">
        <v>6706</v>
      </c>
      <c r="D1615" s="52" t="s">
        <v>3214</v>
      </c>
      <c r="E1615" s="60" t="b">
        <v>1</v>
      </c>
      <c r="F1615" s="110" t="s">
        <v>6707</v>
      </c>
      <c r="G1615" s="118" t="str">
        <f>HYPERLINK("http://nsgreg.nga.mil/genc/view?v=201435&amp;end_month=3&amp;end_day=31&amp;end_year=2014","Artibonite")</f>
        <v>Artibonite</v>
      </c>
      <c r="H1615" s="91" t="str">
        <f>HYPERLINK("http://api.nsgreg.nga.mil/geo-division/GENC/6/ed2/HT-AR","HT-AR")</f>
        <v>HT-AR</v>
      </c>
    </row>
    <row r="1616" spans="1:8" x14ac:dyDescent="0.2">
      <c r="A1616" s="157"/>
      <c r="B1616" s="31" t="s">
        <v>6708</v>
      </c>
      <c r="C1616" s="31" t="s">
        <v>3674</v>
      </c>
      <c r="D1616" s="31" t="s">
        <v>3214</v>
      </c>
      <c r="E1616" s="61" t="b">
        <v>1</v>
      </c>
      <c r="F1616" s="107" t="s">
        <v>6709</v>
      </c>
      <c r="G1616" s="116" t="str">
        <f>HYPERLINK("http://nsgreg.nga.mil/genc/view?v=201436&amp;end_month=3&amp;end_day=31&amp;end_year=2014","Centre")</f>
        <v>Centre</v>
      </c>
      <c r="H1616" s="87" t="str">
        <f>HYPERLINK("http://api.nsgreg.nga.mil/geo-division/GENC/6/ed2/HT-CE","HT-CE")</f>
        <v>HT-CE</v>
      </c>
    </row>
    <row r="1617" spans="1:8" x14ac:dyDescent="0.2">
      <c r="A1617" s="157"/>
      <c r="B1617" s="31" t="s">
        <v>6710</v>
      </c>
      <c r="C1617" s="31" t="s">
        <v>6711</v>
      </c>
      <c r="D1617" s="31" t="s">
        <v>3214</v>
      </c>
      <c r="E1617" s="61" t="b">
        <v>1</v>
      </c>
      <c r="F1617" s="107" t="s">
        <v>6712</v>
      </c>
      <c r="G1617" s="116" t="str">
        <f>HYPERLINK("http://nsgreg.nga.mil/genc/view?v=201437&amp;end_month=3&amp;end_day=31&amp;end_year=2014","Grand’Anse")</f>
        <v>Grand’Anse</v>
      </c>
      <c r="H1617" s="87" t="str">
        <f>HYPERLINK("http://api.nsgreg.nga.mil/geo-division/GENC/6/ed2/HT-GA","HT-GA")</f>
        <v>HT-GA</v>
      </c>
    </row>
    <row r="1618" spans="1:8" x14ac:dyDescent="0.2">
      <c r="A1618" s="157"/>
      <c r="B1618" s="31" t="s">
        <v>6713</v>
      </c>
      <c r="C1618" s="31" t="s">
        <v>6714</v>
      </c>
      <c r="D1618" s="31" t="s">
        <v>3214</v>
      </c>
      <c r="E1618" s="61" t="b">
        <v>1</v>
      </c>
      <c r="F1618" s="107" t="s">
        <v>6715</v>
      </c>
      <c r="G1618" s="116" t="str">
        <f>HYPERLINK("http://nsgreg.nga.mil/genc/view?v=201440&amp;end_month=3&amp;end_day=31&amp;end_year=2014","Nippes")</f>
        <v>Nippes</v>
      </c>
      <c r="H1618" s="87" t="str">
        <f>HYPERLINK("http://api.nsgreg.nga.mil/geo-division/GENC/6/ed2/HT-NI","HT-NI")</f>
        <v>HT-NI</v>
      </c>
    </row>
    <row r="1619" spans="1:8" x14ac:dyDescent="0.2">
      <c r="A1619" s="157"/>
      <c r="B1619" s="31" t="s">
        <v>6716</v>
      </c>
      <c r="C1619" s="31" t="s">
        <v>3755</v>
      </c>
      <c r="D1619" s="31" t="s">
        <v>3214</v>
      </c>
      <c r="E1619" s="61" t="b">
        <v>1</v>
      </c>
      <c r="F1619" s="107" t="s">
        <v>6717</v>
      </c>
      <c r="G1619" s="116" t="str">
        <f>HYPERLINK("http://nsgreg.nga.mil/genc/view?v=201438&amp;end_month=3&amp;end_day=31&amp;end_year=2014","Nord")</f>
        <v>Nord</v>
      </c>
      <c r="H1619" s="87" t="str">
        <f>HYPERLINK("http://api.nsgreg.nga.mil/geo-division/GENC/6/ed2/HT-ND","HT-ND")</f>
        <v>HT-ND</v>
      </c>
    </row>
    <row r="1620" spans="1:8" x14ac:dyDescent="0.2">
      <c r="A1620" s="157"/>
      <c r="B1620" s="31" t="s">
        <v>6718</v>
      </c>
      <c r="C1620" s="31" t="s">
        <v>6719</v>
      </c>
      <c r="D1620" s="31" t="s">
        <v>3214</v>
      </c>
      <c r="E1620" s="61" t="b">
        <v>1</v>
      </c>
      <c r="F1620" s="107" t="s">
        <v>6720</v>
      </c>
      <c r="G1620" s="116" t="str">
        <f>HYPERLINK("http://nsgreg.nga.mil/genc/view?v=201439&amp;end_month=3&amp;end_day=31&amp;end_year=2014","Nord-Est")</f>
        <v>Nord-Est</v>
      </c>
      <c r="H1620" s="87" t="str">
        <f>HYPERLINK("http://api.nsgreg.nga.mil/geo-division/GENC/6/ed2/HT-NE","HT-NE")</f>
        <v>HT-NE</v>
      </c>
    </row>
    <row r="1621" spans="1:8" x14ac:dyDescent="0.2">
      <c r="A1621" s="157"/>
      <c r="B1621" s="31" t="s">
        <v>6721</v>
      </c>
      <c r="C1621" s="31" t="s">
        <v>6722</v>
      </c>
      <c r="D1621" s="31" t="s">
        <v>3214</v>
      </c>
      <c r="E1621" s="61" t="b">
        <v>1</v>
      </c>
      <c r="F1621" s="107" t="s">
        <v>6723</v>
      </c>
      <c r="G1621" s="116" t="str">
        <f>HYPERLINK("http://nsgreg.nga.mil/genc/view?v=201441&amp;end_month=3&amp;end_day=31&amp;end_year=2014","Nord-Ouest")</f>
        <v>Nord-Ouest</v>
      </c>
      <c r="H1621" s="87" t="str">
        <f>HYPERLINK("http://api.nsgreg.nga.mil/geo-division/GENC/6/ed2/HT-NO","HT-NO")</f>
        <v>HT-NO</v>
      </c>
    </row>
    <row r="1622" spans="1:8" x14ac:dyDescent="0.2">
      <c r="A1622" s="157"/>
      <c r="B1622" s="31" t="s">
        <v>6724</v>
      </c>
      <c r="C1622" s="31" t="s">
        <v>4078</v>
      </c>
      <c r="D1622" s="31" t="s">
        <v>3214</v>
      </c>
      <c r="E1622" s="61" t="b">
        <v>1</v>
      </c>
      <c r="F1622" s="107" t="s">
        <v>6725</v>
      </c>
      <c r="G1622" s="116" t="str">
        <f>HYPERLINK("http://nsgreg.nga.mil/genc/view?v=201442&amp;end_month=3&amp;end_day=31&amp;end_year=2014","Ouest")</f>
        <v>Ouest</v>
      </c>
      <c r="H1622" s="87" t="str">
        <f>HYPERLINK("http://api.nsgreg.nga.mil/geo-division/GENC/6/ed2/HT-OU","HT-OU")</f>
        <v>HT-OU</v>
      </c>
    </row>
    <row r="1623" spans="1:8" x14ac:dyDescent="0.2">
      <c r="A1623" s="157"/>
      <c r="B1623" s="31" t="s">
        <v>6726</v>
      </c>
      <c r="C1623" s="31" t="s">
        <v>4084</v>
      </c>
      <c r="D1623" s="31" t="s">
        <v>3214</v>
      </c>
      <c r="E1623" s="61" t="b">
        <v>1</v>
      </c>
      <c r="F1623" s="107" t="s">
        <v>6727</v>
      </c>
      <c r="G1623" s="116" t="str">
        <f>HYPERLINK("http://nsgreg.nga.mil/genc/view?v=201443&amp;end_month=3&amp;end_day=31&amp;end_year=2014","Sud")</f>
        <v>Sud</v>
      </c>
      <c r="H1623" s="87" t="str">
        <f>HYPERLINK("http://api.nsgreg.nga.mil/geo-division/GENC/6/ed2/HT-SD","HT-SD")</f>
        <v>HT-SD</v>
      </c>
    </row>
    <row r="1624" spans="1:8" x14ac:dyDescent="0.2">
      <c r="A1624" s="158"/>
      <c r="B1624" s="58" t="s">
        <v>6728</v>
      </c>
      <c r="C1624" s="58" t="s">
        <v>6729</v>
      </c>
      <c r="D1624" s="58" t="s">
        <v>3214</v>
      </c>
      <c r="E1624" s="62" t="b">
        <v>1</v>
      </c>
      <c r="F1624" s="111" t="s">
        <v>6730</v>
      </c>
      <c r="G1624" s="117" t="str">
        <f>HYPERLINK("http://nsgreg.nga.mil/genc/view?v=201444&amp;end_month=3&amp;end_day=31&amp;end_year=2014","Sud-Est")</f>
        <v>Sud-Est</v>
      </c>
      <c r="H1624" s="89" t="str">
        <f>HYPERLINK("http://api.nsgreg.nga.mil/geo-division/GENC/6/ed2/HT-SE","HT-SE")</f>
        <v>HT-SE</v>
      </c>
    </row>
    <row r="1625" spans="1:8" x14ac:dyDescent="0.2">
      <c r="A1625" s="156" t="str">
        <f>HYPERLINK("[#]Geopolitical_Entities!A119:I119","HONDURAS")</f>
        <v>HONDURAS</v>
      </c>
      <c r="B1625" s="52" t="s">
        <v>6731</v>
      </c>
      <c r="C1625" s="52" t="s">
        <v>6732</v>
      </c>
      <c r="D1625" s="52" t="s">
        <v>3214</v>
      </c>
      <c r="E1625" s="60" t="b">
        <v>1</v>
      </c>
      <c r="F1625" s="109" t="s">
        <v>6733</v>
      </c>
      <c r="G1625" s="118" t="str">
        <f>HYPERLINK("http://nsgreg.nga.mil/genc/view?v=113773&amp;gencs=T&amp;end_month=3&amp;end_day=31&amp;end_year=2014","Atlántida")</f>
        <v>Atlántida</v>
      </c>
      <c r="H1625" s="91" t="str">
        <f>HYPERLINK("http://api.nsgreg.nga.mil/geo-division/ISO3166-2/6/ed3/HN-AT","HN-AT")</f>
        <v>HN-AT</v>
      </c>
    </row>
    <row r="1626" spans="1:8" x14ac:dyDescent="0.2">
      <c r="A1626" s="157"/>
      <c r="B1626" s="31" t="s">
        <v>6734</v>
      </c>
      <c r="C1626" s="31" t="s">
        <v>6735</v>
      </c>
      <c r="D1626" s="31" t="s">
        <v>3214</v>
      </c>
      <c r="E1626" s="61" t="b">
        <v>1</v>
      </c>
      <c r="F1626" s="106" t="s">
        <v>6736</v>
      </c>
      <c r="G1626" s="116" t="str">
        <f>HYPERLINK("http://nsgreg.nga.mil/genc/view?v=113774&amp;gencs=T&amp;end_month=3&amp;end_day=31&amp;end_year=2014","Choluteca")</f>
        <v>Choluteca</v>
      </c>
      <c r="H1626" s="87" t="str">
        <f>HYPERLINK("http://api.nsgreg.nga.mil/geo-division/ISO3166-2/6/ed3/HN-CH","HN-CH")</f>
        <v>HN-CH</v>
      </c>
    </row>
    <row r="1627" spans="1:8" x14ac:dyDescent="0.2">
      <c r="A1627" s="157"/>
      <c r="B1627" s="31" t="s">
        <v>6737</v>
      </c>
      <c r="C1627" s="31" t="s">
        <v>6738</v>
      </c>
      <c r="D1627" s="31" t="s">
        <v>3214</v>
      </c>
      <c r="E1627" s="61" t="b">
        <v>1</v>
      </c>
      <c r="F1627" s="106" t="s">
        <v>6739</v>
      </c>
      <c r="G1627" s="116" t="str">
        <f>HYPERLINK("http://nsgreg.nga.mil/genc/view?v=113775&amp;gencs=T&amp;end_month=3&amp;end_day=31&amp;end_year=2014","Colón")</f>
        <v>Colón</v>
      </c>
      <c r="H1627" s="87" t="str">
        <f>HYPERLINK("http://api.nsgreg.nga.mil/geo-division/ISO3166-2/6/ed3/HN-CL","HN-CL")</f>
        <v>HN-CL</v>
      </c>
    </row>
    <row r="1628" spans="1:8" x14ac:dyDescent="0.2">
      <c r="A1628" s="157"/>
      <c r="B1628" s="31" t="s">
        <v>6740</v>
      </c>
      <c r="C1628" s="31" t="s">
        <v>6741</v>
      </c>
      <c r="D1628" s="31" t="s">
        <v>3214</v>
      </c>
      <c r="E1628" s="61" t="b">
        <v>1</v>
      </c>
      <c r="F1628" s="106" t="s">
        <v>6742</v>
      </c>
      <c r="G1628" s="116" t="str">
        <f>HYPERLINK("http://nsgreg.nga.mil/genc/view?v=113776&amp;gencs=T&amp;end_month=3&amp;end_day=31&amp;end_year=2014","Comayagua")</f>
        <v>Comayagua</v>
      </c>
      <c r="H1628" s="87" t="str">
        <f>HYPERLINK("http://api.nsgreg.nga.mil/geo-division/ISO3166-2/6/ed3/HN-CM","HN-CM")</f>
        <v>HN-CM</v>
      </c>
    </row>
    <row r="1629" spans="1:8" x14ac:dyDescent="0.2">
      <c r="A1629" s="157"/>
      <c r="B1629" s="31" t="s">
        <v>6743</v>
      </c>
      <c r="C1629" s="31" t="s">
        <v>6744</v>
      </c>
      <c r="D1629" s="31" t="s">
        <v>3214</v>
      </c>
      <c r="E1629" s="61" t="b">
        <v>1</v>
      </c>
      <c r="F1629" s="106" t="s">
        <v>6745</v>
      </c>
      <c r="G1629" s="116" t="str">
        <f>HYPERLINK("http://nsgreg.nga.mil/genc/view?v=113777&amp;gencs=T&amp;end_month=3&amp;end_day=31&amp;end_year=2014","Copán")</f>
        <v>Copán</v>
      </c>
      <c r="H1629" s="87" t="str">
        <f>HYPERLINK("http://api.nsgreg.nga.mil/geo-division/ISO3166-2/6/ed3/HN-CP","HN-CP")</f>
        <v>HN-CP</v>
      </c>
    </row>
    <row r="1630" spans="1:8" x14ac:dyDescent="0.2">
      <c r="A1630" s="157"/>
      <c r="B1630" s="31" t="s">
        <v>6746</v>
      </c>
      <c r="C1630" s="31" t="s">
        <v>6747</v>
      </c>
      <c r="D1630" s="31" t="s">
        <v>3214</v>
      </c>
      <c r="E1630" s="61" t="b">
        <v>1</v>
      </c>
      <c r="F1630" s="106" t="s">
        <v>6748</v>
      </c>
      <c r="G1630" s="116" t="str">
        <f>HYPERLINK("http://nsgreg.nga.mil/genc/view?v=113778&amp;gencs=T&amp;end_month=3&amp;end_day=31&amp;end_year=2014","Cortés")</f>
        <v>Cortés</v>
      </c>
      <c r="H1630" s="87" t="str">
        <f>HYPERLINK("http://api.nsgreg.nga.mil/geo-division/ISO3166-2/6/ed3/HN-CR","HN-CR")</f>
        <v>HN-CR</v>
      </c>
    </row>
    <row r="1631" spans="1:8" x14ac:dyDescent="0.2">
      <c r="A1631" s="157"/>
      <c r="B1631" s="31" t="s">
        <v>6749</v>
      </c>
      <c r="C1631" s="31" t="s">
        <v>6750</v>
      </c>
      <c r="D1631" s="31" t="s">
        <v>3214</v>
      </c>
      <c r="E1631" s="61" t="b">
        <v>1</v>
      </c>
      <c r="F1631" s="106" t="s">
        <v>6751</v>
      </c>
      <c r="G1631" s="116" t="str">
        <f>HYPERLINK("http://nsgreg.nga.mil/genc/view?v=113779&amp;gencs=T&amp;end_month=3&amp;end_day=31&amp;end_year=2014","El Paraíso")</f>
        <v>El Paraíso</v>
      </c>
      <c r="H1631" s="87" t="str">
        <f>HYPERLINK("http://api.nsgreg.nga.mil/geo-division/ISO3166-2/6/ed3/HN-EP","HN-EP")</f>
        <v>HN-EP</v>
      </c>
    </row>
    <row r="1632" spans="1:8" x14ac:dyDescent="0.2">
      <c r="A1632" s="157"/>
      <c r="B1632" s="31" t="s">
        <v>6752</v>
      </c>
      <c r="C1632" s="31" t="s">
        <v>6753</v>
      </c>
      <c r="D1632" s="31" t="s">
        <v>3214</v>
      </c>
      <c r="E1632" s="61" t="b">
        <v>1</v>
      </c>
      <c r="F1632" s="106" t="s">
        <v>6754</v>
      </c>
      <c r="G1632" s="116" t="str">
        <f>HYPERLINK("http://nsgreg.nga.mil/genc/view?v=113780&amp;gencs=T&amp;end_month=3&amp;end_day=31&amp;end_year=2014","Francisco Morazán")</f>
        <v>Francisco Morazán</v>
      </c>
      <c r="H1632" s="87" t="str">
        <f>HYPERLINK("http://api.nsgreg.nga.mil/geo-division/ISO3166-2/6/ed3/HN-FM","HN-FM")</f>
        <v>HN-FM</v>
      </c>
    </row>
    <row r="1633" spans="1:8" x14ac:dyDescent="0.2">
      <c r="A1633" s="157"/>
      <c r="B1633" s="31" t="s">
        <v>6755</v>
      </c>
      <c r="C1633" s="31" t="s">
        <v>6756</v>
      </c>
      <c r="D1633" s="31" t="s">
        <v>3214</v>
      </c>
      <c r="E1633" s="61" t="b">
        <v>1</v>
      </c>
      <c r="F1633" s="106" t="s">
        <v>6757</v>
      </c>
      <c r="G1633" s="116" t="str">
        <f>HYPERLINK("http://nsgreg.nga.mil/genc/view?v=113781&amp;gencs=T&amp;end_month=3&amp;end_day=31&amp;end_year=2014","Gracias a Dios")</f>
        <v>Gracias a Dios</v>
      </c>
      <c r="H1633" s="87" t="str">
        <f>HYPERLINK("http://api.nsgreg.nga.mil/geo-division/ISO3166-2/6/ed3/HN-GD","HN-GD")</f>
        <v>HN-GD</v>
      </c>
    </row>
    <row r="1634" spans="1:8" x14ac:dyDescent="0.2">
      <c r="A1634" s="157"/>
      <c r="B1634" s="31" t="s">
        <v>6758</v>
      </c>
      <c r="C1634" s="31" t="s">
        <v>6759</v>
      </c>
      <c r="D1634" s="31" t="s">
        <v>3214</v>
      </c>
      <c r="E1634" s="61" t="b">
        <v>1</v>
      </c>
      <c r="F1634" s="106" t="s">
        <v>6760</v>
      </c>
      <c r="G1634" s="116" t="str">
        <f>HYPERLINK("http://nsgreg.nga.mil/genc/view?v=113783&amp;gencs=T&amp;end_month=3&amp;end_day=31&amp;end_year=2014","Intibucá")</f>
        <v>Intibucá</v>
      </c>
      <c r="H1634" s="87" t="str">
        <f>HYPERLINK("http://api.nsgreg.nga.mil/geo-division/ISO3166-2/6/ed3/HN-IN","HN-IN")</f>
        <v>HN-IN</v>
      </c>
    </row>
    <row r="1635" spans="1:8" x14ac:dyDescent="0.2">
      <c r="A1635" s="157"/>
      <c r="B1635" s="31" t="s">
        <v>6761</v>
      </c>
      <c r="C1635" s="31" t="s">
        <v>6762</v>
      </c>
      <c r="D1635" s="31" t="s">
        <v>3214</v>
      </c>
      <c r="E1635" s="61" t="b">
        <v>1</v>
      </c>
      <c r="F1635" s="106" t="s">
        <v>6763</v>
      </c>
      <c r="G1635" s="116" t="str">
        <f>HYPERLINK("http://nsgreg.nga.mil/genc/view?v=113782&amp;gencs=T&amp;end_month=3&amp;end_day=31&amp;end_year=2014","Islas de la Bahía")</f>
        <v>Islas de la Bahía</v>
      </c>
      <c r="H1635" s="87" t="str">
        <f>HYPERLINK("http://api.nsgreg.nga.mil/geo-division/ISO3166-2/6/ed3/HN-IB","HN-IB")</f>
        <v>HN-IB</v>
      </c>
    </row>
    <row r="1636" spans="1:8" x14ac:dyDescent="0.2">
      <c r="A1636" s="157"/>
      <c r="B1636" s="31" t="s">
        <v>6764</v>
      </c>
      <c r="C1636" s="31" t="s">
        <v>3351</v>
      </c>
      <c r="D1636" s="31" t="s">
        <v>3214</v>
      </c>
      <c r="E1636" s="61" t="b">
        <v>1</v>
      </c>
      <c r="F1636" s="106" t="s">
        <v>6765</v>
      </c>
      <c r="G1636" s="116" t="str">
        <f>HYPERLINK("http://nsgreg.nga.mil/genc/view?v=113785&amp;gencs=T&amp;end_month=3&amp;end_day=31&amp;end_year=2014","La Paz")</f>
        <v>La Paz</v>
      </c>
      <c r="H1636" s="87" t="str">
        <f>HYPERLINK("http://api.nsgreg.nga.mil/geo-division/ISO3166-2/6/ed3/HN-LP","HN-LP")</f>
        <v>HN-LP</v>
      </c>
    </row>
    <row r="1637" spans="1:8" x14ac:dyDescent="0.2">
      <c r="A1637" s="157"/>
      <c r="B1637" s="31" t="s">
        <v>6766</v>
      </c>
      <c r="C1637" s="31" t="s">
        <v>6767</v>
      </c>
      <c r="D1637" s="31" t="s">
        <v>3214</v>
      </c>
      <c r="E1637" s="61" t="b">
        <v>1</v>
      </c>
      <c r="F1637" s="106" t="s">
        <v>6768</v>
      </c>
      <c r="G1637" s="116" t="str">
        <f>HYPERLINK("http://nsgreg.nga.mil/genc/view?v=113784&amp;gencs=T&amp;end_month=3&amp;end_day=31&amp;end_year=2014","Lempira")</f>
        <v>Lempira</v>
      </c>
      <c r="H1637" s="87" t="str">
        <f>HYPERLINK("http://api.nsgreg.nga.mil/geo-division/ISO3166-2/6/ed3/HN-LE","HN-LE")</f>
        <v>HN-LE</v>
      </c>
    </row>
    <row r="1638" spans="1:8" x14ac:dyDescent="0.2">
      <c r="A1638" s="157"/>
      <c r="B1638" s="31" t="s">
        <v>6769</v>
      </c>
      <c r="C1638" s="31" t="s">
        <v>6770</v>
      </c>
      <c r="D1638" s="31" t="s">
        <v>3214</v>
      </c>
      <c r="E1638" s="61" t="b">
        <v>1</v>
      </c>
      <c r="F1638" s="106" t="s">
        <v>6771</v>
      </c>
      <c r="G1638" s="116" t="str">
        <f>HYPERLINK("http://nsgreg.nga.mil/genc/view?v=113786&amp;gencs=T&amp;end_month=3&amp;end_day=31&amp;end_year=2014","Ocotepeque")</f>
        <v>Ocotepeque</v>
      </c>
      <c r="H1638" s="87" t="str">
        <f>HYPERLINK("http://api.nsgreg.nga.mil/geo-division/ISO3166-2/6/ed3/HN-OC","HN-OC")</f>
        <v>HN-OC</v>
      </c>
    </row>
    <row r="1639" spans="1:8" x14ac:dyDescent="0.2">
      <c r="A1639" s="157"/>
      <c r="B1639" s="31" t="s">
        <v>6772</v>
      </c>
      <c r="C1639" s="31" t="s">
        <v>6773</v>
      </c>
      <c r="D1639" s="31" t="s">
        <v>3214</v>
      </c>
      <c r="E1639" s="61" t="b">
        <v>1</v>
      </c>
      <c r="F1639" s="106" t="s">
        <v>6774</v>
      </c>
      <c r="G1639" s="116" t="str">
        <f>HYPERLINK("http://nsgreg.nga.mil/genc/view?v=113787&amp;gencs=T&amp;end_month=3&amp;end_day=31&amp;end_year=2014","Olancho")</f>
        <v>Olancho</v>
      </c>
      <c r="H1639" s="87" t="str">
        <f>HYPERLINK("http://api.nsgreg.nga.mil/geo-division/ISO3166-2/6/ed3/HN-OL","HN-OL")</f>
        <v>HN-OL</v>
      </c>
    </row>
    <row r="1640" spans="1:8" x14ac:dyDescent="0.2">
      <c r="A1640" s="157"/>
      <c r="B1640" s="31" t="s">
        <v>6775</v>
      </c>
      <c r="C1640" s="31" t="s">
        <v>6776</v>
      </c>
      <c r="D1640" s="31" t="s">
        <v>3214</v>
      </c>
      <c r="E1640" s="61" t="b">
        <v>1</v>
      </c>
      <c r="F1640" s="106" t="s">
        <v>6777</v>
      </c>
      <c r="G1640" s="116" t="str">
        <f>HYPERLINK("http://nsgreg.nga.mil/genc/view?v=113788&amp;gencs=T&amp;end_month=3&amp;end_day=31&amp;end_year=2014","Santa Bárbara")</f>
        <v>Santa Bárbara</v>
      </c>
      <c r="H1640" s="87" t="str">
        <f>HYPERLINK("http://api.nsgreg.nga.mil/geo-division/ISO3166-2/6/ed3/HN-SB","HN-SB")</f>
        <v>HN-SB</v>
      </c>
    </row>
    <row r="1641" spans="1:8" x14ac:dyDescent="0.2">
      <c r="A1641" s="157"/>
      <c r="B1641" s="31" t="s">
        <v>6778</v>
      </c>
      <c r="C1641" s="31" t="s">
        <v>6779</v>
      </c>
      <c r="D1641" s="31" t="s">
        <v>3214</v>
      </c>
      <c r="E1641" s="61" t="b">
        <v>1</v>
      </c>
      <c r="F1641" s="106" t="s">
        <v>6780</v>
      </c>
      <c r="G1641" s="116" t="str">
        <f>HYPERLINK("http://nsgreg.nga.mil/genc/view?v=113789&amp;gencs=T&amp;end_month=3&amp;end_day=31&amp;end_year=2014","Valle")</f>
        <v>Valle</v>
      </c>
      <c r="H1641" s="87" t="str">
        <f>HYPERLINK("http://api.nsgreg.nga.mil/geo-division/ISO3166-2/6/ed3/HN-VA","HN-VA")</f>
        <v>HN-VA</v>
      </c>
    </row>
    <row r="1642" spans="1:8" x14ac:dyDescent="0.2">
      <c r="A1642" s="158"/>
      <c r="B1642" s="58" t="s">
        <v>6781</v>
      </c>
      <c r="C1642" s="58" t="s">
        <v>6782</v>
      </c>
      <c r="D1642" s="58" t="s">
        <v>3214</v>
      </c>
      <c r="E1642" s="62" t="b">
        <v>1</v>
      </c>
      <c r="F1642" s="108" t="s">
        <v>6783</v>
      </c>
      <c r="G1642" s="117" t="str">
        <f>HYPERLINK("http://nsgreg.nga.mil/genc/view?v=113790&amp;gencs=T&amp;end_month=3&amp;end_day=31&amp;end_year=2014","Yoro")</f>
        <v>Yoro</v>
      </c>
      <c r="H1642" s="89" t="str">
        <f>HYPERLINK("http://api.nsgreg.nga.mil/geo-division/ISO3166-2/6/ed3/HN-YO","HN-YO")</f>
        <v>HN-YO</v>
      </c>
    </row>
    <row r="1643" spans="1:8" x14ac:dyDescent="0.2">
      <c r="A1643" s="156" t="str">
        <f>HYPERLINK("[#]Geopolitical_Entities!A122:I122","HUNGARY")</f>
        <v>HUNGARY</v>
      </c>
      <c r="B1643" s="52" t="s">
        <v>6784</v>
      </c>
      <c r="C1643" s="52" t="s">
        <v>6785</v>
      </c>
      <c r="D1643" s="52" t="s">
        <v>2023</v>
      </c>
      <c r="E1643" s="60" t="b">
        <v>1</v>
      </c>
      <c r="F1643" s="109" t="s">
        <v>6786</v>
      </c>
      <c r="G1643" s="118" t="str">
        <f>HYPERLINK("http://nsgreg.nga.mil/genc/view?v=113825&amp;gencs=T&amp;end_month=3&amp;end_day=31&amp;end_year=2014","Bács-Kiskun")</f>
        <v>Bács-Kiskun</v>
      </c>
      <c r="H1643" s="91" t="str">
        <f>HYPERLINK("http://api.nsgreg.nga.mil/geo-division/ISO3166-2/6/ed3/HU-BK","HU-BK")</f>
        <v>HU-BK</v>
      </c>
    </row>
    <row r="1644" spans="1:8" x14ac:dyDescent="0.2">
      <c r="A1644" s="157"/>
      <c r="B1644" s="31" t="s">
        <v>6787</v>
      </c>
      <c r="C1644" s="31" t="s">
        <v>6788</v>
      </c>
      <c r="D1644" s="31" t="s">
        <v>2023</v>
      </c>
      <c r="E1644" s="61" t="b">
        <v>1</v>
      </c>
      <c r="F1644" s="106" t="s">
        <v>6789</v>
      </c>
      <c r="G1644" s="116" t="str">
        <f>HYPERLINK("http://nsgreg.nga.mil/genc/view?v=113822&amp;gencs=T&amp;end_month=3&amp;end_day=31&amp;end_year=2014","Baranya")</f>
        <v>Baranya</v>
      </c>
      <c r="H1644" s="87" t="str">
        <f>HYPERLINK("http://api.nsgreg.nga.mil/geo-division/ISO3166-2/6/ed3/HU-BA","HU-BA")</f>
        <v>HU-BA</v>
      </c>
    </row>
    <row r="1645" spans="1:8" x14ac:dyDescent="0.2">
      <c r="A1645" s="157"/>
      <c r="B1645" s="31" t="s">
        <v>6790</v>
      </c>
      <c r="C1645" s="31" t="s">
        <v>6791</v>
      </c>
      <c r="D1645" s="31" t="s">
        <v>2023</v>
      </c>
      <c r="E1645" s="61" t="b">
        <v>1</v>
      </c>
      <c r="F1645" s="106" t="s">
        <v>6792</v>
      </c>
      <c r="G1645" s="116" t="str">
        <f>HYPERLINK("http://nsgreg.nga.mil/genc/view?v=113824&amp;gencs=T&amp;end_month=3&amp;end_day=31&amp;end_year=2014","Békés")</f>
        <v>Békés</v>
      </c>
      <c r="H1645" s="87" t="str">
        <f>HYPERLINK("http://api.nsgreg.nga.mil/geo-division/ISO3166-2/6/ed3/HU-BE","HU-BE")</f>
        <v>HU-BE</v>
      </c>
    </row>
    <row r="1646" spans="1:8" x14ac:dyDescent="0.2">
      <c r="A1646" s="157"/>
      <c r="B1646" s="31" t="s">
        <v>6793</v>
      </c>
      <c r="C1646" s="31" t="s">
        <v>6794</v>
      </c>
      <c r="D1646" s="31" t="s">
        <v>6795</v>
      </c>
      <c r="E1646" s="61" t="b">
        <v>1</v>
      </c>
      <c r="F1646" s="107" t="s">
        <v>6796</v>
      </c>
      <c r="G1646" s="116" t="str">
        <f>HYPERLINK("http://nsgreg.nga.mil/genc/view?v=201445&amp;end_month=3&amp;end_day=31&amp;end_year=2014","Békéscsaba")</f>
        <v>Békéscsaba</v>
      </c>
      <c r="H1646" s="87" t="str">
        <f>HYPERLINK("http://api.nsgreg.nga.mil/geo-division/GENC/6/ed2/HU-BC","HU-BC")</f>
        <v>HU-BC</v>
      </c>
    </row>
    <row r="1647" spans="1:8" x14ac:dyDescent="0.2">
      <c r="A1647" s="157"/>
      <c r="B1647" s="31" t="s">
        <v>6797</v>
      </c>
      <c r="C1647" s="31" t="s">
        <v>6798</v>
      </c>
      <c r="D1647" s="31" t="s">
        <v>2023</v>
      </c>
      <c r="E1647" s="61" t="b">
        <v>1</v>
      </c>
      <c r="F1647" s="106" t="s">
        <v>6799</v>
      </c>
      <c r="G1647" s="116" t="str">
        <f>HYPERLINK("http://nsgreg.nga.mil/genc/view?v=113827&amp;gencs=T&amp;end_month=3&amp;end_day=31&amp;end_year=2014","Borsod-Abaúj-Zemplén")</f>
        <v>Borsod-Abaúj-Zemplén</v>
      </c>
      <c r="H1647" s="87" t="str">
        <f>HYPERLINK("http://api.nsgreg.nga.mil/geo-division/ISO3166-2/6/ed3/HU-BZ","HU-BZ")</f>
        <v>HU-BZ</v>
      </c>
    </row>
    <row r="1648" spans="1:8" x14ac:dyDescent="0.2">
      <c r="A1648" s="157"/>
      <c r="B1648" s="31" t="s">
        <v>6800</v>
      </c>
      <c r="C1648" s="31" t="s">
        <v>6801</v>
      </c>
      <c r="D1648" s="31" t="s">
        <v>6802</v>
      </c>
      <c r="E1648" s="61" t="b">
        <v>1</v>
      </c>
      <c r="F1648" s="106" t="s">
        <v>6803</v>
      </c>
      <c r="G1648" s="116" t="str">
        <f>HYPERLINK("http://nsgreg.nga.mil/genc/view?v=113826&amp;gencs=T&amp;end_month=3&amp;end_day=31&amp;end_year=2014","Budapest")</f>
        <v>Budapest</v>
      </c>
      <c r="H1648" s="87" t="str">
        <f>HYPERLINK("http://api.nsgreg.nga.mil/geo-division/ISO3166-2/6/ed3/HU-BU","HU-BU")</f>
        <v>HU-BU</v>
      </c>
    </row>
    <row r="1649" spans="1:8" x14ac:dyDescent="0.2">
      <c r="A1649" s="157"/>
      <c r="B1649" s="31" t="s">
        <v>6804</v>
      </c>
      <c r="C1649" s="31" t="s">
        <v>6805</v>
      </c>
      <c r="D1649" s="31" t="s">
        <v>2023</v>
      </c>
      <c r="E1649" s="61" t="b">
        <v>1</v>
      </c>
      <c r="F1649" s="106" t="s">
        <v>6806</v>
      </c>
      <c r="G1649" s="116" t="str">
        <f>HYPERLINK("http://nsgreg.nga.mil/genc/view?v=113828&amp;gencs=T&amp;end_month=3&amp;end_day=31&amp;end_year=2014","Csongrád")</f>
        <v>Csongrád</v>
      </c>
      <c r="H1649" s="87" t="str">
        <f>HYPERLINK("http://api.nsgreg.nga.mil/geo-division/ISO3166-2/6/ed3/HU-CS","HU-CS")</f>
        <v>HU-CS</v>
      </c>
    </row>
    <row r="1650" spans="1:8" x14ac:dyDescent="0.2">
      <c r="A1650" s="157"/>
      <c r="B1650" s="31" t="s">
        <v>6807</v>
      </c>
      <c r="C1650" s="31" t="s">
        <v>6808</v>
      </c>
      <c r="D1650" s="31" t="s">
        <v>6795</v>
      </c>
      <c r="E1650" s="61" t="b">
        <v>1</v>
      </c>
      <c r="F1650" s="107" t="s">
        <v>6809</v>
      </c>
      <c r="G1650" s="116" t="str">
        <f>HYPERLINK("http://nsgreg.nga.mil/genc/view?v=201446&amp;end_month=3&amp;end_day=31&amp;end_year=2014","Debrecen")</f>
        <v>Debrecen</v>
      </c>
      <c r="H1650" s="87" t="str">
        <f>HYPERLINK("http://api.nsgreg.nga.mil/geo-division/GENC/6/ed2/HU-DE","HU-DE")</f>
        <v>HU-DE</v>
      </c>
    </row>
    <row r="1651" spans="1:8" x14ac:dyDescent="0.2">
      <c r="A1651" s="157"/>
      <c r="B1651" s="31" t="s">
        <v>6810</v>
      </c>
      <c r="C1651" s="31" t="s">
        <v>6811</v>
      </c>
      <c r="D1651" s="31" t="s">
        <v>6795</v>
      </c>
      <c r="E1651" s="61" t="b">
        <v>1</v>
      </c>
      <c r="F1651" s="107" t="s">
        <v>6812</v>
      </c>
      <c r="G1651" s="116" t="str">
        <f>HYPERLINK("http://nsgreg.nga.mil/genc/view?v=201447&amp;end_month=3&amp;end_day=31&amp;end_year=2014","Dunaújváros")</f>
        <v>Dunaújváros</v>
      </c>
      <c r="H1651" s="87" t="str">
        <f>HYPERLINK("http://api.nsgreg.nga.mil/geo-division/GENC/6/ed2/HU-DU","HU-DU")</f>
        <v>HU-DU</v>
      </c>
    </row>
    <row r="1652" spans="1:8" x14ac:dyDescent="0.2">
      <c r="A1652" s="157"/>
      <c r="B1652" s="31" t="s">
        <v>6813</v>
      </c>
      <c r="C1652" s="31" t="s">
        <v>6814</v>
      </c>
      <c r="D1652" s="31" t="s">
        <v>6795</v>
      </c>
      <c r="E1652" s="61" t="b">
        <v>1</v>
      </c>
      <c r="F1652" s="107" t="s">
        <v>6815</v>
      </c>
      <c r="G1652" s="116" t="str">
        <f>HYPERLINK("http://nsgreg.nga.mil/genc/view?v=201448&amp;end_month=3&amp;end_day=31&amp;end_year=2014","Eger")</f>
        <v>Eger</v>
      </c>
      <c r="H1652" s="87" t="str">
        <f>HYPERLINK("http://api.nsgreg.nga.mil/geo-division/GENC/6/ed2/HU-EG","HU-EG")</f>
        <v>HU-EG</v>
      </c>
    </row>
    <row r="1653" spans="1:8" x14ac:dyDescent="0.2">
      <c r="A1653" s="157"/>
      <c r="B1653" s="31" t="s">
        <v>6816</v>
      </c>
      <c r="C1653" s="31" t="s">
        <v>6817</v>
      </c>
      <c r="D1653" s="31" t="s">
        <v>6795</v>
      </c>
      <c r="E1653" s="61" t="b">
        <v>1</v>
      </c>
      <c r="F1653" s="107" t="s">
        <v>6818</v>
      </c>
      <c r="G1653" s="116" t="str">
        <f>HYPERLINK("http://nsgreg.nga.mil/genc/view?v=201449&amp;end_month=3&amp;end_day=31&amp;end_year=2014","Érd")</f>
        <v>Érd</v>
      </c>
      <c r="H1653" s="87" t="str">
        <f>HYPERLINK("http://api.nsgreg.nga.mil/geo-division/GENC/6/ed2/HU-ER","HU-ER")</f>
        <v>HU-ER</v>
      </c>
    </row>
    <row r="1654" spans="1:8" x14ac:dyDescent="0.2">
      <c r="A1654" s="157"/>
      <c r="B1654" s="31" t="s">
        <v>6819</v>
      </c>
      <c r="C1654" s="31" t="s">
        <v>6820</v>
      </c>
      <c r="D1654" s="31" t="s">
        <v>2023</v>
      </c>
      <c r="E1654" s="61" t="b">
        <v>1</v>
      </c>
      <c r="F1654" s="106" t="s">
        <v>6821</v>
      </c>
      <c r="G1654" s="116" t="str">
        <f>HYPERLINK("http://nsgreg.nga.mil/genc/view?v=113833&amp;gencs=T&amp;end_month=3&amp;end_day=31&amp;end_year=2014","Fejér")</f>
        <v>Fejér</v>
      </c>
      <c r="H1654" s="87" t="str">
        <f>HYPERLINK("http://api.nsgreg.nga.mil/geo-division/ISO3166-2/6/ed3/HU-FE","HU-FE")</f>
        <v>HU-FE</v>
      </c>
    </row>
    <row r="1655" spans="1:8" x14ac:dyDescent="0.2">
      <c r="A1655" s="157"/>
      <c r="B1655" s="31" t="s">
        <v>6822</v>
      </c>
      <c r="C1655" s="31" t="s">
        <v>6823</v>
      </c>
      <c r="D1655" s="31" t="s">
        <v>6795</v>
      </c>
      <c r="E1655" s="61" t="b">
        <v>1</v>
      </c>
      <c r="F1655" s="107" t="s">
        <v>6824</v>
      </c>
      <c r="G1655" s="116" t="str">
        <f>HYPERLINK("http://nsgreg.nga.mil/genc/view?v=201450&amp;end_month=3&amp;end_day=31&amp;end_year=2014","Győr")</f>
        <v>Győr</v>
      </c>
      <c r="H1655" s="87" t="str">
        <f>HYPERLINK("http://api.nsgreg.nga.mil/geo-division/GENC/6/ed2/HU-GY","HU-GY")</f>
        <v>HU-GY</v>
      </c>
    </row>
    <row r="1656" spans="1:8" x14ac:dyDescent="0.2">
      <c r="A1656" s="157"/>
      <c r="B1656" s="31" t="s">
        <v>6825</v>
      </c>
      <c r="C1656" s="31" t="s">
        <v>6826</v>
      </c>
      <c r="D1656" s="31" t="s">
        <v>2023</v>
      </c>
      <c r="E1656" s="61" t="b">
        <v>1</v>
      </c>
      <c r="F1656" s="106" t="s">
        <v>6827</v>
      </c>
      <c r="G1656" s="116" t="str">
        <f>HYPERLINK("http://nsgreg.nga.mil/genc/view?v=113834&amp;gencs=T&amp;end_month=3&amp;end_day=31&amp;end_year=2014","Győr-Moson-Sopron")</f>
        <v>Győr-Moson-Sopron</v>
      </c>
      <c r="H1656" s="87" t="str">
        <f>HYPERLINK("http://api.nsgreg.nga.mil/geo-division/ISO3166-2/6/ed3/HU-GS","HU-GS")</f>
        <v>HU-GS</v>
      </c>
    </row>
    <row r="1657" spans="1:8" x14ac:dyDescent="0.2">
      <c r="A1657" s="157"/>
      <c r="B1657" s="31" t="s">
        <v>6828</v>
      </c>
      <c r="C1657" s="31" t="s">
        <v>6829</v>
      </c>
      <c r="D1657" s="31" t="s">
        <v>2023</v>
      </c>
      <c r="E1657" s="61" t="b">
        <v>1</v>
      </c>
      <c r="F1657" s="106" t="s">
        <v>6830</v>
      </c>
      <c r="G1657" s="116" t="str">
        <f>HYPERLINK("http://nsgreg.nga.mil/genc/view?v=113836&amp;gencs=T&amp;end_month=3&amp;end_day=31&amp;end_year=2014","Hajdú-Bihar")</f>
        <v>Hajdú-Bihar</v>
      </c>
      <c r="H1657" s="87" t="str">
        <f>HYPERLINK("http://api.nsgreg.nga.mil/geo-division/ISO3166-2/6/ed3/HU-HB","HU-HB")</f>
        <v>HU-HB</v>
      </c>
    </row>
    <row r="1658" spans="1:8" x14ac:dyDescent="0.2">
      <c r="A1658" s="157"/>
      <c r="B1658" s="31" t="s">
        <v>6831</v>
      </c>
      <c r="C1658" s="31" t="s">
        <v>6832</v>
      </c>
      <c r="D1658" s="31" t="s">
        <v>2023</v>
      </c>
      <c r="E1658" s="61" t="b">
        <v>1</v>
      </c>
      <c r="F1658" s="106" t="s">
        <v>6833</v>
      </c>
      <c r="G1658" s="116" t="str">
        <f>HYPERLINK("http://nsgreg.nga.mil/genc/view?v=113837&amp;gencs=T&amp;end_month=3&amp;end_day=31&amp;end_year=2014","Heves")</f>
        <v>Heves</v>
      </c>
      <c r="H1658" s="87" t="str">
        <f>HYPERLINK("http://api.nsgreg.nga.mil/geo-division/ISO3166-2/6/ed3/HU-HE","HU-HE")</f>
        <v>HU-HE</v>
      </c>
    </row>
    <row r="1659" spans="1:8" x14ac:dyDescent="0.2">
      <c r="A1659" s="157"/>
      <c r="B1659" s="31" t="s">
        <v>6834</v>
      </c>
      <c r="C1659" s="31" t="s">
        <v>6835</v>
      </c>
      <c r="D1659" s="31" t="s">
        <v>6795</v>
      </c>
      <c r="E1659" s="61" t="b">
        <v>1</v>
      </c>
      <c r="F1659" s="107" t="s">
        <v>6836</v>
      </c>
      <c r="G1659" s="116" t="str">
        <f>HYPERLINK("http://nsgreg.nga.mil/genc/view?v=201451&amp;end_month=3&amp;end_day=31&amp;end_year=2014","Hódmezővásárhely")</f>
        <v>Hódmezővásárhely</v>
      </c>
      <c r="H1659" s="87" t="str">
        <f>HYPERLINK("http://api.nsgreg.nga.mil/geo-division/GENC/6/ed2/HU-HV","HU-HV")</f>
        <v>HU-HV</v>
      </c>
    </row>
    <row r="1660" spans="1:8" x14ac:dyDescent="0.2">
      <c r="A1660" s="157"/>
      <c r="B1660" s="31" t="s">
        <v>6837</v>
      </c>
      <c r="C1660" s="31" t="s">
        <v>6838</v>
      </c>
      <c r="D1660" s="31" t="s">
        <v>2023</v>
      </c>
      <c r="E1660" s="61" t="b">
        <v>1</v>
      </c>
      <c r="F1660" s="106" t="s">
        <v>6839</v>
      </c>
      <c r="G1660" s="116" t="str">
        <f>HYPERLINK("http://nsgreg.nga.mil/genc/view?v=113839&amp;gencs=T&amp;end_month=3&amp;end_day=31&amp;end_year=2014","Jász-Nagykun-Szolnok")</f>
        <v>Jász-Nagykun-Szolnok</v>
      </c>
      <c r="H1660" s="87" t="str">
        <f>HYPERLINK("http://api.nsgreg.nga.mil/geo-division/ISO3166-2/6/ed3/HU-JN","HU-JN")</f>
        <v>HU-JN</v>
      </c>
    </row>
    <row r="1661" spans="1:8" x14ac:dyDescent="0.2">
      <c r="A1661" s="157"/>
      <c r="B1661" s="31" t="s">
        <v>6840</v>
      </c>
      <c r="C1661" s="31" t="s">
        <v>6841</v>
      </c>
      <c r="D1661" s="31" t="s">
        <v>6795</v>
      </c>
      <c r="E1661" s="61" t="b">
        <v>1</v>
      </c>
      <c r="F1661" s="107" t="s">
        <v>6842</v>
      </c>
      <c r="G1661" s="116" t="str">
        <f>HYPERLINK("http://nsgreg.nga.mil/genc/view?v=201453&amp;end_month=3&amp;end_day=31&amp;end_year=2014","Kaposvár")</f>
        <v>Kaposvár</v>
      </c>
      <c r="H1661" s="87" t="str">
        <f>HYPERLINK("http://api.nsgreg.nga.mil/geo-division/GENC/6/ed2/HU-KV","HU-KV")</f>
        <v>HU-KV</v>
      </c>
    </row>
    <row r="1662" spans="1:8" x14ac:dyDescent="0.2">
      <c r="A1662" s="157"/>
      <c r="B1662" s="31" t="s">
        <v>6843</v>
      </c>
      <c r="C1662" s="31" t="s">
        <v>6844</v>
      </c>
      <c r="D1662" s="31" t="s">
        <v>6795</v>
      </c>
      <c r="E1662" s="61" t="b">
        <v>1</v>
      </c>
      <c r="F1662" s="107" t="s">
        <v>6845</v>
      </c>
      <c r="G1662" s="116" t="str">
        <f>HYPERLINK("http://nsgreg.nga.mil/genc/view?v=201452&amp;end_month=3&amp;end_day=31&amp;end_year=2014","Kecskemét")</f>
        <v>Kecskemét</v>
      </c>
      <c r="H1662" s="87" t="str">
        <f>HYPERLINK("http://api.nsgreg.nga.mil/geo-division/GENC/6/ed2/HU-KM","HU-KM")</f>
        <v>HU-KM</v>
      </c>
    </row>
    <row r="1663" spans="1:8" x14ac:dyDescent="0.2">
      <c r="A1663" s="157"/>
      <c r="B1663" s="31" t="s">
        <v>6846</v>
      </c>
      <c r="C1663" s="31" t="s">
        <v>6847</v>
      </c>
      <c r="D1663" s="31" t="s">
        <v>2023</v>
      </c>
      <c r="E1663" s="61" t="b">
        <v>1</v>
      </c>
      <c r="F1663" s="106" t="s">
        <v>6848</v>
      </c>
      <c r="G1663" s="116" t="str">
        <f>HYPERLINK("http://nsgreg.nga.mil/genc/view?v=113840&amp;gencs=T&amp;end_month=3&amp;end_day=31&amp;end_year=2014","Komárom-Esztergom")</f>
        <v>Komárom-Esztergom</v>
      </c>
      <c r="H1663" s="87" t="str">
        <f>HYPERLINK("http://api.nsgreg.nga.mil/geo-division/ISO3166-2/6/ed3/HU-KE","HU-KE")</f>
        <v>HU-KE</v>
      </c>
    </row>
    <row r="1664" spans="1:8" x14ac:dyDescent="0.2">
      <c r="A1664" s="157"/>
      <c r="B1664" s="31" t="s">
        <v>6849</v>
      </c>
      <c r="C1664" s="31" t="s">
        <v>6850</v>
      </c>
      <c r="D1664" s="31" t="s">
        <v>6795</v>
      </c>
      <c r="E1664" s="61" t="b">
        <v>1</v>
      </c>
      <c r="F1664" s="107" t="s">
        <v>6851</v>
      </c>
      <c r="G1664" s="116" t="str">
        <f>HYPERLINK("http://nsgreg.nga.mil/genc/view?v=201454&amp;end_month=3&amp;end_day=31&amp;end_year=2014","Miskolc")</f>
        <v>Miskolc</v>
      </c>
      <c r="H1664" s="87" t="str">
        <f>HYPERLINK("http://api.nsgreg.nga.mil/geo-division/GENC/6/ed2/HU-MI","HU-MI")</f>
        <v>HU-MI</v>
      </c>
    </row>
    <row r="1665" spans="1:8" x14ac:dyDescent="0.2">
      <c r="A1665" s="157"/>
      <c r="B1665" s="31" t="s">
        <v>6852</v>
      </c>
      <c r="C1665" s="31" t="s">
        <v>6853</v>
      </c>
      <c r="D1665" s="31" t="s">
        <v>6795</v>
      </c>
      <c r="E1665" s="61" t="b">
        <v>1</v>
      </c>
      <c r="F1665" s="107" t="s">
        <v>6854</v>
      </c>
      <c r="G1665" s="116" t="str">
        <f>HYPERLINK("http://nsgreg.nga.mil/genc/view?v=201455&amp;end_month=3&amp;end_day=31&amp;end_year=2014","Nagykanizsa")</f>
        <v>Nagykanizsa</v>
      </c>
      <c r="H1665" s="87" t="str">
        <f>HYPERLINK("http://api.nsgreg.nga.mil/geo-division/GENC/6/ed2/HU-NK","HU-NK")</f>
        <v>HU-NK</v>
      </c>
    </row>
    <row r="1666" spans="1:8" x14ac:dyDescent="0.2">
      <c r="A1666" s="157"/>
      <c r="B1666" s="31" t="s">
        <v>6855</v>
      </c>
      <c r="C1666" s="31" t="s">
        <v>6856</v>
      </c>
      <c r="D1666" s="31" t="s">
        <v>2023</v>
      </c>
      <c r="E1666" s="61" t="b">
        <v>1</v>
      </c>
      <c r="F1666" s="106" t="s">
        <v>6857</v>
      </c>
      <c r="G1666" s="116" t="str">
        <f>HYPERLINK("http://nsgreg.nga.mil/genc/view?v=113845&amp;gencs=T&amp;end_month=3&amp;end_day=31&amp;end_year=2014","Nógrád")</f>
        <v>Nógrád</v>
      </c>
      <c r="H1666" s="87" t="str">
        <f>HYPERLINK("http://api.nsgreg.nga.mil/geo-division/ISO3166-2/6/ed3/HU-NO","HU-NO")</f>
        <v>HU-NO</v>
      </c>
    </row>
    <row r="1667" spans="1:8" x14ac:dyDescent="0.2">
      <c r="A1667" s="157"/>
      <c r="B1667" s="31" t="s">
        <v>6858</v>
      </c>
      <c r="C1667" s="31" t="s">
        <v>6859</v>
      </c>
      <c r="D1667" s="31" t="s">
        <v>6795</v>
      </c>
      <c r="E1667" s="61" t="b">
        <v>1</v>
      </c>
      <c r="F1667" s="107" t="s">
        <v>6860</v>
      </c>
      <c r="G1667" s="116" t="str">
        <f>HYPERLINK("http://nsgreg.nga.mil/genc/view?v=201456&amp;end_month=3&amp;end_day=31&amp;end_year=2014","Nyíregyháza")</f>
        <v>Nyíregyháza</v>
      </c>
      <c r="H1667" s="87" t="str">
        <f>HYPERLINK("http://api.nsgreg.nga.mil/geo-division/GENC/6/ed2/HU-NY","HU-NY")</f>
        <v>HU-NY</v>
      </c>
    </row>
    <row r="1668" spans="1:8" x14ac:dyDescent="0.2">
      <c r="A1668" s="157"/>
      <c r="B1668" s="31" t="s">
        <v>6861</v>
      </c>
      <c r="C1668" s="31" t="s">
        <v>6862</v>
      </c>
      <c r="D1668" s="31" t="s">
        <v>6795</v>
      </c>
      <c r="E1668" s="61" t="b">
        <v>1</v>
      </c>
      <c r="F1668" s="107" t="s">
        <v>6863</v>
      </c>
      <c r="G1668" s="116" t="str">
        <f>HYPERLINK("http://nsgreg.nga.mil/genc/view?v=201457&amp;end_month=3&amp;end_day=31&amp;end_year=2014","Pécs")</f>
        <v>Pécs</v>
      </c>
      <c r="H1668" s="87" t="str">
        <f>HYPERLINK("http://api.nsgreg.nga.mil/geo-division/GENC/6/ed2/HU-PS","HU-PS")</f>
        <v>HU-PS</v>
      </c>
    </row>
    <row r="1669" spans="1:8" x14ac:dyDescent="0.2">
      <c r="A1669" s="157"/>
      <c r="B1669" s="31" t="s">
        <v>6864</v>
      </c>
      <c r="C1669" s="31" t="s">
        <v>6865</v>
      </c>
      <c r="D1669" s="31" t="s">
        <v>2023</v>
      </c>
      <c r="E1669" s="61" t="b">
        <v>1</v>
      </c>
      <c r="F1669" s="106" t="s">
        <v>6866</v>
      </c>
      <c r="G1669" s="116" t="str">
        <f>HYPERLINK("http://nsgreg.nga.mil/genc/view?v=113847&amp;gencs=T&amp;end_month=3&amp;end_day=31&amp;end_year=2014","Pest")</f>
        <v>Pest</v>
      </c>
      <c r="H1669" s="87" t="str">
        <f>HYPERLINK("http://api.nsgreg.nga.mil/geo-division/ISO3166-2/6/ed3/HU-PE","HU-PE")</f>
        <v>HU-PE</v>
      </c>
    </row>
    <row r="1670" spans="1:8" x14ac:dyDescent="0.2">
      <c r="A1670" s="157"/>
      <c r="B1670" s="31" t="s">
        <v>6867</v>
      </c>
      <c r="C1670" s="31" t="s">
        <v>6868</v>
      </c>
      <c r="D1670" s="31" t="s">
        <v>6795</v>
      </c>
      <c r="E1670" s="61" t="b">
        <v>1</v>
      </c>
      <c r="F1670" s="107" t="s">
        <v>6869</v>
      </c>
      <c r="G1670" s="116" t="str">
        <f>HYPERLINK("http://nsgreg.nga.mil/genc/view?v=201464&amp;end_month=3&amp;end_day=31&amp;end_year=2014","Salgótarján")</f>
        <v>Salgótarján</v>
      </c>
      <c r="H1670" s="87" t="str">
        <f>HYPERLINK("http://api.nsgreg.nga.mil/geo-division/GENC/6/ed2/HU-ST","HU-ST")</f>
        <v>HU-ST</v>
      </c>
    </row>
    <row r="1671" spans="1:8" x14ac:dyDescent="0.2">
      <c r="A1671" s="157"/>
      <c r="B1671" s="31" t="s">
        <v>6870</v>
      </c>
      <c r="C1671" s="31" t="s">
        <v>6871</v>
      </c>
      <c r="D1671" s="31" t="s">
        <v>2023</v>
      </c>
      <c r="E1671" s="61" t="b">
        <v>1</v>
      </c>
      <c r="F1671" s="106" t="s">
        <v>6872</v>
      </c>
      <c r="G1671" s="116" t="str">
        <f>HYPERLINK("http://nsgreg.nga.mil/genc/view?v=113854&amp;gencs=T&amp;end_month=3&amp;end_day=31&amp;end_year=2014","Somogy")</f>
        <v>Somogy</v>
      </c>
      <c r="H1671" s="87" t="str">
        <f>HYPERLINK("http://api.nsgreg.nga.mil/geo-division/ISO3166-2/6/ed3/HU-SO","HU-SO")</f>
        <v>HU-SO</v>
      </c>
    </row>
    <row r="1672" spans="1:8" x14ac:dyDescent="0.2">
      <c r="A1672" s="157"/>
      <c r="B1672" s="31" t="s">
        <v>6873</v>
      </c>
      <c r="C1672" s="31" t="s">
        <v>6874</v>
      </c>
      <c r="D1672" s="31" t="s">
        <v>6795</v>
      </c>
      <c r="E1672" s="61" t="b">
        <v>1</v>
      </c>
      <c r="F1672" s="107" t="s">
        <v>6875</v>
      </c>
      <c r="G1672" s="116" t="str">
        <f>HYPERLINK("http://nsgreg.nga.mil/genc/view?v=201462&amp;end_month=3&amp;end_day=31&amp;end_year=2014","Sopron")</f>
        <v>Sopron</v>
      </c>
      <c r="H1672" s="87" t="str">
        <f>HYPERLINK("http://api.nsgreg.nga.mil/geo-division/GENC/6/ed2/HU-SN","HU-SN")</f>
        <v>HU-SN</v>
      </c>
    </row>
    <row r="1673" spans="1:8" x14ac:dyDescent="0.2">
      <c r="A1673" s="157"/>
      <c r="B1673" s="31" t="s">
        <v>6876</v>
      </c>
      <c r="C1673" s="31" t="s">
        <v>6877</v>
      </c>
      <c r="D1673" s="31" t="s">
        <v>2023</v>
      </c>
      <c r="E1673" s="61" t="b">
        <v>1</v>
      </c>
      <c r="F1673" s="106" t="s">
        <v>6878</v>
      </c>
      <c r="G1673" s="116" t="str">
        <f>HYPERLINK("http://nsgreg.nga.mil/genc/view?v=113857&amp;gencs=T&amp;end_month=3&amp;end_day=31&amp;end_year=2014","Szabolcs-Szatmár-Bereg")</f>
        <v>Szabolcs-Szatmár-Bereg</v>
      </c>
      <c r="H1673" s="87" t="str">
        <f>HYPERLINK("http://api.nsgreg.nga.mil/geo-division/ISO3166-2/6/ed3/HU-SZ","HU-SZ")</f>
        <v>HU-SZ</v>
      </c>
    </row>
    <row r="1674" spans="1:8" x14ac:dyDescent="0.2">
      <c r="A1674" s="157"/>
      <c r="B1674" s="31" t="s">
        <v>6879</v>
      </c>
      <c r="C1674" s="31" t="s">
        <v>6880</v>
      </c>
      <c r="D1674" s="31" t="s">
        <v>6795</v>
      </c>
      <c r="E1674" s="61" t="b">
        <v>1</v>
      </c>
      <c r="F1674" s="107" t="s">
        <v>6881</v>
      </c>
      <c r="G1674" s="116" t="str">
        <f>HYPERLINK("http://nsgreg.nga.mil/genc/view?v=201458&amp;end_month=3&amp;end_day=31&amp;end_year=2014","Szeged")</f>
        <v>Szeged</v>
      </c>
      <c r="H1674" s="87" t="str">
        <f>HYPERLINK("http://api.nsgreg.nga.mil/geo-division/GENC/6/ed2/HU-SD","HU-SD")</f>
        <v>HU-SD</v>
      </c>
    </row>
    <row r="1675" spans="1:8" x14ac:dyDescent="0.2">
      <c r="A1675" s="157"/>
      <c r="B1675" s="31" t="s">
        <v>6882</v>
      </c>
      <c r="C1675" s="31" t="s">
        <v>6883</v>
      </c>
      <c r="D1675" s="31" t="s">
        <v>6795</v>
      </c>
      <c r="E1675" s="61" t="b">
        <v>1</v>
      </c>
      <c r="F1675" s="107" t="s">
        <v>6884</v>
      </c>
      <c r="G1675" s="116" t="str">
        <f>HYPERLINK("http://nsgreg.nga.mil/genc/view?v=201459&amp;end_month=3&amp;end_day=31&amp;end_year=2014","Székesfehérvár")</f>
        <v>Székesfehérvár</v>
      </c>
      <c r="H1675" s="87" t="str">
        <f>HYPERLINK("http://api.nsgreg.nga.mil/geo-division/GENC/6/ed2/HU-SF","HU-SF")</f>
        <v>HU-SF</v>
      </c>
    </row>
    <row r="1676" spans="1:8" x14ac:dyDescent="0.2">
      <c r="A1676" s="157"/>
      <c r="B1676" s="31" t="s">
        <v>6885</v>
      </c>
      <c r="C1676" s="31" t="s">
        <v>6886</v>
      </c>
      <c r="D1676" s="31" t="s">
        <v>6795</v>
      </c>
      <c r="E1676" s="61" t="b">
        <v>1</v>
      </c>
      <c r="F1676" s="107" t="s">
        <v>6887</v>
      </c>
      <c r="G1676" s="116" t="str">
        <f>HYPERLINK("http://nsgreg.nga.mil/genc/view?v=201463&amp;end_month=3&amp;end_day=31&amp;end_year=2014","Szekszárd")</f>
        <v>Szekszárd</v>
      </c>
      <c r="H1676" s="87" t="str">
        <f>HYPERLINK("http://api.nsgreg.nga.mil/geo-division/GENC/6/ed2/HU-SS","HU-SS")</f>
        <v>HU-SS</v>
      </c>
    </row>
    <row r="1677" spans="1:8" x14ac:dyDescent="0.2">
      <c r="A1677" s="157"/>
      <c r="B1677" s="31" t="s">
        <v>6888</v>
      </c>
      <c r="C1677" s="31" t="s">
        <v>6889</v>
      </c>
      <c r="D1677" s="31" t="s">
        <v>6795</v>
      </c>
      <c r="E1677" s="61" t="b">
        <v>1</v>
      </c>
      <c r="F1677" s="107" t="s">
        <v>6890</v>
      </c>
      <c r="G1677" s="116" t="str">
        <f>HYPERLINK("http://nsgreg.nga.mil/genc/view?v=201461&amp;end_month=3&amp;end_day=31&amp;end_year=2014","Szolnok")</f>
        <v>Szolnok</v>
      </c>
      <c r="H1677" s="87" t="str">
        <f>HYPERLINK("http://api.nsgreg.nga.mil/geo-division/GENC/6/ed2/HU-SK","HU-SK")</f>
        <v>HU-SK</v>
      </c>
    </row>
    <row r="1678" spans="1:8" x14ac:dyDescent="0.2">
      <c r="A1678" s="157"/>
      <c r="B1678" s="31" t="s">
        <v>6891</v>
      </c>
      <c r="C1678" s="31" t="s">
        <v>6892</v>
      </c>
      <c r="D1678" s="31" t="s">
        <v>6795</v>
      </c>
      <c r="E1678" s="61" t="b">
        <v>1</v>
      </c>
      <c r="F1678" s="107" t="s">
        <v>6893</v>
      </c>
      <c r="G1678" s="116" t="str">
        <f>HYPERLINK("http://nsgreg.nga.mil/genc/view?v=201460&amp;end_month=3&amp;end_day=31&amp;end_year=2014","Szombathely")</f>
        <v>Szombathely</v>
      </c>
      <c r="H1678" s="87" t="str">
        <f>HYPERLINK("http://api.nsgreg.nga.mil/geo-division/GENC/6/ed2/HU-SH","HU-SH")</f>
        <v>HU-SH</v>
      </c>
    </row>
    <row r="1679" spans="1:8" x14ac:dyDescent="0.2">
      <c r="A1679" s="157"/>
      <c r="B1679" s="31" t="s">
        <v>6894</v>
      </c>
      <c r="C1679" s="31" t="s">
        <v>6895</v>
      </c>
      <c r="D1679" s="31" t="s">
        <v>6795</v>
      </c>
      <c r="E1679" s="61" t="b">
        <v>1</v>
      </c>
      <c r="F1679" s="107" t="s">
        <v>6896</v>
      </c>
      <c r="G1679" s="116" t="str">
        <f>HYPERLINK("http://nsgreg.nga.mil/genc/view?v=201465&amp;end_month=3&amp;end_day=31&amp;end_year=2014","Tatabánya")</f>
        <v>Tatabánya</v>
      </c>
      <c r="H1679" s="87" t="str">
        <f>HYPERLINK("http://api.nsgreg.nga.mil/geo-division/GENC/6/ed2/HU-TB","HU-TB")</f>
        <v>HU-TB</v>
      </c>
    </row>
    <row r="1680" spans="1:8" x14ac:dyDescent="0.2">
      <c r="A1680" s="157"/>
      <c r="B1680" s="31" t="s">
        <v>6897</v>
      </c>
      <c r="C1680" s="31" t="s">
        <v>6898</v>
      </c>
      <c r="D1680" s="31" t="s">
        <v>2023</v>
      </c>
      <c r="E1680" s="61" t="b">
        <v>1</v>
      </c>
      <c r="F1680" s="106" t="s">
        <v>6899</v>
      </c>
      <c r="G1680" s="116" t="str">
        <f>HYPERLINK("http://nsgreg.nga.mil/genc/view?v=113859&amp;gencs=T&amp;end_month=3&amp;end_day=31&amp;end_year=2014","Tolna")</f>
        <v>Tolna</v>
      </c>
      <c r="H1680" s="87" t="str">
        <f>HYPERLINK("http://api.nsgreg.nga.mil/geo-division/ISO3166-2/6/ed3/HU-TO","HU-TO")</f>
        <v>HU-TO</v>
      </c>
    </row>
    <row r="1681" spans="1:8" x14ac:dyDescent="0.2">
      <c r="A1681" s="157"/>
      <c r="B1681" s="31" t="s">
        <v>6900</v>
      </c>
      <c r="C1681" s="31" t="s">
        <v>6901</v>
      </c>
      <c r="D1681" s="31" t="s">
        <v>2023</v>
      </c>
      <c r="E1681" s="61" t="b">
        <v>1</v>
      </c>
      <c r="F1681" s="106" t="s">
        <v>6902</v>
      </c>
      <c r="G1681" s="116" t="str">
        <f>HYPERLINK("http://nsgreg.nga.mil/genc/view?v=113860&amp;gencs=T&amp;end_month=3&amp;end_day=31&amp;end_year=2014","Vas")</f>
        <v>Vas</v>
      </c>
      <c r="H1681" s="87" t="str">
        <f>HYPERLINK("http://api.nsgreg.nga.mil/geo-division/ISO3166-2/6/ed3/HU-VA","HU-VA")</f>
        <v>HU-VA</v>
      </c>
    </row>
    <row r="1682" spans="1:8" x14ac:dyDescent="0.2">
      <c r="A1682" s="157"/>
      <c r="B1682" s="31" t="s">
        <v>6903</v>
      </c>
      <c r="C1682" s="31" t="s">
        <v>6904</v>
      </c>
      <c r="D1682" s="31" t="s">
        <v>2023</v>
      </c>
      <c r="E1682" s="61" t="b">
        <v>1</v>
      </c>
      <c r="F1682" s="106" t="s">
        <v>6905</v>
      </c>
      <c r="G1682" s="116" t="str">
        <f>HYPERLINK("http://nsgreg.nga.mil/genc/view?v=113861&amp;gencs=T&amp;end_month=3&amp;end_day=31&amp;end_year=2014","Veszprém")</f>
        <v>Veszprém</v>
      </c>
      <c r="H1682" s="87" t="str">
        <f>HYPERLINK("http://api.nsgreg.nga.mil/geo-division/ISO3166-2/6/ed3/HU-VE","HU-VE")</f>
        <v>HU-VE</v>
      </c>
    </row>
    <row r="1683" spans="1:8" x14ac:dyDescent="0.2">
      <c r="A1683" s="157"/>
      <c r="B1683" s="31" t="s">
        <v>6906</v>
      </c>
      <c r="C1683" s="31" t="s">
        <v>6904</v>
      </c>
      <c r="D1683" s="31" t="s">
        <v>6795</v>
      </c>
      <c r="E1683" s="61" t="b">
        <v>1</v>
      </c>
      <c r="F1683" s="107" t="s">
        <v>6907</v>
      </c>
      <c r="G1683" s="116" t="str">
        <f>HYPERLINK("http://nsgreg.nga.mil/genc/view?v=201466&amp;end_month=3&amp;end_day=31&amp;end_year=2014","Veszprém")</f>
        <v>Veszprém</v>
      </c>
      <c r="H1683" s="87" t="str">
        <f>HYPERLINK("http://api.nsgreg.nga.mil/geo-division/GENC/6/ed2/HU-VM","HU-VM")</f>
        <v>HU-VM</v>
      </c>
    </row>
    <row r="1684" spans="1:8" x14ac:dyDescent="0.2">
      <c r="A1684" s="157"/>
      <c r="B1684" s="31" t="s">
        <v>6908</v>
      </c>
      <c r="C1684" s="31" t="s">
        <v>6909</v>
      </c>
      <c r="D1684" s="31" t="s">
        <v>2023</v>
      </c>
      <c r="E1684" s="61" t="b">
        <v>1</v>
      </c>
      <c r="F1684" s="106" t="s">
        <v>6910</v>
      </c>
      <c r="G1684" s="116" t="str">
        <f>HYPERLINK("http://nsgreg.nga.mil/genc/view?v=113863&amp;gencs=T&amp;end_month=3&amp;end_day=31&amp;end_year=2014","Zala")</f>
        <v>Zala</v>
      </c>
      <c r="H1684" s="87" t="str">
        <f>HYPERLINK("http://api.nsgreg.nga.mil/geo-division/ISO3166-2/6/ed3/HU-ZA","HU-ZA")</f>
        <v>HU-ZA</v>
      </c>
    </row>
    <row r="1685" spans="1:8" x14ac:dyDescent="0.2">
      <c r="A1685" s="158"/>
      <c r="B1685" s="58" t="s">
        <v>6911</v>
      </c>
      <c r="C1685" s="58" t="s">
        <v>6912</v>
      </c>
      <c r="D1685" s="58" t="s">
        <v>6795</v>
      </c>
      <c r="E1685" s="62" t="b">
        <v>1</v>
      </c>
      <c r="F1685" s="111" t="s">
        <v>6913</v>
      </c>
      <c r="G1685" s="117" t="str">
        <f>HYPERLINK("http://nsgreg.nga.mil/genc/view?v=201467&amp;end_month=3&amp;end_day=31&amp;end_year=2014","Zalaegerszeg")</f>
        <v>Zalaegerszeg</v>
      </c>
      <c r="H1685" s="89" t="str">
        <f>HYPERLINK("http://api.nsgreg.nga.mil/geo-division/GENC/6/ed2/HU-ZE","HU-ZE")</f>
        <v>HU-ZE</v>
      </c>
    </row>
    <row r="1686" spans="1:8" x14ac:dyDescent="0.2">
      <c r="A1686" s="156" t="str">
        <f>HYPERLINK("[#]Geopolitical_Entities!A123:I123","ICELAND")</f>
        <v>ICELAND</v>
      </c>
      <c r="B1686" s="52" t="s">
        <v>6914</v>
      </c>
      <c r="C1686" s="52" t="s">
        <v>6915</v>
      </c>
      <c r="D1686" s="52" t="s">
        <v>3137</v>
      </c>
      <c r="E1686" s="60" t="b">
        <v>1</v>
      </c>
      <c r="F1686" s="110" t="s">
        <v>6916</v>
      </c>
      <c r="G1686" s="118" t="str">
        <f>HYPERLINK("http://nsgreg.nga.mil/genc/view?v=201553&amp;end_month=3&amp;end_day=31&amp;end_year=2014","Austurland")</f>
        <v>Austurland</v>
      </c>
      <c r="H1686" s="91" t="str">
        <f>HYPERLINK("http://api.nsgreg.nga.mil/geo-division/GENC/6/ed2/IS-7","IS-7")</f>
        <v>IS-7</v>
      </c>
    </row>
    <row r="1687" spans="1:8" x14ac:dyDescent="0.2">
      <c r="A1687" s="157"/>
      <c r="B1687" s="31" t="s">
        <v>6917</v>
      </c>
      <c r="C1687" s="31" t="s">
        <v>6918</v>
      </c>
      <c r="D1687" s="31" t="s">
        <v>3137</v>
      </c>
      <c r="E1687" s="61" t="b">
        <v>1</v>
      </c>
      <c r="F1687" s="107" t="s">
        <v>6919</v>
      </c>
      <c r="G1687" s="116" t="str">
        <f>HYPERLINK("http://nsgreg.nga.mil/genc/view?v=201547&amp;end_month=3&amp;end_day=31&amp;end_year=2014","Höfuðborgarsvæði")</f>
        <v>Höfuðborgarsvæði</v>
      </c>
      <c r="H1687" s="87" t="str">
        <f>HYPERLINK("http://api.nsgreg.nga.mil/geo-division/GENC/6/ed2/IS-1","IS-1")</f>
        <v>IS-1</v>
      </c>
    </row>
    <row r="1688" spans="1:8" x14ac:dyDescent="0.2">
      <c r="A1688" s="157"/>
      <c r="B1688" s="31" t="s">
        <v>6920</v>
      </c>
      <c r="C1688" s="31" t="s">
        <v>6921</v>
      </c>
      <c r="D1688" s="31" t="s">
        <v>3137</v>
      </c>
      <c r="E1688" s="61" t="b">
        <v>1</v>
      </c>
      <c r="F1688" s="107" t="s">
        <v>6922</v>
      </c>
      <c r="G1688" s="116" t="str">
        <f>HYPERLINK("http://nsgreg.nga.mil/genc/view?v=201552&amp;end_month=3&amp;end_day=31&amp;end_year=2014","Norðurland Eystra")</f>
        <v>Norðurland Eystra</v>
      </c>
      <c r="H1688" s="87" t="str">
        <f>HYPERLINK("http://api.nsgreg.nga.mil/geo-division/GENC/6/ed2/IS-6","IS-6")</f>
        <v>IS-6</v>
      </c>
    </row>
    <row r="1689" spans="1:8" x14ac:dyDescent="0.2">
      <c r="A1689" s="157"/>
      <c r="B1689" s="31" t="s">
        <v>6923</v>
      </c>
      <c r="C1689" s="31" t="s">
        <v>6924</v>
      </c>
      <c r="D1689" s="31" t="s">
        <v>3137</v>
      </c>
      <c r="E1689" s="61" t="b">
        <v>1</v>
      </c>
      <c r="F1689" s="107" t="s">
        <v>6925</v>
      </c>
      <c r="G1689" s="116" t="str">
        <f>HYPERLINK("http://nsgreg.nga.mil/genc/view?v=201551&amp;end_month=3&amp;end_day=31&amp;end_year=2014","Norðurland Vestra")</f>
        <v>Norðurland Vestra</v>
      </c>
      <c r="H1689" s="87" t="str">
        <f>HYPERLINK("http://api.nsgreg.nga.mil/geo-division/GENC/6/ed2/IS-5","IS-5")</f>
        <v>IS-5</v>
      </c>
    </row>
    <row r="1690" spans="1:8" x14ac:dyDescent="0.2">
      <c r="A1690" s="157"/>
      <c r="B1690" s="31" t="s">
        <v>6926</v>
      </c>
      <c r="C1690" s="31" t="s">
        <v>6927</v>
      </c>
      <c r="D1690" s="98" t="s">
        <v>3137</v>
      </c>
      <c r="E1690" s="99" t="b">
        <v>0</v>
      </c>
      <c r="F1690" s="107" t="s">
        <v>6928</v>
      </c>
      <c r="G1690" s="116" t="str">
        <f>HYPERLINK("http://nsgreg.nga.mil/genc/view?v=201546&amp;end_month=3&amp;end_day=31&amp;end_year=2014","Reykjavík")</f>
        <v>Reykjavík</v>
      </c>
      <c r="H1690" s="87" t="str">
        <f>HYPERLINK("http://api.nsgreg.nga.mil/geo-division/GENC/6/ed2/IS-0","IS-0")</f>
        <v>IS-0</v>
      </c>
    </row>
    <row r="1691" spans="1:8" x14ac:dyDescent="0.2">
      <c r="A1691" s="157"/>
      <c r="B1691" s="31" t="s">
        <v>6929</v>
      </c>
      <c r="C1691" s="31" t="s">
        <v>6930</v>
      </c>
      <c r="D1691" s="31" t="s">
        <v>3137</v>
      </c>
      <c r="E1691" s="61" t="b">
        <v>1</v>
      </c>
      <c r="F1691" s="107" t="s">
        <v>6931</v>
      </c>
      <c r="G1691" s="116" t="str">
        <f>HYPERLINK("http://nsgreg.nga.mil/genc/view?v=201554&amp;end_month=3&amp;end_day=31&amp;end_year=2014","Suðurland")</f>
        <v>Suðurland</v>
      </c>
      <c r="H1691" s="87" t="str">
        <f>HYPERLINK("http://api.nsgreg.nga.mil/geo-division/GENC/6/ed2/IS-8","IS-8")</f>
        <v>IS-8</v>
      </c>
    </row>
    <row r="1692" spans="1:8" x14ac:dyDescent="0.2">
      <c r="A1692" s="157"/>
      <c r="B1692" s="31" t="s">
        <v>6932</v>
      </c>
      <c r="C1692" s="31" t="s">
        <v>6933</v>
      </c>
      <c r="D1692" s="31" t="s">
        <v>3137</v>
      </c>
      <c r="E1692" s="61" t="b">
        <v>1</v>
      </c>
      <c r="F1692" s="107" t="s">
        <v>6934</v>
      </c>
      <c r="G1692" s="116" t="str">
        <f>HYPERLINK("http://nsgreg.nga.mil/genc/view?v=201548&amp;end_month=3&amp;end_day=31&amp;end_year=2014","Suðurnes")</f>
        <v>Suðurnes</v>
      </c>
      <c r="H1692" s="87" t="str">
        <f>HYPERLINK("http://api.nsgreg.nga.mil/geo-division/GENC/6/ed2/IS-2","IS-2")</f>
        <v>IS-2</v>
      </c>
    </row>
    <row r="1693" spans="1:8" x14ac:dyDescent="0.2">
      <c r="A1693" s="157"/>
      <c r="B1693" s="31" t="s">
        <v>6935</v>
      </c>
      <c r="C1693" s="31" t="s">
        <v>6936</v>
      </c>
      <c r="D1693" s="31" t="s">
        <v>3137</v>
      </c>
      <c r="E1693" s="61" t="b">
        <v>1</v>
      </c>
      <c r="F1693" s="107" t="s">
        <v>6937</v>
      </c>
      <c r="G1693" s="116" t="str">
        <f>HYPERLINK("http://nsgreg.nga.mil/genc/view?v=201550&amp;end_month=3&amp;end_day=31&amp;end_year=2014","Vestfirðir")</f>
        <v>Vestfirðir</v>
      </c>
      <c r="H1693" s="87" t="str">
        <f>HYPERLINK("http://api.nsgreg.nga.mil/geo-division/GENC/6/ed2/IS-4","IS-4")</f>
        <v>IS-4</v>
      </c>
    </row>
    <row r="1694" spans="1:8" x14ac:dyDescent="0.2">
      <c r="A1694" s="158"/>
      <c r="B1694" s="58" t="s">
        <v>6938</v>
      </c>
      <c r="C1694" s="58" t="s">
        <v>6939</v>
      </c>
      <c r="D1694" s="58" t="s">
        <v>3137</v>
      </c>
      <c r="E1694" s="62" t="b">
        <v>1</v>
      </c>
      <c r="F1694" s="111" t="s">
        <v>6940</v>
      </c>
      <c r="G1694" s="117" t="str">
        <f>HYPERLINK("http://nsgreg.nga.mil/genc/view?v=201549&amp;end_month=3&amp;end_day=31&amp;end_year=2014","Vesturland")</f>
        <v>Vesturland</v>
      </c>
      <c r="H1694" s="89" t="str">
        <f>HYPERLINK("http://api.nsgreg.nga.mil/geo-division/GENC/6/ed2/IS-3","IS-3")</f>
        <v>IS-3</v>
      </c>
    </row>
    <row r="1695" spans="1:8" x14ac:dyDescent="0.2">
      <c r="A1695" s="156" t="str">
        <f>HYPERLINK("[#]Geopolitical_Entities!A124:I124","INDIA")</f>
        <v>INDIA</v>
      </c>
      <c r="B1695" s="52" t="s">
        <v>6941</v>
      </c>
      <c r="C1695" s="52" t="s">
        <v>6942</v>
      </c>
      <c r="D1695" s="52" t="s">
        <v>3849</v>
      </c>
      <c r="E1695" s="60" t="b">
        <v>1</v>
      </c>
      <c r="F1695" s="110" t="s">
        <v>6943</v>
      </c>
      <c r="G1695" s="118" t="str">
        <f>HYPERLINK("http://nsgreg.nga.mil/genc/view?v=201516&amp;end_month=3&amp;end_day=31&amp;end_year=2014","Andaman and Nicobar Islands")</f>
        <v>Andaman and Nicobar Islands</v>
      </c>
      <c r="H1695" s="91" t="str">
        <f>HYPERLINK("http://api.nsgreg.nga.mil/geo-division/GENC/6/ed2/IN-AN","IN-AN")</f>
        <v>IN-AN</v>
      </c>
    </row>
    <row r="1696" spans="1:8" x14ac:dyDescent="0.2">
      <c r="A1696" s="157"/>
      <c r="B1696" s="31" t="s">
        <v>6944</v>
      </c>
      <c r="C1696" s="31" t="s">
        <v>6945</v>
      </c>
      <c r="D1696" s="31" t="s">
        <v>2512</v>
      </c>
      <c r="E1696" s="61" t="b">
        <v>1</v>
      </c>
      <c r="F1696" s="106" t="s">
        <v>6946</v>
      </c>
      <c r="G1696" s="116" t="str">
        <f>HYPERLINK("http://nsgreg.nga.mil/genc/view?v=113942&amp;gencs=T&amp;end_month=3&amp;end_day=31&amp;end_year=2014","Andhra Pradesh")</f>
        <v>Andhra Pradesh</v>
      </c>
      <c r="H1696" s="87" t="str">
        <f>HYPERLINK("http://api.nsgreg.nga.mil/geo-division/ISO3166-2/6/ed3/IN-AP","IN-AP")</f>
        <v>IN-AP</v>
      </c>
    </row>
    <row r="1697" spans="1:8" x14ac:dyDescent="0.2">
      <c r="A1697" s="157"/>
      <c r="B1697" s="31" t="s">
        <v>6947</v>
      </c>
      <c r="C1697" s="31" t="s">
        <v>6948</v>
      </c>
      <c r="D1697" s="31" t="s">
        <v>2512</v>
      </c>
      <c r="E1697" s="61" t="b">
        <v>1</v>
      </c>
      <c r="F1697" s="107" t="s">
        <v>6949</v>
      </c>
      <c r="G1697" s="116" t="str">
        <f>HYPERLINK("http://nsgreg.nga.mil/genc/view?v=201517&amp;end_month=3&amp;end_day=31&amp;end_year=2014","Arunāchal Pradesh")</f>
        <v>Arunāchal Pradesh</v>
      </c>
      <c r="H1697" s="87" t="str">
        <f>HYPERLINK("http://api.nsgreg.nga.mil/geo-division/GENC/6/ed2/IN-AR","IN-AR")</f>
        <v>IN-AR</v>
      </c>
    </row>
    <row r="1698" spans="1:8" x14ac:dyDescent="0.2">
      <c r="A1698" s="157"/>
      <c r="B1698" s="31" t="s">
        <v>6950</v>
      </c>
      <c r="C1698" s="31" t="s">
        <v>6951</v>
      </c>
      <c r="D1698" s="31" t="s">
        <v>2512</v>
      </c>
      <c r="E1698" s="61" t="b">
        <v>1</v>
      </c>
      <c r="F1698" s="106" t="s">
        <v>6952</v>
      </c>
      <c r="G1698" s="116" t="str">
        <f>HYPERLINK("http://nsgreg.nga.mil/genc/view?v=113944&amp;gencs=T&amp;end_month=3&amp;end_day=31&amp;end_year=2014","Assam")</f>
        <v>Assam</v>
      </c>
      <c r="H1698" s="87" t="str">
        <f>HYPERLINK("http://api.nsgreg.nga.mil/geo-division/ISO3166-2/6/ed3/IN-AS","IN-AS")</f>
        <v>IN-AS</v>
      </c>
    </row>
    <row r="1699" spans="1:8" x14ac:dyDescent="0.2">
      <c r="A1699" s="157"/>
      <c r="B1699" s="31" t="s">
        <v>6953</v>
      </c>
      <c r="C1699" s="31" t="s">
        <v>6954</v>
      </c>
      <c r="D1699" s="31" t="s">
        <v>2512</v>
      </c>
      <c r="E1699" s="61" t="b">
        <v>1</v>
      </c>
      <c r="F1699" s="107" t="s">
        <v>6955</v>
      </c>
      <c r="G1699" s="116" t="str">
        <f>HYPERLINK("http://nsgreg.nga.mil/genc/view?v=201518&amp;end_month=3&amp;end_day=31&amp;end_year=2014","Bihār")</f>
        <v>Bihār</v>
      </c>
      <c r="H1699" s="87" t="str">
        <f>HYPERLINK("http://api.nsgreg.nga.mil/geo-division/GENC/6/ed2/IN-BR","IN-BR")</f>
        <v>IN-BR</v>
      </c>
    </row>
    <row r="1700" spans="1:8" x14ac:dyDescent="0.2">
      <c r="A1700" s="157"/>
      <c r="B1700" s="31" t="s">
        <v>6956</v>
      </c>
      <c r="C1700" s="31" t="s">
        <v>6957</v>
      </c>
      <c r="D1700" s="31" t="s">
        <v>3849</v>
      </c>
      <c r="E1700" s="61" t="b">
        <v>1</v>
      </c>
      <c r="F1700" s="107" t="s">
        <v>6958</v>
      </c>
      <c r="G1700" s="116" t="str">
        <f>HYPERLINK("http://nsgreg.nga.mil/genc/view?v=201519&amp;end_month=3&amp;end_day=31&amp;end_year=2014","Chandīgarh")</f>
        <v>Chandīgarh</v>
      </c>
      <c r="H1700" s="87" t="str">
        <f>HYPERLINK("http://api.nsgreg.nga.mil/geo-division/GENC/6/ed2/IN-CH","IN-CH")</f>
        <v>IN-CH</v>
      </c>
    </row>
    <row r="1701" spans="1:8" x14ac:dyDescent="0.2">
      <c r="A1701" s="157"/>
      <c r="B1701" s="31" t="s">
        <v>6959</v>
      </c>
      <c r="C1701" s="31" t="s">
        <v>6960</v>
      </c>
      <c r="D1701" s="31" t="s">
        <v>2512</v>
      </c>
      <c r="E1701" s="61" t="b">
        <v>1</v>
      </c>
      <c r="F1701" s="107" t="s">
        <v>6961</v>
      </c>
      <c r="G1701" s="116" t="str">
        <f>HYPERLINK("http://nsgreg.nga.mil/genc/view?v=201520&amp;end_month=3&amp;end_day=31&amp;end_year=2014","Chhattīsgarh")</f>
        <v>Chhattīsgarh</v>
      </c>
      <c r="H1701" s="87" t="str">
        <f>HYPERLINK("http://api.nsgreg.nga.mil/geo-division/GENC/6/ed2/IN-CT","IN-CT")</f>
        <v>IN-CT</v>
      </c>
    </row>
    <row r="1702" spans="1:8" x14ac:dyDescent="0.2">
      <c r="A1702" s="157"/>
      <c r="B1702" s="31" t="s">
        <v>6962</v>
      </c>
      <c r="C1702" s="31" t="s">
        <v>6963</v>
      </c>
      <c r="D1702" s="31" t="s">
        <v>3849</v>
      </c>
      <c r="E1702" s="61" t="b">
        <v>1</v>
      </c>
      <c r="F1702" s="107" t="s">
        <v>6964</v>
      </c>
      <c r="G1702" s="116" t="str">
        <f>HYPERLINK("http://nsgreg.nga.mil/genc/view?v=201523&amp;end_month=3&amp;end_day=31&amp;end_year=2014","Dādra and Nagar Haveli")</f>
        <v>Dādra and Nagar Haveli</v>
      </c>
      <c r="H1702" s="87" t="str">
        <f>HYPERLINK("http://api.nsgreg.nga.mil/geo-division/GENC/6/ed2/IN-DN","IN-DN")</f>
        <v>IN-DN</v>
      </c>
    </row>
    <row r="1703" spans="1:8" x14ac:dyDescent="0.2">
      <c r="A1703" s="157"/>
      <c r="B1703" s="31" t="s">
        <v>6965</v>
      </c>
      <c r="C1703" s="31" t="s">
        <v>6966</v>
      </c>
      <c r="D1703" s="31" t="s">
        <v>3849</v>
      </c>
      <c r="E1703" s="61" t="b">
        <v>1</v>
      </c>
      <c r="F1703" s="107" t="s">
        <v>6967</v>
      </c>
      <c r="G1703" s="116" t="str">
        <f>HYPERLINK("http://nsgreg.nga.mil/genc/view?v=201521&amp;end_month=3&amp;end_day=31&amp;end_year=2014","Damān and Diu")</f>
        <v>Damān and Diu</v>
      </c>
      <c r="H1703" s="87" t="str">
        <f>HYPERLINK("http://api.nsgreg.nga.mil/geo-division/GENC/6/ed2/IN-DD","IN-DD")</f>
        <v>IN-DD</v>
      </c>
    </row>
    <row r="1704" spans="1:8" x14ac:dyDescent="0.2">
      <c r="A1704" s="157"/>
      <c r="B1704" s="31" t="s">
        <v>6968</v>
      </c>
      <c r="C1704" s="31" t="s">
        <v>6969</v>
      </c>
      <c r="D1704" s="31" t="s">
        <v>6970</v>
      </c>
      <c r="E1704" s="61" t="b">
        <v>1</v>
      </c>
      <c r="F1704" s="107" t="s">
        <v>6971</v>
      </c>
      <c r="G1704" s="116" t="str">
        <f>HYPERLINK("http://nsgreg.nga.mil/genc/view?v=201522&amp;end_month=3&amp;end_day=31&amp;end_year=2014","Delhi")</f>
        <v>Delhi</v>
      </c>
      <c r="H1704" s="87" t="str">
        <f>HYPERLINK("http://api.nsgreg.nga.mil/geo-division/GENC/6/ed2/IN-DL","IN-DL")</f>
        <v>IN-DL</v>
      </c>
    </row>
    <row r="1705" spans="1:8" x14ac:dyDescent="0.2">
      <c r="A1705" s="157"/>
      <c r="B1705" s="31" t="s">
        <v>6972</v>
      </c>
      <c r="C1705" s="31" t="s">
        <v>6973</v>
      </c>
      <c r="D1705" s="31" t="s">
        <v>2512</v>
      </c>
      <c r="E1705" s="61" t="b">
        <v>1</v>
      </c>
      <c r="F1705" s="106" t="s">
        <v>6974</v>
      </c>
      <c r="G1705" s="116" t="str">
        <f>HYPERLINK("http://nsgreg.nga.mil/genc/view?v=113951&amp;gencs=T&amp;end_month=3&amp;end_day=31&amp;end_year=2014","Goa")</f>
        <v>Goa</v>
      </c>
      <c r="H1705" s="87" t="str">
        <f>HYPERLINK("http://api.nsgreg.nga.mil/geo-division/ISO3166-2/6/ed3/IN-GA","IN-GA")</f>
        <v>IN-GA</v>
      </c>
    </row>
    <row r="1706" spans="1:8" x14ac:dyDescent="0.2">
      <c r="A1706" s="157"/>
      <c r="B1706" s="31" t="s">
        <v>6975</v>
      </c>
      <c r="C1706" s="31" t="s">
        <v>6976</v>
      </c>
      <c r="D1706" s="31" t="s">
        <v>2512</v>
      </c>
      <c r="E1706" s="61" t="b">
        <v>1</v>
      </c>
      <c r="F1706" s="107" t="s">
        <v>6977</v>
      </c>
      <c r="G1706" s="116" t="str">
        <f>HYPERLINK("http://nsgreg.nga.mil/genc/view?v=201524&amp;end_month=3&amp;end_day=31&amp;end_year=2014","Gujarāt")</f>
        <v>Gujarāt</v>
      </c>
      <c r="H1706" s="87" t="str">
        <f>HYPERLINK("http://api.nsgreg.nga.mil/geo-division/GENC/6/ed2/IN-GJ","IN-GJ")</f>
        <v>IN-GJ</v>
      </c>
    </row>
    <row r="1707" spans="1:8" x14ac:dyDescent="0.2">
      <c r="A1707" s="157"/>
      <c r="B1707" s="31" t="s">
        <v>6978</v>
      </c>
      <c r="C1707" s="31" t="s">
        <v>6979</v>
      </c>
      <c r="D1707" s="31" t="s">
        <v>2512</v>
      </c>
      <c r="E1707" s="61" t="b">
        <v>1</v>
      </c>
      <c r="F1707" s="107" t="s">
        <v>6980</v>
      </c>
      <c r="G1707" s="116" t="str">
        <f>HYPERLINK("http://nsgreg.nga.mil/genc/view?v=201526&amp;end_month=3&amp;end_day=31&amp;end_year=2014","Haryāna")</f>
        <v>Haryāna</v>
      </c>
      <c r="H1707" s="87" t="str">
        <f>HYPERLINK("http://api.nsgreg.nga.mil/geo-division/GENC/6/ed2/IN-HR","IN-HR")</f>
        <v>IN-HR</v>
      </c>
    </row>
    <row r="1708" spans="1:8" x14ac:dyDescent="0.2">
      <c r="A1708" s="157"/>
      <c r="B1708" s="31" t="s">
        <v>6981</v>
      </c>
      <c r="C1708" s="31" t="s">
        <v>6982</v>
      </c>
      <c r="D1708" s="31" t="s">
        <v>2512</v>
      </c>
      <c r="E1708" s="61" t="b">
        <v>1</v>
      </c>
      <c r="F1708" s="107" t="s">
        <v>6983</v>
      </c>
      <c r="G1708" s="116" t="str">
        <f>HYPERLINK("http://nsgreg.nga.mil/genc/view?v=201525&amp;end_month=3&amp;end_day=31&amp;end_year=2014","Himāchal Pradesh")</f>
        <v>Himāchal Pradesh</v>
      </c>
      <c r="H1708" s="87" t="str">
        <f>HYPERLINK("http://api.nsgreg.nga.mil/geo-division/GENC/6/ed2/IN-HP","IN-HP")</f>
        <v>IN-HP</v>
      </c>
    </row>
    <row r="1709" spans="1:8" x14ac:dyDescent="0.2">
      <c r="A1709" s="157"/>
      <c r="B1709" s="31" t="s">
        <v>6984</v>
      </c>
      <c r="C1709" s="31" t="s">
        <v>6985</v>
      </c>
      <c r="D1709" s="31" t="s">
        <v>2512</v>
      </c>
      <c r="E1709" s="61" t="b">
        <v>1</v>
      </c>
      <c r="F1709" s="107" t="s">
        <v>6986</v>
      </c>
      <c r="G1709" s="116" t="str">
        <f>HYPERLINK("http://nsgreg.nga.mil/genc/view?v=201527&amp;end_month=3&amp;end_day=31&amp;end_year=2014","Jammu and Kashmīr")</f>
        <v>Jammu and Kashmīr</v>
      </c>
      <c r="H1709" s="87" t="str">
        <f>HYPERLINK("http://api.nsgreg.nga.mil/geo-division/GENC/6/ed2/IN-JK","IN-JK")</f>
        <v>IN-JK</v>
      </c>
    </row>
    <row r="1710" spans="1:8" x14ac:dyDescent="0.2">
      <c r="A1710" s="157"/>
      <c r="B1710" s="31" t="s">
        <v>6987</v>
      </c>
      <c r="C1710" s="31" t="s">
        <v>6988</v>
      </c>
      <c r="D1710" s="31" t="s">
        <v>2512</v>
      </c>
      <c r="E1710" s="61" t="b">
        <v>1</v>
      </c>
      <c r="F1710" s="106" t="s">
        <v>6989</v>
      </c>
      <c r="G1710" s="116" t="str">
        <f>HYPERLINK("http://nsgreg.nga.mil/genc/view?v=113955&amp;gencs=T&amp;end_month=3&amp;end_day=31&amp;end_year=2014","Jharkhand")</f>
        <v>Jharkhand</v>
      </c>
      <c r="H1710" s="87" t="str">
        <f>HYPERLINK("http://api.nsgreg.nga.mil/geo-division/ISO3166-2/6/ed3/IN-JH","IN-JH")</f>
        <v>IN-JH</v>
      </c>
    </row>
    <row r="1711" spans="1:8" x14ac:dyDescent="0.2">
      <c r="A1711" s="157"/>
      <c r="B1711" s="31" t="s">
        <v>6990</v>
      </c>
      <c r="C1711" s="31" t="s">
        <v>6991</v>
      </c>
      <c r="D1711" s="31" t="s">
        <v>2512</v>
      </c>
      <c r="E1711" s="61" t="b">
        <v>1</v>
      </c>
      <c r="F1711" s="107" t="s">
        <v>6992</v>
      </c>
      <c r="G1711" s="116" t="str">
        <f>HYPERLINK("http://nsgreg.nga.mil/genc/view?v=201528&amp;end_month=3&amp;end_day=31&amp;end_year=2014","Karnātaka")</f>
        <v>Karnātaka</v>
      </c>
      <c r="H1711" s="87" t="str">
        <f>HYPERLINK("http://api.nsgreg.nga.mil/geo-division/GENC/6/ed2/IN-KA","IN-KA")</f>
        <v>IN-KA</v>
      </c>
    </row>
    <row r="1712" spans="1:8" x14ac:dyDescent="0.2">
      <c r="A1712" s="157"/>
      <c r="B1712" s="31" t="s">
        <v>6993</v>
      </c>
      <c r="C1712" s="31" t="s">
        <v>6994</v>
      </c>
      <c r="D1712" s="31" t="s">
        <v>2512</v>
      </c>
      <c r="E1712" s="61" t="b">
        <v>1</v>
      </c>
      <c r="F1712" s="106" t="s">
        <v>6995</v>
      </c>
      <c r="G1712" s="116" t="str">
        <f>HYPERLINK("http://nsgreg.nga.mil/genc/view?v=113958&amp;gencs=T&amp;end_month=3&amp;end_day=31&amp;end_year=2014","Kerala")</f>
        <v>Kerala</v>
      </c>
      <c r="H1712" s="87" t="str">
        <f>HYPERLINK("http://api.nsgreg.nga.mil/geo-division/ISO3166-2/6/ed3/IN-KL","IN-KL")</f>
        <v>IN-KL</v>
      </c>
    </row>
    <row r="1713" spans="1:8" x14ac:dyDescent="0.2">
      <c r="A1713" s="157"/>
      <c r="B1713" s="31" t="s">
        <v>6996</v>
      </c>
      <c r="C1713" s="31" t="s">
        <v>6997</v>
      </c>
      <c r="D1713" s="31" t="s">
        <v>3849</v>
      </c>
      <c r="E1713" s="61" t="b">
        <v>1</v>
      </c>
      <c r="F1713" s="107" t="s">
        <v>6998</v>
      </c>
      <c r="G1713" s="116" t="str">
        <f>HYPERLINK("http://nsgreg.nga.mil/genc/view?v=201529&amp;end_month=3&amp;end_day=31&amp;end_year=2014","Lakshadweep")</f>
        <v>Lakshadweep</v>
      </c>
      <c r="H1713" s="87" t="str">
        <f>HYPERLINK("http://api.nsgreg.nga.mil/geo-division/GENC/6/ed2/IN-LD","IN-LD")</f>
        <v>IN-LD</v>
      </c>
    </row>
    <row r="1714" spans="1:8" x14ac:dyDescent="0.2">
      <c r="A1714" s="157"/>
      <c r="B1714" s="31" t="s">
        <v>6999</v>
      </c>
      <c r="C1714" s="31" t="s">
        <v>7000</v>
      </c>
      <c r="D1714" s="31" t="s">
        <v>2512</v>
      </c>
      <c r="E1714" s="61" t="b">
        <v>1</v>
      </c>
      <c r="F1714" s="106" t="s">
        <v>7001</v>
      </c>
      <c r="G1714" s="116" t="str">
        <f>HYPERLINK("http://nsgreg.nga.mil/genc/view?v=113963&amp;gencs=T&amp;end_month=3&amp;end_day=31&amp;end_year=2014","Madhya Pradesh")</f>
        <v>Madhya Pradesh</v>
      </c>
      <c r="H1714" s="87" t="str">
        <f>HYPERLINK("http://api.nsgreg.nga.mil/geo-division/ISO3166-2/6/ed3/IN-MP","IN-MP")</f>
        <v>IN-MP</v>
      </c>
    </row>
    <row r="1715" spans="1:8" x14ac:dyDescent="0.2">
      <c r="A1715" s="157"/>
      <c r="B1715" s="31" t="s">
        <v>7002</v>
      </c>
      <c r="C1715" s="31" t="s">
        <v>7003</v>
      </c>
      <c r="D1715" s="31" t="s">
        <v>2512</v>
      </c>
      <c r="E1715" s="61" t="b">
        <v>1</v>
      </c>
      <c r="F1715" s="107" t="s">
        <v>7004</v>
      </c>
      <c r="G1715" s="116" t="str">
        <f>HYPERLINK("http://nsgreg.nga.mil/genc/view?v=201530&amp;end_month=3&amp;end_day=31&amp;end_year=2014","Mahārāshtra")</f>
        <v>Mahārāshtra</v>
      </c>
      <c r="H1715" s="87" t="str">
        <f>HYPERLINK("http://api.nsgreg.nga.mil/geo-division/GENC/6/ed2/IN-MH","IN-MH")</f>
        <v>IN-MH</v>
      </c>
    </row>
    <row r="1716" spans="1:8" x14ac:dyDescent="0.2">
      <c r="A1716" s="157"/>
      <c r="B1716" s="31" t="s">
        <v>7005</v>
      </c>
      <c r="C1716" s="31" t="s">
        <v>7006</v>
      </c>
      <c r="D1716" s="31" t="s">
        <v>2512</v>
      </c>
      <c r="E1716" s="61" t="b">
        <v>1</v>
      </c>
      <c r="F1716" s="106" t="s">
        <v>7007</v>
      </c>
      <c r="G1716" s="116" t="str">
        <f>HYPERLINK("http://nsgreg.nga.mil/genc/view?v=113962&amp;gencs=T&amp;end_month=3&amp;end_day=31&amp;end_year=2014","Manipur")</f>
        <v>Manipur</v>
      </c>
      <c r="H1716" s="87" t="str">
        <f>HYPERLINK("http://api.nsgreg.nga.mil/geo-division/ISO3166-2/6/ed3/IN-MN","IN-MN")</f>
        <v>IN-MN</v>
      </c>
    </row>
    <row r="1717" spans="1:8" x14ac:dyDescent="0.2">
      <c r="A1717" s="157"/>
      <c r="B1717" s="31" t="s">
        <v>7008</v>
      </c>
      <c r="C1717" s="31" t="s">
        <v>7009</v>
      </c>
      <c r="D1717" s="31" t="s">
        <v>2512</v>
      </c>
      <c r="E1717" s="61" t="b">
        <v>1</v>
      </c>
      <c r="F1717" s="107" t="s">
        <v>7010</v>
      </c>
      <c r="G1717" s="116" t="str">
        <f>HYPERLINK("http://nsgreg.nga.mil/genc/view?v=201531&amp;end_month=3&amp;end_day=31&amp;end_year=2014","Meghālaya")</f>
        <v>Meghālaya</v>
      </c>
      <c r="H1717" s="87" t="str">
        <f>HYPERLINK("http://api.nsgreg.nga.mil/geo-division/GENC/6/ed2/IN-ML","IN-ML")</f>
        <v>IN-ML</v>
      </c>
    </row>
    <row r="1718" spans="1:8" x14ac:dyDescent="0.2">
      <c r="A1718" s="157"/>
      <c r="B1718" s="31" t="s">
        <v>7011</v>
      </c>
      <c r="C1718" s="31" t="s">
        <v>7012</v>
      </c>
      <c r="D1718" s="31" t="s">
        <v>3849</v>
      </c>
      <c r="E1718" s="61" t="b">
        <v>1</v>
      </c>
      <c r="F1718" s="107" t="s">
        <v>7013</v>
      </c>
      <c r="G1718" s="116" t="str">
        <f>HYPERLINK("http://nsgreg.nga.mil/genc/view?v=201532&amp;end_month=3&amp;end_day=31&amp;end_year=2014","Mizoram")</f>
        <v>Mizoram</v>
      </c>
      <c r="H1718" s="87" t="str">
        <f>HYPERLINK("http://api.nsgreg.nga.mil/geo-division/GENC/6/ed2/IN-MZ","IN-MZ")</f>
        <v>IN-MZ</v>
      </c>
    </row>
    <row r="1719" spans="1:8" x14ac:dyDescent="0.2">
      <c r="A1719" s="157"/>
      <c r="B1719" s="31" t="s">
        <v>7014</v>
      </c>
      <c r="C1719" s="31" t="s">
        <v>7015</v>
      </c>
      <c r="D1719" s="31" t="s">
        <v>2512</v>
      </c>
      <c r="E1719" s="61" t="b">
        <v>1</v>
      </c>
      <c r="F1719" s="107" t="s">
        <v>7016</v>
      </c>
      <c r="G1719" s="116" t="str">
        <f>HYPERLINK("http://nsgreg.nga.mil/genc/view?v=201533&amp;end_month=3&amp;end_day=31&amp;end_year=2014","Nāgāland")</f>
        <v>Nāgāland</v>
      </c>
      <c r="H1719" s="87" t="str">
        <f>HYPERLINK("http://api.nsgreg.nga.mil/geo-division/GENC/6/ed2/IN-NL","IN-NL")</f>
        <v>IN-NL</v>
      </c>
    </row>
    <row r="1720" spans="1:8" x14ac:dyDescent="0.2">
      <c r="A1720" s="157"/>
      <c r="B1720" s="31" t="s">
        <v>7017</v>
      </c>
      <c r="C1720" s="31" t="s">
        <v>7018</v>
      </c>
      <c r="D1720" s="31" t="s">
        <v>2512</v>
      </c>
      <c r="E1720" s="61" t="b">
        <v>1</v>
      </c>
      <c r="F1720" s="107" t="s">
        <v>7019</v>
      </c>
      <c r="G1720" s="116" t="str">
        <f>HYPERLINK("http://nsgreg.nga.mil/genc/view?v=201534&amp;end_month=3&amp;end_day=31&amp;end_year=2014","Odisha")</f>
        <v>Odisha</v>
      </c>
      <c r="H1720" s="87" t="str">
        <f>HYPERLINK("http://api.nsgreg.nga.mil/geo-division/GENC/6/ed2/IN-OR","IN-OR")</f>
        <v>IN-OR</v>
      </c>
    </row>
    <row r="1721" spans="1:8" x14ac:dyDescent="0.2">
      <c r="A1721" s="157"/>
      <c r="B1721" s="31" t="s">
        <v>7020</v>
      </c>
      <c r="C1721" s="31" t="s">
        <v>7021</v>
      </c>
      <c r="D1721" s="31" t="s">
        <v>3849</v>
      </c>
      <c r="E1721" s="61" t="b">
        <v>1</v>
      </c>
      <c r="F1721" s="107" t="s">
        <v>7022</v>
      </c>
      <c r="G1721" s="116" t="str">
        <f>HYPERLINK("http://nsgreg.nga.mil/genc/view?v=201535&amp;end_month=3&amp;end_day=31&amp;end_year=2014","Puducherry")</f>
        <v>Puducherry</v>
      </c>
      <c r="H1721" s="87" t="str">
        <f>HYPERLINK("http://api.nsgreg.nga.mil/geo-division/GENC/6/ed2/IN-PY","IN-PY")</f>
        <v>IN-PY</v>
      </c>
    </row>
    <row r="1722" spans="1:8" x14ac:dyDescent="0.2">
      <c r="A1722" s="157"/>
      <c r="B1722" s="31" t="s">
        <v>7023</v>
      </c>
      <c r="C1722" s="31" t="s">
        <v>7024</v>
      </c>
      <c r="D1722" s="31" t="s">
        <v>2512</v>
      </c>
      <c r="E1722" s="61" t="b">
        <v>1</v>
      </c>
      <c r="F1722" s="106" t="s">
        <v>7025</v>
      </c>
      <c r="G1722" s="116" t="str">
        <f>HYPERLINK("http://nsgreg.nga.mil/genc/view?v=113967&amp;gencs=T&amp;end_month=3&amp;end_day=31&amp;end_year=2014","Punjab")</f>
        <v>Punjab</v>
      </c>
      <c r="H1722" s="87" t="str">
        <f>HYPERLINK("http://api.nsgreg.nga.mil/geo-division/ISO3166-2/6/ed3/IN-PB","IN-PB")</f>
        <v>IN-PB</v>
      </c>
    </row>
    <row r="1723" spans="1:8" x14ac:dyDescent="0.2">
      <c r="A1723" s="157"/>
      <c r="B1723" s="31" t="s">
        <v>7026</v>
      </c>
      <c r="C1723" s="31" t="s">
        <v>7027</v>
      </c>
      <c r="D1723" s="31" t="s">
        <v>2512</v>
      </c>
      <c r="E1723" s="61" t="b">
        <v>1</v>
      </c>
      <c r="F1723" s="107" t="s">
        <v>7028</v>
      </c>
      <c r="G1723" s="116" t="str">
        <f>HYPERLINK("http://nsgreg.nga.mil/genc/view?v=201536&amp;end_month=3&amp;end_day=31&amp;end_year=2014","Rājasthān")</f>
        <v>Rājasthān</v>
      </c>
      <c r="H1723" s="87" t="str">
        <f>HYPERLINK("http://api.nsgreg.nga.mil/geo-division/GENC/6/ed2/IN-RJ","IN-RJ")</f>
        <v>IN-RJ</v>
      </c>
    </row>
    <row r="1724" spans="1:8" x14ac:dyDescent="0.2">
      <c r="A1724" s="157"/>
      <c r="B1724" s="31" t="s">
        <v>7029</v>
      </c>
      <c r="C1724" s="31" t="s">
        <v>7030</v>
      </c>
      <c r="D1724" s="31" t="s">
        <v>2512</v>
      </c>
      <c r="E1724" s="61" t="b">
        <v>1</v>
      </c>
      <c r="F1724" s="106" t="s">
        <v>7031</v>
      </c>
      <c r="G1724" s="116" t="str">
        <f>HYPERLINK("http://nsgreg.nga.mil/genc/view?v=113970&amp;gencs=T&amp;end_month=3&amp;end_day=31&amp;end_year=2014","Sikkim")</f>
        <v>Sikkim</v>
      </c>
      <c r="H1724" s="87" t="str">
        <f>HYPERLINK("http://api.nsgreg.nga.mil/geo-division/ISO3166-2/6/ed3/IN-SK","IN-SK")</f>
        <v>IN-SK</v>
      </c>
    </row>
    <row r="1725" spans="1:8" x14ac:dyDescent="0.2">
      <c r="A1725" s="157"/>
      <c r="B1725" s="31" t="s">
        <v>7032</v>
      </c>
      <c r="C1725" s="31" t="s">
        <v>7033</v>
      </c>
      <c r="D1725" s="31" t="s">
        <v>2512</v>
      </c>
      <c r="E1725" s="61" t="b">
        <v>1</v>
      </c>
      <c r="F1725" s="107" t="s">
        <v>7034</v>
      </c>
      <c r="G1725" s="116" t="str">
        <f>HYPERLINK("http://nsgreg.nga.mil/genc/view?v=201537&amp;end_month=3&amp;end_day=31&amp;end_year=2014","Tamil Nādu ")</f>
        <v xml:space="preserve">Tamil Nādu </v>
      </c>
      <c r="H1725" s="87" t="str">
        <f>HYPERLINK("http://api.nsgreg.nga.mil/geo-division/GENC/6/ed2/IN-TN","IN-TN")</f>
        <v>IN-TN</v>
      </c>
    </row>
    <row r="1726" spans="1:8" x14ac:dyDescent="0.2">
      <c r="A1726" s="157"/>
      <c r="B1726" s="31" t="s">
        <v>7035</v>
      </c>
      <c r="C1726" s="31" t="s">
        <v>7036</v>
      </c>
      <c r="D1726" s="31" t="s">
        <v>2512</v>
      </c>
      <c r="E1726" s="61" t="b">
        <v>1</v>
      </c>
      <c r="F1726" s="106" t="s">
        <v>7037</v>
      </c>
      <c r="G1726" s="116" t="str">
        <f>HYPERLINK("http://nsgreg.nga.mil/genc/view?v=113972&amp;gencs=T&amp;end_month=3&amp;end_day=31&amp;end_year=2014","Tripura")</f>
        <v>Tripura</v>
      </c>
      <c r="H1726" s="87" t="str">
        <f>HYPERLINK("http://api.nsgreg.nga.mil/geo-division/ISO3166-2/6/ed3/IN-TR","IN-TR")</f>
        <v>IN-TR</v>
      </c>
    </row>
    <row r="1727" spans="1:8" x14ac:dyDescent="0.2">
      <c r="A1727" s="157"/>
      <c r="B1727" s="31" t="s">
        <v>7038</v>
      </c>
      <c r="C1727" s="31" t="s">
        <v>7039</v>
      </c>
      <c r="D1727" s="31" t="s">
        <v>2512</v>
      </c>
      <c r="E1727" s="61" t="b">
        <v>1</v>
      </c>
      <c r="F1727" s="106" t="s">
        <v>7040</v>
      </c>
      <c r="G1727" s="116" t="str">
        <f>HYPERLINK("http://nsgreg.nga.mil/genc/view?v=113974&amp;gencs=T&amp;end_month=3&amp;end_day=31&amp;end_year=2014","Uttarakhand")</f>
        <v>Uttarakhand</v>
      </c>
      <c r="H1727" s="87" t="str">
        <f>HYPERLINK("http://api.nsgreg.nga.mil/geo-division/ISO3166-2/6/ed3/IN-UT","IN-UT")</f>
        <v>IN-UT</v>
      </c>
    </row>
    <row r="1728" spans="1:8" x14ac:dyDescent="0.2">
      <c r="A1728" s="157"/>
      <c r="B1728" s="31" t="s">
        <v>7041</v>
      </c>
      <c r="C1728" s="31" t="s">
        <v>7042</v>
      </c>
      <c r="D1728" s="31" t="s">
        <v>2512</v>
      </c>
      <c r="E1728" s="61" t="b">
        <v>1</v>
      </c>
      <c r="F1728" s="106" t="s">
        <v>7043</v>
      </c>
      <c r="G1728" s="116" t="str">
        <f>HYPERLINK("http://nsgreg.nga.mil/genc/view?v=113973&amp;gencs=T&amp;end_month=3&amp;end_day=31&amp;end_year=2014","Uttar Pradesh")</f>
        <v>Uttar Pradesh</v>
      </c>
      <c r="H1728" s="87" t="str">
        <f>HYPERLINK("http://api.nsgreg.nga.mil/geo-division/ISO3166-2/6/ed3/IN-UP","IN-UP")</f>
        <v>IN-UP</v>
      </c>
    </row>
    <row r="1729" spans="1:8" x14ac:dyDescent="0.2">
      <c r="A1729" s="158"/>
      <c r="B1729" s="58" t="s">
        <v>7044</v>
      </c>
      <c r="C1729" s="58" t="s">
        <v>7045</v>
      </c>
      <c r="D1729" s="58" t="s">
        <v>2512</v>
      </c>
      <c r="E1729" s="62" t="b">
        <v>1</v>
      </c>
      <c r="F1729" s="108" t="s">
        <v>7046</v>
      </c>
      <c r="G1729" s="117" t="str">
        <f>HYPERLINK("http://nsgreg.nga.mil/genc/view?v=113975&amp;gencs=T&amp;end_month=3&amp;end_day=31&amp;end_year=2014","West Bengal")</f>
        <v>West Bengal</v>
      </c>
      <c r="H1729" s="89" t="str">
        <f>HYPERLINK("http://api.nsgreg.nga.mil/geo-division/ISO3166-2/6/ed3/IN-WB","IN-WB")</f>
        <v>IN-WB</v>
      </c>
    </row>
    <row r="1730" spans="1:8" x14ac:dyDescent="0.2">
      <c r="A1730" s="156" t="str">
        <f>HYPERLINK("[#]Geopolitical_Entities!A125:I125","INDONESIA")</f>
        <v>INDONESIA</v>
      </c>
      <c r="B1730" s="52" t="s">
        <v>7047</v>
      </c>
      <c r="C1730" s="52" t="s">
        <v>7048</v>
      </c>
      <c r="D1730" s="52" t="s">
        <v>7049</v>
      </c>
      <c r="E1730" s="60" t="b">
        <v>1</v>
      </c>
      <c r="F1730" s="110" t="s">
        <v>7050</v>
      </c>
      <c r="G1730" s="118" t="str">
        <f>HYPERLINK("http://nsgreg.nga.mil/genc/view?v=201736&amp;end_month=3&amp;end_day=31&amp;end_year=2014","Aceh")</f>
        <v>Aceh</v>
      </c>
      <c r="H1730" s="91" t="str">
        <f>HYPERLINK("http://api.nsgreg.nga.mil/geo-division/GENC/6/ed2/ID-AC","ID-AC")</f>
        <v>ID-AC</v>
      </c>
    </row>
    <row r="1731" spans="1:8" x14ac:dyDescent="0.2">
      <c r="A1731" s="157"/>
      <c r="B1731" s="31" t="s">
        <v>7051</v>
      </c>
      <c r="C1731" s="31" t="s">
        <v>7052</v>
      </c>
      <c r="D1731" s="31" t="s">
        <v>1920</v>
      </c>
      <c r="E1731" s="61" t="b">
        <v>1</v>
      </c>
      <c r="F1731" s="107" t="s">
        <v>7053</v>
      </c>
      <c r="G1731" s="116" t="str">
        <f>HYPERLINK("http://nsgreg.nga.mil/genc/view?v=201468&amp;end_month=3&amp;end_day=31&amp;end_year=2014","Bali")</f>
        <v>Bali</v>
      </c>
      <c r="H1731" s="87" t="str">
        <f>HYPERLINK("http://api.nsgreg.nga.mil/geo-division/GENC/6/ed2/ID-BA","ID-BA")</f>
        <v>ID-BA</v>
      </c>
    </row>
    <row r="1732" spans="1:8" x14ac:dyDescent="0.2">
      <c r="A1732" s="157"/>
      <c r="B1732" s="31" t="s">
        <v>7054</v>
      </c>
      <c r="C1732" s="31" t="s">
        <v>7055</v>
      </c>
      <c r="D1732" s="31" t="s">
        <v>1920</v>
      </c>
      <c r="E1732" s="61" t="b">
        <v>1</v>
      </c>
      <c r="F1732" s="107" t="s">
        <v>7056</v>
      </c>
      <c r="G1732" s="116" t="str">
        <f>HYPERLINK("http://nsgreg.nga.mil/genc/view?v=201471&amp;end_month=3&amp;end_day=31&amp;end_year=2014","Banten")</f>
        <v>Banten</v>
      </c>
      <c r="H1732" s="87" t="str">
        <f>HYPERLINK("http://api.nsgreg.nga.mil/geo-division/GENC/6/ed2/ID-BT","ID-BT")</f>
        <v>ID-BT</v>
      </c>
    </row>
    <row r="1733" spans="1:8" x14ac:dyDescent="0.2">
      <c r="A1733" s="157"/>
      <c r="B1733" s="31" t="s">
        <v>7057</v>
      </c>
      <c r="C1733" s="31" t="s">
        <v>7058</v>
      </c>
      <c r="D1733" s="31" t="s">
        <v>1920</v>
      </c>
      <c r="E1733" s="61" t="b">
        <v>1</v>
      </c>
      <c r="F1733" s="107" t="s">
        <v>7059</v>
      </c>
      <c r="G1733" s="116" t="str">
        <f>HYPERLINK("http://nsgreg.nga.mil/genc/view?v=201470&amp;end_month=3&amp;end_day=31&amp;end_year=2014","Bengkulu")</f>
        <v>Bengkulu</v>
      </c>
      <c r="H1733" s="87" t="str">
        <f>HYPERLINK("http://api.nsgreg.nga.mil/geo-division/GENC/6/ed2/ID-BE","ID-BE")</f>
        <v>ID-BE</v>
      </c>
    </row>
    <row r="1734" spans="1:8" x14ac:dyDescent="0.2">
      <c r="A1734" s="157"/>
      <c r="B1734" s="31" t="s">
        <v>7060</v>
      </c>
      <c r="C1734" s="31" t="s">
        <v>7061</v>
      </c>
      <c r="D1734" s="31" t="s">
        <v>1920</v>
      </c>
      <c r="E1734" s="61" t="b">
        <v>1</v>
      </c>
      <c r="F1734" s="107" t="s">
        <v>7062</v>
      </c>
      <c r="G1734" s="116" t="str">
        <f>HYPERLINK("http://nsgreg.nga.mil/genc/view?v=201472&amp;end_month=3&amp;end_day=31&amp;end_year=2014","Gorontalo")</f>
        <v>Gorontalo</v>
      </c>
      <c r="H1734" s="87" t="str">
        <f>HYPERLINK("http://api.nsgreg.nga.mil/geo-division/GENC/6/ed2/ID-GO","ID-GO")</f>
        <v>ID-GO</v>
      </c>
    </row>
    <row r="1735" spans="1:8" x14ac:dyDescent="0.2">
      <c r="A1735" s="157"/>
      <c r="B1735" s="31" t="s">
        <v>7063</v>
      </c>
      <c r="C1735" s="31" t="s">
        <v>7064</v>
      </c>
      <c r="D1735" s="31" t="s">
        <v>7065</v>
      </c>
      <c r="E1735" s="61" t="b">
        <v>1</v>
      </c>
      <c r="F1735" s="107" t="s">
        <v>7066</v>
      </c>
      <c r="G1735" s="116" t="str">
        <f>HYPERLINK("http://nsgreg.nga.mil/genc/view?v=201476&amp;end_month=3&amp;end_day=31&amp;end_year=2014","Jakarta")</f>
        <v>Jakarta</v>
      </c>
      <c r="H1735" s="87" t="str">
        <f>HYPERLINK("http://api.nsgreg.nga.mil/geo-division/GENC/6/ed2/ID-JK","ID-JK")</f>
        <v>ID-JK</v>
      </c>
    </row>
    <row r="1736" spans="1:8" x14ac:dyDescent="0.2">
      <c r="A1736" s="157"/>
      <c r="B1736" s="31" t="s">
        <v>7067</v>
      </c>
      <c r="C1736" s="31" t="s">
        <v>7068</v>
      </c>
      <c r="D1736" s="31" t="s">
        <v>1920</v>
      </c>
      <c r="E1736" s="61" t="b">
        <v>1</v>
      </c>
      <c r="F1736" s="107" t="s">
        <v>7069</v>
      </c>
      <c r="G1736" s="116" t="str">
        <f>HYPERLINK("http://nsgreg.nga.mil/genc/view?v=201473&amp;end_month=3&amp;end_day=31&amp;end_year=2014","Jambi")</f>
        <v>Jambi</v>
      </c>
      <c r="H1736" s="87" t="str">
        <f>HYPERLINK("http://api.nsgreg.nga.mil/geo-division/GENC/6/ed2/ID-JA","ID-JA")</f>
        <v>ID-JA</v>
      </c>
    </row>
    <row r="1737" spans="1:8" x14ac:dyDescent="0.2">
      <c r="A1737" s="157"/>
      <c r="B1737" s="31" t="s">
        <v>7070</v>
      </c>
      <c r="C1737" s="31" t="s">
        <v>7071</v>
      </c>
      <c r="D1737" s="98" t="s">
        <v>7072</v>
      </c>
      <c r="E1737" s="99" t="b">
        <v>0</v>
      </c>
      <c r="F1737" s="106" t="s">
        <v>7073</v>
      </c>
      <c r="G1737" s="116" t="str">
        <f>HYPERLINK("http://nsgreg.nga.mil/genc/view?v=113877&amp;gencs=T&amp;end_month=3&amp;end_day=31&amp;end_year=2014","Jawa")</f>
        <v>Jawa</v>
      </c>
      <c r="H1737" s="87" t="str">
        <f>HYPERLINK("http://api.nsgreg.nga.mil/geo-division/ISO3166-2/6/ed3/ID-JW","ID-JW")</f>
        <v>ID-JW</v>
      </c>
    </row>
    <row r="1738" spans="1:8" x14ac:dyDescent="0.2">
      <c r="A1738" s="157"/>
      <c r="B1738" s="31" t="s">
        <v>7074</v>
      </c>
      <c r="C1738" s="31" t="s">
        <v>7075</v>
      </c>
      <c r="D1738" s="31" t="s">
        <v>1920</v>
      </c>
      <c r="E1738" s="61" t="b">
        <v>1</v>
      </c>
      <c r="F1738" s="107" t="s">
        <v>7076</v>
      </c>
      <c r="G1738" s="116" t="str">
        <f>HYPERLINK("http://nsgreg.nga.mil/genc/view?v=201474&amp;end_month=3&amp;end_day=31&amp;end_year=2014","Jawa Barat")</f>
        <v>Jawa Barat</v>
      </c>
      <c r="H1738" s="87" t="str">
        <f>HYPERLINK("http://api.nsgreg.nga.mil/geo-division/GENC/6/ed2/ID-JB","ID-JB")</f>
        <v>ID-JB</v>
      </c>
    </row>
    <row r="1739" spans="1:8" x14ac:dyDescent="0.2">
      <c r="A1739" s="157"/>
      <c r="B1739" s="31" t="s">
        <v>7077</v>
      </c>
      <c r="C1739" s="31" t="s">
        <v>7078</v>
      </c>
      <c r="D1739" s="31" t="s">
        <v>1920</v>
      </c>
      <c r="E1739" s="61" t="b">
        <v>1</v>
      </c>
      <c r="F1739" s="107" t="s">
        <v>7079</v>
      </c>
      <c r="G1739" s="116" t="str">
        <f>HYPERLINK("http://nsgreg.nga.mil/genc/view?v=201477&amp;end_month=3&amp;end_day=31&amp;end_year=2014","Jawa Tengah")</f>
        <v>Jawa Tengah</v>
      </c>
      <c r="H1739" s="87" t="str">
        <f>HYPERLINK("http://api.nsgreg.nga.mil/geo-division/GENC/6/ed2/ID-JT","ID-JT")</f>
        <v>ID-JT</v>
      </c>
    </row>
    <row r="1740" spans="1:8" x14ac:dyDescent="0.2">
      <c r="A1740" s="157"/>
      <c r="B1740" s="31" t="s">
        <v>7080</v>
      </c>
      <c r="C1740" s="31" t="s">
        <v>7081</v>
      </c>
      <c r="D1740" s="31" t="s">
        <v>1920</v>
      </c>
      <c r="E1740" s="61" t="b">
        <v>1</v>
      </c>
      <c r="F1740" s="107" t="s">
        <v>7082</v>
      </c>
      <c r="G1740" s="116" t="str">
        <f>HYPERLINK("http://nsgreg.nga.mil/genc/view?v=201475&amp;end_month=3&amp;end_day=31&amp;end_year=2014","Jawa Timur")</f>
        <v>Jawa Timur</v>
      </c>
      <c r="H1740" s="87" t="str">
        <f>HYPERLINK("http://api.nsgreg.nga.mil/geo-division/GENC/6/ed2/ID-JI","ID-JI")</f>
        <v>ID-JI</v>
      </c>
    </row>
    <row r="1741" spans="1:8" x14ac:dyDescent="0.2">
      <c r="A1741" s="157"/>
      <c r="B1741" s="31" t="s">
        <v>7083</v>
      </c>
      <c r="C1741" s="31" t="s">
        <v>7084</v>
      </c>
      <c r="D1741" s="98" t="s">
        <v>7072</v>
      </c>
      <c r="E1741" s="99" t="b">
        <v>0</v>
      </c>
      <c r="F1741" s="106" t="s">
        <v>7085</v>
      </c>
      <c r="G1741" s="116" t="str">
        <f>HYPERLINK("http://nsgreg.nga.mil/genc/view?v=113878&amp;gencs=T&amp;end_month=3&amp;end_day=31&amp;end_year=2014","Kalimantan")</f>
        <v>Kalimantan</v>
      </c>
      <c r="H1741" s="87" t="str">
        <f>HYPERLINK("http://api.nsgreg.nga.mil/geo-division/ISO3166-2/6/ed3/ID-KA","ID-KA")</f>
        <v>ID-KA</v>
      </c>
    </row>
    <row r="1742" spans="1:8" x14ac:dyDescent="0.2">
      <c r="A1742" s="157"/>
      <c r="B1742" s="31" t="s">
        <v>7086</v>
      </c>
      <c r="C1742" s="31" t="s">
        <v>7087</v>
      </c>
      <c r="D1742" s="31" t="s">
        <v>1920</v>
      </c>
      <c r="E1742" s="61" t="b">
        <v>1</v>
      </c>
      <c r="F1742" s="107" t="s">
        <v>7088</v>
      </c>
      <c r="G1742" s="116" t="str">
        <f>HYPERLINK("http://nsgreg.nga.mil/genc/view?v=201478&amp;end_month=3&amp;end_day=31&amp;end_year=2014","Kalimantan Barat")</f>
        <v>Kalimantan Barat</v>
      </c>
      <c r="H1742" s="87" t="str">
        <f>HYPERLINK("http://api.nsgreg.nga.mil/geo-division/GENC/6/ed2/ID-KB","ID-KB")</f>
        <v>ID-KB</v>
      </c>
    </row>
    <row r="1743" spans="1:8" x14ac:dyDescent="0.2">
      <c r="A1743" s="157"/>
      <c r="B1743" s="31" t="s">
        <v>7089</v>
      </c>
      <c r="C1743" s="31" t="s">
        <v>7090</v>
      </c>
      <c r="D1743" s="31" t="s">
        <v>1920</v>
      </c>
      <c r="E1743" s="61" t="b">
        <v>1</v>
      </c>
      <c r="F1743" s="107" t="s">
        <v>7091</v>
      </c>
      <c r="G1743" s="116" t="str">
        <f>HYPERLINK("http://nsgreg.nga.mil/genc/view?v=201481&amp;end_month=3&amp;end_day=31&amp;end_year=2014","Kalimantan Selatan")</f>
        <v>Kalimantan Selatan</v>
      </c>
      <c r="H1743" s="87" t="str">
        <f>HYPERLINK("http://api.nsgreg.nga.mil/geo-division/GENC/6/ed2/ID-KS","ID-KS")</f>
        <v>ID-KS</v>
      </c>
    </row>
    <row r="1744" spans="1:8" x14ac:dyDescent="0.2">
      <c r="A1744" s="157"/>
      <c r="B1744" s="31" t="s">
        <v>7092</v>
      </c>
      <c r="C1744" s="31" t="s">
        <v>7093</v>
      </c>
      <c r="D1744" s="31" t="s">
        <v>1920</v>
      </c>
      <c r="E1744" s="61" t="b">
        <v>1</v>
      </c>
      <c r="F1744" s="107" t="s">
        <v>7094</v>
      </c>
      <c r="G1744" s="116" t="str">
        <f>HYPERLINK("http://nsgreg.nga.mil/genc/view?v=201482&amp;end_month=3&amp;end_day=31&amp;end_year=2014","Kalimantan Tengah")</f>
        <v>Kalimantan Tengah</v>
      </c>
      <c r="H1744" s="87" t="str">
        <f>HYPERLINK("http://api.nsgreg.nga.mil/geo-division/GENC/6/ed2/ID-KT","ID-KT")</f>
        <v>ID-KT</v>
      </c>
    </row>
    <row r="1745" spans="1:8" x14ac:dyDescent="0.2">
      <c r="A1745" s="157"/>
      <c r="B1745" s="31" t="s">
        <v>7095</v>
      </c>
      <c r="C1745" s="31" t="s">
        <v>7096</v>
      </c>
      <c r="D1745" s="31" t="s">
        <v>1920</v>
      </c>
      <c r="E1745" s="61" t="b">
        <v>1</v>
      </c>
      <c r="F1745" s="107" t="s">
        <v>7097</v>
      </c>
      <c r="G1745" s="116" t="str">
        <f>HYPERLINK("http://nsgreg.nga.mil/genc/view?v=201479&amp;end_month=3&amp;end_day=31&amp;end_year=2014","Kalimantan Timur")</f>
        <v>Kalimantan Timur</v>
      </c>
      <c r="H1745" s="87" t="str">
        <f>HYPERLINK("http://api.nsgreg.nga.mil/geo-division/GENC/6/ed2/ID-KI","ID-KI")</f>
        <v>ID-KI</v>
      </c>
    </row>
    <row r="1746" spans="1:8" x14ac:dyDescent="0.2">
      <c r="A1746" s="157"/>
      <c r="B1746" s="31" t="s">
        <v>7098</v>
      </c>
      <c r="C1746" s="31" t="s">
        <v>7099</v>
      </c>
      <c r="D1746" s="31" t="s">
        <v>1920</v>
      </c>
      <c r="E1746" s="61" t="b">
        <v>1</v>
      </c>
      <c r="F1746" s="107" t="s">
        <v>7100</v>
      </c>
      <c r="G1746" s="116" t="str">
        <f>HYPERLINK("http://nsgreg.nga.mil/genc/view?v=201483&amp;end_month=3&amp;end_day=31&amp;end_year=2014","Kalimantan Utara")</f>
        <v>Kalimantan Utara</v>
      </c>
      <c r="H1746" s="87" t="str">
        <f>HYPERLINK("http://api.nsgreg.nga.mil/geo-division/GENC/6/ed2/ID-KU","ID-KU")</f>
        <v>ID-KU</v>
      </c>
    </row>
    <row r="1747" spans="1:8" x14ac:dyDescent="0.2">
      <c r="A1747" s="157"/>
      <c r="B1747" s="31" t="s">
        <v>7101</v>
      </c>
      <c r="C1747" s="31" t="s">
        <v>7102</v>
      </c>
      <c r="D1747" s="31" t="s">
        <v>1920</v>
      </c>
      <c r="E1747" s="61" t="b">
        <v>1</v>
      </c>
      <c r="F1747" s="107" t="s">
        <v>7103</v>
      </c>
      <c r="G1747" s="116" t="str">
        <f>HYPERLINK("http://nsgreg.nga.mil/genc/view?v=201469&amp;end_month=3&amp;end_day=31&amp;end_year=2014","Kepulauan Bangka Belitung")</f>
        <v>Kepulauan Bangka Belitung</v>
      </c>
      <c r="H1747" s="87" t="str">
        <f>HYPERLINK("http://api.nsgreg.nga.mil/geo-division/GENC/6/ed2/ID-BB","ID-BB")</f>
        <v>ID-BB</v>
      </c>
    </row>
    <row r="1748" spans="1:8" x14ac:dyDescent="0.2">
      <c r="A1748" s="157"/>
      <c r="B1748" s="31" t="s">
        <v>7104</v>
      </c>
      <c r="C1748" s="31" t="s">
        <v>7105</v>
      </c>
      <c r="D1748" s="31" t="s">
        <v>1920</v>
      </c>
      <c r="E1748" s="61" t="b">
        <v>1</v>
      </c>
      <c r="F1748" s="107" t="s">
        <v>7106</v>
      </c>
      <c r="G1748" s="116" t="str">
        <f>HYPERLINK("http://nsgreg.nga.mil/genc/view?v=201480&amp;end_month=3&amp;end_day=31&amp;end_year=2014","Kepulauan Riau")</f>
        <v>Kepulauan Riau</v>
      </c>
      <c r="H1748" s="87" t="str">
        <f>HYPERLINK("http://api.nsgreg.nga.mil/geo-division/GENC/6/ed2/ID-KR","ID-KR")</f>
        <v>ID-KR</v>
      </c>
    </row>
    <row r="1749" spans="1:8" x14ac:dyDescent="0.2">
      <c r="A1749" s="157"/>
      <c r="B1749" s="31" t="s">
        <v>7107</v>
      </c>
      <c r="C1749" s="31" t="s">
        <v>7108</v>
      </c>
      <c r="D1749" s="31" t="s">
        <v>1920</v>
      </c>
      <c r="E1749" s="61" t="b">
        <v>1</v>
      </c>
      <c r="F1749" s="107" t="s">
        <v>7109</v>
      </c>
      <c r="G1749" s="116" t="str">
        <f>HYPERLINK("http://nsgreg.nga.mil/genc/view?v=201484&amp;end_month=3&amp;end_day=31&amp;end_year=2014","Lampung")</f>
        <v>Lampung</v>
      </c>
      <c r="H1749" s="87" t="str">
        <f>HYPERLINK("http://api.nsgreg.nga.mil/geo-division/GENC/6/ed2/ID-LA","ID-LA")</f>
        <v>ID-LA</v>
      </c>
    </row>
    <row r="1750" spans="1:8" x14ac:dyDescent="0.2">
      <c r="A1750" s="157"/>
      <c r="B1750" s="31" t="s">
        <v>7110</v>
      </c>
      <c r="C1750" s="31" t="s">
        <v>7111</v>
      </c>
      <c r="D1750" s="98" t="s">
        <v>7072</v>
      </c>
      <c r="E1750" s="99" t="b">
        <v>0</v>
      </c>
      <c r="F1750" s="106" t="s">
        <v>7112</v>
      </c>
      <c r="G1750" s="116" t="str">
        <f>HYPERLINK("http://nsgreg.nga.mil/genc/view?v=113886&amp;gencs=T&amp;end_month=3&amp;end_day=31&amp;end_year=2014","Maluku")</f>
        <v>Maluku</v>
      </c>
      <c r="H1750" s="87" t="str">
        <f>HYPERLINK("http://api.nsgreg.nga.mil/geo-division/ISO3166-2/6/ed3/ID-ML","ID-ML")</f>
        <v>ID-ML</v>
      </c>
    </row>
    <row r="1751" spans="1:8" x14ac:dyDescent="0.2">
      <c r="A1751" s="157"/>
      <c r="B1751" s="31" t="s">
        <v>7113</v>
      </c>
      <c r="C1751" s="31" t="s">
        <v>7111</v>
      </c>
      <c r="D1751" s="31" t="s">
        <v>1920</v>
      </c>
      <c r="E1751" s="61" t="b">
        <v>1</v>
      </c>
      <c r="F1751" s="107" t="s">
        <v>7114</v>
      </c>
      <c r="G1751" s="116" t="str">
        <f>HYPERLINK("http://nsgreg.nga.mil/genc/view?v=201485&amp;end_month=3&amp;end_day=31&amp;end_year=2014","Maluku")</f>
        <v>Maluku</v>
      </c>
      <c r="H1751" s="87" t="str">
        <f>HYPERLINK("http://api.nsgreg.nga.mil/geo-division/GENC/6/ed2/ID-MA","ID-MA")</f>
        <v>ID-MA</v>
      </c>
    </row>
    <row r="1752" spans="1:8" x14ac:dyDescent="0.2">
      <c r="A1752" s="157"/>
      <c r="B1752" s="31" t="s">
        <v>7115</v>
      </c>
      <c r="C1752" s="31" t="s">
        <v>7116</v>
      </c>
      <c r="D1752" s="31" t="s">
        <v>1920</v>
      </c>
      <c r="E1752" s="61" t="b">
        <v>1</v>
      </c>
      <c r="F1752" s="107" t="s">
        <v>7117</v>
      </c>
      <c r="G1752" s="116" t="str">
        <f>HYPERLINK("http://nsgreg.nga.mil/genc/view?v=201486&amp;end_month=3&amp;end_day=31&amp;end_year=2014","Maluku Utara")</f>
        <v>Maluku Utara</v>
      </c>
      <c r="H1752" s="87" t="str">
        <f>HYPERLINK("http://api.nsgreg.nga.mil/geo-division/GENC/6/ed2/ID-MU","ID-MU")</f>
        <v>ID-MU</v>
      </c>
    </row>
    <row r="1753" spans="1:8" x14ac:dyDescent="0.2">
      <c r="A1753" s="157"/>
      <c r="B1753" s="31" t="s">
        <v>7118</v>
      </c>
      <c r="C1753" s="31" t="s">
        <v>7119</v>
      </c>
      <c r="D1753" s="98" t="s">
        <v>7072</v>
      </c>
      <c r="E1753" s="99" t="b">
        <v>0</v>
      </c>
      <c r="F1753" s="106" t="s">
        <v>7120</v>
      </c>
      <c r="G1753" s="116" t="str">
        <f>HYPERLINK("http://nsgreg.nga.mil/genc/view?v=113890&amp;gencs=T&amp;end_month=3&amp;end_day=31&amp;end_year=2014","Nusa Tenggara")</f>
        <v>Nusa Tenggara</v>
      </c>
      <c r="H1753" s="87" t="str">
        <f>HYPERLINK("http://api.nsgreg.nga.mil/geo-division/ISO3166-2/6/ed3/ID-NU","ID-NU")</f>
        <v>ID-NU</v>
      </c>
    </row>
    <row r="1754" spans="1:8" x14ac:dyDescent="0.2">
      <c r="A1754" s="157"/>
      <c r="B1754" s="31" t="s">
        <v>7121</v>
      </c>
      <c r="C1754" s="31" t="s">
        <v>7122</v>
      </c>
      <c r="D1754" s="31" t="s">
        <v>1920</v>
      </c>
      <c r="E1754" s="61" t="b">
        <v>1</v>
      </c>
      <c r="F1754" s="107" t="s">
        <v>7123</v>
      </c>
      <c r="G1754" s="116" t="str">
        <f>HYPERLINK("http://nsgreg.nga.mil/genc/view?v=201487&amp;end_month=3&amp;end_day=31&amp;end_year=2014","Nusa Tenggara Barat")</f>
        <v>Nusa Tenggara Barat</v>
      </c>
      <c r="H1754" s="87" t="str">
        <f>HYPERLINK("http://api.nsgreg.nga.mil/geo-division/GENC/6/ed2/ID-NB","ID-NB")</f>
        <v>ID-NB</v>
      </c>
    </row>
    <row r="1755" spans="1:8" x14ac:dyDescent="0.2">
      <c r="A1755" s="157"/>
      <c r="B1755" s="31" t="s">
        <v>7124</v>
      </c>
      <c r="C1755" s="31" t="s">
        <v>7125</v>
      </c>
      <c r="D1755" s="31" t="s">
        <v>1920</v>
      </c>
      <c r="E1755" s="61" t="b">
        <v>1</v>
      </c>
      <c r="F1755" s="107" t="s">
        <v>7126</v>
      </c>
      <c r="G1755" s="116" t="str">
        <f>HYPERLINK("http://nsgreg.nga.mil/genc/view?v=201488&amp;end_month=3&amp;end_day=31&amp;end_year=2014","Nusa Tenggara Timur")</f>
        <v>Nusa Tenggara Timur</v>
      </c>
      <c r="H1755" s="87" t="str">
        <f>HYPERLINK("http://api.nsgreg.nga.mil/geo-division/GENC/6/ed2/ID-NT","ID-NT")</f>
        <v>ID-NT</v>
      </c>
    </row>
    <row r="1756" spans="1:8" x14ac:dyDescent="0.2">
      <c r="A1756" s="157"/>
      <c r="B1756" s="31" t="s">
        <v>7127</v>
      </c>
      <c r="C1756" s="31" t="s">
        <v>7128</v>
      </c>
      <c r="D1756" s="98" t="s">
        <v>7072</v>
      </c>
      <c r="E1756" s="99" t="b">
        <v>0</v>
      </c>
      <c r="F1756" s="106" t="s">
        <v>7129</v>
      </c>
      <c r="G1756" s="116" t="str">
        <f>HYPERLINK("http://nsgreg.nga.mil/genc/view?v=113871&amp;gencs=T&amp;end_month=3&amp;end_day=31&amp;end_year=2014","Papua")</f>
        <v>Papua</v>
      </c>
      <c r="H1756" s="87" t="str">
        <f>HYPERLINK("http://api.nsgreg.nga.mil/geo-division/ISO3166-2/6/ed3/ID-IJ","ID-IJ")</f>
        <v>ID-IJ</v>
      </c>
    </row>
    <row r="1757" spans="1:8" x14ac:dyDescent="0.2">
      <c r="A1757" s="157"/>
      <c r="B1757" s="31" t="s">
        <v>7130</v>
      </c>
      <c r="C1757" s="31" t="s">
        <v>7128</v>
      </c>
      <c r="D1757" s="31" t="s">
        <v>1920</v>
      </c>
      <c r="E1757" s="61" t="b">
        <v>1</v>
      </c>
      <c r="F1757" s="107" t="s">
        <v>7131</v>
      </c>
      <c r="G1757" s="116" t="str">
        <f>HYPERLINK("http://nsgreg.nga.mil/genc/view?v=201489&amp;end_month=3&amp;end_day=31&amp;end_year=2014","Papua")</f>
        <v>Papua</v>
      </c>
      <c r="H1757" s="87" t="str">
        <f>HYPERLINK("http://api.nsgreg.nga.mil/geo-division/GENC/6/ed2/ID-PA","ID-PA")</f>
        <v>ID-PA</v>
      </c>
    </row>
    <row r="1758" spans="1:8" x14ac:dyDescent="0.2">
      <c r="A1758" s="157"/>
      <c r="B1758" s="31" t="s">
        <v>7132</v>
      </c>
      <c r="C1758" s="31" t="s">
        <v>7133</v>
      </c>
      <c r="D1758" s="31" t="s">
        <v>1920</v>
      </c>
      <c r="E1758" s="61" t="b">
        <v>1</v>
      </c>
      <c r="F1758" s="107" t="s">
        <v>7134</v>
      </c>
      <c r="G1758" s="116" t="str">
        <f>HYPERLINK("http://nsgreg.nga.mil/genc/view?v=201490&amp;end_month=3&amp;end_day=31&amp;end_year=2014","Papua Barat")</f>
        <v>Papua Barat</v>
      </c>
      <c r="H1758" s="87" t="str">
        <f>HYPERLINK("http://api.nsgreg.nga.mil/geo-division/GENC/6/ed2/ID-PB","ID-PB")</f>
        <v>ID-PB</v>
      </c>
    </row>
    <row r="1759" spans="1:8" x14ac:dyDescent="0.2">
      <c r="A1759" s="157"/>
      <c r="B1759" s="31" t="s">
        <v>7135</v>
      </c>
      <c r="C1759" s="31" t="s">
        <v>7136</v>
      </c>
      <c r="D1759" s="31" t="s">
        <v>1920</v>
      </c>
      <c r="E1759" s="61" t="b">
        <v>1</v>
      </c>
      <c r="F1759" s="107" t="s">
        <v>7137</v>
      </c>
      <c r="G1759" s="116" t="str">
        <f>HYPERLINK("http://nsgreg.nga.mil/genc/view?v=201491&amp;end_month=3&amp;end_day=31&amp;end_year=2014","Riau")</f>
        <v>Riau</v>
      </c>
      <c r="H1759" s="87" t="str">
        <f>HYPERLINK("http://api.nsgreg.nga.mil/geo-division/GENC/6/ed2/ID-RI","ID-RI")</f>
        <v>ID-RI</v>
      </c>
    </row>
    <row r="1760" spans="1:8" x14ac:dyDescent="0.2">
      <c r="A1760" s="157"/>
      <c r="B1760" s="31" t="s">
        <v>7138</v>
      </c>
      <c r="C1760" s="31" t="s">
        <v>7139</v>
      </c>
      <c r="D1760" s="98" t="s">
        <v>7072</v>
      </c>
      <c r="E1760" s="99" t="b">
        <v>0</v>
      </c>
      <c r="F1760" s="106" t="s">
        <v>7140</v>
      </c>
      <c r="G1760" s="116" t="str">
        <f>HYPERLINK("http://nsgreg.nga.mil/genc/view?v=113897&amp;gencs=T&amp;end_month=3&amp;end_day=31&amp;end_year=2014","Sulawesi")</f>
        <v>Sulawesi</v>
      </c>
      <c r="H1760" s="87" t="str">
        <f>HYPERLINK("http://api.nsgreg.nga.mil/geo-division/ISO3166-2/6/ed3/ID-SL","ID-SL")</f>
        <v>ID-SL</v>
      </c>
    </row>
    <row r="1761" spans="1:8" x14ac:dyDescent="0.2">
      <c r="A1761" s="157"/>
      <c r="B1761" s="31" t="s">
        <v>7141</v>
      </c>
      <c r="C1761" s="31" t="s">
        <v>7142</v>
      </c>
      <c r="D1761" s="31" t="s">
        <v>1920</v>
      </c>
      <c r="E1761" s="61" t="b">
        <v>1</v>
      </c>
      <c r="F1761" s="107" t="s">
        <v>7143</v>
      </c>
      <c r="G1761" s="116" t="str">
        <f>HYPERLINK("http://nsgreg.nga.mil/genc/view?v=201496&amp;end_month=3&amp;end_day=31&amp;end_year=2014","Sulawesi Barat")</f>
        <v>Sulawesi Barat</v>
      </c>
      <c r="H1761" s="87" t="str">
        <f>HYPERLINK("http://api.nsgreg.nga.mil/geo-division/GENC/6/ed2/ID-SR","ID-SR")</f>
        <v>ID-SR</v>
      </c>
    </row>
    <row r="1762" spans="1:8" x14ac:dyDescent="0.2">
      <c r="A1762" s="157"/>
      <c r="B1762" s="31" t="s">
        <v>7144</v>
      </c>
      <c r="C1762" s="31" t="s">
        <v>7145</v>
      </c>
      <c r="D1762" s="31" t="s">
        <v>1920</v>
      </c>
      <c r="E1762" s="61" t="b">
        <v>1</v>
      </c>
      <c r="F1762" s="107" t="s">
        <v>7146</v>
      </c>
      <c r="G1762" s="116" t="str">
        <f>HYPERLINK("http://nsgreg.nga.mil/genc/view?v=201495&amp;end_month=3&amp;end_day=31&amp;end_year=2014","Sulawesi Selatan")</f>
        <v>Sulawesi Selatan</v>
      </c>
      <c r="H1762" s="87" t="str">
        <f>HYPERLINK("http://api.nsgreg.nga.mil/geo-division/GENC/6/ed2/ID-SN","ID-SN")</f>
        <v>ID-SN</v>
      </c>
    </row>
    <row r="1763" spans="1:8" x14ac:dyDescent="0.2">
      <c r="A1763" s="157"/>
      <c r="B1763" s="31" t="s">
        <v>7147</v>
      </c>
      <c r="C1763" s="31" t="s">
        <v>7148</v>
      </c>
      <c r="D1763" s="31" t="s">
        <v>1920</v>
      </c>
      <c r="E1763" s="61" t="b">
        <v>1</v>
      </c>
      <c r="F1763" s="107" t="s">
        <v>7149</v>
      </c>
      <c r="G1763" s="116" t="str">
        <f>HYPERLINK("http://nsgreg.nga.mil/genc/view?v=201498&amp;end_month=3&amp;end_day=31&amp;end_year=2014","Sulawesi Tengah")</f>
        <v>Sulawesi Tengah</v>
      </c>
      <c r="H1763" s="87" t="str">
        <f>HYPERLINK("http://api.nsgreg.nga.mil/geo-division/GENC/6/ed2/ID-ST","ID-ST")</f>
        <v>ID-ST</v>
      </c>
    </row>
    <row r="1764" spans="1:8" x14ac:dyDescent="0.2">
      <c r="A1764" s="157"/>
      <c r="B1764" s="31" t="s">
        <v>7150</v>
      </c>
      <c r="C1764" s="31" t="s">
        <v>7151</v>
      </c>
      <c r="D1764" s="31" t="s">
        <v>1920</v>
      </c>
      <c r="E1764" s="61" t="b">
        <v>1</v>
      </c>
      <c r="F1764" s="107" t="s">
        <v>7152</v>
      </c>
      <c r="G1764" s="116" t="str">
        <f>HYPERLINK("http://nsgreg.nga.mil/genc/view?v=201494&amp;end_month=3&amp;end_day=31&amp;end_year=2014","Sulawesi Tenggara")</f>
        <v>Sulawesi Tenggara</v>
      </c>
      <c r="H1764" s="87" t="str">
        <f>HYPERLINK("http://api.nsgreg.nga.mil/geo-division/GENC/6/ed2/ID-SG","ID-SG")</f>
        <v>ID-SG</v>
      </c>
    </row>
    <row r="1765" spans="1:8" x14ac:dyDescent="0.2">
      <c r="A1765" s="157"/>
      <c r="B1765" s="31" t="s">
        <v>7153</v>
      </c>
      <c r="C1765" s="31" t="s">
        <v>7154</v>
      </c>
      <c r="D1765" s="31" t="s">
        <v>1920</v>
      </c>
      <c r="E1765" s="61" t="b">
        <v>1</v>
      </c>
      <c r="F1765" s="107" t="s">
        <v>7155</v>
      </c>
      <c r="G1765" s="116" t="str">
        <f>HYPERLINK("http://nsgreg.nga.mil/genc/view?v=201492&amp;end_month=3&amp;end_day=31&amp;end_year=2014","Sulawesi Utara")</f>
        <v>Sulawesi Utara</v>
      </c>
      <c r="H1765" s="87" t="str">
        <f>HYPERLINK("http://api.nsgreg.nga.mil/geo-division/GENC/6/ed2/ID-SA","ID-SA")</f>
        <v>ID-SA</v>
      </c>
    </row>
    <row r="1766" spans="1:8" x14ac:dyDescent="0.2">
      <c r="A1766" s="157"/>
      <c r="B1766" s="31" t="s">
        <v>7156</v>
      </c>
      <c r="C1766" s="31" t="s">
        <v>7157</v>
      </c>
      <c r="D1766" s="98" t="s">
        <v>7072</v>
      </c>
      <c r="E1766" s="99" t="b">
        <v>0</v>
      </c>
      <c r="F1766" s="106" t="s">
        <v>7158</v>
      </c>
      <c r="G1766" s="116" t="str">
        <f>HYPERLINK("http://nsgreg.nga.mil/genc/view?v=113898&amp;gencs=T&amp;end_month=3&amp;end_day=31&amp;end_year=2014","Sumatera")</f>
        <v>Sumatera</v>
      </c>
      <c r="H1766" s="87" t="str">
        <f>HYPERLINK("http://api.nsgreg.nga.mil/geo-division/ISO3166-2/6/ed3/ID-SM","ID-SM")</f>
        <v>ID-SM</v>
      </c>
    </row>
    <row r="1767" spans="1:8" x14ac:dyDescent="0.2">
      <c r="A1767" s="157"/>
      <c r="B1767" s="31" t="s">
        <v>7159</v>
      </c>
      <c r="C1767" s="31" t="s">
        <v>7160</v>
      </c>
      <c r="D1767" s="31" t="s">
        <v>1920</v>
      </c>
      <c r="E1767" s="61" t="b">
        <v>1</v>
      </c>
      <c r="F1767" s="107" t="s">
        <v>7161</v>
      </c>
      <c r="G1767" s="116" t="str">
        <f>HYPERLINK("http://nsgreg.nga.mil/genc/view?v=201493&amp;end_month=3&amp;end_day=31&amp;end_year=2014","Sumatera Barat")</f>
        <v>Sumatera Barat</v>
      </c>
      <c r="H1767" s="87" t="str">
        <f>HYPERLINK("http://api.nsgreg.nga.mil/geo-division/GENC/6/ed2/ID-SB","ID-SB")</f>
        <v>ID-SB</v>
      </c>
    </row>
    <row r="1768" spans="1:8" x14ac:dyDescent="0.2">
      <c r="A1768" s="157"/>
      <c r="B1768" s="31" t="s">
        <v>7162</v>
      </c>
      <c r="C1768" s="31" t="s">
        <v>7163</v>
      </c>
      <c r="D1768" s="31" t="s">
        <v>1920</v>
      </c>
      <c r="E1768" s="61" t="b">
        <v>1</v>
      </c>
      <c r="F1768" s="107" t="s">
        <v>7164</v>
      </c>
      <c r="G1768" s="116" t="str">
        <f>HYPERLINK("http://nsgreg.nga.mil/genc/view?v=201497&amp;end_month=3&amp;end_day=31&amp;end_year=2014","Sumatera Selatan")</f>
        <v>Sumatera Selatan</v>
      </c>
      <c r="H1768" s="87" t="str">
        <f>HYPERLINK("http://api.nsgreg.nga.mil/geo-division/GENC/6/ed2/ID-SS","ID-SS")</f>
        <v>ID-SS</v>
      </c>
    </row>
    <row r="1769" spans="1:8" x14ac:dyDescent="0.2">
      <c r="A1769" s="157"/>
      <c r="B1769" s="31" t="s">
        <v>7165</v>
      </c>
      <c r="C1769" s="31" t="s">
        <v>7166</v>
      </c>
      <c r="D1769" s="31" t="s">
        <v>1920</v>
      </c>
      <c r="E1769" s="61" t="b">
        <v>1</v>
      </c>
      <c r="F1769" s="107" t="s">
        <v>7167</v>
      </c>
      <c r="G1769" s="116" t="str">
        <f>HYPERLINK("http://nsgreg.nga.mil/genc/view?v=201499&amp;end_month=3&amp;end_day=31&amp;end_year=2014","Sumatera Utara")</f>
        <v>Sumatera Utara</v>
      </c>
      <c r="H1769" s="87" t="str">
        <f>HYPERLINK("http://api.nsgreg.nga.mil/geo-division/GENC/6/ed2/ID-SU","ID-SU")</f>
        <v>ID-SU</v>
      </c>
    </row>
    <row r="1770" spans="1:8" x14ac:dyDescent="0.2">
      <c r="A1770" s="158"/>
      <c r="B1770" s="58" t="s">
        <v>7168</v>
      </c>
      <c r="C1770" s="58" t="s">
        <v>7169</v>
      </c>
      <c r="D1770" s="58" t="s">
        <v>7049</v>
      </c>
      <c r="E1770" s="62" t="b">
        <v>1</v>
      </c>
      <c r="F1770" s="108" t="s">
        <v>7170</v>
      </c>
      <c r="G1770" s="117" t="str">
        <f>HYPERLINK("http://nsgreg.nga.mil/genc/view?v=113904&amp;gencs=T&amp;end_month=3&amp;end_day=31&amp;end_year=2014","Yogyakarta")</f>
        <v>Yogyakarta</v>
      </c>
      <c r="H1770" s="89" t="str">
        <f>HYPERLINK("http://api.nsgreg.nga.mil/geo-division/ISO3166-2/6/ed3/ID-YO","ID-YO")</f>
        <v>ID-YO</v>
      </c>
    </row>
    <row r="1771" spans="1:8" x14ac:dyDescent="0.2">
      <c r="A1771" s="156" t="str">
        <f>HYPERLINK("[#]Geopolitical_Entities!A126:I126","IRAN")</f>
        <v>IRAN</v>
      </c>
      <c r="B1771" s="52" t="s">
        <v>7171</v>
      </c>
      <c r="C1771" s="52" t="s">
        <v>7172</v>
      </c>
      <c r="D1771" s="52" t="s">
        <v>1920</v>
      </c>
      <c r="E1771" s="60" t="b">
        <v>1</v>
      </c>
      <c r="F1771" s="110" t="s">
        <v>7173</v>
      </c>
      <c r="G1771" s="118" t="str">
        <f>HYPERLINK("http://nsgreg.nga.mil/genc/view?v=201545&amp;end_month=3&amp;end_day=31&amp;end_year=2014","Alborz")</f>
        <v>Alborz</v>
      </c>
      <c r="H1771" s="91" t="str">
        <f>HYPERLINK("http://api.nsgreg.nga.mil/geo-division/GENC/6/ed2/IR-32","IR-32")</f>
        <v>IR-32</v>
      </c>
    </row>
    <row r="1772" spans="1:8" x14ac:dyDescent="0.2">
      <c r="A1772" s="157"/>
      <c r="B1772" s="31" t="s">
        <v>7174</v>
      </c>
      <c r="C1772" s="31" t="s">
        <v>7175</v>
      </c>
      <c r="D1772" s="31" t="s">
        <v>1920</v>
      </c>
      <c r="E1772" s="61" t="b">
        <v>1</v>
      </c>
      <c r="F1772" s="106" t="s">
        <v>7176</v>
      </c>
      <c r="G1772" s="116" t="str">
        <f>HYPERLINK("http://nsgreg.nga.mil/genc/view?v=113996&amp;gencs=T&amp;end_month=3&amp;end_day=31&amp;end_year=2014","Ardabīl")</f>
        <v>Ardabīl</v>
      </c>
      <c r="H1772" s="87" t="str">
        <f>HYPERLINK("http://api.nsgreg.nga.mil/geo-division/ISO3166-2/6/ed3/IR-03","IR-03")</f>
        <v>IR-03</v>
      </c>
    </row>
    <row r="1773" spans="1:8" x14ac:dyDescent="0.2">
      <c r="A1773" s="157"/>
      <c r="B1773" s="31" t="s">
        <v>7177</v>
      </c>
      <c r="C1773" s="31" t="s">
        <v>7178</v>
      </c>
      <c r="D1773" s="31" t="s">
        <v>1920</v>
      </c>
      <c r="E1773" s="61" t="b">
        <v>1</v>
      </c>
      <c r="F1773" s="106" t="s">
        <v>7179</v>
      </c>
      <c r="G1773" s="116" t="str">
        <f>HYPERLINK("http://nsgreg.nga.mil/genc/view?v=113995&amp;gencs=T&amp;end_month=3&amp;end_day=31&amp;end_year=2014","Āz̄arbāyjān-e Gharbī")</f>
        <v>Āz̄arbāyjān-e Gharbī</v>
      </c>
      <c r="H1773" s="87" t="str">
        <f>HYPERLINK("http://api.nsgreg.nga.mil/geo-division/ISO3166-2/6/ed3/IR-02","IR-02")</f>
        <v>IR-02</v>
      </c>
    </row>
    <row r="1774" spans="1:8" x14ac:dyDescent="0.2">
      <c r="A1774" s="157"/>
      <c r="B1774" s="31" t="s">
        <v>7180</v>
      </c>
      <c r="C1774" s="31" t="s">
        <v>7181</v>
      </c>
      <c r="D1774" s="31" t="s">
        <v>1920</v>
      </c>
      <c r="E1774" s="61" t="b">
        <v>1</v>
      </c>
      <c r="F1774" s="106" t="s">
        <v>7182</v>
      </c>
      <c r="G1774" s="116" t="str">
        <f>HYPERLINK("http://nsgreg.nga.mil/genc/view?v=113994&amp;gencs=T&amp;end_month=3&amp;end_day=31&amp;end_year=2014","Āz̄arbāyjān-e Sharqī")</f>
        <v>Āz̄arbāyjān-e Sharqī</v>
      </c>
      <c r="H1774" s="87" t="str">
        <f>HYPERLINK("http://api.nsgreg.nga.mil/geo-division/ISO3166-2/6/ed3/IR-01","IR-01")</f>
        <v>IR-01</v>
      </c>
    </row>
    <row r="1775" spans="1:8" x14ac:dyDescent="0.2">
      <c r="A1775" s="157"/>
      <c r="B1775" s="31" t="s">
        <v>7183</v>
      </c>
      <c r="C1775" s="31" t="s">
        <v>7184</v>
      </c>
      <c r="D1775" s="31" t="s">
        <v>1920</v>
      </c>
      <c r="E1775" s="61" t="b">
        <v>1</v>
      </c>
      <c r="F1775" s="106" t="s">
        <v>7185</v>
      </c>
      <c r="G1775" s="116" t="str">
        <f>HYPERLINK("http://nsgreg.nga.mil/genc/view?v=113999&amp;gencs=T&amp;end_month=3&amp;end_day=31&amp;end_year=2014","Būshehr")</f>
        <v>Būshehr</v>
      </c>
      <c r="H1775" s="87" t="str">
        <f>HYPERLINK("http://api.nsgreg.nga.mil/geo-division/ISO3166-2/6/ed3/IR-06","IR-06")</f>
        <v>IR-06</v>
      </c>
    </row>
    <row r="1776" spans="1:8" x14ac:dyDescent="0.2">
      <c r="A1776" s="157"/>
      <c r="B1776" s="31" t="s">
        <v>7186</v>
      </c>
      <c r="C1776" s="31" t="s">
        <v>7187</v>
      </c>
      <c r="D1776" s="31" t="s">
        <v>1920</v>
      </c>
      <c r="E1776" s="61" t="b">
        <v>1</v>
      </c>
      <c r="F1776" s="107" t="s">
        <v>7188</v>
      </c>
      <c r="G1776" s="116" t="str">
        <f>HYPERLINK("http://nsgreg.nga.mil/genc/view?v=201542&amp;end_month=3&amp;end_day=31&amp;end_year=2014","Chahār Maḩāl va Bakhtīārī")</f>
        <v>Chahār Maḩāl va Bakhtīārī</v>
      </c>
      <c r="H1776" s="87" t="str">
        <f>HYPERLINK("http://api.nsgreg.nga.mil/geo-division/GENC/6/ed2/IR-08","IR-08")</f>
        <v>IR-08</v>
      </c>
    </row>
    <row r="1777" spans="1:8" x14ac:dyDescent="0.2">
      <c r="A1777" s="157"/>
      <c r="B1777" s="31" t="s">
        <v>7189</v>
      </c>
      <c r="C1777" s="31" t="s">
        <v>7190</v>
      </c>
      <c r="D1777" s="31" t="s">
        <v>1920</v>
      </c>
      <c r="E1777" s="61" t="b">
        <v>1</v>
      </c>
      <c r="F1777" s="106" t="s">
        <v>7191</v>
      </c>
      <c r="G1777" s="116" t="str">
        <f>HYPERLINK("http://nsgreg.nga.mil/genc/view?v=113997&amp;gencs=T&amp;end_month=3&amp;end_day=31&amp;end_year=2014","Eşfahān")</f>
        <v>Eşfahān</v>
      </c>
      <c r="H1777" s="87" t="str">
        <f>HYPERLINK("http://api.nsgreg.nga.mil/geo-division/ISO3166-2/6/ed3/IR-04","IR-04")</f>
        <v>IR-04</v>
      </c>
    </row>
    <row r="1778" spans="1:8" x14ac:dyDescent="0.2">
      <c r="A1778" s="157"/>
      <c r="B1778" s="31" t="s">
        <v>7192</v>
      </c>
      <c r="C1778" s="31" t="s">
        <v>7193</v>
      </c>
      <c r="D1778" s="31" t="s">
        <v>1920</v>
      </c>
      <c r="E1778" s="61" t="b">
        <v>1</v>
      </c>
      <c r="F1778" s="106" t="s">
        <v>7194</v>
      </c>
      <c r="G1778" s="116" t="str">
        <f>HYPERLINK("http://nsgreg.nga.mil/genc/view?v=114006&amp;gencs=T&amp;end_month=3&amp;end_day=31&amp;end_year=2014","Fārs")</f>
        <v>Fārs</v>
      </c>
      <c r="H1778" s="87" t="str">
        <f>HYPERLINK("http://api.nsgreg.nga.mil/geo-division/ISO3166-2/6/ed3/IR-14","IR-14")</f>
        <v>IR-14</v>
      </c>
    </row>
    <row r="1779" spans="1:8" x14ac:dyDescent="0.2">
      <c r="A1779" s="157"/>
      <c r="B1779" s="31" t="s">
        <v>7195</v>
      </c>
      <c r="C1779" s="31" t="s">
        <v>7196</v>
      </c>
      <c r="D1779" s="31" t="s">
        <v>1920</v>
      </c>
      <c r="E1779" s="61" t="b">
        <v>1</v>
      </c>
      <c r="F1779" s="106" t="s">
        <v>7197</v>
      </c>
      <c r="G1779" s="116" t="str">
        <f>HYPERLINK("http://nsgreg.nga.mil/genc/view?v=114011&amp;gencs=T&amp;end_month=3&amp;end_day=31&amp;end_year=2014","Gīlān")</f>
        <v>Gīlān</v>
      </c>
      <c r="H1779" s="87" t="str">
        <f>HYPERLINK("http://api.nsgreg.nga.mil/geo-division/ISO3166-2/6/ed3/IR-19","IR-19")</f>
        <v>IR-19</v>
      </c>
    </row>
    <row r="1780" spans="1:8" x14ac:dyDescent="0.2">
      <c r="A1780" s="157"/>
      <c r="B1780" s="31" t="s">
        <v>7198</v>
      </c>
      <c r="C1780" s="31" t="s">
        <v>7199</v>
      </c>
      <c r="D1780" s="31" t="s">
        <v>1920</v>
      </c>
      <c r="E1780" s="61" t="b">
        <v>1</v>
      </c>
      <c r="F1780" s="106" t="s">
        <v>7200</v>
      </c>
      <c r="G1780" s="116" t="str">
        <f>HYPERLINK("http://nsgreg.nga.mil/genc/view?v=114019&amp;gencs=T&amp;end_month=3&amp;end_day=31&amp;end_year=2014","Golestān")</f>
        <v>Golestān</v>
      </c>
      <c r="H1780" s="87" t="str">
        <f>HYPERLINK("http://api.nsgreg.nga.mil/geo-division/ISO3166-2/6/ed3/IR-27","IR-27")</f>
        <v>IR-27</v>
      </c>
    </row>
    <row r="1781" spans="1:8" x14ac:dyDescent="0.2">
      <c r="A1781" s="157"/>
      <c r="B1781" s="31" t="s">
        <v>7201</v>
      </c>
      <c r="C1781" s="31" t="s">
        <v>7202</v>
      </c>
      <c r="D1781" s="31" t="s">
        <v>1920</v>
      </c>
      <c r="E1781" s="61" t="b">
        <v>1</v>
      </c>
      <c r="F1781" s="106" t="s">
        <v>7203</v>
      </c>
      <c r="G1781" s="116" t="str">
        <f>HYPERLINK("http://nsgreg.nga.mil/genc/view?v=114016&amp;gencs=T&amp;end_month=3&amp;end_day=31&amp;end_year=2014","Hamadān")</f>
        <v>Hamadān</v>
      </c>
      <c r="H1781" s="87" t="str">
        <f>HYPERLINK("http://api.nsgreg.nga.mil/geo-division/ISO3166-2/6/ed3/IR-24","IR-24")</f>
        <v>IR-24</v>
      </c>
    </row>
    <row r="1782" spans="1:8" x14ac:dyDescent="0.2">
      <c r="A1782" s="157"/>
      <c r="B1782" s="31" t="s">
        <v>7204</v>
      </c>
      <c r="C1782" s="31" t="s">
        <v>7205</v>
      </c>
      <c r="D1782" s="31" t="s">
        <v>1920</v>
      </c>
      <c r="E1782" s="61" t="b">
        <v>1</v>
      </c>
      <c r="F1782" s="106" t="s">
        <v>7206</v>
      </c>
      <c r="G1782" s="116" t="str">
        <f>HYPERLINK("http://nsgreg.nga.mil/genc/view?v=114015&amp;gencs=T&amp;end_month=3&amp;end_day=31&amp;end_year=2014","Hormozgān")</f>
        <v>Hormozgān</v>
      </c>
      <c r="H1782" s="87" t="str">
        <f>HYPERLINK("http://api.nsgreg.nga.mil/geo-division/ISO3166-2/6/ed3/IR-23","IR-23")</f>
        <v>IR-23</v>
      </c>
    </row>
    <row r="1783" spans="1:8" x14ac:dyDescent="0.2">
      <c r="A1783" s="157"/>
      <c r="B1783" s="31" t="s">
        <v>7207</v>
      </c>
      <c r="C1783" s="31" t="s">
        <v>7208</v>
      </c>
      <c r="D1783" s="31" t="s">
        <v>1920</v>
      </c>
      <c r="E1783" s="61" t="b">
        <v>1</v>
      </c>
      <c r="F1783" s="106" t="s">
        <v>7209</v>
      </c>
      <c r="G1783" s="116" t="str">
        <f>HYPERLINK("http://nsgreg.nga.mil/genc/view?v=113998&amp;gencs=T&amp;end_month=3&amp;end_day=31&amp;end_year=2014","Īlām")</f>
        <v>Īlām</v>
      </c>
      <c r="H1783" s="87" t="str">
        <f>HYPERLINK("http://api.nsgreg.nga.mil/geo-division/ISO3166-2/6/ed3/IR-05","IR-05")</f>
        <v>IR-05</v>
      </c>
    </row>
    <row r="1784" spans="1:8" x14ac:dyDescent="0.2">
      <c r="A1784" s="157"/>
      <c r="B1784" s="31" t="s">
        <v>7210</v>
      </c>
      <c r="C1784" s="31" t="s">
        <v>7211</v>
      </c>
      <c r="D1784" s="31" t="s">
        <v>1920</v>
      </c>
      <c r="E1784" s="61" t="b">
        <v>1</v>
      </c>
      <c r="F1784" s="106" t="s">
        <v>7212</v>
      </c>
      <c r="G1784" s="116" t="str">
        <f>HYPERLINK("http://nsgreg.nga.mil/genc/view?v=114007&amp;gencs=T&amp;end_month=3&amp;end_day=31&amp;end_year=2014","Kermān")</f>
        <v>Kermān</v>
      </c>
      <c r="H1784" s="87" t="str">
        <f>HYPERLINK("http://api.nsgreg.nga.mil/geo-division/ISO3166-2/6/ed3/IR-15","IR-15")</f>
        <v>IR-15</v>
      </c>
    </row>
    <row r="1785" spans="1:8" x14ac:dyDescent="0.2">
      <c r="A1785" s="157"/>
      <c r="B1785" s="31" t="s">
        <v>7213</v>
      </c>
      <c r="C1785" s="31" t="s">
        <v>7214</v>
      </c>
      <c r="D1785" s="31" t="s">
        <v>1920</v>
      </c>
      <c r="E1785" s="61" t="b">
        <v>1</v>
      </c>
      <c r="F1785" s="106" t="s">
        <v>7215</v>
      </c>
      <c r="G1785" s="116" t="str">
        <f>HYPERLINK("http://nsgreg.nga.mil/genc/view?v=114009&amp;gencs=T&amp;end_month=3&amp;end_day=31&amp;end_year=2014","Kermānshāh")</f>
        <v>Kermānshāh</v>
      </c>
      <c r="H1785" s="87" t="str">
        <f>HYPERLINK("http://api.nsgreg.nga.mil/geo-division/ISO3166-2/6/ed3/IR-17","IR-17")</f>
        <v>IR-17</v>
      </c>
    </row>
    <row r="1786" spans="1:8" x14ac:dyDescent="0.2">
      <c r="A1786" s="157"/>
      <c r="B1786" s="31" t="s">
        <v>7216</v>
      </c>
      <c r="C1786" s="31" t="s">
        <v>7217</v>
      </c>
      <c r="D1786" s="31" t="s">
        <v>1920</v>
      </c>
      <c r="E1786" s="61" t="b">
        <v>1</v>
      </c>
      <c r="F1786" s="107" t="s">
        <v>7218</v>
      </c>
      <c r="G1786" s="116" t="str">
        <f>HYPERLINK("http://nsgreg.nga.mil/genc/view?v=201543&amp;end_month=3&amp;end_day=31&amp;end_year=2014","Khorāsān-e Jonūbī")</f>
        <v>Khorāsān-e Jonūbī</v>
      </c>
      <c r="H1786" s="87" t="str">
        <f>HYPERLINK("http://api.nsgreg.nga.mil/geo-division/GENC/6/ed2/IR-29","IR-29")</f>
        <v>IR-29</v>
      </c>
    </row>
    <row r="1787" spans="1:8" x14ac:dyDescent="0.2">
      <c r="A1787" s="157"/>
      <c r="B1787" s="31" t="s">
        <v>7219</v>
      </c>
      <c r="C1787" s="31" t="s">
        <v>7220</v>
      </c>
      <c r="D1787" s="31" t="s">
        <v>1920</v>
      </c>
      <c r="E1787" s="61" t="b">
        <v>1</v>
      </c>
      <c r="F1787" s="107" t="s">
        <v>7221</v>
      </c>
      <c r="G1787" s="116" t="str">
        <f>HYPERLINK("http://nsgreg.nga.mil/genc/view?v=203399&amp;end_month=3&amp;end_day=31&amp;end_year=2014","Khorāsān-e Raẕavī")</f>
        <v>Khorāsān-e Raẕavī</v>
      </c>
      <c r="H1787" s="87" t="str">
        <f>HYPERLINK("http://api.nsgreg.nga.mil/geo-division/GENC/6/ed2/IR-30","IR-30")</f>
        <v>IR-30</v>
      </c>
    </row>
    <row r="1788" spans="1:8" x14ac:dyDescent="0.2">
      <c r="A1788" s="157"/>
      <c r="B1788" s="31" t="s">
        <v>7222</v>
      </c>
      <c r="C1788" s="31" t="s">
        <v>7223</v>
      </c>
      <c r="D1788" s="31" t="s">
        <v>1920</v>
      </c>
      <c r="E1788" s="61" t="b">
        <v>1</v>
      </c>
      <c r="F1788" s="107" t="s">
        <v>7224</v>
      </c>
      <c r="G1788" s="116" t="str">
        <f>HYPERLINK("http://nsgreg.nga.mil/genc/view?v=201544&amp;end_month=3&amp;end_day=31&amp;end_year=2014","Khorāsān-e Shomālī")</f>
        <v>Khorāsān-e Shomālī</v>
      </c>
      <c r="H1788" s="87" t="str">
        <f>HYPERLINK("http://api.nsgreg.nga.mil/geo-division/GENC/6/ed2/IR-31","IR-31")</f>
        <v>IR-31</v>
      </c>
    </row>
    <row r="1789" spans="1:8" x14ac:dyDescent="0.2">
      <c r="A1789" s="157"/>
      <c r="B1789" s="31" t="s">
        <v>7225</v>
      </c>
      <c r="C1789" s="31" t="s">
        <v>7226</v>
      </c>
      <c r="D1789" s="31" t="s">
        <v>1920</v>
      </c>
      <c r="E1789" s="61" t="b">
        <v>1</v>
      </c>
      <c r="F1789" s="106" t="s">
        <v>7227</v>
      </c>
      <c r="G1789" s="116" t="str">
        <f>HYPERLINK("http://nsgreg.nga.mil/genc/view?v=114002&amp;gencs=T&amp;end_month=3&amp;end_day=31&amp;end_year=2014","Khūzestān")</f>
        <v>Khūzestān</v>
      </c>
      <c r="H1789" s="87" t="str">
        <f>HYPERLINK("http://api.nsgreg.nga.mil/geo-division/ISO3166-2/6/ed3/IR-10","IR-10")</f>
        <v>IR-10</v>
      </c>
    </row>
    <row r="1790" spans="1:8" x14ac:dyDescent="0.2">
      <c r="A1790" s="157"/>
      <c r="B1790" s="31" t="s">
        <v>7228</v>
      </c>
      <c r="C1790" s="31" t="s">
        <v>7229</v>
      </c>
      <c r="D1790" s="31" t="s">
        <v>1920</v>
      </c>
      <c r="E1790" s="61" t="b">
        <v>1</v>
      </c>
      <c r="F1790" s="107" t="s">
        <v>7230</v>
      </c>
      <c r="G1790" s="116" t="str">
        <f>HYPERLINK("http://nsgreg.nga.mil/genc/view?v=204510&amp;end_month=3&amp;end_day=31&amp;end_year=2014","Kohgīlūyeh va Bowyer Aḩmad")</f>
        <v>Kohgīlūyeh va Bowyer Aḩmad</v>
      </c>
      <c r="H1790" s="87" t="str">
        <f>HYPERLINK("http://api.nsgreg.nga.mil/geo-division/GENC/6/ed2/IR-18","IR-18")</f>
        <v>IR-18</v>
      </c>
    </row>
    <row r="1791" spans="1:8" x14ac:dyDescent="0.2">
      <c r="A1791" s="157"/>
      <c r="B1791" s="31" t="s">
        <v>7231</v>
      </c>
      <c r="C1791" s="31" t="s">
        <v>7232</v>
      </c>
      <c r="D1791" s="31" t="s">
        <v>1920</v>
      </c>
      <c r="E1791" s="61" t="b">
        <v>1</v>
      </c>
      <c r="F1791" s="106" t="s">
        <v>7233</v>
      </c>
      <c r="G1791" s="116" t="str">
        <f>HYPERLINK("http://nsgreg.nga.mil/genc/view?v=114008&amp;gencs=T&amp;end_month=3&amp;end_day=31&amp;end_year=2014","Kordestān")</f>
        <v>Kordestān</v>
      </c>
      <c r="H1791" s="87" t="str">
        <f>HYPERLINK("http://api.nsgreg.nga.mil/geo-division/ISO3166-2/6/ed3/IR-16","IR-16")</f>
        <v>IR-16</v>
      </c>
    </row>
    <row r="1792" spans="1:8" x14ac:dyDescent="0.2">
      <c r="A1792" s="157"/>
      <c r="B1792" s="31" t="s">
        <v>7234</v>
      </c>
      <c r="C1792" s="31" t="s">
        <v>7235</v>
      </c>
      <c r="D1792" s="31" t="s">
        <v>1920</v>
      </c>
      <c r="E1792" s="61" t="b">
        <v>1</v>
      </c>
      <c r="F1792" s="106" t="s">
        <v>7236</v>
      </c>
      <c r="G1792" s="116" t="str">
        <f>HYPERLINK("http://nsgreg.nga.mil/genc/view?v=114012&amp;gencs=T&amp;end_month=3&amp;end_day=31&amp;end_year=2014","Lorestān")</f>
        <v>Lorestān</v>
      </c>
      <c r="H1792" s="87" t="str">
        <f>HYPERLINK("http://api.nsgreg.nga.mil/geo-division/ISO3166-2/6/ed3/IR-20","IR-20")</f>
        <v>IR-20</v>
      </c>
    </row>
    <row r="1793" spans="1:8" x14ac:dyDescent="0.2">
      <c r="A1793" s="157"/>
      <c r="B1793" s="31" t="s">
        <v>7237</v>
      </c>
      <c r="C1793" s="31" t="s">
        <v>7238</v>
      </c>
      <c r="D1793" s="31" t="s">
        <v>1920</v>
      </c>
      <c r="E1793" s="61" t="b">
        <v>1</v>
      </c>
      <c r="F1793" s="106" t="s">
        <v>7239</v>
      </c>
      <c r="G1793" s="116" t="str">
        <f>HYPERLINK("http://nsgreg.nga.mil/genc/view?v=114014&amp;gencs=T&amp;end_month=3&amp;end_day=31&amp;end_year=2014","Markazī")</f>
        <v>Markazī</v>
      </c>
      <c r="H1793" s="87" t="str">
        <f>HYPERLINK("http://api.nsgreg.nga.mil/geo-division/ISO3166-2/6/ed3/IR-22","IR-22")</f>
        <v>IR-22</v>
      </c>
    </row>
    <row r="1794" spans="1:8" x14ac:dyDescent="0.2">
      <c r="A1794" s="157"/>
      <c r="B1794" s="31" t="s">
        <v>7240</v>
      </c>
      <c r="C1794" s="31" t="s">
        <v>7241</v>
      </c>
      <c r="D1794" s="31" t="s">
        <v>1920</v>
      </c>
      <c r="E1794" s="61" t="b">
        <v>1</v>
      </c>
      <c r="F1794" s="106" t="s">
        <v>7242</v>
      </c>
      <c r="G1794" s="116" t="str">
        <f>HYPERLINK("http://nsgreg.nga.mil/genc/view?v=114013&amp;gencs=T&amp;end_month=3&amp;end_day=31&amp;end_year=2014","Māzandarān")</f>
        <v>Māzandarān</v>
      </c>
      <c r="H1794" s="87" t="str">
        <f>HYPERLINK("http://api.nsgreg.nga.mil/geo-division/ISO3166-2/6/ed3/IR-21","IR-21")</f>
        <v>IR-21</v>
      </c>
    </row>
    <row r="1795" spans="1:8" x14ac:dyDescent="0.2">
      <c r="A1795" s="157"/>
      <c r="B1795" s="31" t="s">
        <v>7243</v>
      </c>
      <c r="C1795" s="31" t="s">
        <v>7244</v>
      </c>
      <c r="D1795" s="31" t="s">
        <v>1920</v>
      </c>
      <c r="E1795" s="61" t="b">
        <v>1</v>
      </c>
      <c r="F1795" s="106" t="s">
        <v>7245</v>
      </c>
      <c r="G1795" s="116" t="str">
        <f>HYPERLINK("http://nsgreg.nga.mil/genc/view?v=114020&amp;gencs=T&amp;end_month=3&amp;end_day=31&amp;end_year=2014","Qazvīn")</f>
        <v>Qazvīn</v>
      </c>
      <c r="H1795" s="87" t="str">
        <f>HYPERLINK("http://api.nsgreg.nga.mil/geo-division/ISO3166-2/6/ed3/IR-28","IR-28")</f>
        <v>IR-28</v>
      </c>
    </row>
    <row r="1796" spans="1:8" x14ac:dyDescent="0.2">
      <c r="A1796" s="157"/>
      <c r="B1796" s="31" t="s">
        <v>7246</v>
      </c>
      <c r="C1796" s="31" t="s">
        <v>7247</v>
      </c>
      <c r="D1796" s="31" t="s">
        <v>1920</v>
      </c>
      <c r="E1796" s="61" t="b">
        <v>1</v>
      </c>
      <c r="F1796" s="106" t="s">
        <v>7248</v>
      </c>
      <c r="G1796" s="116" t="str">
        <f>HYPERLINK("http://nsgreg.nga.mil/genc/view?v=114018&amp;gencs=T&amp;end_month=3&amp;end_day=31&amp;end_year=2014","Qom")</f>
        <v>Qom</v>
      </c>
      <c r="H1796" s="87" t="str">
        <f>HYPERLINK("http://api.nsgreg.nga.mil/geo-division/ISO3166-2/6/ed3/IR-26","IR-26")</f>
        <v>IR-26</v>
      </c>
    </row>
    <row r="1797" spans="1:8" x14ac:dyDescent="0.2">
      <c r="A1797" s="157"/>
      <c r="B1797" s="31" t="s">
        <v>7249</v>
      </c>
      <c r="C1797" s="31" t="s">
        <v>7250</v>
      </c>
      <c r="D1797" s="31" t="s">
        <v>1920</v>
      </c>
      <c r="E1797" s="61" t="b">
        <v>1</v>
      </c>
      <c r="F1797" s="106" t="s">
        <v>7251</v>
      </c>
      <c r="G1797" s="116" t="str">
        <f>HYPERLINK("http://nsgreg.nga.mil/genc/view?v=114004&amp;gencs=T&amp;end_month=3&amp;end_day=31&amp;end_year=2014","Semnān")</f>
        <v>Semnān</v>
      </c>
      <c r="H1797" s="87" t="str">
        <f>HYPERLINK("http://api.nsgreg.nga.mil/geo-division/ISO3166-2/6/ed3/IR-12","IR-12")</f>
        <v>IR-12</v>
      </c>
    </row>
    <row r="1798" spans="1:8" x14ac:dyDescent="0.2">
      <c r="A1798" s="157"/>
      <c r="B1798" s="31" t="s">
        <v>7252</v>
      </c>
      <c r="C1798" s="31" t="s">
        <v>7253</v>
      </c>
      <c r="D1798" s="31" t="s">
        <v>1920</v>
      </c>
      <c r="E1798" s="61" t="b">
        <v>1</v>
      </c>
      <c r="F1798" s="106" t="s">
        <v>7254</v>
      </c>
      <c r="G1798" s="116" t="str">
        <f>HYPERLINK("http://nsgreg.nga.mil/genc/view?v=114005&amp;gencs=T&amp;end_month=3&amp;end_day=31&amp;end_year=2014","Sīstān va Balūchestān")</f>
        <v>Sīstān va Balūchestān</v>
      </c>
      <c r="H1798" s="87" t="str">
        <f>HYPERLINK("http://api.nsgreg.nga.mil/geo-division/ISO3166-2/6/ed3/IR-13","IR-13")</f>
        <v>IR-13</v>
      </c>
    </row>
    <row r="1799" spans="1:8" x14ac:dyDescent="0.2">
      <c r="A1799" s="157"/>
      <c r="B1799" s="31" t="s">
        <v>7255</v>
      </c>
      <c r="C1799" s="31" t="s">
        <v>7256</v>
      </c>
      <c r="D1799" s="31" t="s">
        <v>1920</v>
      </c>
      <c r="E1799" s="61" t="b">
        <v>1</v>
      </c>
      <c r="F1799" s="106" t="s">
        <v>7257</v>
      </c>
      <c r="G1799" s="116" t="str">
        <f>HYPERLINK("http://nsgreg.nga.mil/genc/view?v=114000&amp;gencs=T&amp;end_month=3&amp;end_day=31&amp;end_year=2014","Tehrān")</f>
        <v>Tehrān</v>
      </c>
      <c r="H1799" s="87" t="str">
        <f>HYPERLINK("http://api.nsgreg.nga.mil/geo-division/ISO3166-2/6/ed3/IR-07","IR-07")</f>
        <v>IR-07</v>
      </c>
    </row>
    <row r="1800" spans="1:8" x14ac:dyDescent="0.2">
      <c r="A1800" s="157"/>
      <c r="B1800" s="31" t="s">
        <v>7258</v>
      </c>
      <c r="C1800" s="31" t="s">
        <v>7259</v>
      </c>
      <c r="D1800" s="31" t="s">
        <v>1920</v>
      </c>
      <c r="E1800" s="61" t="b">
        <v>1</v>
      </c>
      <c r="F1800" s="106" t="s">
        <v>7260</v>
      </c>
      <c r="G1800" s="116" t="str">
        <f>HYPERLINK("http://nsgreg.nga.mil/genc/view?v=114017&amp;gencs=T&amp;end_month=3&amp;end_day=31&amp;end_year=2014","Yazd")</f>
        <v>Yazd</v>
      </c>
      <c r="H1800" s="87" t="str">
        <f>HYPERLINK("http://api.nsgreg.nga.mil/geo-division/ISO3166-2/6/ed3/IR-25","IR-25")</f>
        <v>IR-25</v>
      </c>
    </row>
    <row r="1801" spans="1:8" x14ac:dyDescent="0.2">
      <c r="A1801" s="158"/>
      <c r="B1801" s="58" t="s">
        <v>7261</v>
      </c>
      <c r="C1801" s="58" t="s">
        <v>7262</v>
      </c>
      <c r="D1801" s="58" t="s">
        <v>1920</v>
      </c>
      <c r="E1801" s="62" t="b">
        <v>1</v>
      </c>
      <c r="F1801" s="108" t="s">
        <v>7263</v>
      </c>
      <c r="G1801" s="117" t="str">
        <f>HYPERLINK("http://nsgreg.nga.mil/genc/view?v=114003&amp;gencs=T&amp;end_month=3&amp;end_day=31&amp;end_year=2014","Zanjān")</f>
        <v>Zanjān</v>
      </c>
      <c r="H1801" s="89" t="str">
        <f>HYPERLINK("http://api.nsgreg.nga.mil/geo-division/ISO3166-2/6/ed3/IR-11","IR-11")</f>
        <v>IR-11</v>
      </c>
    </row>
    <row r="1802" spans="1:8" x14ac:dyDescent="0.2">
      <c r="A1802" s="156" t="str">
        <f>HYPERLINK("[#]Geopolitical_Entities!A127:I127","IRAQ")</f>
        <v>IRAQ</v>
      </c>
      <c r="B1802" s="52" t="s">
        <v>7264</v>
      </c>
      <c r="C1802" s="52" t="s">
        <v>7265</v>
      </c>
      <c r="D1802" s="52" t="s">
        <v>2885</v>
      </c>
      <c r="E1802" s="60" t="b">
        <v>1</v>
      </c>
      <c r="F1802" s="109" t="s">
        <v>7266</v>
      </c>
      <c r="G1802" s="118" t="str">
        <f>HYPERLINK("http://nsgreg.nga.mil/genc/view?v=113976&amp;gencs=T&amp;end_month=3&amp;end_day=31&amp;end_year=2014","Al Anbār")</f>
        <v>Al Anbār</v>
      </c>
      <c r="H1802" s="91" t="str">
        <f>HYPERLINK("http://api.nsgreg.nga.mil/geo-division/ISO3166-2/6/ed3/IQ-AN","IQ-AN")</f>
        <v>IQ-AN</v>
      </c>
    </row>
    <row r="1803" spans="1:8" x14ac:dyDescent="0.2">
      <c r="A1803" s="157"/>
      <c r="B1803" s="31" t="s">
        <v>7267</v>
      </c>
      <c r="C1803" s="31" t="s">
        <v>7268</v>
      </c>
      <c r="D1803" s="31" t="s">
        <v>2885</v>
      </c>
      <c r="E1803" s="61" t="b">
        <v>1</v>
      </c>
      <c r="F1803" s="106" t="s">
        <v>7269</v>
      </c>
      <c r="G1803" s="116" t="str">
        <f>HYPERLINK("http://nsgreg.nga.mil/genc/view?v=113978&amp;gencs=T&amp;end_month=3&amp;end_day=31&amp;end_year=2014","Al Başrah")</f>
        <v>Al Başrah</v>
      </c>
      <c r="H1803" s="87" t="str">
        <f>HYPERLINK("http://api.nsgreg.nga.mil/geo-division/ISO3166-2/6/ed3/IQ-BA","IQ-BA")</f>
        <v>IQ-BA</v>
      </c>
    </row>
    <row r="1804" spans="1:8" x14ac:dyDescent="0.2">
      <c r="A1804" s="157"/>
      <c r="B1804" s="31" t="s">
        <v>7270</v>
      </c>
      <c r="C1804" s="31" t="s">
        <v>7271</v>
      </c>
      <c r="D1804" s="31" t="s">
        <v>2885</v>
      </c>
      <c r="E1804" s="61" t="b">
        <v>1</v>
      </c>
      <c r="F1804" s="106" t="s">
        <v>7272</v>
      </c>
      <c r="G1804" s="116" t="str">
        <f>HYPERLINK("http://nsgreg.nga.mil/genc/view?v=113986&amp;gencs=T&amp;end_month=3&amp;end_day=31&amp;end_year=2014","Al Muthanná")</f>
        <v>Al Muthanná</v>
      </c>
      <c r="H1804" s="87" t="str">
        <f>HYPERLINK("http://api.nsgreg.nga.mil/geo-division/ISO3166-2/6/ed3/IQ-MU","IQ-MU")</f>
        <v>IQ-MU</v>
      </c>
    </row>
    <row r="1805" spans="1:8" x14ac:dyDescent="0.2">
      <c r="A1805" s="157"/>
      <c r="B1805" s="31" t="s">
        <v>7273</v>
      </c>
      <c r="C1805" s="31" t="s">
        <v>7274</v>
      </c>
      <c r="D1805" s="31" t="s">
        <v>2885</v>
      </c>
      <c r="E1805" s="61" t="b">
        <v>1</v>
      </c>
      <c r="F1805" s="106" t="s">
        <v>7275</v>
      </c>
      <c r="G1805" s="116" t="str">
        <f>HYPERLINK("http://nsgreg.nga.mil/genc/view?v=113989&amp;gencs=T&amp;end_month=3&amp;end_day=31&amp;end_year=2014","Al Qādisīyah")</f>
        <v>Al Qādisīyah</v>
      </c>
      <c r="H1805" s="87" t="str">
        <f>HYPERLINK("http://api.nsgreg.nga.mil/geo-division/ISO3166-2/6/ed3/IQ-QA","IQ-QA")</f>
        <v>IQ-QA</v>
      </c>
    </row>
    <row r="1806" spans="1:8" x14ac:dyDescent="0.2">
      <c r="A1806" s="157"/>
      <c r="B1806" s="31" t="s">
        <v>7276</v>
      </c>
      <c r="C1806" s="31" t="s">
        <v>7277</v>
      </c>
      <c r="D1806" s="31" t="s">
        <v>2885</v>
      </c>
      <c r="E1806" s="61" t="b">
        <v>1</v>
      </c>
      <c r="F1806" s="106" t="s">
        <v>7278</v>
      </c>
      <c r="G1806" s="116" t="str">
        <f>HYPERLINK("http://nsgreg.nga.mil/genc/view?v=113987&amp;gencs=T&amp;end_month=3&amp;end_day=31&amp;end_year=2014","An Najaf")</f>
        <v>An Najaf</v>
      </c>
      <c r="H1806" s="87" t="str">
        <f>HYPERLINK("http://api.nsgreg.nga.mil/geo-division/ISO3166-2/6/ed3/IQ-NA","IQ-NA")</f>
        <v>IQ-NA</v>
      </c>
    </row>
    <row r="1807" spans="1:8" x14ac:dyDescent="0.2">
      <c r="A1807" s="157"/>
      <c r="B1807" s="31" t="s">
        <v>7279</v>
      </c>
      <c r="C1807" s="31" t="s">
        <v>7280</v>
      </c>
      <c r="D1807" s="31" t="s">
        <v>2885</v>
      </c>
      <c r="E1807" s="61" t="b">
        <v>1</v>
      </c>
      <c r="F1807" s="107" t="s">
        <v>7281</v>
      </c>
      <c r="G1807" s="116" t="str">
        <f>HYPERLINK("http://nsgreg.nga.mil/genc/view?v=201538&amp;end_month=3&amp;end_day=31&amp;end_year=2014","Arbīl")</f>
        <v>Arbīl</v>
      </c>
      <c r="H1807" s="87" t="str">
        <f>HYPERLINK("http://api.nsgreg.nga.mil/geo-division/GENC/6/ed2/IQ-AR","IQ-AR")</f>
        <v>IQ-AR</v>
      </c>
    </row>
    <row r="1808" spans="1:8" x14ac:dyDescent="0.2">
      <c r="A1808" s="157"/>
      <c r="B1808" s="31" t="s">
        <v>7282</v>
      </c>
      <c r="C1808" s="31" t="s">
        <v>7283</v>
      </c>
      <c r="D1808" s="31" t="s">
        <v>2885</v>
      </c>
      <c r="E1808" s="61" t="b">
        <v>1</v>
      </c>
      <c r="F1808" s="107" t="s">
        <v>7284</v>
      </c>
      <c r="G1808" s="116" t="str">
        <f>HYPERLINK("http://nsgreg.nga.mil/genc/view?v=201540&amp;end_month=3&amp;end_day=31&amp;end_year=2014","As Sulaymānīyah")</f>
        <v>As Sulaymānīyah</v>
      </c>
      <c r="H1808" s="87" t="str">
        <f>HYPERLINK("http://api.nsgreg.nga.mil/geo-division/GENC/6/ed2/IQ-SU","IQ-SU")</f>
        <v>IQ-SU</v>
      </c>
    </row>
    <row r="1809" spans="1:8" x14ac:dyDescent="0.2">
      <c r="A1809" s="157"/>
      <c r="B1809" s="31" t="s">
        <v>7285</v>
      </c>
      <c r="C1809" s="31" t="s">
        <v>7286</v>
      </c>
      <c r="D1809" s="31" t="s">
        <v>2885</v>
      </c>
      <c r="E1809" s="61" t="b">
        <v>1</v>
      </c>
      <c r="F1809" s="106" t="s">
        <v>7287</v>
      </c>
      <c r="G1809" s="116" t="str">
        <f>HYPERLINK("http://nsgreg.nga.mil/genc/view?v=113979&amp;gencs=T&amp;end_month=3&amp;end_day=31&amp;end_year=2014","Bābil")</f>
        <v>Bābil</v>
      </c>
      <c r="H1809" s="87" t="str">
        <f>HYPERLINK("http://api.nsgreg.nga.mil/geo-division/ISO3166-2/6/ed3/IQ-BB","IQ-BB")</f>
        <v>IQ-BB</v>
      </c>
    </row>
    <row r="1810" spans="1:8" x14ac:dyDescent="0.2">
      <c r="A1810" s="157"/>
      <c r="B1810" s="31" t="s">
        <v>7288</v>
      </c>
      <c r="C1810" s="31" t="s">
        <v>7289</v>
      </c>
      <c r="D1810" s="31" t="s">
        <v>2885</v>
      </c>
      <c r="E1810" s="61" t="b">
        <v>1</v>
      </c>
      <c r="F1810" s="106" t="s">
        <v>7290</v>
      </c>
      <c r="G1810" s="116" t="str">
        <f>HYPERLINK("http://nsgreg.nga.mil/genc/view?v=113980&amp;gencs=T&amp;end_month=3&amp;end_day=31&amp;end_year=2014","Baghdād")</f>
        <v>Baghdād</v>
      </c>
      <c r="H1810" s="87" t="str">
        <f>HYPERLINK("http://api.nsgreg.nga.mil/geo-division/ISO3166-2/6/ed3/IQ-BG","IQ-BG")</f>
        <v>IQ-BG</v>
      </c>
    </row>
    <row r="1811" spans="1:8" x14ac:dyDescent="0.2">
      <c r="A1811" s="157"/>
      <c r="B1811" s="31" t="s">
        <v>7291</v>
      </c>
      <c r="C1811" s="31" t="s">
        <v>7292</v>
      </c>
      <c r="D1811" s="31" t="s">
        <v>2885</v>
      </c>
      <c r="E1811" s="61" t="b">
        <v>1</v>
      </c>
      <c r="F1811" s="107" t="s">
        <v>7293</v>
      </c>
      <c r="G1811" s="116" t="str">
        <f>HYPERLINK("http://nsgreg.nga.mil/genc/view?v=201539&amp;end_month=3&amp;end_day=31&amp;end_year=2014","Dahūk")</f>
        <v>Dahūk</v>
      </c>
      <c r="H1811" s="87" t="str">
        <f>HYPERLINK("http://api.nsgreg.nga.mil/geo-division/GENC/6/ed2/IQ-DA","IQ-DA")</f>
        <v>IQ-DA</v>
      </c>
    </row>
    <row r="1812" spans="1:8" x14ac:dyDescent="0.2">
      <c r="A1812" s="157"/>
      <c r="B1812" s="31" t="s">
        <v>7294</v>
      </c>
      <c r="C1812" s="31" t="s">
        <v>7295</v>
      </c>
      <c r="D1812" s="31" t="s">
        <v>2885</v>
      </c>
      <c r="E1812" s="61" t="b">
        <v>1</v>
      </c>
      <c r="F1812" s="106" t="s">
        <v>7296</v>
      </c>
      <c r="G1812" s="116" t="str">
        <f>HYPERLINK("http://nsgreg.nga.mil/genc/view?v=113983&amp;gencs=T&amp;end_month=3&amp;end_day=31&amp;end_year=2014","Dhī Qār")</f>
        <v>Dhī Qār</v>
      </c>
      <c r="H1812" s="87" t="str">
        <f>HYPERLINK("http://api.nsgreg.nga.mil/geo-division/ISO3166-2/6/ed3/IQ-DQ","IQ-DQ")</f>
        <v>IQ-DQ</v>
      </c>
    </row>
    <row r="1813" spans="1:8" x14ac:dyDescent="0.2">
      <c r="A1813" s="157"/>
      <c r="B1813" s="31" t="s">
        <v>7297</v>
      </c>
      <c r="C1813" s="31" t="s">
        <v>7298</v>
      </c>
      <c r="D1813" s="31" t="s">
        <v>2885</v>
      </c>
      <c r="E1813" s="61" t="b">
        <v>1</v>
      </c>
      <c r="F1813" s="106" t="s">
        <v>7299</v>
      </c>
      <c r="G1813" s="116" t="str">
        <f>HYPERLINK("http://nsgreg.nga.mil/genc/view?v=113982&amp;gencs=T&amp;end_month=3&amp;end_day=31&amp;end_year=2014","Diyālá")</f>
        <v>Diyālá</v>
      </c>
      <c r="H1813" s="87" t="str">
        <f>HYPERLINK("http://api.nsgreg.nga.mil/geo-division/ISO3166-2/6/ed3/IQ-DI","IQ-DI")</f>
        <v>IQ-DI</v>
      </c>
    </row>
    <row r="1814" spans="1:8" x14ac:dyDescent="0.2">
      <c r="A1814" s="157"/>
      <c r="B1814" s="31" t="s">
        <v>7300</v>
      </c>
      <c r="C1814" s="31" t="s">
        <v>7301</v>
      </c>
      <c r="D1814" s="31" t="s">
        <v>2885</v>
      </c>
      <c r="E1814" s="61" t="b">
        <v>1</v>
      </c>
      <c r="F1814" s="106" t="s">
        <v>7302</v>
      </c>
      <c r="G1814" s="116" t="str">
        <f>HYPERLINK("http://nsgreg.nga.mil/genc/view?v=113984&amp;gencs=T&amp;end_month=3&amp;end_day=31&amp;end_year=2014","Karbalā’")</f>
        <v>Karbalā’</v>
      </c>
      <c r="H1814" s="87" t="str">
        <f>HYPERLINK("http://api.nsgreg.nga.mil/geo-division/ISO3166-2/6/ed3/IQ-KA","IQ-KA")</f>
        <v>IQ-KA</v>
      </c>
    </row>
    <row r="1815" spans="1:8" x14ac:dyDescent="0.2">
      <c r="A1815" s="157"/>
      <c r="B1815" s="31" t="s">
        <v>7303</v>
      </c>
      <c r="C1815" s="31" t="s">
        <v>7304</v>
      </c>
      <c r="D1815" s="31" t="s">
        <v>2885</v>
      </c>
      <c r="E1815" s="61" t="b">
        <v>1</v>
      </c>
      <c r="F1815" s="107" t="s">
        <v>7305</v>
      </c>
      <c r="G1815" s="116" t="str">
        <f>HYPERLINK("http://nsgreg.nga.mil/genc/view?v=201541&amp;end_month=3&amp;end_day=31&amp;end_year=2014","Kirkūk")</f>
        <v>Kirkūk</v>
      </c>
      <c r="H1815" s="87" t="str">
        <f>HYPERLINK("http://api.nsgreg.nga.mil/geo-division/GENC/6/ed2/IQ-TS","IQ-TS")</f>
        <v>IQ-TS</v>
      </c>
    </row>
    <row r="1816" spans="1:8" x14ac:dyDescent="0.2">
      <c r="A1816" s="157"/>
      <c r="B1816" s="31" t="s">
        <v>7306</v>
      </c>
      <c r="C1816" s="31" t="s">
        <v>7307</v>
      </c>
      <c r="D1816" s="31" t="s">
        <v>2885</v>
      </c>
      <c r="E1816" s="61" t="b">
        <v>1</v>
      </c>
      <c r="F1816" s="106" t="s">
        <v>7308</v>
      </c>
      <c r="G1816" s="116" t="str">
        <f>HYPERLINK("http://nsgreg.nga.mil/genc/view?v=113985&amp;gencs=T&amp;end_month=3&amp;end_day=31&amp;end_year=2014","Maysān")</f>
        <v>Maysān</v>
      </c>
      <c r="H1816" s="87" t="str">
        <f>HYPERLINK("http://api.nsgreg.nga.mil/geo-division/ISO3166-2/6/ed3/IQ-MA","IQ-MA")</f>
        <v>IQ-MA</v>
      </c>
    </row>
    <row r="1817" spans="1:8" x14ac:dyDescent="0.2">
      <c r="A1817" s="157"/>
      <c r="B1817" s="31" t="s">
        <v>7309</v>
      </c>
      <c r="C1817" s="31" t="s">
        <v>7310</v>
      </c>
      <c r="D1817" s="31" t="s">
        <v>2885</v>
      </c>
      <c r="E1817" s="61" t="b">
        <v>1</v>
      </c>
      <c r="F1817" s="106" t="s">
        <v>7311</v>
      </c>
      <c r="G1817" s="116" t="str">
        <f>HYPERLINK("http://nsgreg.nga.mil/genc/view?v=113988&amp;gencs=T&amp;end_month=3&amp;end_day=31&amp;end_year=2014","Nīnawá")</f>
        <v>Nīnawá</v>
      </c>
      <c r="H1817" s="87" t="str">
        <f>HYPERLINK("http://api.nsgreg.nga.mil/geo-division/ISO3166-2/6/ed3/IQ-NI","IQ-NI")</f>
        <v>IQ-NI</v>
      </c>
    </row>
    <row r="1818" spans="1:8" x14ac:dyDescent="0.2">
      <c r="A1818" s="157"/>
      <c r="B1818" s="31" t="s">
        <v>7312</v>
      </c>
      <c r="C1818" s="31" t="s">
        <v>7313</v>
      </c>
      <c r="D1818" s="31" t="s">
        <v>2885</v>
      </c>
      <c r="E1818" s="61" t="b">
        <v>1</v>
      </c>
      <c r="F1818" s="106" t="s">
        <v>7314</v>
      </c>
      <c r="G1818" s="116" t="str">
        <f>HYPERLINK("http://nsgreg.nga.mil/genc/view?v=113990&amp;gencs=T&amp;end_month=3&amp;end_day=31&amp;end_year=2014","Şalāḩ ad Dīn")</f>
        <v>Şalāḩ ad Dīn</v>
      </c>
      <c r="H1818" s="87" t="str">
        <f>HYPERLINK("http://api.nsgreg.nga.mil/geo-division/ISO3166-2/6/ed3/IQ-SD","IQ-SD")</f>
        <v>IQ-SD</v>
      </c>
    </row>
    <row r="1819" spans="1:8" x14ac:dyDescent="0.2">
      <c r="A1819" s="158"/>
      <c r="B1819" s="58" t="s">
        <v>7315</v>
      </c>
      <c r="C1819" s="58" t="s">
        <v>7316</v>
      </c>
      <c r="D1819" s="58" t="s">
        <v>2885</v>
      </c>
      <c r="E1819" s="62" t="b">
        <v>1</v>
      </c>
      <c r="F1819" s="108" t="s">
        <v>7317</v>
      </c>
      <c r="G1819" s="117" t="str">
        <f>HYPERLINK("http://nsgreg.nga.mil/genc/view?v=113993&amp;gencs=T&amp;end_month=3&amp;end_day=31&amp;end_year=2014","Wāsiţ")</f>
        <v>Wāsiţ</v>
      </c>
      <c r="H1819" s="89" t="str">
        <f>HYPERLINK("http://api.nsgreg.nga.mil/geo-division/ISO3166-2/6/ed3/IQ-WA","IQ-WA")</f>
        <v>IQ-WA</v>
      </c>
    </row>
    <row r="1820" spans="1:8" x14ac:dyDescent="0.2">
      <c r="A1820" s="156" t="str">
        <f>HYPERLINK("[#]Geopolitical_Entities!A128:I128","IRELAND")</f>
        <v>IRELAND</v>
      </c>
      <c r="B1820" s="52" t="s">
        <v>7318</v>
      </c>
      <c r="C1820" s="52" t="s">
        <v>7319</v>
      </c>
      <c r="D1820" s="52" t="s">
        <v>2023</v>
      </c>
      <c r="E1820" s="60" t="b">
        <v>1</v>
      </c>
      <c r="F1820" s="109" t="s">
        <v>7320</v>
      </c>
      <c r="G1820" s="118" t="str">
        <f>HYPERLINK("http://nsgreg.nga.mil/genc/view?v=113909&amp;gencs=T&amp;end_month=3&amp;end_day=31&amp;end_year=2014","Carlow")</f>
        <v>Carlow</v>
      </c>
      <c r="H1820" s="91" t="str">
        <f>HYPERLINK("http://api.nsgreg.nga.mil/geo-division/ISO3166-2/6/ed3/IE-CW","IE-CW")</f>
        <v>IE-CW</v>
      </c>
    </row>
    <row r="1821" spans="1:8" x14ac:dyDescent="0.2">
      <c r="A1821" s="157"/>
      <c r="B1821" s="31" t="s">
        <v>7321</v>
      </c>
      <c r="C1821" s="31" t="s">
        <v>7322</v>
      </c>
      <c r="D1821" s="31" t="s">
        <v>2023</v>
      </c>
      <c r="E1821" s="61" t="b">
        <v>1</v>
      </c>
      <c r="F1821" s="106" t="s">
        <v>7323</v>
      </c>
      <c r="G1821" s="116" t="str">
        <f>HYPERLINK("http://nsgreg.nga.mil/genc/view?v=113907&amp;gencs=T&amp;end_month=3&amp;end_day=31&amp;end_year=2014","Cavan")</f>
        <v>Cavan</v>
      </c>
      <c r="H1821" s="87" t="str">
        <f>HYPERLINK("http://api.nsgreg.nga.mil/geo-division/ISO3166-2/6/ed3/IE-CN","IE-CN")</f>
        <v>IE-CN</v>
      </c>
    </row>
    <row r="1822" spans="1:8" x14ac:dyDescent="0.2">
      <c r="A1822" s="157"/>
      <c r="B1822" s="31" t="s">
        <v>7324</v>
      </c>
      <c r="C1822" s="31" t="s">
        <v>7325</v>
      </c>
      <c r="D1822" s="31" t="s">
        <v>2023</v>
      </c>
      <c r="E1822" s="61" t="b">
        <v>1</v>
      </c>
      <c r="F1822" s="106" t="s">
        <v>7326</v>
      </c>
      <c r="G1822" s="116" t="str">
        <f>HYPERLINK("http://nsgreg.nga.mil/genc/view?v=113906&amp;gencs=T&amp;end_month=3&amp;end_day=31&amp;end_year=2014","Clare")</f>
        <v>Clare</v>
      </c>
      <c r="H1822" s="87" t="str">
        <f>HYPERLINK("http://api.nsgreg.nga.mil/geo-division/ISO3166-2/6/ed3/IE-CE","IE-CE")</f>
        <v>IE-CE</v>
      </c>
    </row>
    <row r="1823" spans="1:8" x14ac:dyDescent="0.2">
      <c r="A1823" s="157"/>
      <c r="B1823" s="31" t="s">
        <v>7327</v>
      </c>
      <c r="C1823" s="31" t="s">
        <v>7328</v>
      </c>
      <c r="D1823" s="98" t="s">
        <v>1920</v>
      </c>
      <c r="E1823" s="99" t="b">
        <v>0</v>
      </c>
      <c r="F1823" s="106" t="s">
        <v>7329</v>
      </c>
      <c r="G1823" s="116" t="str">
        <f>HYPERLINK("http://nsgreg.nga.mil/genc/view?v=113905&amp;gencs=T&amp;end_month=3&amp;end_day=31&amp;end_year=2014","Connaught")</f>
        <v>Connaught</v>
      </c>
      <c r="H1823" s="87" t="str">
        <f>HYPERLINK("http://api.nsgreg.nga.mil/geo-division/ISO3166-2/6/ed3/IE-C","IE-C")</f>
        <v>IE-C</v>
      </c>
    </row>
    <row r="1824" spans="1:8" x14ac:dyDescent="0.2">
      <c r="A1824" s="157"/>
      <c r="B1824" s="31" t="s">
        <v>7330</v>
      </c>
      <c r="C1824" s="31" t="s">
        <v>7331</v>
      </c>
      <c r="D1824" s="31" t="s">
        <v>2405</v>
      </c>
      <c r="E1824" s="61" t="b">
        <v>1</v>
      </c>
      <c r="F1824" s="107" t="s">
        <v>7332</v>
      </c>
      <c r="G1824" s="116" t="str">
        <f>HYPERLINK("http://nsgreg.nga.mil/genc/view?v=201500&amp;end_month=3&amp;end_day=31&amp;end_year=2014","Cork")</f>
        <v>Cork</v>
      </c>
      <c r="H1824" s="87" t="str">
        <f>HYPERLINK("http://api.nsgreg.nga.mil/geo-division/GENC/6/ed2/IE-CR","IE-CR")</f>
        <v>IE-CR</v>
      </c>
    </row>
    <row r="1825" spans="1:8" x14ac:dyDescent="0.2">
      <c r="A1825" s="157"/>
      <c r="B1825" s="31" t="s">
        <v>7333</v>
      </c>
      <c r="C1825" s="31" t="s">
        <v>7331</v>
      </c>
      <c r="D1825" s="31" t="s">
        <v>2023</v>
      </c>
      <c r="E1825" s="61" t="b">
        <v>1</v>
      </c>
      <c r="F1825" s="106" t="s">
        <v>7334</v>
      </c>
      <c r="G1825" s="116" t="str">
        <f>HYPERLINK("http://nsgreg.nga.mil/genc/view?v=113908&amp;gencs=T&amp;end_month=3&amp;end_day=31&amp;end_year=2014","Cork")</f>
        <v>Cork</v>
      </c>
      <c r="H1825" s="87" t="str">
        <f>HYPERLINK("http://api.nsgreg.nga.mil/geo-division/ISO3166-2/6/ed3/IE-CO","IE-CO")</f>
        <v>IE-CO</v>
      </c>
    </row>
    <row r="1826" spans="1:8" x14ac:dyDescent="0.2">
      <c r="A1826" s="157"/>
      <c r="B1826" s="31" t="s">
        <v>7335</v>
      </c>
      <c r="C1826" s="31" t="s">
        <v>7336</v>
      </c>
      <c r="D1826" s="31" t="s">
        <v>2023</v>
      </c>
      <c r="E1826" s="61" t="b">
        <v>1</v>
      </c>
      <c r="F1826" s="106" t="s">
        <v>7337</v>
      </c>
      <c r="G1826" s="116" t="str">
        <f>HYPERLINK("http://nsgreg.nga.mil/genc/view?v=113911&amp;gencs=T&amp;end_month=3&amp;end_day=31&amp;end_year=2014","Donegal")</f>
        <v>Donegal</v>
      </c>
      <c r="H1826" s="87" t="str">
        <f>HYPERLINK("http://api.nsgreg.nga.mil/geo-division/ISO3166-2/6/ed3/IE-DL","IE-DL")</f>
        <v>IE-DL</v>
      </c>
    </row>
    <row r="1827" spans="1:8" x14ac:dyDescent="0.2">
      <c r="A1827" s="157"/>
      <c r="B1827" s="31" t="s">
        <v>7338</v>
      </c>
      <c r="C1827" s="31" t="s">
        <v>7339</v>
      </c>
      <c r="D1827" s="31" t="s">
        <v>2405</v>
      </c>
      <c r="E1827" s="61" t="b">
        <v>1</v>
      </c>
      <c r="F1827" s="107" t="s">
        <v>7340</v>
      </c>
      <c r="G1827" s="116" t="str">
        <f>HYPERLINK("http://nsgreg.nga.mil/genc/view?v=200135&amp;end_month=3&amp;end_day=31&amp;end_year=2014","Dublin")</f>
        <v>Dublin</v>
      </c>
      <c r="H1827" s="87" t="str">
        <f>HYPERLINK("http://api.nsgreg.nga.mil/geo-division/GENC/6/ed2/IE-DU","IE-DU")</f>
        <v>IE-DU</v>
      </c>
    </row>
    <row r="1828" spans="1:8" x14ac:dyDescent="0.2">
      <c r="A1828" s="157"/>
      <c r="B1828" s="31" t="s">
        <v>7341</v>
      </c>
      <c r="C1828" s="31" t="s">
        <v>7339</v>
      </c>
      <c r="D1828" s="98" t="s">
        <v>2023</v>
      </c>
      <c r="E1828" s="99" t="b">
        <v>0</v>
      </c>
      <c r="F1828" s="107" t="s">
        <v>7342</v>
      </c>
      <c r="G1828" s="116" t="str">
        <f>HYPERLINK("http://nsgreg.nga.mil/genc/view?v=203387&amp;end_month=3&amp;end_day=31&amp;end_year=2014","Dublin")</f>
        <v>Dublin</v>
      </c>
      <c r="H1828" s="87" t="str">
        <f>HYPERLINK("http://api.nsgreg.nga.mil/geo-division/GENC/6/ed2/IE-D","IE-D")</f>
        <v>IE-D</v>
      </c>
    </row>
    <row r="1829" spans="1:8" x14ac:dyDescent="0.2">
      <c r="A1829" s="157"/>
      <c r="B1829" s="31" t="s">
        <v>7343</v>
      </c>
      <c r="C1829" s="31" t="s">
        <v>7344</v>
      </c>
      <c r="D1829" s="31" t="s">
        <v>2023</v>
      </c>
      <c r="E1829" s="61" t="b">
        <v>1</v>
      </c>
      <c r="F1829" s="107" t="s">
        <v>7345</v>
      </c>
      <c r="G1829" s="116" t="str">
        <f>HYPERLINK("http://nsgreg.nga.mil/genc/view?v=201501&amp;end_month=3&amp;end_day=31&amp;end_year=2014","Dún Laoghaire-Rathdown")</f>
        <v>Dún Laoghaire-Rathdown</v>
      </c>
      <c r="H1829" s="87" t="str">
        <f>HYPERLINK("http://api.nsgreg.nga.mil/geo-division/GENC/6/ed2/IE-DR","IE-DR")</f>
        <v>IE-DR</v>
      </c>
    </row>
    <row r="1830" spans="1:8" x14ac:dyDescent="0.2">
      <c r="A1830" s="157"/>
      <c r="B1830" s="31" t="s">
        <v>7346</v>
      </c>
      <c r="C1830" s="31" t="s">
        <v>7347</v>
      </c>
      <c r="D1830" s="31" t="s">
        <v>2023</v>
      </c>
      <c r="E1830" s="61" t="b">
        <v>1</v>
      </c>
      <c r="F1830" s="107" t="s">
        <v>7348</v>
      </c>
      <c r="G1830" s="116" t="str">
        <f>HYPERLINK("http://nsgreg.nga.mil/genc/view?v=201502&amp;end_month=3&amp;end_day=31&amp;end_year=2014","Fingal")</f>
        <v>Fingal</v>
      </c>
      <c r="H1830" s="87" t="str">
        <f>HYPERLINK("http://api.nsgreg.nga.mil/geo-division/GENC/6/ed2/IE-FI","IE-FI")</f>
        <v>IE-FI</v>
      </c>
    </row>
    <row r="1831" spans="1:8" x14ac:dyDescent="0.2">
      <c r="A1831" s="157"/>
      <c r="B1831" s="31" t="s">
        <v>7349</v>
      </c>
      <c r="C1831" s="31" t="s">
        <v>7350</v>
      </c>
      <c r="D1831" s="31" t="s">
        <v>2405</v>
      </c>
      <c r="E1831" s="61" t="b">
        <v>1</v>
      </c>
      <c r="F1831" s="107" t="s">
        <v>7351</v>
      </c>
      <c r="G1831" s="116" t="str">
        <f>HYPERLINK("http://nsgreg.nga.mil/genc/view?v=201503&amp;end_month=3&amp;end_day=31&amp;end_year=2014","Galway")</f>
        <v>Galway</v>
      </c>
      <c r="H1831" s="87" t="str">
        <f>HYPERLINK("http://api.nsgreg.nga.mil/geo-division/GENC/6/ed2/IE-GA","IE-GA")</f>
        <v>IE-GA</v>
      </c>
    </row>
    <row r="1832" spans="1:8" x14ac:dyDescent="0.2">
      <c r="A1832" s="157"/>
      <c r="B1832" s="31" t="s">
        <v>7352</v>
      </c>
      <c r="C1832" s="31" t="s">
        <v>7350</v>
      </c>
      <c r="D1832" s="31" t="s">
        <v>2023</v>
      </c>
      <c r="E1832" s="61" t="b">
        <v>1</v>
      </c>
      <c r="F1832" s="106" t="s">
        <v>7353</v>
      </c>
      <c r="G1832" s="116" t="str">
        <f>HYPERLINK("http://nsgreg.nga.mil/genc/view?v=113912&amp;gencs=T&amp;end_month=3&amp;end_day=31&amp;end_year=2014","Galway")</f>
        <v>Galway</v>
      </c>
      <c r="H1832" s="87" t="str">
        <f>HYPERLINK("http://api.nsgreg.nga.mil/geo-division/ISO3166-2/6/ed3/IE-G","IE-G")</f>
        <v>IE-G</v>
      </c>
    </row>
    <row r="1833" spans="1:8" x14ac:dyDescent="0.2">
      <c r="A1833" s="157"/>
      <c r="B1833" s="31" t="s">
        <v>7354</v>
      </c>
      <c r="C1833" s="31" t="s">
        <v>7355</v>
      </c>
      <c r="D1833" s="31" t="s">
        <v>2023</v>
      </c>
      <c r="E1833" s="61" t="b">
        <v>1</v>
      </c>
      <c r="F1833" s="106" t="s">
        <v>7356</v>
      </c>
      <c r="G1833" s="116" t="str">
        <f>HYPERLINK("http://nsgreg.nga.mil/genc/view?v=113915&amp;gencs=T&amp;end_month=3&amp;end_day=31&amp;end_year=2014","Kerry")</f>
        <v>Kerry</v>
      </c>
      <c r="H1833" s="87" t="str">
        <f>HYPERLINK("http://api.nsgreg.nga.mil/geo-division/ISO3166-2/6/ed3/IE-KY","IE-KY")</f>
        <v>IE-KY</v>
      </c>
    </row>
    <row r="1834" spans="1:8" x14ac:dyDescent="0.2">
      <c r="A1834" s="157"/>
      <c r="B1834" s="31" t="s">
        <v>7357</v>
      </c>
      <c r="C1834" s="31" t="s">
        <v>7358</v>
      </c>
      <c r="D1834" s="31" t="s">
        <v>2023</v>
      </c>
      <c r="E1834" s="61" t="b">
        <v>1</v>
      </c>
      <c r="F1834" s="106" t="s">
        <v>7359</v>
      </c>
      <c r="G1834" s="116" t="str">
        <f>HYPERLINK("http://nsgreg.nga.mil/genc/view?v=113913&amp;gencs=T&amp;end_month=3&amp;end_day=31&amp;end_year=2014","Kildare")</f>
        <v>Kildare</v>
      </c>
      <c r="H1834" s="87" t="str">
        <f>HYPERLINK("http://api.nsgreg.nga.mil/geo-division/ISO3166-2/6/ed3/IE-KE","IE-KE")</f>
        <v>IE-KE</v>
      </c>
    </row>
    <row r="1835" spans="1:8" x14ac:dyDescent="0.2">
      <c r="A1835" s="157"/>
      <c r="B1835" s="31" t="s">
        <v>7360</v>
      </c>
      <c r="C1835" s="31" t="s">
        <v>7361</v>
      </c>
      <c r="D1835" s="31" t="s">
        <v>2023</v>
      </c>
      <c r="E1835" s="61" t="b">
        <v>1</v>
      </c>
      <c r="F1835" s="106" t="s">
        <v>7362</v>
      </c>
      <c r="G1835" s="116" t="str">
        <f>HYPERLINK("http://nsgreg.nga.mil/genc/view?v=113914&amp;gencs=T&amp;end_month=3&amp;end_day=31&amp;end_year=2014","Kilkenny")</f>
        <v>Kilkenny</v>
      </c>
      <c r="H1835" s="87" t="str">
        <f>HYPERLINK("http://api.nsgreg.nga.mil/geo-division/ISO3166-2/6/ed3/IE-KK","IE-KK")</f>
        <v>IE-KK</v>
      </c>
    </row>
    <row r="1836" spans="1:8" x14ac:dyDescent="0.2">
      <c r="A1836" s="157"/>
      <c r="B1836" s="31" t="s">
        <v>7363</v>
      </c>
      <c r="C1836" s="31" t="s">
        <v>7364</v>
      </c>
      <c r="D1836" s="31" t="s">
        <v>2023</v>
      </c>
      <c r="E1836" s="61" t="b">
        <v>1</v>
      </c>
      <c r="F1836" s="106" t="s">
        <v>7365</v>
      </c>
      <c r="G1836" s="116" t="str">
        <f>HYPERLINK("http://nsgreg.nga.mil/genc/view?v=113921&amp;gencs=T&amp;end_month=3&amp;end_day=31&amp;end_year=2014","Laois")</f>
        <v>Laois</v>
      </c>
      <c r="H1836" s="87" t="str">
        <f>HYPERLINK("http://api.nsgreg.nga.mil/geo-division/ISO3166-2/6/ed3/IE-LS","IE-LS")</f>
        <v>IE-LS</v>
      </c>
    </row>
    <row r="1837" spans="1:8" x14ac:dyDescent="0.2">
      <c r="A1837" s="157"/>
      <c r="B1837" s="31" t="s">
        <v>7366</v>
      </c>
      <c r="C1837" s="31" t="s">
        <v>7367</v>
      </c>
      <c r="D1837" s="98" t="s">
        <v>1920</v>
      </c>
      <c r="E1837" s="99" t="b">
        <v>0</v>
      </c>
      <c r="F1837" s="106" t="s">
        <v>7368</v>
      </c>
      <c r="G1837" s="116" t="str">
        <f>HYPERLINK("http://nsgreg.nga.mil/genc/view?v=113916&amp;gencs=T&amp;end_month=3&amp;end_day=31&amp;end_year=2014","Leinster")</f>
        <v>Leinster</v>
      </c>
      <c r="H1837" s="87" t="str">
        <f>HYPERLINK("http://api.nsgreg.nga.mil/geo-division/ISO3166-2/6/ed3/IE-L","IE-L")</f>
        <v>IE-L</v>
      </c>
    </row>
    <row r="1838" spans="1:8" x14ac:dyDescent="0.2">
      <c r="A1838" s="157"/>
      <c r="B1838" s="31" t="s">
        <v>7369</v>
      </c>
      <c r="C1838" s="31" t="s">
        <v>7370</v>
      </c>
      <c r="D1838" s="31" t="s">
        <v>2023</v>
      </c>
      <c r="E1838" s="61" t="b">
        <v>1</v>
      </c>
      <c r="F1838" s="106" t="s">
        <v>7371</v>
      </c>
      <c r="G1838" s="116" t="str">
        <f>HYPERLINK("http://nsgreg.nga.mil/genc/view?v=113920&amp;gencs=T&amp;end_month=3&amp;end_day=31&amp;end_year=2014","Leitrim")</f>
        <v>Leitrim</v>
      </c>
      <c r="H1838" s="87" t="str">
        <f>HYPERLINK("http://api.nsgreg.nga.mil/geo-division/ISO3166-2/6/ed3/IE-LM","IE-LM")</f>
        <v>IE-LM</v>
      </c>
    </row>
    <row r="1839" spans="1:8" x14ac:dyDescent="0.2">
      <c r="A1839" s="157"/>
      <c r="B1839" s="31" t="s">
        <v>7372</v>
      </c>
      <c r="C1839" s="31" t="s">
        <v>7373</v>
      </c>
      <c r="D1839" s="31" t="s">
        <v>2405</v>
      </c>
      <c r="E1839" s="61" t="b">
        <v>1</v>
      </c>
      <c r="F1839" s="107" t="s">
        <v>7374</v>
      </c>
      <c r="G1839" s="116" t="str">
        <f>HYPERLINK("http://nsgreg.nga.mil/genc/view?v=201504&amp;end_month=3&amp;end_day=31&amp;end_year=2014","Limerick")</f>
        <v>Limerick</v>
      </c>
      <c r="H1839" s="87" t="str">
        <f>HYPERLINK("http://api.nsgreg.nga.mil/geo-division/GENC/6/ed2/IE-LI","IE-LI")</f>
        <v>IE-LI</v>
      </c>
    </row>
    <row r="1840" spans="1:8" x14ac:dyDescent="0.2">
      <c r="A1840" s="157"/>
      <c r="B1840" s="31" t="s">
        <v>7375</v>
      </c>
      <c r="C1840" s="31" t="s">
        <v>7373</v>
      </c>
      <c r="D1840" s="31" t="s">
        <v>2023</v>
      </c>
      <c r="E1840" s="61" t="b">
        <v>1</v>
      </c>
      <c r="F1840" s="106" t="s">
        <v>7376</v>
      </c>
      <c r="G1840" s="116" t="str">
        <f>HYPERLINK("http://nsgreg.nga.mil/genc/view?v=113919&amp;gencs=T&amp;end_month=3&amp;end_day=31&amp;end_year=2014","Limerick")</f>
        <v>Limerick</v>
      </c>
      <c r="H1840" s="87" t="str">
        <f>HYPERLINK("http://api.nsgreg.nga.mil/geo-division/ISO3166-2/6/ed3/IE-LK","IE-LK")</f>
        <v>IE-LK</v>
      </c>
    </row>
    <row r="1841" spans="1:8" x14ac:dyDescent="0.2">
      <c r="A1841" s="157"/>
      <c r="B1841" s="31" t="s">
        <v>7377</v>
      </c>
      <c r="C1841" s="31" t="s">
        <v>7378</v>
      </c>
      <c r="D1841" s="31" t="s">
        <v>2023</v>
      </c>
      <c r="E1841" s="61" t="b">
        <v>1</v>
      </c>
      <c r="F1841" s="106" t="s">
        <v>7379</v>
      </c>
      <c r="G1841" s="116" t="str">
        <f>HYPERLINK("http://nsgreg.nga.mil/genc/view?v=113917&amp;gencs=T&amp;end_month=3&amp;end_day=31&amp;end_year=2014","Longford")</f>
        <v>Longford</v>
      </c>
      <c r="H1841" s="87" t="str">
        <f>HYPERLINK("http://api.nsgreg.nga.mil/geo-division/ISO3166-2/6/ed3/IE-LD","IE-LD")</f>
        <v>IE-LD</v>
      </c>
    </row>
    <row r="1842" spans="1:8" x14ac:dyDescent="0.2">
      <c r="A1842" s="157"/>
      <c r="B1842" s="31" t="s">
        <v>7380</v>
      </c>
      <c r="C1842" s="31" t="s">
        <v>7381</v>
      </c>
      <c r="D1842" s="31" t="s">
        <v>2023</v>
      </c>
      <c r="E1842" s="61" t="b">
        <v>1</v>
      </c>
      <c r="F1842" s="106" t="s">
        <v>7382</v>
      </c>
      <c r="G1842" s="116" t="str">
        <f>HYPERLINK("http://nsgreg.nga.mil/genc/view?v=113918&amp;gencs=T&amp;end_month=3&amp;end_day=31&amp;end_year=2014","Louth")</f>
        <v>Louth</v>
      </c>
      <c r="H1842" s="87" t="str">
        <f>HYPERLINK("http://api.nsgreg.nga.mil/geo-division/ISO3166-2/6/ed3/IE-LH","IE-LH")</f>
        <v>IE-LH</v>
      </c>
    </row>
    <row r="1843" spans="1:8" x14ac:dyDescent="0.2">
      <c r="A1843" s="157"/>
      <c r="B1843" s="31" t="s">
        <v>7383</v>
      </c>
      <c r="C1843" s="31" t="s">
        <v>7384</v>
      </c>
      <c r="D1843" s="31" t="s">
        <v>2023</v>
      </c>
      <c r="E1843" s="61" t="b">
        <v>1</v>
      </c>
      <c r="F1843" s="106" t="s">
        <v>7385</v>
      </c>
      <c r="G1843" s="116" t="str">
        <f>HYPERLINK("http://nsgreg.nga.mil/genc/view?v=113925&amp;gencs=T&amp;end_month=3&amp;end_day=31&amp;end_year=2014","Mayo")</f>
        <v>Mayo</v>
      </c>
      <c r="H1843" s="87" t="str">
        <f>HYPERLINK("http://api.nsgreg.nga.mil/geo-division/ISO3166-2/6/ed3/IE-MO","IE-MO")</f>
        <v>IE-MO</v>
      </c>
    </row>
    <row r="1844" spans="1:8" x14ac:dyDescent="0.2">
      <c r="A1844" s="157"/>
      <c r="B1844" s="31" t="s">
        <v>7386</v>
      </c>
      <c r="C1844" s="31" t="s">
        <v>7387</v>
      </c>
      <c r="D1844" s="31" t="s">
        <v>2023</v>
      </c>
      <c r="E1844" s="61" t="b">
        <v>1</v>
      </c>
      <c r="F1844" s="106" t="s">
        <v>7388</v>
      </c>
      <c r="G1844" s="116" t="str">
        <f>HYPERLINK("http://nsgreg.nga.mil/genc/view?v=113923&amp;gencs=T&amp;end_month=3&amp;end_day=31&amp;end_year=2014","Meath")</f>
        <v>Meath</v>
      </c>
      <c r="H1844" s="87" t="str">
        <f>HYPERLINK("http://api.nsgreg.nga.mil/geo-division/ISO3166-2/6/ed3/IE-MH","IE-MH")</f>
        <v>IE-MH</v>
      </c>
    </row>
    <row r="1845" spans="1:8" x14ac:dyDescent="0.2">
      <c r="A1845" s="157"/>
      <c r="B1845" s="31" t="s">
        <v>7389</v>
      </c>
      <c r="C1845" s="31" t="s">
        <v>7390</v>
      </c>
      <c r="D1845" s="31" t="s">
        <v>2023</v>
      </c>
      <c r="E1845" s="61" t="b">
        <v>1</v>
      </c>
      <c r="F1845" s="106" t="s">
        <v>7391</v>
      </c>
      <c r="G1845" s="116" t="str">
        <f>HYPERLINK("http://nsgreg.nga.mil/genc/view?v=113924&amp;gencs=T&amp;end_month=3&amp;end_day=31&amp;end_year=2014","Monaghan")</f>
        <v>Monaghan</v>
      </c>
      <c r="H1845" s="87" t="str">
        <f>HYPERLINK("http://api.nsgreg.nga.mil/geo-division/ISO3166-2/6/ed3/IE-MN","IE-MN")</f>
        <v>IE-MN</v>
      </c>
    </row>
    <row r="1846" spans="1:8" x14ac:dyDescent="0.2">
      <c r="A1846" s="157"/>
      <c r="B1846" s="31" t="s">
        <v>7392</v>
      </c>
      <c r="C1846" s="31" t="s">
        <v>7393</v>
      </c>
      <c r="D1846" s="98" t="s">
        <v>1920</v>
      </c>
      <c r="E1846" s="99" t="b">
        <v>0</v>
      </c>
      <c r="F1846" s="106" t="s">
        <v>7394</v>
      </c>
      <c r="G1846" s="116" t="str">
        <f>HYPERLINK("http://nsgreg.nga.mil/genc/view?v=113922&amp;gencs=T&amp;end_month=3&amp;end_day=31&amp;end_year=2014","Munster")</f>
        <v>Munster</v>
      </c>
      <c r="H1846" s="87" t="str">
        <f>HYPERLINK("http://api.nsgreg.nga.mil/geo-division/ISO3166-2/6/ed3/IE-M","IE-M")</f>
        <v>IE-M</v>
      </c>
    </row>
    <row r="1847" spans="1:8" x14ac:dyDescent="0.2">
      <c r="A1847" s="157"/>
      <c r="B1847" s="31" t="s">
        <v>7395</v>
      </c>
      <c r="C1847" s="31" t="s">
        <v>7396</v>
      </c>
      <c r="D1847" s="31" t="s">
        <v>2023</v>
      </c>
      <c r="E1847" s="61" t="b">
        <v>1</v>
      </c>
      <c r="F1847" s="107" t="s">
        <v>7397</v>
      </c>
      <c r="G1847" s="116" t="str">
        <f>HYPERLINK("http://nsgreg.nga.mil/genc/view?v=201505&amp;end_month=3&amp;end_day=31&amp;end_year=2014","North Tipperary")</f>
        <v>North Tipperary</v>
      </c>
      <c r="H1847" s="87" t="str">
        <f>HYPERLINK("http://api.nsgreg.nga.mil/geo-division/GENC/6/ed2/IE-NT","IE-NT")</f>
        <v>IE-NT</v>
      </c>
    </row>
    <row r="1848" spans="1:8" x14ac:dyDescent="0.2">
      <c r="A1848" s="157"/>
      <c r="B1848" s="31" t="s">
        <v>7398</v>
      </c>
      <c r="C1848" s="31" t="s">
        <v>7399</v>
      </c>
      <c r="D1848" s="31" t="s">
        <v>2023</v>
      </c>
      <c r="E1848" s="61" t="b">
        <v>1</v>
      </c>
      <c r="F1848" s="106" t="s">
        <v>7400</v>
      </c>
      <c r="G1848" s="116" t="str">
        <f>HYPERLINK("http://nsgreg.nga.mil/genc/view?v=113926&amp;gencs=T&amp;end_month=3&amp;end_day=31&amp;end_year=2014","Offaly")</f>
        <v>Offaly</v>
      </c>
      <c r="H1848" s="87" t="str">
        <f>HYPERLINK("http://api.nsgreg.nga.mil/geo-division/ISO3166-2/6/ed3/IE-OY","IE-OY")</f>
        <v>IE-OY</v>
      </c>
    </row>
    <row r="1849" spans="1:8" x14ac:dyDescent="0.2">
      <c r="A1849" s="157"/>
      <c r="B1849" s="31" t="s">
        <v>7401</v>
      </c>
      <c r="C1849" s="31" t="s">
        <v>7402</v>
      </c>
      <c r="D1849" s="31" t="s">
        <v>2023</v>
      </c>
      <c r="E1849" s="61" t="b">
        <v>1</v>
      </c>
      <c r="F1849" s="106" t="s">
        <v>7403</v>
      </c>
      <c r="G1849" s="116" t="str">
        <f>HYPERLINK("http://nsgreg.nga.mil/genc/view?v=113927&amp;gencs=T&amp;end_month=3&amp;end_day=31&amp;end_year=2014","Roscommon")</f>
        <v>Roscommon</v>
      </c>
      <c r="H1849" s="87" t="str">
        <f>HYPERLINK("http://api.nsgreg.nga.mil/geo-division/ISO3166-2/6/ed3/IE-RN","IE-RN")</f>
        <v>IE-RN</v>
      </c>
    </row>
    <row r="1850" spans="1:8" x14ac:dyDescent="0.2">
      <c r="A1850" s="157"/>
      <c r="B1850" s="31" t="s">
        <v>7404</v>
      </c>
      <c r="C1850" s="31" t="s">
        <v>7405</v>
      </c>
      <c r="D1850" s="31" t="s">
        <v>2023</v>
      </c>
      <c r="E1850" s="61" t="b">
        <v>1</v>
      </c>
      <c r="F1850" s="106" t="s">
        <v>7406</v>
      </c>
      <c r="G1850" s="116" t="str">
        <f>HYPERLINK("http://nsgreg.nga.mil/genc/view?v=113928&amp;gencs=T&amp;end_month=3&amp;end_day=31&amp;end_year=2014","Sligo")</f>
        <v>Sligo</v>
      </c>
      <c r="H1850" s="87" t="str">
        <f>HYPERLINK("http://api.nsgreg.nga.mil/geo-division/ISO3166-2/6/ed3/IE-SO","IE-SO")</f>
        <v>IE-SO</v>
      </c>
    </row>
    <row r="1851" spans="1:8" x14ac:dyDescent="0.2">
      <c r="A1851" s="157"/>
      <c r="B1851" s="31" t="s">
        <v>7407</v>
      </c>
      <c r="C1851" s="31" t="s">
        <v>7408</v>
      </c>
      <c r="D1851" s="31" t="s">
        <v>2023</v>
      </c>
      <c r="E1851" s="61" t="b">
        <v>1</v>
      </c>
      <c r="F1851" s="107" t="s">
        <v>7409</v>
      </c>
      <c r="G1851" s="116" t="str">
        <f>HYPERLINK("http://nsgreg.nga.mil/genc/view?v=201506&amp;end_month=3&amp;end_day=31&amp;end_year=2014","South Dublin")</f>
        <v>South Dublin</v>
      </c>
      <c r="H1851" s="87" t="str">
        <f>HYPERLINK("http://api.nsgreg.nga.mil/geo-division/GENC/6/ed2/IE-SD","IE-SD")</f>
        <v>IE-SD</v>
      </c>
    </row>
    <row r="1852" spans="1:8" x14ac:dyDescent="0.2">
      <c r="A1852" s="157"/>
      <c r="B1852" s="31" t="s">
        <v>7410</v>
      </c>
      <c r="C1852" s="31" t="s">
        <v>7411</v>
      </c>
      <c r="D1852" s="31" t="s">
        <v>2023</v>
      </c>
      <c r="E1852" s="61" t="b">
        <v>1</v>
      </c>
      <c r="F1852" s="107" t="s">
        <v>7412</v>
      </c>
      <c r="G1852" s="116" t="str">
        <f>HYPERLINK("http://nsgreg.nga.mil/genc/view?v=201507&amp;end_month=3&amp;end_day=31&amp;end_year=2014","South Tipperary")</f>
        <v>South Tipperary</v>
      </c>
      <c r="H1852" s="87" t="str">
        <f>HYPERLINK("http://api.nsgreg.nga.mil/geo-division/GENC/6/ed2/IE-ST","IE-ST")</f>
        <v>IE-ST</v>
      </c>
    </row>
    <row r="1853" spans="1:8" x14ac:dyDescent="0.2">
      <c r="A1853" s="157"/>
      <c r="B1853" s="31" t="s">
        <v>7413</v>
      </c>
      <c r="C1853" s="31" t="s">
        <v>7414</v>
      </c>
      <c r="D1853" s="98" t="s">
        <v>2023</v>
      </c>
      <c r="E1853" s="99" t="b">
        <v>0</v>
      </c>
      <c r="F1853" s="107" t="s">
        <v>7415</v>
      </c>
      <c r="G1853" s="116" t="str">
        <f>HYPERLINK("http://nsgreg.nga.mil/genc/view?v=201508&amp;end_month=3&amp;end_day=31&amp;end_year=2014","Tipperary")</f>
        <v>Tipperary</v>
      </c>
      <c r="H1853" s="87" t="str">
        <f>HYPERLINK("http://api.nsgreg.nga.mil/geo-division/GENC/6/ed2/IE-TA","IE-TA")</f>
        <v>IE-TA</v>
      </c>
    </row>
    <row r="1854" spans="1:8" x14ac:dyDescent="0.2">
      <c r="A1854" s="157"/>
      <c r="B1854" s="31" t="s">
        <v>7416</v>
      </c>
      <c r="C1854" s="31" t="s">
        <v>7417</v>
      </c>
      <c r="D1854" s="98" t="s">
        <v>1920</v>
      </c>
      <c r="E1854" s="99" t="b">
        <v>0</v>
      </c>
      <c r="F1854" s="106" t="s">
        <v>7418</v>
      </c>
      <c r="G1854" s="116" t="str">
        <f>HYPERLINK("http://nsgreg.nga.mil/genc/view?v=113930&amp;gencs=T&amp;end_month=3&amp;end_day=31&amp;end_year=2014","Ulster")</f>
        <v>Ulster</v>
      </c>
      <c r="H1854" s="87" t="str">
        <f>HYPERLINK("http://api.nsgreg.nga.mil/geo-division/ISO3166-2/6/ed3/IE-U","IE-U")</f>
        <v>IE-U</v>
      </c>
    </row>
    <row r="1855" spans="1:8" x14ac:dyDescent="0.2">
      <c r="A1855" s="157"/>
      <c r="B1855" s="31" t="s">
        <v>7419</v>
      </c>
      <c r="C1855" s="31" t="s">
        <v>7420</v>
      </c>
      <c r="D1855" s="31" t="s">
        <v>2405</v>
      </c>
      <c r="E1855" s="61" t="b">
        <v>1</v>
      </c>
      <c r="F1855" s="107" t="s">
        <v>7421</v>
      </c>
      <c r="G1855" s="116" t="str">
        <f>HYPERLINK("http://nsgreg.nga.mil/genc/view?v=201509&amp;end_month=3&amp;end_day=31&amp;end_year=2014","Waterford")</f>
        <v>Waterford</v>
      </c>
      <c r="H1855" s="87" t="str">
        <f>HYPERLINK("http://api.nsgreg.nga.mil/geo-division/GENC/6/ed2/IE-WA","IE-WA")</f>
        <v>IE-WA</v>
      </c>
    </row>
    <row r="1856" spans="1:8" x14ac:dyDescent="0.2">
      <c r="A1856" s="157"/>
      <c r="B1856" s="31" t="s">
        <v>7422</v>
      </c>
      <c r="C1856" s="31" t="s">
        <v>7420</v>
      </c>
      <c r="D1856" s="31" t="s">
        <v>2023</v>
      </c>
      <c r="E1856" s="61" t="b">
        <v>1</v>
      </c>
      <c r="F1856" s="106" t="s">
        <v>7423</v>
      </c>
      <c r="G1856" s="116" t="str">
        <f>HYPERLINK("http://nsgreg.nga.mil/genc/view?v=113931&amp;gencs=T&amp;end_month=3&amp;end_day=31&amp;end_year=2014","Waterford")</f>
        <v>Waterford</v>
      </c>
      <c r="H1856" s="87" t="str">
        <f>HYPERLINK("http://api.nsgreg.nga.mil/geo-division/ISO3166-2/6/ed3/IE-WD","IE-WD")</f>
        <v>IE-WD</v>
      </c>
    </row>
    <row r="1857" spans="1:8" x14ac:dyDescent="0.2">
      <c r="A1857" s="157"/>
      <c r="B1857" s="31" t="s">
        <v>7424</v>
      </c>
      <c r="C1857" s="31" t="s">
        <v>7425</v>
      </c>
      <c r="D1857" s="31" t="s">
        <v>2023</v>
      </c>
      <c r="E1857" s="61" t="b">
        <v>1</v>
      </c>
      <c r="F1857" s="106" t="s">
        <v>7426</v>
      </c>
      <c r="G1857" s="116" t="str">
        <f>HYPERLINK("http://nsgreg.nga.mil/genc/view?v=113932&amp;gencs=T&amp;end_month=3&amp;end_day=31&amp;end_year=2014","Westmeath")</f>
        <v>Westmeath</v>
      </c>
      <c r="H1857" s="87" t="str">
        <f>HYPERLINK("http://api.nsgreg.nga.mil/geo-division/ISO3166-2/6/ed3/IE-WH","IE-WH")</f>
        <v>IE-WH</v>
      </c>
    </row>
    <row r="1858" spans="1:8" x14ac:dyDescent="0.2">
      <c r="A1858" s="157"/>
      <c r="B1858" s="31" t="s">
        <v>7427</v>
      </c>
      <c r="C1858" s="31" t="s">
        <v>7428</v>
      </c>
      <c r="D1858" s="31" t="s">
        <v>2023</v>
      </c>
      <c r="E1858" s="61" t="b">
        <v>1</v>
      </c>
      <c r="F1858" s="106" t="s">
        <v>7429</v>
      </c>
      <c r="G1858" s="116" t="str">
        <f>HYPERLINK("http://nsgreg.nga.mil/genc/view?v=113934&amp;gencs=T&amp;end_month=3&amp;end_day=31&amp;end_year=2014","Wexford")</f>
        <v>Wexford</v>
      </c>
      <c r="H1858" s="87" t="str">
        <f>HYPERLINK("http://api.nsgreg.nga.mil/geo-division/ISO3166-2/6/ed3/IE-WX","IE-WX")</f>
        <v>IE-WX</v>
      </c>
    </row>
    <row r="1859" spans="1:8" x14ac:dyDescent="0.2">
      <c r="A1859" s="158"/>
      <c r="B1859" s="58" t="s">
        <v>7430</v>
      </c>
      <c r="C1859" s="58" t="s">
        <v>7431</v>
      </c>
      <c r="D1859" s="58" t="s">
        <v>2023</v>
      </c>
      <c r="E1859" s="62" t="b">
        <v>1</v>
      </c>
      <c r="F1859" s="108" t="s">
        <v>7432</v>
      </c>
      <c r="G1859" s="117" t="str">
        <f>HYPERLINK("http://nsgreg.nga.mil/genc/view?v=113933&amp;gencs=T&amp;end_month=3&amp;end_day=31&amp;end_year=2014","Wicklow")</f>
        <v>Wicklow</v>
      </c>
      <c r="H1859" s="89" t="str">
        <f>HYPERLINK("http://api.nsgreg.nga.mil/geo-division/ISO3166-2/6/ed3/IE-WW","IE-WW")</f>
        <v>IE-WW</v>
      </c>
    </row>
    <row r="1860" spans="1:8" x14ac:dyDescent="0.2">
      <c r="A1860" s="156" t="str">
        <f>HYPERLINK("[#]Geopolitical_Entities!A130:I130","ISRAEL")</f>
        <v>ISRAEL</v>
      </c>
      <c r="B1860" s="52" t="s">
        <v>7433</v>
      </c>
      <c r="C1860" s="52" t="s">
        <v>3420</v>
      </c>
      <c r="D1860" s="52" t="s">
        <v>2026</v>
      </c>
      <c r="E1860" s="60" t="b">
        <v>1</v>
      </c>
      <c r="F1860" s="110" t="s">
        <v>7434</v>
      </c>
      <c r="G1860" s="118" t="str">
        <f>HYPERLINK("http://nsgreg.nga.mil/genc/view?v=201513&amp;end_month=3&amp;end_day=31&amp;end_year=2014","Central")</f>
        <v>Central</v>
      </c>
      <c r="H1860" s="91" t="str">
        <f>HYPERLINK("http://api.nsgreg.nga.mil/geo-division/GENC/6/ed2/IL-M","IL-M")</f>
        <v>IL-M</v>
      </c>
    </row>
    <row r="1861" spans="1:8" x14ac:dyDescent="0.2">
      <c r="A1861" s="157"/>
      <c r="B1861" s="31" t="s">
        <v>7435</v>
      </c>
      <c r="C1861" s="31" t="s">
        <v>7436</v>
      </c>
      <c r="D1861" s="31" t="s">
        <v>2026</v>
      </c>
      <c r="E1861" s="61" t="b">
        <v>1</v>
      </c>
      <c r="F1861" s="107" t="s">
        <v>7437</v>
      </c>
      <c r="G1861" s="116" t="str">
        <f>HYPERLINK("http://nsgreg.nga.mil/genc/view?v=201511&amp;end_month=3&amp;end_day=31&amp;end_year=2014","Haifa")</f>
        <v>Haifa</v>
      </c>
      <c r="H1861" s="87" t="str">
        <f>HYPERLINK("http://api.nsgreg.nga.mil/geo-division/GENC/6/ed2/IL-HA","IL-HA")</f>
        <v>IL-HA</v>
      </c>
    </row>
    <row r="1862" spans="1:8" x14ac:dyDescent="0.2">
      <c r="A1862" s="157"/>
      <c r="B1862" s="31" t="s">
        <v>7438</v>
      </c>
      <c r="C1862" s="31" t="s">
        <v>7439</v>
      </c>
      <c r="D1862" s="31" t="s">
        <v>2026</v>
      </c>
      <c r="E1862" s="61" t="b">
        <v>1</v>
      </c>
      <c r="F1862" s="107" t="s">
        <v>7440</v>
      </c>
      <c r="G1862" s="116" t="str">
        <f>HYPERLINK("http://nsgreg.nga.mil/genc/view?v=201512&amp;end_month=3&amp;end_day=31&amp;end_year=2014","Jerusalem")</f>
        <v>Jerusalem</v>
      </c>
      <c r="H1862" s="87" t="str">
        <f>HYPERLINK("http://api.nsgreg.nga.mil/geo-division/GENC/6/ed2/IL-JM","IL-JM")</f>
        <v>IL-JM</v>
      </c>
    </row>
    <row r="1863" spans="1:8" x14ac:dyDescent="0.2">
      <c r="A1863" s="157"/>
      <c r="B1863" s="31" t="s">
        <v>7441</v>
      </c>
      <c r="C1863" s="31" t="s">
        <v>5625</v>
      </c>
      <c r="D1863" s="31" t="s">
        <v>2026</v>
      </c>
      <c r="E1863" s="61" t="b">
        <v>1</v>
      </c>
      <c r="F1863" s="107" t="s">
        <v>7442</v>
      </c>
      <c r="G1863" s="116" t="str">
        <f>HYPERLINK("http://nsgreg.nga.mil/genc/view?v=201515&amp;end_month=3&amp;end_day=31&amp;end_year=2014","Northern")</f>
        <v>Northern</v>
      </c>
      <c r="H1863" s="87" t="str">
        <f>HYPERLINK("http://api.nsgreg.nga.mil/geo-division/GENC/6/ed2/IL-Z","IL-Z")</f>
        <v>IL-Z</v>
      </c>
    </row>
    <row r="1864" spans="1:8" x14ac:dyDescent="0.2">
      <c r="A1864" s="157"/>
      <c r="B1864" s="31" t="s">
        <v>7443</v>
      </c>
      <c r="C1864" s="31" t="s">
        <v>3463</v>
      </c>
      <c r="D1864" s="31" t="s">
        <v>2026</v>
      </c>
      <c r="E1864" s="61" t="b">
        <v>1</v>
      </c>
      <c r="F1864" s="107" t="s">
        <v>7444</v>
      </c>
      <c r="G1864" s="116" t="str">
        <f>HYPERLINK("http://nsgreg.nga.mil/genc/view?v=201510&amp;end_month=3&amp;end_day=31&amp;end_year=2014","Southern")</f>
        <v>Southern</v>
      </c>
      <c r="H1864" s="87" t="str">
        <f>HYPERLINK("http://api.nsgreg.nga.mil/geo-division/GENC/6/ed2/IL-D","IL-D")</f>
        <v>IL-D</v>
      </c>
    </row>
    <row r="1865" spans="1:8" x14ac:dyDescent="0.2">
      <c r="A1865" s="158"/>
      <c r="B1865" s="58" t="s">
        <v>7445</v>
      </c>
      <c r="C1865" s="58" t="s">
        <v>7446</v>
      </c>
      <c r="D1865" s="58" t="s">
        <v>2026</v>
      </c>
      <c r="E1865" s="62" t="b">
        <v>1</v>
      </c>
      <c r="F1865" s="111" t="s">
        <v>7447</v>
      </c>
      <c r="G1865" s="117" t="str">
        <f>HYPERLINK("http://nsgreg.nga.mil/genc/view?v=201514&amp;end_month=3&amp;end_day=31&amp;end_year=2014","Tel Aviv")</f>
        <v>Tel Aviv</v>
      </c>
      <c r="H1865" s="89" t="str">
        <f>HYPERLINK("http://api.nsgreg.nga.mil/geo-division/GENC/6/ed2/IL-TA","IL-TA")</f>
        <v>IL-TA</v>
      </c>
    </row>
    <row r="1866" spans="1:8" x14ac:dyDescent="0.2">
      <c r="A1866" s="156" t="str">
        <f>HYPERLINK("[#]Geopolitical_Entities!A131:I131","ITALY")</f>
        <v>ITALY</v>
      </c>
      <c r="B1866" s="52" t="s">
        <v>7448</v>
      </c>
      <c r="C1866" s="52" t="s">
        <v>7449</v>
      </c>
      <c r="D1866" s="52" t="s">
        <v>3137</v>
      </c>
      <c r="E1866" s="60" t="b">
        <v>1</v>
      </c>
      <c r="F1866" s="109" t="s">
        <v>7450</v>
      </c>
      <c r="G1866" s="118" t="str">
        <f>HYPERLINK("http://nsgreg.nga.mil/genc/view?v=114045&amp;gencs=T&amp;end_month=3&amp;end_day=31&amp;end_year=2014","Abruzzo")</f>
        <v>Abruzzo</v>
      </c>
      <c r="H1866" s="91" t="str">
        <f>HYPERLINK("http://api.nsgreg.nga.mil/geo-division/ISO3166-2/6/ed3/IT-65","IT-65")</f>
        <v>IT-65</v>
      </c>
    </row>
    <row r="1867" spans="1:8" x14ac:dyDescent="0.2">
      <c r="A1867" s="157"/>
      <c r="B1867" s="31" t="s">
        <v>7451</v>
      </c>
      <c r="C1867" s="31" t="s">
        <v>7452</v>
      </c>
      <c r="D1867" s="98" t="s">
        <v>1920</v>
      </c>
      <c r="E1867" s="99" t="b">
        <v>0</v>
      </c>
      <c r="F1867" s="106" t="s">
        <v>7453</v>
      </c>
      <c r="G1867" s="116" t="str">
        <f>HYPERLINK("http://nsgreg.nga.mil/genc/view?v=114053&amp;gencs=T&amp;end_month=3&amp;end_day=31&amp;end_year=2014","Agrigento")</f>
        <v>Agrigento</v>
      </c>
      <c r="H1867" s="87" t="str">
        <f>HYPERLINK("http://api.nsgreg.nga.mil/geo-division/ISO3166-2/6/ed3/IT-AG","IT-AG")</f>
        <v>IT-AG</v>
      </c>
    </row>
    <row r="1868" spans="1:8" x14ac:dyDescent="0.2">
      <c r="A1868" s="157"/>
      <c r="B1868" s="31" t="s">
        <v>7454</v>
      </c>
      <c r="C1868" s="31" t="s">
        <v>7455</v>
      </c>
      <c r="D1868" s="98" t="s">
        <v>1920</v>
      </c>
      <c r="E1868" s="99" t="b">
        <v>0</v>
      </c>
      <c r="F1868" s="106" t="s">
        <v>7456</v>
      </c>
      <c r="G1868" s="116" t="str">
        <f>HYPERLINK("http://nsgreg.nga.mil/genc/view?v=114054&amp;gencs=T&amp;end_month=3&amp;end_day=31&amp;end_year=2014","Alessandria")</f>
        <v>Alessandria</v>
      </c>
      <c r="H1868" s="87" t="str">
        <f>HYPERLINK("http://api.nsgreg.nga.mil/geo-division/ISO3166-2/6/ed3/IT-AL","IT-AL")</f>
        <v>IT-AL</v>
      </c>
    </row>
    <row r="1869" spans="1:8" x14ac:dyDescent="0.2">
      <c r="A1869" s="157"/>
      <c r="B1869" s="31" t="s">
        <v>7457</v>
      </c>
      <c r="C1869" s="31" t="s">
        <v>7458</v>
      </c>
      <c r="D1869" s="98" t="s">
        <v>1920</v>
      </c>
      <c r="E1869" s="99" t="b">
        <v>0</v>
      </c>
      <c r="F1869" s="106" t="s">
        <v>7459</v>
      </c>
      <c r="G1869" s="116" t="str">
        <f>HYPERLINK("http://nsgreg.nga.mil/genc/view?v=114055&amp;gencs=T&amp;end_month=3&amp;end_day=31&amp;end_year=2014","Ancona")</f>
        <v>Ancona</v>
      </c>
      <c r="H1869" s="87" t="str">
        <f>HYPERLINK("http://api.nsgreg.nga.mil/geo-division/ISO3166-2/6/ed3/IT-AN","IT-AN")</f>
        <v>IT-AN</v>
      </c>
    </row>
    <row r="1870" spans="1:8" x14ac:dyDescent="0.2">
      <c r="A1870" s="157"/>
      <c r="B1870" s="31" t="s">
        <v>7460</v>
      </c>
      <c r="C1870" s="31" t="s">
        <v>7461</v>
      </c>
      <c r="D1870" s="98" t="s">
        <v>1920</v>
      </c>
      <c r="E1870" s="99" t="b">
        <v>0</v>
      </c>
      <c r="F1870" s="106" t="s">
        <v>7462</v>
      </c>
      <c r="G1870" s="116" t="str">
        <f>HYPERLINK("http://nsgreg.nga.mil/genc/view?v=114056&amp;gencs=T&amp;end_month=3&amp;end_day=31&amp;end_year=2014","Aosta")</f>
        <v>Aosta</v>
      </c>
      <c r="H1870" s="87" t="str">
        <f>HYPERLINK("http://api.nsgreg.nga.mil/geo-division/ISO3166-2/6/ed3/IT-AO","IT-AO")</f>
        <v>IT-AO</v>
      </c>
    </row>
    <row r="1871" spans="1:8" x14ac:dyDescent="0.2">
      <c r="A1871" s="157"/>
      <c r="B1871" s="31" t="s">
        <v>7463</v>
      </c>
      <c r="C1871" s="31" t="s">
        <v>7464</v>
      </c>
      <c r="D1871" s="98" t="s">
        <v>1920</v>
      </c>
      <c r="E1871" s="99" t="b">
        <v>0</v>
      </c>
      <c r="F1871" s="106" t="s">
        <v>7465</v>
      </c>
      <c r="G1871" s="116" t="str">
        <f>HYPERLINK("http://nsgreg.nga.mil/genc/view?v=114059&amp;gencs=T&amp;end_month=3&amp;end_day=31&amp;end_year=2014","Arezzo")</f>
        <v>Arezzo</v>
      </c>
      <c r="H1871" s="87" t="str">
        <f>HYPERLINK("http://api.nsgreg.nga.mil/geo-division/ISO3166-2/6/ed3/IT-AR","IT-AR")</f>
        <v>IT-AR</v>
      </c>
    </row>
    <row r="1872" spans="1:8" x14ac:dyDescent="0.2">
      <c r="A1872" s="157"/>
      <c r="B1872" s="31" t="s">
        <v>7466</v>
      </c>
      <c r="C1872" s="31" t="s">
        <v>7467</v>
      </c>
      <c r="D1872" s="98" t="s">
        <v>1920</v>
      </c>
      <c r="E1872" s="99" t="b">
        <v>0</v>
      </c>
      <c r="F1872" s="106" t="s">
        <v>7468</v>
      </c>
      <c r="G1872" s="116" t="str">
        <f>HYPERLINK("http://nsgreg.nga.mil/genc/view?v=114057&amp;gencs=T&amp;end_month=3&amp;end_day=31&amp;end_year=2014","Ascoli Piceno")</f>
        <v>Ascoli Piceno</v>
      </c>
      <c r="H1872" s="87" t="str">
        <f>HYPERLINK("http://api.nsgreg.nga.mil/geo-division/ISO3166-2/6/ed3/IT-AP","IT-AP")</f>
        <v>IT-AP</v>
      </c>
    </row>
    <row r="1873" spans="1:8" x14ac:dyDescent="0.2">
      <c r="A1873" s="157"/>
      <c r="B1873" s="31" t="s">
        <v>7469</v>
      </c>
      <c r="C1873" s="31" t="s">
        <v>7470</v>
      </c>
      <c r="D1873" s="98" t="s">
        <v>1920</v>
      </c>
      <c r="E1873" s="99" t="b">
        <v>0</v>
      </c>
      <c r="F1873" s="106" t="s">
        <v>7471</v>
      </c>
      <c r="G1873" s="116" t="str">
        <f>HYPERLINK("http://nsgreg.nga.mil/genc/view?v=114060&amp;gencs=T&amp;end_month=3&amp;end_day=31&amp;end_year=2014","Asti")</f>
        <v>Asti</v>
      </c>
      <c r="H1873" s="87" t="str">
        <f>HYPERLINK("http://api.nsgreg.nga.mil/geo-division/ISO3166-2/6/ed3/IT-AT","IT-AT")</f>
        <v>IT-AT</v>
      </c>
    </row>
    <row r="1874" spans="1:8" x14ac:dyDescent="0.2">
      <c r="A1874" s="157"/>
      <c r="B1874" s="31" t="s">
        <v>7472</v>
      </c>
      <c r="C1874" s="31" t="s">
        <v>7473</v>
      </c>
      <c r="D1874" s="98" t="s">
        <v>1920</v>
      </c>
      <c r="E1874" s="99" t="b">
        <v>0</v>
      </c>
      <c r="F1874" s="106" t="s">
        <v>7474</v>
      </c>
      <c r="G1874" s="116" t="str">
        <f>HYPERLINK("http://nsgreg.nga.mil/genc/view?v=114061&amp;gencs=T&amp;end_month=3&amp;end_day=31&amp;end_year=2014","Avellino")</f>
        <v>Avellino</v>
      </c>
      <c r="H1874" s="87" t="str">
        <f>HYPERLINK("http://api.nsgreg.nga.mil/geo-division/ISO3166-2/6/ed3/IT-AV","IT-AV")</f>
        <v>IT-AV</v>
      </c>
    </row>
    <row r="1875" spans="1:8" x14ac:dyDescent="0.2">
      <c r="A1875" s="157"/>
      <c r="B1875" s="31" t="s">
        <v>7475</v>
      </c>
      <c r="C1875" s="31" t="s">
        <v>7476</v>
      </c>
      <c r="D1875" s="98" t="s">
        <v>1920</v>
      </c>
      <c r="E1875" s="99" t="b">
        <v>0</v>
      </c>
      <c r="F1875" s="106" t="s">
        <v>7477</v>
      </c>
      <c r="G1875" s="116" t="str">
        <f>HYPERLINK("http://nsgreg.nga.mil/genc/view?v=114062&amp;gencs=T&amp;end_month=3&amp;end_day=31&amp;end_year=2014","Bari")</f>
        <v>Bari</v>
      </c>
      <c r="H1875" s="87" t="str">
        <f>HYPERLINK("http://api.nsgreg.nga.mil/geo-division/ISO3166-2/6/ed3/IT-BA","IT-BA")</f>
        <v>IT-BA</v>
      </c>
    </row>
    <row r="1876" spans="1:8" x14ac:dyDescent="0.2">
      <c r="A1876" s="157"/>
      <c r="B1876" s="31" t="s">
        <v>7478</v>
      </c>
      <c r="C1876" s="31" t="s">
        <v>7479</v>
      </c>
      <c r="D1876" s="98" t="s">
        <v>1920</v>
      </c>
      <c r="E1876" s="99" t="b">
        <v>0</v>
      </c>
      <c r="F1876" s="106" t="s">
        <v>7480</v>
      </c>
      <c r="G1876" s="116" t="str">
        <f>HYPERLINK("http://nsgreg.nga.mil/genc/view?v=114070&amp;gencs=T&amp;end_month=3&amp;end_day=31&amp;end_year=2014","Barletta-Andria-Trani")</f>
        <v>Barletta-Andria-Trani</v>
      </c>
      <c r="H1876" s="87" t="str">
        <f>HYPERLINK("http://api.nsgreg.nga.mil/geo-division/ISO3166-2/6/ed3/IT-BT","IT-BT")</f>
        <v>IT-BT</v>
      </c>
    </row>
    <row r="1877" spans="1:8" x14ac:dyDescent="0.2">
      <c r="A1877" s="157"/>
      <c r="B1877" s="31" t="s">
        <v>7481</v>
      </c>
      <c r="C1877" s="31" t="s">
        <v>7482</v>
      </c>
      <c r="D1877" s="31" t="s">
        <v>3137</v>
      </c>
      <c r="E1877" s="61" t="b">
        <v>1</v>
      </c>
      <c r="F1877" s="106" t="s">
        <v>7483</v>
      </c>
      <c r="G1877" s="116" t="str">
        <f>HYPERLINK("http://nsgreg.nga.mil/genc/view?v=114049&amp;gencs=T&amp;end_month=3&amp;end_day=31&amp;end_year=2014","Basilicata")</f>
        <v>Basilicata</v>
      </c>
      <c r="H1877" s="87" t="str">
        <f>HYPERLINK("http://api.nsgreg.nga.mil/geo-division/ISO3166-2/6/ed3/IT-77","IT-77")</f>
        <v>IT-77</v>
      </c>
    </row>
    <row r="1878" spans="1:8" x14ac:dyDescent="0.2">
      <c r="A1878" s="157"/>
      <c r="B1878" s="31" t="s">
        <v>7484</v>
      </c>
      <c r="C1878" s="31" t="s">
        <v>7485</v>
      </c>
      <c r="D1878" s="98" t="s">
        <v>1920</v>
      </c>
      <c r="E1878" s="99" t="b">
        <v>0</v>
      </c>
      <c r="F1878" s="106" t="s">
        <v>7486</v>
      </c>
      <c r="G1878" s="116" t="str">
        <f>HYPERLINK("http://nsgreg.nga.mil/genc/view?v=114065&amp;gencs=T&amp;end_month=3&amp;end_day=31&amp;end_year=2014","Belluno")</f>
        <v>Belluno</v>
      </c>
      <c r="H1878" s="87" t="str">
        <f>HYPERLINK("http://api.nsgreg.nga.mil/geo-division/ISO3166-2/6/ed3/IT-BL","IT-BL")</f>
        <v>IT-BL</v>
      </c>
    </row>
    <row r="1879" spans="1:8" x14ac:dyDescent="0.2">
      <c r="A1879" s="157"/>
      <c r="B1879" s="31" t="s">
        <v>7487</v>
      </c>
      <c r="C1879" s="31" t="s">
        <v>7488</v>
      </c>
      <c r="D1879" s="98" t="s">
        <v>1920</v>
      </c>
      <c r="E1879" s="99" t="b">
        <v>0</v>
      </c>
      <c r="F1879" s="106" t="s">
        <v>7489</v>
      </c>
      <c r="G1879" s="116" t="str">
        <f>HYPERLINK("http://nsgreg.nga.mil/genc/view?v=114066&amp;gencs=T&amp;end_month=3&amp;end_day=31&amp;end_year=2014","Benevento")</f>
        <v>Benevento</v>
      </c>
      <c r="H1879" s="87" t="str">
        <f>HYPERLINK("http://api.nsgreg.nga.mil/geo-division/ISO3166-2/6/ed3/IT-BN","IT-BN")</f>
        <v>IT-BN</v>
      </c>
    </row>
    <row r="1880" spans="1:8" x14ac:dyDescent="0.2">
      <c r="A1880" s="157"/>
      <c r="B1880" s="31" t="s">
        <v>7490</v>
      </c>
      <c r="C1880" s="31" t="s">
        <v>7491</v>
      </c>
      <c r="D1880" s="98" t="s">
        <v>1920</v>
      </c>
      <c r="E1880" s="99" t="b">
        <v>0</v>
      </c>
      <c r="F1880" s="106" t="s">
        <v>7492</v>
      </c>
      <c r="G1880" s="116" t="str">
        <f>HYPERLINK("http://nsgreg.nga.mil/genc/view?v=114063&amp;gencs=T&amp;end_month=3&amp;end_day=31&amp;end_year=2014","Bergamo")</f>
        <v>Bergamo</v>
      </c>
      <c r="H1880" s="87" t="str">
        <f>HYPERLINK("http://api.nsgreg.nga.mil/geo-division/ISO3166-2/6/ed3/IT-BG","IT-BG")</f>
        <v>IT-BG</v>
      </c>
    </row>
    <row r="1881" spans="1:8" x14ac:dyDescent="0.2">
      <c r="A1881" s="157"/>
      <c r="B1881" s="31" t="s">
        <v>7493</v>
      </c>
      <c r="C1881" s="31" t="s">
        <v>7494</v>
      </c>
      <c r="D1881" s="98" t="s">
        <v>1920</v>
      </c>
      <c r="E1881" s="99" t="b">
        <v>0</v>
      </c>
      <c r="F1881" s="106" t="s">
        <v>7495</v>
      </c>
      <c r="G1881" s="116" t="str">
        <f>HYPERLINK("http://nsgreg.nga.mil/genc/view?v=114064&amp;gencs=T&amp;end_month=3&amp;end_day=31&amp;end_year=2014","Biella")</f>
        <v>Biella</v>
      </c>
      <c r="H1881" s="87" t="str">
        <f>HYPERLINK("http://api.nsgreg.nga.mil/geo-division/ISO3166-2/6/ed3/IT-BI","IT-BI")</f>
        <v>IT-BI</v>
      </c>
    </row>
    <row r="1882" spans="1:8" x14ac:dyDescent="0.2">
      <c r="A1882" s="157"/>
      <c r="B1882" s="31" t="s">
        <v>7496</v>
      </c>
      <c r="C1882" s="31" t="s">
        <v>7497</v>
      </c>
      <c r="D1882" s="98" t="s">
        <v>1920</v>
      </c>
      <c r="E1882" s="99" t="b">
        <v>0</v>
      </c>
      <c r="F1882" s="106" t="s">
        <v>7498</v>
      </c>
      <c r="G1882" s="116" t="str">
        <f>HYPERLINK("http://nsgreg.nga.mil/genc/view?v=114067&amp;gencs=T&amp;end_month=3&amp;end_day=31&amp;end_year=2014","Bologna")</f>
        <v>Bologna</v>
      </c>
      <c r="H1882" s="87" t="str">
        <f>HYPERLINK("http://api.nsgreg.nga.mil/geo-division/ISO3166-2/6/ed3/IT-BO","IT-BO")</f>
        <v>IT-BO</v>
      </c>
    </row>
    <row r="1883" spans="1:8" x14ac:dyDescent="0.2">
      <c r="A1883" s="157"/>
      <c r="B1883" s="31" t="s">
        <v>7499</v>
      </c>
      <c r="C1883" s="31" t="s">
        <v>7500</v>
      </c>
      <c r="D1883" s="98" t="s">
        <v>1920</v>
      </c>
      <c r="E1883" s="99" t="b">
        <v>0</v>
      </c>
      <c r="F1883" s="106" t="s">
        <v>7501</v>
      </c>
      <c r="G1883" s="116" t="str">
        <f>HYPERLINK("http://nsgreg.nga.mil/genc/view?v=114071&amp;gencs=T&amp;end_month=3&amp;end_day=31&amp;end_year=2014","Bolzano")</f>
        <v>Bolzano</v>
      </c>
      <c r="H1883" s="87" t="str">
        <f>HYPERLINK("http://api.nsgreg.nga.mil/geo-division/ISO3166-2/6/ed3/IT-BZ","IT-BZ")</f>
        <v>IT-BZ</v>
      </c>
    </row>
    <row r="1884" spans="1:8" x14ac:dyDescent="0.2">
      <c r="A1884" s="157"/>
      <c r="B1884" s="31" t="s">
        <v>7502</v>
      </c>
      <c r="C1884" s="31" t="s">
        <v>7503</v>
      </c>
      <c r="D1884" s="98" t="s">
        <v>1920</v>
      </c>
      <c r="E1884" s="99" t="b">
        <v>0</v>
      </c>
      <c r="F1884" s="106" t="s">
        <v>7504</v>
      </c>
      <c r="G1884" s="116" t="str">
        <f>HYPERLINK("http://nsgreg.nga.mil/genc/view?v=114069&amp;gencs=T&amp;end_month=3&amp;end_day=31&amp;end_year=2014","Brescia")</f>
        <v>Brescia</v>
      </c>
      <c r="H1884" s="87" t="str">
        <f>HYPERLINK("http://api.nsgreg.nga.mil/geo-division/ISO3166-2/6/ed3/IT-BS","IT-BS")</f>
        <v>IT-BS</v>
      </c>
    </row>
    <row r="1885" spans="1:8" x14ac:dyDescent="0.2">
      <c r="A1885" s="157"/>
      <c r="B1885" s="31" t="s">
        <v>7505</v>
      </c>
      <c r="C1885" s="31" t="s">
        <v>7506</v>
      </c>
      <c r="D1885" s="98" t="s">
        <v>1920</v>
      </c>
      <c r="E1885" s="99" t="b">
        <v>0</v>
      </c>
      <c r="F1885" s="106" t="s">
        <v>7507</v>
      </c>
      <c r="G1885" s="116" t="str">
        <f>HYPERLINK("http://nsgreg.nga.mil/genc/view?v=114068&amp;gencs=T&amp;end_month=3&amp;end_day=31&amp;end_year=2014","Brindisi")</f>
        <v>Brindisi</v>
      </c>
      <c r="H1885" s="87" t="str">
        <f>HYPERLINK("http://api.nsgreg.nga.mil/geo-division/ISO3166-2/6/ed3/IT-BR","IT-BR")</f>
        <v>IT-BR</v>
      </c>
    </row>
    <row r="1886" spans="1:8" x14ac:dyDescent="0.2">
      <c r="A1886" s="157"/>
      <c r="B1886" s="31" t="s">
        <v>7508</v>
      </c>
      <c r="C1886" s="31" t="s">
        <v>7509</v>
      </c>
      <c r="D1886" s="98" t="s">
        <v>1920</v>
      </c>
      <c r="E1886" s="99" t="b">
        <v>0</v>
      </c>
      <c r="F1886" s="106" t="s">
        <v>7510</v>
      </c>
      <c r="G1886" s="116" t="str">
        <f>HYPERLINK("http://nsgreg.nga.mil/genc/view?v=114072&amp;gencs=T&amp;end_month=3&amp;end_day=31&amp;end_year=2014","Cagliari")</f>
        <v>Cagliari</v>
      </c>
      <c r="H1886" s="87" t="str">
        <f>HYPERLINK("http://api.nsgreg.nga.mil/geo-division/ISO3166-2/6/ed3/IT-CA","IT-CA")</f>
        <v>IT-CA</v>
      </c>
    </row>
    <row r="1887" spans="1:8" x14ac:dyDescent="0.2">
      <c r="A1887" s="157"/>
      <c r="B1887" s="31" t="s">
        <v>7511</v>
      </c>
      <c r="C1887" s="31" t="s">
        <v>7512</v>
      </c>
      <c r="D1887" s="31" t="s">
        <v>3137</v>
      </c>
      <c r="E1887" s="61" t="b">
        <v>1</v>
      </c>
      <c r="F1887" s="106" t="s">
        <v>7513</v>
      </c>
      <c r="G1887" s="116" t="str">
        <f>HYPERLINK("http://nsgreg.nga.mil/genc/view?v=114050&amp;gencs=T&amp;end_month=3&amp;end_day=31&amp;end_year=2014","Calabria")</f>
        <v>Calabria</v>
      </c>
      <c r="H1887" s="87" t="str">
        <f>HYPERLINK("http://api.nsgreg.nga.mil/geo-division/ISO3166-2/6/ed3/IT-78","IT-78")</f>
        <v>IT-78</v>
      </c>
    </row>
    <row r="1888" spans="1:8" x14ac:dyDescent="0.2">
      <c r="A1888" s="157"/>
      <c r="B1888" s="31" t="s">
        <v>7514</v>
      </c>
      <c r="C1888" s="31" t="s">
        <v>7515</v>
      </c>
      <c r="D1888" s="98" t="s">
        <v>1920</v>
      </c>
      <c r="E1888" s="99" t="b">
        <v>0</v>
      </c>
      <c r="F1888" s="106" t="s">
        <v>7516</v>
      </c>
      <c r="G1888" s="116" t="str">
        <f>HYPERLINK("http://nsgreg.nga.mil/genc/view?v=114077&amp;gencs=T&amp;end_month=3&amp;end_day=31&amp;end_year=2014","Caltanissetta")</f>
        <v>Caltanissetta</v>
      </c>
      <c r="H1888" s="87" t="str">
        <f>HYPERLINK("http://api.nsgreg.nga.mil/geo-division/ISO3166-2/6/ed3/IT-CL","IT-CL")</f>
        <v>IT-CL</v>
      </c>
    </row>
    <row r="1889" spans="1:8" x14ac:dyDescent="0.2">
      <c r="A1889" s="157"/>
      <c r="B1889" s="31" t="s">
        <v>7517</v>
      </c>
      <c r="C1889" s="31" t="s">
        <v>7518</v>
      </c>
      <c r="D1889" s="31" t="s">
        <v>3137</v>
      </c>
      <c r="E1889" s="61" t="b">
        <v>1</v>
      </c>
      <c r="F1889" s="106" t="s">
        <v>7519</v>
      </c>
      <c r="G1889" s="116" t="str">
        <f>HYPERLINK("http://nsgreg.nga.mil/genc/view?v=114047&amp;gencs=T&amp;end_month=3&amp;end_day=31&amp;end_year=2014","Campania")</f>
        <v>Campania</v>
      </c>
      <c r="H1889" s="87" t="str">
        <f>HYPERLINK("http://api.nsgreg.nga.mil/geo-division/ISO3166-2/6/ed3/IT-72","IT-72")</f>
        <v>IT-72</v>
      </c>
    </row>
    <row r="1890" spans="1:8" x14ac:dyDescent="0.2">
      <c r="A1890" s="157"/>
      <c r="B1890" s="31" t="s">
        <v>7520</v>
      </c>
      <c r="C1890" s="31" t="s">
        <v>7521</v>
      </c>
      <c r="D1890" s="98" t="s">
        <v>1920</v>
      </c>
      <c r="E1890" s="99" t="b">
        <v>0</v>
      </c>
      <c r="F1890" s="106" t="s">
        <v>7522</v>
      </c>
      <c r="G1890" s="116" t="str">
        <f>HYPERLINK("http://nsgreg.nga.mil/genc/view?v=114073&amp;gencs=T&amp;end_month=3&amp;end_day=31&amp;end_year=2014","Campobasso")</f>
        <v>Campobasso</v>
      </c>
      <c r="H1890" s="87" t="str">
        <f>HYPERLINK("http://api.nsgreg.nga.mil/geo-division/ISO3166-2/6/ed3/IT-CB","IT-CB")</f>
        <v>IT-CB</v>
      </c>
    </row>
    <row r="1891" spans="1:8" x14ac:dyDescent="0.2">
      <c r="A1891" s="157"/>
      <c r="B1891" s="31" t="s">
        <v>7523</v>
      </c>
      <c r="C1891" s="31" t="s">
        <v>7524</v>
      </c>
      <c r="D1891" s="98" t="s">
        <v>1920</v>
      </c>
      <c r="E1891" s="99" t="b">
        <v>0</v>
      </c>
      <c r="F1891" s="106" t="s">
        <v>7525</v>
      </c>
      <c r="G1891" s="116" t="str">
        <f>HYPERLINK("http://nsgreg.nga.mil/genc/view?v=114076&amp;gencs=T&amp;end_month=3&amp;end_day=31&amp;end_year=2014","Carbonia-Iglesias")</f>
        <v>Carbonia-Iglesias</v>
      </c>
      <c r="H1891" s="87" t="str">
        <f>HYPERLINK("http://api.nsgreg.nga.mil/geo-division/ISO3166-2/6/ed3/IT-CI","IT-CI")</f>
        <v>IT-CI</v>
      </c>
    </row>
    <row r="1892" spans="1:8" x14ac:dyDescent="0.2">
      <c r="A1892" s="157"/>
      <c r="B1892" s="31" t="s">
        <v>7526</v>
      </c>
      <c r="C1892" s="31" t="s">
        <v>7527</v>
      </c>
      <c r="D1892" s="98" t="s">
        <v>1920</v>
      </c>
      <c r="E1892" s="99" t="b">
        <v>0</v>
      </c>
      <c r="F1892" s="106" t="s">
        <v>7528</v>
      </c>
      <c r="G1892" s="116" t="str">
        <f>HYPERLINK("http://nsgreg.nga.mil/genc/view?v=114074&amp;gencs=T&amp;end_month=3&amp;end_day=31&amp;end_year=2014","Caserta")</f>
        <v>Caserta</v>
      </c>
      <c r="H1892" s="87" t="str">
        <f>HYPERLINK("http://api.nsgreg.nga.mil/geo-division/ISO3166-2/6/ed3/IT-CE","IT-CE")</f>
        <v>IT-CE</v>
      </c>
    </row>
    <row r="1893" spans="1:8" x14ac:dyDescent="0.2">
      <c r="A1893" s="157"/>
      <c r="B1893" s="31" t="s">
        <v>7529</v>
      </c>
      <c r="C1893" s="31" t="s">
        <v>7530</v>
      </c>
      <c r="D1893" s="98" t="s">
        <v>1920</v>
      </c>
      <c r="E1893" s="99" t="b">
        <v>0</v>
      </c>
      <c r="F1893" s="106" t="s">
        <v>7531</v>
      </c>
      <c r="G1893" s="116" t="str">
        <f>HYPERLINK("http://nsgreg.nga.mil/genc/view?v=114082&amp;gencs=T&amp;end_month=3&amp;end_day=31&amp;end_year=2014","Catania")</f>
        <v>Catania</v>
      </c>
      <c r="H1893" s="87" t="str">
        <f>HYPERLINK("http://api.nsgreg.nga.mil/geo-division/ISO3166-2/6/ed3/IT-CT","IT-CT")</f>
        <v>IT-CT</v>
      </c>
    </row>
    <row r="1894" spans="1:8" x14ac:dyDescent="0.2">
      <c r="A1894" s="157"/>
      <c r="B1894" s="31" t="s">
        <v>7532</v>
      </c>
      <c r="C1894" s="31" t="s">
        <v>7533</v>
      </c>
      <c r="D1894" s="98" t="s">
        <v>1920</v>
      </c>
      <c r="E1894" s="99" t="b">
        <v>0</v>
      </c>
      <c r="F1894" s="106" t="s">
        <v>7534</v>
      </c>
      <c r="G1894" s="116" t="str">
        <f>HYPERLINK("http://nsgreg.nga.mil/genc/view?v=114083&amp;gencs=T&amp;end_month=3&amp;end_day=31&amp;end_year=2014","Catanzaro")</f>
        <v>Catanzaro</v>
      </c>
      <c r="H1894" s="87" t="str">
        <f>HYPERLINK("http://api.nsgreg.nga.mil/geo-division/ISO3166-2/6/ed3/IT-CZ","IT-CZ")</f>
        <v>IT-CZ</v>
      </c>
    </row>
    <row r="1895" spans="1:8" x14ac:dyDescent="0.2">
      <c r="A1895" s="157"/>
      <c r="B1895" s="31" t="s">
        <v>7535</v>
      </c>
      <c r="C1895" s="31" t="s">
        <v>7536</v>
      </c>
      <c r="D1895" s="98" t="s">
        <v>1920</v>
      </c>
      <c r="E1895" s="99" t="b">
        <v>0</v>
      </c>
      <c r="F1895" s="106" t="s">
        <v>7537</v>
      </c>
      <c r="G1895" s="116" t="str">
        <f>HYPERLINK("http://nsgreg.nga.mil/genc/view?v=114075&amp;gencs=T&amp;end_month=3&amp;end_day=31&amp;end_year=2014","Chieti")</f>
        <v>Chieti</v>
      </c>
      <c r="H1895" s="87" t="str">
        <f>HYPERLINK("http://api.nsgreg.nga.mil/geo-division/ISO3166-2/6/ed3/IT-CH","IT-CH")</f>
        <v>IT-CH</v>
      </c>
    </row>
    <row r="1896" spans="1:8" x14ac:dyDescent="0.2">
      <c r="A1896" s="157"/>
      <c r="B1896" s="31" t="s">
        <v>7538</v>
      </c>
      <c r="C1896" s="31" t="s">
        <v>7539</v>
      </c>
      <c r="D1896" s="98" t="s">
        <v>1920</v>
      </c>
      <c r="E1896" s="99" t="b">
        <v>0</v>
      </c>
      <c r="F1896" s="106" t="s">
        <v>7540</v>
      </c>
      <c r="G1896" s="116" t="str">
        <f>HYPERLINK("http://nsgreg.nga.mil/genc/view?v=114079&amp;gencs=T&amp;end_month=3&amp;end_day=31&amp;end_year=2014","Como")</f>
        <v>Como</v>
      </c>
      <c r="H1896" s="87" t="str">
        <f>HYPERLINK("http://api.nsgreg.nga.mil/geo-division/ISO3166-2/6/ed3/IT-CO","IT-CO")</f>
        <v>IT-CO</v>
      </c>
    </row>
    <row r="1897" spans="1:8" x14ac:dyDescent="0.2">
      <c r="A1897" s="157"/>
      <c r="B1897" s="31" t="s">
        <v>7541</v>
      </c>
      <c r="C1897" s="31" t="s">
        <v>7542</v>
      </c>
      <c r="D1897" s="98" t="s">
        <v>1920</v>
      </c>
      <c r="E1897" s="99" t="b">
        <v>0</v>
      </c>
      <c r="F1897" s="106" t="s">
        <v>7543</v>
      </c>
      <c r="G1897" s="116" t="str">
        <f>HYPERLINK("http://nsgreg.nga.mil/genc/view?v=114081&amp;gencs=T&amp;end_month=3&amp;end_day=31&amp;end_year=2014","Cosenza")</f>
        <v>Cosenza</v>
      </c>
      <c r="H1897" s="87" t="str">
        <f>HYPERLINK("http://api.nsgreg.nga.mil/geo-division/ISO3166-2/6/ed3/IT-CS","IT-CS")</f>
        <v>IT-CS</v>
      </c>
    </row>
    <row r="1898" spans="1:8" x14ac:dyDescent="0.2">
      <c r="A1898" s="157"/>
      <c r="B1898" s="31" t="s">
        <v>7544</v>
      </c>
      <c r="C1898" s="31" t="s">
        <v>7545</v>
      </c>
      <c r="D1898" s="98" t="s">
        <v>1920</v>
      </c>
      <c r="E1898" s="99" t="b">
        <v>0</v>
      </c>
      <c r="F1898" s="106" t="s">
        <v>7546</v>
      </c>
      <c r="G1898" s="116" t="str">
        <f>HYPERLINK("http://nsgreg.nga.mil/genc/view?v=114080&amp;gencs=T&amp;end_month=3&amp;end_day=31&amp;end_year=2014","Cremona")</f>
        <v>Cremona</v>
      </c>
      <c r="H1898" s="87" t="str">
        <f>HYPERLINK("http://api.nsgreg.nga.mil/geo-division/ISO3166-2/6/ed3/IT-CR","IT-CR")</f>
        <v>IT-CR</v>
      </c>
    </row>
    <row r="1899" spans="1:8" x14ac:dyDescent="0.2">
      <c r="A1899" s="157"/>
      <c r="B1899" s="31" t="s">
        <v>7547</v>
      </c>
      <c r="C1899" s="31" t="s">
        <v>7548</v>
      </c>
      <c r="D1899" s="98" t="s">
        <v>1920</v>
      </c>
      <c r="E1899" s="99" t="b">
        <v>0</v>
      </c>
      <c r="F1899" s="106" t="s">
        <v>7549</v>
      </c>
      <c r="G1899" s="116" t="str">
        <f>HYPERLINK("http://nsgreg.nga.mil/genc/view?v=114096&amp;gencs=T&amp;end_month=3&amp;end_day=31&amp;end_year=2014","Crotone")</f>
        <v>Crotone</v>
      </c>
      <c r="H1899" s="87" t="str">
        <f>HYPERLINK("http://api.nsgreg.nga.mil/geo-division/ISO3166-2/6/ed3/IT-KR","IT-KR")</f>
        <v>IT-KR</v>
      </c>
    </row>
    <row r="1900" spans="1:8" x14ac:dyDescent="0.2">
      <c r="A1900" s="157"/>
      <c r="B1900" s="31" t="s">
        <v>7550</v>
      </c>
      <c r="C1900" s="31" t="s">
        <v>7551</v>
      </c>
      <c r="D1900" s="98" t="s">
        <v>1920</v>
      </c>
      <c r="E1900" s="99" t="b">
        <v>0</v>
      </c>
      <c r="F1900" s="106" t="s">
        <v>7552</v>
      </c>
      <c r="G1900" s="116" t="str">
        <f>HYPERLINK("http://nsgreg.nga.mil/genc/view?v=114078&amp;gencs=T&amp;end_month=3&amp;end_day=31&amp;end_year=2014","Cuneo")</f>
        <v>Cuneo</v>
      </c>
      <c r="H1900" s="87" t="str">
        <f>HYPERLINK("http://api.nsgreg.nga.mil/geo-division/ISO3166-2/6/ed3/IT-CN","IT-CN")</f>
        <v>IT-CN</v>
      </c>
    </row>
    <row r="1901" spans="1:8" x14ac:dyDescent="0.2">
      <c r="A1901" s="157"/>
      <c r="B1901" s="31" t="s">
        <v>7553</v>
      </c>
      <c r="C1901" s="31" t="s">
        <v>7554</v>
      </c>
      <c r="D1901" s="31" t="s">
        <v>3137</v>
      </c>
      <c r="E1901" s="61" t="b">
        <v>1</v>
      </c>
      <c r="F1901" s="106" t="s">
        <v>7555</v>
      </c>
      <c r="G1901" s="116" t="str">
        <f>HYPERLINK("http://nsgreg.nga.mil/genc/view?v=114040&amp;gencs=T&amp;end_month=3&amp;end_day=31&amp;end_year=2014","Emilia-Romagna")</f>
        <v>Emilia-Romagna</v>
      </c>
      <c r="H1901" s="87" t="str">
        <f>HYPERLINK("http://api.nsgreg.nga.mil/geo-division/ISO3166-2/6/ed3/IT-45","IT-45")</f>
        <v>IT-45</v>
      </c>
    </row>
    <row r="1902" spans="1:8" x14ac:dyDescent="0.2">
      <c r="A1902" s="157"/>
      <c r="B1902" s="31" t="s">
        <v>7556</v>
      </c>
      <c r="C1902" s="31" t="s">
        <v>7557</v>
      </c>
      <c r="D1902" s="98" t="s">
        <v>1920</v>
      </c>
      <c r="E1902" s="99" t="b">
        <v>0</v>
      </c>
      <c r="F1902" s="106" t="s">
        <v>7558</v>
      </c>
      <c r="G1902" s="116" t="str">
        <f>HYPERLINK("http://nsgreg.nga.mil/genc/view?v=114084&amp;gencs=T&amp;end_month=3&amp;end_day=31&amp;end_year=2014","Enna")</f>
        <v>Enna</v>
      </c>
      <c r="H1902" s="87" t="str">
        <f>HYPERLINK("http://api.nsgreg.nga.mil/geo-division/ISO3166-2/6/ed3/IT-EN","IT-EN")</f>
        <v>IT-EN</v>
      </c>
    </row>
    <row r="1903" spans="1:8" x14ac:dyDescent="0.2">
      <c r="A1903" s="157"/>
      <c r="B1903" s="31" t="s">
        <v>7559</v>
      </c>
      <c r="C1903" s="31" t="s">
        <v>7560</v>
      </c>
      <c r="D1903" s="98" t="s">
        <v>1920</v>
      </c>
      <c r="E1903" s="99" t="b">
        <v>0</v>
      </c>
      <c r="F1903" s="106" t="s">
        <v>7561</v>
      </c>
      <c r="G1903" s="116" t="str">
        <f>HYPERLINK("http://nsgreg.nga.mil/genc/view?v=114089&amp;gencs=T&amp;end_month=3&amp;end_day=31&amp;end_year=2014","Fermo")</f>
        <v>Fermo</v>
      </c>
      <c r="H1903" s="87" t="str">
        <f>HYPERLINK("http://api.nsgreg.nga.mil/geo-division/ISO3166-2/6/ed3/IT-FM","IT-FM")</f>
        <v>IT-FM</v>
      </c>
    </row>
    <row r="1904" spans="1:8" x14ac:dyDescent="0.2">
      <c r="A1904" s="157"/>
      <c r="B1904" s="31" t="s">
        <v>7562</v>
      </c>
      <c r="C1904" s="31" t="s">
        <v>7563</v>
      </c>
      <c r="D1904" s="98" t="s">
        <v>1920</v>
      </c>
      <c r="E1904" s="99" t="b">
        <v>0</v>
      </c>
      <c r="F1904" s="106" t="s">
        <v>7564</v>
      </c>
      <c r="G1904" s="116" t="str">
        <f>HYPERLINK("http://nsgreg.nga.mil/genc/view?v=114086&amp;gencs=T&amp;end_month=3&amp;end_day=31&amp;end_year=2014","Ferrara")</f>
        <v>Ferrara</v>
      </c>
      <c r="H1904" s="87" t="str">
        <f>HYPERLINK("http://api.nsgreg.nga.mil/geo-division/ISO3166-2/6/ed3/IT-FE","IT-FE")</f>
        <v>IT-FE</v>
      </c>
    </row>
    <row r="1905" spans="1:8" x14ac:dyDescent="0.2">
      <c r="A1905" s="157"/>
      <c r="B1905" s="31" t="s">
        <v>7565</v>
      </c>
      <c r="C1905" s="31" t="s">
        <v>7566</v>
      </c>
      <c r="D1905" s="98" t="s">
        <v>1920</v>
      </c>
      <c r="E1905" s="99" t="b">
        <v>0</v>
      </c>
      <c r="F1905" s="106" t="s">
        <v>7567</v>
      </c>
      <c r="G1905" s="116" t="str">
        <f>HYPERLINK("http://nsgreg.nga.mil/genc/view?v=114088&amp;gencs=T&amp;end_month=3&amp;end_day=31&amp;end_year=2014","Firenze")</f>
        <v>Firenze</v>
      </c>
      <c r="H1905" s="87" t="str">
        <f>HYPERLINK("http://api.nsgreg.nga.mil/geo-division/ISO3166-2/6/ed3/IT-FI","IT-FI")</f>
        <v>IT-FI</v>
      </c>
    </row>
    <row r="1906" spans="1:8" x14ac:dyDescent="0.2">
      <c r="A1906" s="157"/>
      <c r="B1906" s="31" t="s">
        <v>7568</v>
      </c>
      <c r="C1906" s="31" t="s">
        <v>7569</v>
      </c>
      <c r="D1906" s="98" t="s">
        <v>1920</v>
      </c>
      <c r="E1906" s="99" t="b">
        <v>0</v>
      </c>
      <c r="F1906" s="106" t="s">
        <v>7570</v>
      </c>
      <c r="G1906" s="116" t="str">
        <f>HYPERLINK("http://nsgreg.nga.mil/genc/view?v=114087&amp;gencs=T&amp;end_month=3&amp;end_day=31&amp;end_year=2014","Foggia")</f>
        <v>Foggia</v>
      </c>
      <c r="H1906" s="87" t="str">
        <f>HYPERLINK("http://api.nsgreg.nga.mil/geo-division/ISO3166-2/6/ed3/IT-FG","IT-FG")</f>
        <v>IT-FG</v>
      </c>
    </row>
    <row r="1907" spans="1:8" x14ac:dyDescent="0.2">
      <c r="A1907" s="157"/>
      <c r="B1907" s="31" t="s">
        <v>7571</v>
      </c>
      <c r="C1907" s="31" t="s">
        <v>7572</v>
      </c>
      <c r="D1907" s="98" t="s">
        <v>1920</v>
      </c>
      <c r="E1907" s="99" t="b">
        <v>0</v>
      </c>
      <c r="F1907" s="107" t="s">
        <v>7573</v>
      </c>
      <c r="G1907" s="116" t="str">
        <f>HYPERLINK("http://nsgreg.nga.mil/genc/view?v=201560&amp;end_month=3&amp;end_day=31&amp;end_year=2014","Forli")</f>
        <v>Forli</v>
      </c>
      <c r="H1907" s="87" t="str">
        <f>HYPERLINK("http://api.nsgreg.nga.mil/geo-division/GENC/6/ed2/IT-FC","IT-FC")</f>
        <v>IT-FC</v>
      </c>
    </row>
    <row r="1908" spans="1:8" x14ac:dyDescent="0.2">
      <c r="A1908" s="157"/>
      <c r="B1908" s="31" t="s">
        <v>7574</v>
      </c>
      <c r="C1908" s="31" t="s">
        <v>7575</v>
      </c>
      <c r="D1908" s="31" t="s">
        <v>3137</v>
      </c>
      <c r="E1908" s="61" t="b">
        <v>1</v>
      </c>
      <c r="F1908" s="106" t="s">
        <v>7576</v>
      </c>
      <c r="G1908" s="116" t="str">
        <f>HYPERLINK("http://nsgreg.nga.mil/genc/view?v=114038&amp;gencs=T&amp;end_month=3&amp;end_day=31&amp;end_year=2014","Friuli-Venezia Giulia")</f>
        <v>Friuli-Venezia Giulia</v>
      </c>
      <c r="H1908" s="87" t="str">
        <f>HYPERLINK("http://api.nsgreg.nga.mil/geo-division/ISO3166-2/6/ed3/IT-36","IT-36")</f>
        <v>IT-36</v>
      </c>
    </row>
    <row r="1909" spans="1:8" x14ac:dyDescent="0.2">
      <c r="A1909" s="157"/>
      <c r="B1909" s="31" t="s">
        <v>7577</v>
      </c>
      <c r="C1909" s="31" t="s">
        <v>7578</v>
      </c>
      <c r="D1909" s="98" t="s">
        <v>1920</v>
      </c>
      <c r="E1909" s="99" t="b">
        <v>0</v>
      </c>
      <c r="F1909" s="106" t="s">
        <v>7579</v>
      </c>
      <c r="G1909" s="116" t="str">
        <f>HYPERLINK("http://nsgreg.nga.mil/genc/view?v=114090&amp;gencs=T&amp;end_month=3&amp;end_day=31&amp;end_year=2014","Frosinone")</f>
        <v>Frosinone</v>
      </c>
      <c r="H1909" s="87" t="str">
        <f>HYPERLINK("http://api.nsgreg.nga.mil/geo-division/ISO3166-2/6/ed3/IT-FR","IT-FR")</f>
        <v>IT-FR</v>
      </c>
    </row>
    <row r="1910" spans="1:8" x14ac:dyDescent="0.2">
      <c r="A1910" s="157"/>
      <c r="B1910" s="31" t="s">
        <v>7580</v>
      </c>
      <c r="C1910" s="31" t="s">
        <v>7581</v>
      </c>
      <c r="D1910" s="98" t="s">
        <v>1920</v>
      </c>
      <c r="E1910" s="99" t="b">
        <v>0</v>
      </c>
      <c r="F1910" s="106" t="s">
        <v>7582</v>
      </c>
      <c r="G1910" s="116" t="str">
        <f>HYPERLINK("http://nsgreg.nga.mil/genc/view?v=114091&amp;gencs=T&amp;end_month=3&amp;end_day=31&amp;end_year=2014","Genova")</f>
        <v>Genova</v>
      </c>
      <c r="H1910" s="87" t="str">
        <f>HYPERLINK("http://api.nsgreg.nga.mil/geo-division/ISO3166-2/6/ed3/IT-GE","IT-GE")</f>
        <v>IT-GE</v>
      </c>
    </row>
    <row r="1911" spans="1:8" x14ac:dyDescent="0.2">
      <c r="A1911" s="157"/>
      <c r="B1911" s="31" t="s">
        <v>7583</v>
      </c>
      <c r="C1911" s="31" t="s">
        <v>7584</v>
      </c>
      <c r="D1911" s="98" t="s">
        <v>1920</v>
      </c>
      <c r="E1911" s="99" t="b">
        <v>0</v>
      </c>
      <c r="F1911" s="106" t="s">
        <v>7585</v>
      </c>
      <c r="G1911" s="116" t="str">
        <f>HYPERLINK("http://nsgreg.nga.mil/genc/view?v=114092&amp;gencs=T&amp;end_month=3&amp;end_day=31&amp;end_year=2014","Gorizia")</f>
        <v>Gorizia</v>
      </c>
      <c r="H1911" s="87" t="str">
        <f>HYPERLINK("http://api.nsgreg.nga.mil/geo-division/ISO3166-2/6/ed3/IT-GO","IT-GO")</f>
        <v>IT-GO</v>
      </c>
    </row>
    <row r="1912" spans="1:8" x14ac:dyDescent="0.2">
      <c r="A1912" s="157"/>
      <c r="B1912" s="31" t="s">
        <v>7586</v>
      </c>
      <c r="C1912" s="31" t="s">
        <v>7587</v>
      </c>
      <c r="D1912" s="98" t="s">
        <v>1920</v>
      </c>
      <c r="E1912" s="99" t="b">
        <v>0</v>
      </c>
      <c r="F1912" s="106" t="s">
        <v>7588</v>
      </c>
      <c r="G1912" s="116" t="str">
        <f>HYPERLINK("http://nsgreg.nga.mil/genc/view?v=114093&amp;gencs=T&amp;end_month=3&amp;end_day=31&amp;end_year=2014","Grosseto")</f>
        <v>Grosseto</v>
      </c>
      <c r="H1912" s="87" t="str">
        <f>HYPERLINK("http://api.nsgreg.nga.mil/geo-division/ISO3166-2/6/ed3/IT-GR","IT-GR")</f>
        <v>IT-GR</v>
      </c>
    </row>
    <row r="1913" spans="1:8" x14ac:dyDescent="0.2">
      <c r="A1913" s="157"/>
      <c r="B1913" s="31" t="s">
        <v>7589</v>
      </c>
      <c r="C1913" s="31" t="s">
        <v>7590</v>
      </c>
      <c r="D1913" s="98" t="s">
        <v>1920</v>
      </c>
      <c r="E1913" s="99" t="b">
        <v>0</v>
      </c>
      <c r="F1913" s="106" t="s">
        <v>7591</v>
      </c>
      <c r="G1913" s="116" t="str">
        <f>HYPERLINK("http://nsgreg.nga.mil/genc/view?v=114094&amp;gencs=T&amp;end_month=3&amp;end_day=31&amp;end_year=2014","Imperia")</f>
        <v>Imperia</v>
      </c>
      <c r="H1913" s="87" t="str">
        <f>HYPERLINK("http://api.nsgreg.nga.mil/geo-division/ISO3166-2/6/ed3/IT-IM","IT-IM")</f>
        <v>IT-IM</v>
      </c>
    </row>
    <row r="1914" spans="1:8" x14ac:dyDescent="0.2">
      <c r="A1914" s="157"/>
      <c r="B1914" s="31" t="s">
        <v>7592</v>
      </c>
      <c r="C1914" s="31" t="s">
        <v>7593</v>
      </c>
      <c r="D1914" s="98" t="s">
        <v>1920</v>
      </c>
      <c r="E1914" s="99" t="b">
        <v>0</v>
      </c>
      <c r="F1914" s="106" t="s">
        <v>7594</v>
      </c>
      <c r="G1914" s="116" t="str">
        <f>HYPERLINK("http://nsgreg.nga.mil/genc/view?v=114095&amp;gencs=T&amp;end_month=3&amp;end_day=31&amp;end_year=2014","Isernia")</f>
        <v>Isernia</v>
      </c>
      <c r="H1914" s="87" t="str">
        <f>HYPERLINK("http://api.nsgreg.nga.mil/geo-division/ISO3166-2/6/ed3/IT-IS","IT-IS")</f>
        <v>IT-IS</v>
      </c>
    </row>
    <row r="1915" spans="1:8" x14ac:dyDescent="0.2">
      <c r="A1915" s="157"/>
      <c r="B1915" s="31" t="s">
        <v>7595</v>
      </c>
      <c r="C1915" s="31" t="s">
        <v>7596</v>
      </c>
      <c r="D1915" s="98" t="s">
        <v>1920</v>
      </c>
      <c r="E1915" s="99" t="b">
        <v>0</v>
      </c>
      <c r="F1915" s="107" t="s">
        <v>7597</v>
      </c>
      <c r="G1915" s="116" t="str">
        <f>HYPERLINK("http://nsgreg.nga.mil/genc/view?v=203400&amp;end_month=3&amp;end_day=31&amp;end_year=2014","L’Aquila")</f>
        <v>L’Aquila</v>
      </c>
      <c r="H1915" s="87" t="str">
        <f>HYPERLINK("http://api.nsgreg.nga.mil/geo-division/GENC/6/ed2/IT-AQ","IT-AQ")</f>
        <v>IT-AQ</v>
      </c>
    </row>
    <row r="1916" spans="1:8" x14ac:dyDescent="0.2">
      <c r="A1916" s="157"/>
      <c r="B1916" s="31" t="s">
        <v>7598</v>
      </c>
      <c r="C1916" s="31" t="s">
        <v>7599</v>
      </c>
      <c r="D1916" s="98" t="s">
        <v>1920</v>
      </c>
      <c r="E1916" s="99" t="b">
        <v>0</v>
      </c>
      <c r="F1916" s="106" t="s">
        <v>7600</v>
      </c>
      <c r="G1916" s="116" t="str">
        <f>HYPERLINK("http://nsgreg.nga.mil/genc/view?v=114141&amp;gencs=T&amp;end_month=3&amp;end_day=31&amp;end_year=2014","La Spezia")</f>
        <v>La Spezia</v>
      </c>
      <c r="H1916" s="87" t="str">
        <f>HYPERLINK("http://api.nsgreg.nga.mil/geo-division/ISO3166-2/6/ed3/IT-SP","IT-SP")</f>
        <v>IT-SP</v>
      </c>
    </row>
    <row r="1917" spans="1:8" x14ac:dyDescent="0.2">
      <c r="A1917" s="157"/>
      <c r="B1917" s="31" t="s">
        <v>7601</v>
      </c>
      <c r="C1917" s="31" t="s">
        <v>7602</v>
      </c>
      <c r="D1917" s="98" t="s">
        <v>1920</v>
      </c>
      <c r="E1917" s="99" t="b">
        <v>0</v>
      </c>
      <c r="F1917" s="106" t="s">
        <v>7603</v>
      </c>
      <c r="G1917" s="116" t="str">
        <f>HYPERLINK("http://nsgreg.nga.mil/genc/view?v=114101&amp;gencs=T&amp;end_month=3&amp;end_day=31&amp;end_year=2014","Latina")</f>
        <v>Latina</v>
      </c>
      <c r="H1917" s="87" t="str">
        <f>HYPERLINK("http://api.nsgreg.nga.mil/geo-division/ISO3166-2/6/ed3/IT-LT","IT-LT")</f>
        <v>IT-LT</v>
      </c>
    </row>
    <row r="1918" spans="1:8" x14ac:dyDescent="0.2">
      <c r="A1918" s="157"/>
      <c r="B1918" s="31" t="s">
        <v>7604</v>
      </c>
      <c r="C1918" s="31" t="s">
        <v>7605</v>
      </c>
      <c r="D1918" s="31" t="s">
        <v>3137</v>
      </c>
      <c r="E1918" s="61" t="b">
        <v>1</v>
      </c>
      <c r="F1918" s="106" t="s">
        <v>7606</v>
      </c>
      <c r="G1918" s="116" t="str">
        <f>HYPERLINK("http://nsgreg.nga.mil/genc/view?v=114044&amp;gencs=T&amp;end_month=3&amp;end_day=31&amp;end_year=2014","Lazio")</f>
        <v>Lazio</v>
      </c>
      <c r="H1918" s="87" t="str">
        <f>HYPERLINK("http://api.nsgreg.nga.mil/geo-division/ISO3166-2/6/ed3/IT-62","IT-62")</f>
        <v>IT-62</v>
      </c>
    </row>
    <row r="1919" spans="1:8" x14ac:dyDescent="0.2">
      <c r="A1919" s="157"/>
      <c r="B1919" s="31" t="s">
        <v>7607</v>
      </c>
      <c r="C1919" s="31" t="s">
        <v>7608</v>
      </c>
      <c r="D1919" s="98" t="s">
        <v>1920</v>
      </c>
      <c r="E1919" s="99" t="b">
        <v>0</v>
      </c>
      <c r="F1919" s="106" t="s">
        <v>7609</v>
      </c>
      <c r="G1919" s="116" t="str">
        <f>HYPERLINK("http://nsgreg.nga.mil/genc/view?v=114098&amp;gencs=T&amp;end_month=3&amp;end_day=31&amp;end_year=2014","Lecce")</f>
        <v>Lecce</v>
      </c>
      <c r="H1919" s="87" t="str">
        <f>HYPERLINK("http://api.nsgreg.nga.mil/geo-division/ISO3166-2/6/ed3/IT-LE","IT-LE")</f>
        <v>IT-LE</v>
      </c>
    </row>
    <row r="1920" spans="1:8" x14ac:dyDescent="0.2">
      <c r="A1920" s="157"/>
      <c r="B1920" s="31" t="s">
        <v>7610</v>
      </c>
      <c r="C1920" s="31" t="s">
        <v>7611</v>
      </c>
      <c r="D1920" s="98" t="s">
        <v>1920</v>
      </c>
      <c r="E1920" s="99" t="b">
        <v>0</v>
      </c>
      <c r="F1920" s="106" t="s">
        <v>7612</v>
      </c>
      <c r="G1920" s="116" t="str">
        <f>HYPERLINK("http://nsgreg.nga.mil/genc/view?v=114097&amp;gencs=T&amp;end_month=3&amp;end_day=31&amp;end_year=2014","Lecco")</f>
        <v>Lecco</v>
      </c>
      <c r="H1920" s="87" t="str">
        <f>HYPERLINK("http://api.nsgreg.nga.mil/geo-division/ISO3166-2/6/ed3/IT-LC","IT-LC")</f>
        <v>IT-LC</v>
      </c>
    </row>
    <row r="1921" spans="1:8" x14ac:dyDescent="0.2">
      <c r="A1921" s="157"/>
      <c r="B1921" s="31" t="s">
        <v>7613</v>
      </c>
      <c r="C1921" s="31" t="s">
        <v>7614</v>
      </c>
      <c r="D1921" s="31" t="s">
        <v>3137</v>
      </c>
      <c r="E1921" s="61" t="b">
        <v>1</v>
      </c>
      <c r="F1921" s="106" t="s">
        <v>7615</v>
      </c>
      <c r="G1921" s="116" t="str">
        <f>HYPERLINK("http://nsgreg.nga.mil/genc/view?v=114039&amp;gencs=T&amp;end_month=3&amp;end_day=31&amp;end_year=2014","Liguria")</f>
        <v>Liguria</v>
      </c>
      <c r="H1921" s="87" t="str">
        <f>HYPERLINK("http://api.nsgreg.nga.mil/geo-division/ISO3166-2/6/ed3/IT-42","IT-42")</f>
        <v>IT-42</v>
      </c>
    </row>
    <row r="1922" spans="1:8" x14ac:dyDescent="0.2">
      <c r="A1922" s="157"/>
      <c r="B1922" s="31" t="s">
        <v>7616</v>
      </c>
      <c r="C1922" s="31" t="s">
        <v>7617</v>
      </c>
      <c r="D1922" s="98" t="s">
        <v>1920</v>
      </c>
      <c r="E1922" s="99" t="b">
        <v>0</v>
      </c>
      <c r="F1922" s="106" t="s">
        <v>7618</v>
      </c>
      <c r="G1922" s="116" t="str">
        <f>HYPERLINK("http://nsgreg.nga.mil/genc/view?v=114099&amp;gencs=T&amp;end_month=3&amp;end_day=31&amp;end_year=2014","Livorno")</f>
        <v>Livorno</v>
      </c>
      <c r="H1922" s="87" t="str">
        <f>HYPERLINK("http://api.nsgreg.nga.mil/geo-division/ISO3166-2/6/ed3/IT-LI","IT-LI")</f>
        <v>IT-LI</v>
      </c>
    </row>
    <row r="1923" spans="1:8" x14ac:dyDescent="0.2">
      <c r="A1923" s="157"/>
      <c r="B1923" s="31" t="s">
        <v>7619</v>
      </c>
      <c r="C1923" s="31" t="s">
        <v>7620</v>
      </c>
      <c r="D1923" s="98" t="s">
        <v>1920</v>
      </c>
      <c r="E1923" s="99" t="b">
        <v>0</v>
      </c>
      <c r="F1923" s="106" t="s">
        <v>7621</v>
      </c>
      <c r="G1923" s="116" t="str">
        <f>HYPERLINK("http://nsgreg.nga.mil/genc/view?v=114100&amp;gencs=T&amp;end_month=3&amp;end_day=31&amp;end_year=2014","Lodi")</f>
        <v>Lodi</v>
      </c>
      <c r="H1923" s="87" t="str">
        <f>HYPERLINK("http://api.nsgreg.nga.mil/geo-division/ISO3166-2/6/ed3/IT-LO","IT-LO")</f>
        <v>IT-LO</v>
      </c>
    </row>
    <row r="1924" spans="1:8" x14ac:dyDescent="0.2">
      <c r="A1924" s="157"/>
      <c r="B1924" s="31" t="s">
        <v>7622</v>
      </c>
      <c r="C1924" s="31" t="s">
        <v>7623</v>
      </c>
      <c r="D1924" s="31" t="s">
        <v>3137</v>
      </c>
      <c r="E1924" s="61" t="b">
        <v>1</v>
      </c>
      <c r="F1924" s="107" t="s">
        <v>7624</v>
      </c>
      <c r="G1924" s="116" t="str">
        <f>HYPERLINK("http://nsgreg.nga.mil/genc/view?v=201557&amp;end_month=3&amp;end_day=31&amp;end_year=2014","Lombardy")</f>
        <v>Lombardy</v>
      </c>
      <c r="H1924" s="87" t="str">
        <f>HYPERLINK("http://api.nsgreg.nga.mil/geo-division/GENC/6/ed2/IT-25","IT-25")</f>
        <v>IT-25</v>
      </c>
    </row>
    <row r="1925" spans="1:8" x14ac:dyDescent="0.2">
      <c r="A1925" s="157"/>
      <c r="B1925" s="31" t="s">
        <v>7625</v>
      </c>
      <c r="C1925" s="31" t="s">
        <v>7626</v>
      </c>
      <c r="D1925" s="98" t="s">
        <v>1920</v>
      </c>
      <c r="E1925" s="99" t="b">
        <v>0</v>
      </c>
      <c r="F1925" s="106" t="s">
        <v>7627</v>
      </c>
      <c r="G1925" s="116" t="str">
        <f>HYPERLINK("http://nsgreg.nga.mil/genc/view?v=114102&amp;gencs=T&amp;end_month=3&amp;end_day=31&amp;end_year=2014","Lucca")</f>
        <v>Lucca</v>
      </c>
      <c r="H1925" s="87" t="str">
        <f>HYPERLINK("http://api.nsgreg.nga.mil/geo-division/ISO3166-2/6/ed3/IT-LU","IT-LU")</f>
        <v>IT-LU</v>
      </c>
    </row>
    <row r="1926" spans="1:8" x14ac:dyDescent="0.2">
      <c r="A1926" s="157"/>
      <c r="B1926" s="31" t="s">
        <v>7628</v>
      </c>
      <c r="C1926" s="31" t="s">
        <v>7629</v>
      </c>
      <c r="D1926" s="98" t="s">
        <v>1920</v>
      </c>
      <c r="E1926" s="99" t="b">
        <v>0</v>
      </c>
      <c r="F1926" s="106" t="s">
        <v>7630</v>
      </c>
      <c r="G1926" s="116" t="str">
        <f>HYPERLINK("http://nsgreg.nga.mil/genc/view?v=114104&amp;gencs=T&amp;end_month=3&amp;end_day=31&amp;end_year=2014","Macerata")</f>
        <v>Macerata</v>
      </c>
      <c r="H1926" s="87" t="str">
        <f>HYPERLINK("http://api.nsgreg.nga.mil/geo-division/ISO3166-2/6/ed3/IT-MC","IT-MC")</f>
        <v>IT-MC</v>
      </c>
    </row>
    <row r="1927" spans="1:8" x14ac:dyDescent="0.2">
      <c r="A1927" s="157"/>
      <c r="B1927" s="31" t="s">
        <v>7631</v>
      </c>
      <c r="C1927" s="31" t="s">
        <v>7632</v>
      </c>
      <c r="D1927" s="98" t="s">
        <v>1920</v>
      </c>
      <c r="E1927" s="99" t="b">
        <v>0</v>
      </c>
      <c r="F1927" s="106" t="s">
        <v>7633</v>
      </c>
      <c r="G1927" s="116" t="str">
        <f>HYPERLINK("http://nsgreg.nga.mil/genc/view?v=114107&amp;gencs=T&amp;end_month=3&amp;end_day=31&amp;end_year=2014","Mantova")</f>
        <v>Mantova</v>
      </c>
      <c r="H1927" s="87" t="str">
        <f>HYPERLINK("http://api.nsgreg.nga.mil/geo-division/ISO3166-2/6/ed3/IT-MN","IT-MN")</f>
        <v>IT-MN</v>
      </c>
    </row>
    <row r="1928" spans="1:8" x14ac:dyDescent="0.2">
      <c r="A1928" s="157"/>
      <c r="B1928" s="31" t="s">
        <v>7634</v>
      </c>
      <c r="C1928" s="31" t="s">
        <v>7635</v>
      </c>
      <c r="D1928" s="31" t="s">
        <v>3137</v>
      </c>
      <c r="E1928" s="61" t="b">
        <v>1</v>
      </c>
      <c r="F1928" s="106" t="s">
        <v>7636</v>
      </c>
      <c r="G1928" s="116" t="str">
        <f>HYPERLINK("http://nsgreg.nga.mil/genc/view?v=114043&amp;gencs=T&amp;end_month=3&amp;end_day=31&amp;end_year=2014","Marche")</f>
        <v>Marche</v>
      </c>
      <c r="H1928" s="87" t="str">
        <f>HYPERLINK("http://api.nsgreg.nga.mil/geo-division/ISO3166-2/6/ed3/IT-57","IT-57")</f>
        <v>IT-57</v>
      </c>
    </row>
    <row r="1929" spans="1:8" x14ac:dyDescent="0.2">
      <c r="A1929" s="157"/>
      <c r="B1929" s="31" t="s">
        <v>7637</v>
      </c>
      <c r="C1929" s="31" t="s">
        <v>7638</v>
      </c>
      <c r="D1929" s="98" t="s">
        <v>1920</v>
      </c>
      <c r="E1929" s="99" t="b">
        <v>0</v>
      </c>
      <c r="F1929" s="106" t="s">
        <v>7639</v>
      </c>
      <c r="G1929" s="116" t="str">
        <f>HYPERLINK("http://nsgreg.nga.mil/genc/view?v=114109&amp;gencs=T&amp;end_month=3&amp;end_day=31&amp;end_year=2014","Massa-Carrara")</f>
        <v>Massa-Carrara</v>
      </c>
      <c r="H1929" s="87" t="str">
        <f>HYPERLINK("http://api.nsgreg.nga.mil/geo-division/ISO3166-2/6/ed3/IT-MS","IT-MS")</f>
        <v>IT-MS</v>
      </c>
    </row>
    <row r="1930" spans="1:8" x14ac:dyDescent="0.2">
      <c r="A1930" s="157"/>
      <c r="B1930" s="31" t="s">
        <v>7640</v>
      </c>
      <c r="C1930" s="31" t="s">
        <v>7641</v>
      </c>
      <c r="D1930" s="98" t="s">
        <v>1920</v>
      </c>
      <c r="E1930" s="99" t="b">
        <v>0</v>
      </c>
      <c r="F1930" s="106" t="s">
        <v>7642</v>
      </c>
      <c r="G1930" s="116" t="str">
        <f>HYPERLINK("http://nsgreg.nga.mil/genc/view?v=114110&amp;gencs=T&amp;end_month=3&amp;end_day=31&amp;end_year=2014","Matera")</f>
        <v>Matera</v>
      </c>
      <c r="H1930" s="87" t="str">
        <f>HYPERLINK("http://api.nsgreg.nga.mil/geo-division/ISO3166-2/6/ed3/IT-MT","IT-MT")</f>
        <v>IT-MT</v>
      </c>
    </row>
    <row r="1931" spans="1:8" x14ac:dyDescent="0.2">
      <c r="A1931" s="157"/>
      <c r="B1931" s="31" t="s">
        <v>7643</v>
      </c>
      <c r="C1931" s="31" t="s">
        <v>7644</v>
      </c>
      <c r="D1931" s="98" t="s">
        <v>1920</v>
      </c>
      <c r="E1931" s="99" t="b">
        <v>0</v>
      </c>
      <c r="F1931" s="106" t="s">
        <v>7645</v>
      </c>
      <c r="G1931" s="116" t="str">
        <f>HYPERLINK("http://nsgreg.nga.mil/genc/view?v=114160&amp;gencs=T&amp;end_month=3&amp;end_day=31&amp;end_year=2014","Medio Campidano")</f>
        <v>Medio Campidano</v>
      </c>
      <c r="H1931" s="87" t="str">
        <f>HYPERLINK("http://api.nsgreg.nga.mil/geo-division/ISO3166-2/6/ed3/IT-VS","IT-VS")</f>
        <v>IT-VS</v>
      </c>
    </row>
    <row r="1932" spans="1:8" x14ac:dyDescent="0.2">
      <c r="A1932" s="157"/>
      <c r="B1932" s="31" t="s">
        <v>7646</v>
      </c>
      <c r="C1932" s="31" t="s">
        <v>7647</v>
      </c>
      <c r="D1932" s="98" t="s">
        <v>1920</v>
      </c>
      <c r="E1932" s="99" t="b">
        <v>0</v>
      </c>
      <c r="F1932" s="106" t="s">
        <v>7648</v>
      </c>
      <c r="G1932" s="116" t="str">
        <f>HYPERLINK("http://nsgreg.nga.mil/genc/view?v=114105&amp;gencs=T&amp;end_month=3&amp;end_day=31&amp;end_year=2014","Messina")</f>
        <v>Messina</v>
      </c>
      <c r="H1932" s="87" t="str">
        <f>HYPERLINK("http://api.nsgreg.nga.mil/geo-division/ISO3166-2/6/ed3/IT-ME","IT-ME")</f>
        <v>IT-ME</v>
      </c>
    </row>
    <row r="1933" spans="1:8" x14ac:dyDescent="0.2">
      <c r="A1933" s="157"/>
      <c r="B1933" s="31" t="s">
        <v>7649</v>
      </c>
      <c r="C1933" s="31" t="s">
        <v>7650</v>
      </c>
      <c r="D1933" s="98" t="s">
        <v>1920</v>
      </c>
      <c r="E1933" s="99" t="b">
        <v>0</v>
      </c>
      <c r="F1933" s="106" t="s">
        <v>7651</v>
      </c>
      <c r="G1933" s="116" t="str">
        <f>HYPERLINK("http://nsgreg.nga.mil/genc/view?v=114106&amp;gencs=T&amp;end_month=3&amp;end_day=31&amp;end_year=2014","Milano")</f>
        <v>Milano</v>
      </c>
      <c r="H1933" s="87" t="str">
        <f>HYPERLINK("http://api.nsgreg.nga.mil/geo-division/ISO3166-2/6/ed3/IT-MI","IT-MI")</f>
        <v>IT-MI</v>
      </c>
    </row>
    <row r="1934" spans="1:8" x14ac:dyDescent="0.2">
      <c r="A1934" s="157"/>
      <c r="B1934" s="31" t="s">
        <v>7652</v>
      </c>
      <c r="C1934" s="31" t="s">
        <v>7653</v>
      </c>
      <c r="D1934" s="98" t="s">
        <v>1920</v>
      </c>
      <c r="E1934" s="99" t="b">
        <v>0</v>
      </c>
      <c r="F1934" s="106" t="s">
        <v>7654</v>
      </c>
      <c r="G1934" s="116" t="str">
        <f>HYPERLINK("http://nsgreg.nga.mil/genc/view?v=114108&amp;gencs=T&amp;end_month=3&amp;end_day=31&amp;end_year=2014","Modena")</f>
        <v>Modena</v>
      </c>
      <c r="H1934" s="87" t="str">
        <f>HYPERLINK("http://api.nsgreg.nga.mil/geo-division/ISO3166-2/6/ed3/IT-MO","IT-MO")</f>
        <v>IT-MO</v>
      </c>
    </row>
    <row r="1935" spans="1:8" x14ac:dyDescent="0.2">
      <c r="A1935" s="157"/>
      <c r="B1935" s="31" t="s">
        <v>7655</v>
      </c>
      <c r="C1935" s="31" t="s">
        <v>7656</v>
      </c>
      <c r="D1935" s="31" t="s">
        <v>3137</v>
      </c>
      <c r="E1935" s="61" t="b">
        <v>1</v>
      </c>
      <c r="F1935" s="106" t="s">
        <v>7657</v>
      </c>
      <c r="G1935" s="116" t="str">
        <f>HYPERLINK("http://nsgreg.nga.mil/genc/view?v=114046&amp;gencs=T&amp;end_month=3&amp;end_day=31&amp;end_year=2014","Molise")</f>
        <v>Molise</v>
      </c>
      <c r="H1935" s="87" t="str">
        <f>HYPERLINK("http://api.nsgreg.nga.mil/geo-division/ISO3166-2/6/ed3/IT-67","IT-67")</f>
        <v>IT-67</v>
      </c>
    </row>
    <row r="1936" spans="1:8" x14ac:dyDescent="0.2">
      <c r="A1936" s="157"/>
      <c r="B1936" s="31" t="s">
        <v>7658</v>
      </c>
      <c r="C1936" s="31" t="s">
        <v>7659</v>
      </c>
      <c r="D1936" s="98" t="s">
        <v>1920</v>
      </c>
      <c r="E1936" s="99" t="b">
        <v>0</v>
      </c>
      <c r="F1936" s="106" t="s">
        <v>7660</v>
      </c>
      <c r="G1936" s="116" t="str">
        <f>HYPERLINK("http://nsgreg.nga.mil/genc/view?v=114103&amp;gencs=T&amp;end_month=3&amp;end_day=31&amp;end_year=2014","Monza e Brianza")</f>
        <v>Monza e Brianza</v>
      </c>
      <c r="H1936" s="87" t="str">
        <f>HYPERLINK("http://api.nsgreg.nga.mil/geo-division/ISO3166-2/6/ed3/IT-MB","IT-MB")</f>
        <v>IT-MB</v>
      </c>
    </row>
    <row r="1937" spans="1:8" x14ac:dyDescent="0.2">
      <c r="A1937" s="157"/>
      <c r="B1937" s="31" t="s">
        <v>7661</v>
      </c>
      <c r="C1937" s="31" t="s">
        <v>7662</v>
      </c>
      <c r="D1937" s="98" t="s">
        <v>1920</v>
      </c>
      <c r="E1937" s="99" t="b">
        <v>0</v>
      </c>
      <c r="F1937" s="106" t="s">
        <v>7663</v>
      </c>
      <c r="G1937" s="116" t="str">
        <f>HYPERLINK("http://nsgreg.nga.mil/genc/view?v=114111&amp;gencs=T&amp;end_month=3&amp;end_day=31&amp;end_year=2014","Napoli")</f>
        <v>Napoli</v>
      </c>
      <c r="H1937" s="87" t="str">
        <f>HYPERLINK("http://api.nsgreg.nga.mil/geo-division/ISO3166-2/6/ed3/IT-NA","IT-NA")</f>
        <v>IT-NA</v>
      </c>
    </row>
    <row r="1938" spans="1:8" x14ac:dyDescent="0.2">
      <c r="A1938" s="157"/>
      <c r="B1938" s="31" t="s">
        <v>7664</v>
      </c>
      <c r="C1938" s="31" t="s">
        <v>7665</v>
      </c>
      <c r="D1938" s="98" t="s">
        <v>1920</v>
      </c>
      <c r="E1938" s="99" t="b">
        <v>0</v>
      </c>
      <c r="F1938" s="106" t="s">
        <v>7666</v>
      </c>
      <c r="G1938" s="116" t="str">
        <f>HYPERLINK("http://nsgreg.nga.mil/genc/view?v=114112&amp;gencs=T&amp;end_month=3&amp;end_day=31&amp;end_year=2014","Novara")</f>
        <v>Novara</v>
      </c>
      <c r="H1938" s="87" t="str">
        <f>HYPERLINK("http://api.nsgreg.nga.mil/geo-division/ISO3166-2/6/ed3/IT-NO","IT-NO")</f>
        <v>IT-NO</v>
      </c>
    </row>
    <row r="1939" spans="1:8" x14ac:dyDescent="0.2">
      <c r="A1939" s="157"/>
      <c r="B1939" s="31" t="s">
        <v>7667</v>
      </c>
      <c r="C1939" s="31" t="s">
        <v>7668</v>
      </c>
      <c r="D1939" s="98" t="s">
        <v>1920</v>
      </c>
      <c r="E1939" s="99" t="b">
        <v>0</v>
      </c>
      <c r="F1939" s="106" t="s">
        <v>7669</v>
      </c>
      <c r="G1939" s="116" t="str">
        <f>HYPERLINK("http://nsgreg.nga.mil/genc/view?v=114113&amp;gencs=T&amp;end_month=3&amp;end_day=31&amp;end_year=2014","Nuoro")</f>
        <v>Nuoro</v>
      </c>
      <c r="H1939" s="87" t="str">
        <f>HYPERLINK("http://api.nsgreg.nga.mil/geo-division/ISO3166-2/6/ed3/IT-NU","IT-NU")</f>
        <v>IT-NU</v>
      </c>
    </row>
    <row r="1940" spans="1:8" x14ac:dyDescent="0.2">
      <c r="A1940" s="157"/>
      <c r="B1940" s="31" t="s">
        <v>7670</v>
      </c>
      <c r="C1940" s="31" t="s">
        <v>7671</v>
      </c>
      <c r="D1940" s="98" t="s">
        <v>1920</v>
      </c>
      <c r="E1940" s="99" t="b">
        <v>0</v>
      </c>
      <c r="F1940" s="106" t="s">
        <v>7672</v>
      </c>
      <c r="G1940" s="116" t="str">
        <f>HYPERLINK("http://nsgreg.nga.mil/genc/view?v=114114&amp;gencs=T&amp;end_month=3&amp;end_day=31&amp;end_year=2014","Ogliastra")</f>
        <v>Ogliastra</v>
      </c>
      <c r="H1940" s="87" t="str">
        <f>HYPERLINK("http://api.nsgreg.nga.mil/geo-division/ISO3166-2/6/ed3/IT-OG","IT-OG")</f>
        <v>IT-OG</v>
      </c>
    </row>
    <row r="1941" spans="1:8" x14ac:dyDescent="0.2">
      <c r="A1941" s="157"/>
      <c r="B1941" s="31" t="s">
        <v>7673</v>
      </c>
      <c r="C1941" s="31" t="s">
        <v>7674</v>
      </c>
      <c r="D1941" s="98" t="s">
        <v>1920</v>
      </c>
      <c r="E1941" s="99" t="b">
        <v>0</v>
      </c>
      <c r="F1941" s="106" t="s">
        <v>7675</v>
      </c>
      <c r="G1941" s="116" t="str">
        <f>HYPERLINK("http://nsgreg.nga.mil/genc/view?v=114116&amp;gencs=T&amp;end_month=3&amp;end_day=31&amp;end_year=2014","Olbia-Tempio")</f>
        <v>Olbia-Tempio</v>
      </c>
      <c r="H1941" s="87" t="str">
        <f>HYPERLINK("http://api.nsgreg.nga.mil/geo-division/ISO3166-2/6/ed3/IT-OT","IT-OT")</f>
        <v>IT-OT</v>
      </c>
    </row>
    <row r="1942" spans="1:8" x14ac:dyDescent="0.2">
      <c r="A1942" s="157"/>
      <c r="B1942" s="31" t="s">
        <v>7676</v>
      </c>
      <c r="C1942" s="31" t="s">
        <v>7677</v>
      </c>
      <c r="D1942" s="98" t="s">
        <v>1920</v>
      </c>
      <c r="E1942" s="99" t="b">
        <v>0</v>
      </c>
      <c r="F1942" s="106" t="s">
        <v>7678</v>
      </c>
      <c r="G1942" s="116" t="str">
        <f>HYPERLINK("http://nsgreg.nga.mil/genc/view?v=114115&amp;gencs=T&amp;end_month=3&amp;end_day=31&amp;end_year=2014","Oristano")</f>
        <v>Oristano</v>
      </c>
      <c r="H1942" s="87" t="str">
        <f>HYPERLINK("http://api.nsgreg.nga.mil/geo-division/ISO3166-2/6/ed3/IT-OR","IT-OR")</f>
        <v>IT-OR</v>
      </c>
    </row>
    <row r="1943" spans="1:8" x14ac:dyDescent="0.2">
      <c r="A1943" s="157"/>
      <c r="B1943" s="31" t="s">
        <v>7679</v>
      </c>
      <c r="C1943" s="31" t="s">
        <v>7680</v>
      </c>
      <c r="D1943" s="98" t="s">
        <v>1920</v>
      </c>
      <c r="E1943" s="99" t="b">
        <v>0</v>
      </c>
      <c r="F1943" s="106" t="s">
        <v>7681</v>
      </c>
      <c r="G1943" s="116" t="str">
        <f>HYPERLINK("http://nsgreg.nga.mil/genc/view?v=114119&amp;gencs=T&amp;end_month=3&amp;end_day=31&amp;end_year=2014","Padova")</f>
        <v>Padova</v>
      </c>
      <c r="H1943" s="87" t="str">
        <f>HYPERLINK("http://api.nsgreg.nga.mil/geo-division/ISO3166-2/6/ed3/IT-PD","IT-PD")</f>
        <v>IT-PD</v>
      </c>
    </row>
    <row r="1944" spans="1:8" x14ac:dyDescent="0.2">
      <c r="A1944" s="157"/>
      <c r="B1944" s="31" t="s">
        <v>7682</v>
      </c>
      <c r="C1944" s="31" t="s">
        <v>7683</v>
      </c>
      <c r="D1944" s="98" t="s">
        <v>1920</v>
      </c>
      <c r="E1944" s="99" t="b">
        <v>0</v>
      </c>
      <c r="F1944" s="106" t="s">
        <v>7684</v>
      </c>
      <c r="G1944" s="116" t="str">
        <f>HYPERLINK("http://nsgreg.nga.mil/genc/view?v=114117&amp;gencs=T&amp;end_month=3&amp;end_day=31&amp;end_year=2014","Palermo")</f>
        <v>Palermo</v>
      </c>
      <c r="H1944" s="87" t="str">
        <f>HYPERLINK("http://api.nsgreg.nga.mil/geo-division/ISO3166-2/6/ed3/IT-PA","IT-PA")</f>
        <v>IT-PA</v>
      </c>
    </row>
    <row r="1945" spans="1:8" x14ac:dyDescent="0.2">
      <c r="A1945" s="157"/>
      <c r="B1945" s="31" t="s">
        <v>7685</v>
      </c>
      <c r="C1945" s="31" t="s">
        <v>7686</v>
      </c>
      <c r="D1945" s="98" t="s">
        <v>1920</v>
      </c>
      <c r="E1945" s="99" t="b">
        <v>0</v>
      </c>
      <c r="F1945" s="106" t="s">
        <v>7687</v>
      </c>
      <c r="G1945" s="116" t="str">
        <f>HYPERLINK("http://nsgreg.nga.mil/genc/view?v=114125&amp;gencs=T&amp;end_month=3&amp;end_day=31&amp;end_year=2014","Parma")</f>
        <v>Parma</v>
      </c>
      <c r="H1945" s="87" t="str">
        <f>HYPERLINK("http://api.nsgreg.nga.mil/geo-division/ISO3166-2/6/ed3/IT-PR","IT-PR")</f>
        <v>IT-PR</v>
      </c>
    </row>
    <row r="1946" spans="1:8" x14ac:dyDescent="0.2">
      <c r="A1946" s="157"/>
      <c r="B1946" s="31" t="s">
        <v>7688</v>
      </c>
      <c r="C1946" s="31" t="s">
        <v>7689</v>
      </c>
      <c r="D1946" s="98" t="s">
        <v>1920</v>
      </c>
      <c r="E1946" s="99" t="b">
        <v>0</v>
      </c>
      <c r="F1946" s="106" t="s">
        <v>7690</v>
      </c>
      <c r="G1946" s="116" t="str">
        <f>HYPERLINK("http://nsgreg.nga.mil/genc/view?v=114128&amp;gencs=T&amp;end_month=3&amp;end_day=31&amp;end_year=2014","Pavia")</f>
        <v>Pavia</v>
      </c>
      <c r="H1946" s="87" t="str">
        <f>HYPERLINK("http://api.nsgreg.nga.mil/geo-division/ISO3166-2/6/ed3/IT-PV","IT-PV")</f>
        <v>IT-PV</v>
      </c>
    </row>
    <row r="1947" spans="1:8" x14ac:dyDescent="0.2">
      <c r="A1947" s="157"/>
      <c r="B1947" s="31" t="s">
        <v>7691</v>
      </c>
      <c r="C1947" s="31" t="s">
        <v>7692</v>
      </c>
      <c r="D1947" s="98" t="s">
        <v>1920</v>
      </c>
      <c r="E1947" s="99" t="b">
        <v>0</v>
      </c>
      <c r="F1947" s="106" t="s">
        <v>7693</v>
      </c>
      <c r="G1947" s="116" t="str">
        <f>HYPERLINK("http://nsgreg.nga.mil/genc/view?v=114121&amp;gencs=T&amp;end_month=3&amp;end_day=31&amp;end_year=2014","Perugia")</f>
        <v>Perugia</v>
      </c>
      <c r="H1947" s="87" t="str">
        <f>HYPERLINK("http://api.nsgreg.nga.mil/geo-division/ISO3166-2/6/ed3/IT-PG","IT-PG")</f>
        <v>IT-PG</v>
      </c>
    </row>
    <row r="1948" spans="1:8" x14ac:dyDescent="0.2">
      <c r="A1948" s="157"/>
      <c r="B1948" s="31" t="s">
        <v>7694</v>
      </c>
      <c r="C1948" s="31" t="s">
        <v>7695</v>
      </c>
      <c r="D1948" s="98" t="s">
        <v>1920</v>
      </c>
      <c r="E1948" s="99" t="b">
        <v>0</v>
      </c>
      <c r="F1948" s="106" t="s">
        <v>7696</v>
      </c>
      <c r="G1948" s="116" t="str">
        <f>HYPERLINK("http://nsgreg.nga.mil/genc/view?v=114127&amp;gencs=T&amp;end_month=3&amp;end_day=31&amp;end_year=2014","Pesaro e Urbino")</f>
        <v>Pesaro e Urbino</v>
      </c>
      <c r="H1948" s="87" t="str">
        <f>HYPERLINK("http://api.nsgreg.nga.mil/geo-division/ISO3166-2/6/ed3/IT-PU","IT-PU")</f>
        <v>IT-PU</v>
      </c>
    </row>
    <row r="1949" spans="1:8" x14ac:dyDescent="0.2">
      <c r="A1949" s="157"/>
      <c r="B1949" s="31" t="s">
        <v>7697</v>
      </c>
      <c r="C1949" s="31" t="s">
        <v>7698</v>
      </c>
      <c r="D1949" s="98" t="s">
        <v>1920</v>
      </c>
      <c r="E1949" s="99" t="b">
        <v>0</v>
      </c>
      <c r="F1949" s="106" t="s">
        <v>7699</v>
      </c>
      <c r="G1949" s="116" t="str">
        <f>HYPERLINK("http://nsgreg.nga.mil/genc/view?v=114120&amp;gencs=T&amp;end_month=3&amp;end_day=31&amp;end_year=2014","Pescara")</f>
        <v>Pescara</v>
      </c>
      <c r="H1949" s="87" t="str">
        <f>HYPERLINK("http://api.nsgreg.nga.mil/geo-division/ISO3166-2/6/ed3/IT-PE","IT-PE")</f>
        <v>IT-PE</v>
      </c>
    </row>
    <row r="1950" spans="1:8" x14ac:dyDescent="0.2">
      <c r="A1950" s="157"/>
      <c r="B1950" s="31" t="s">
        <v>7700</v>
      </c>
      <c r="C1950" s="31" t="s">
        <v>7701</v>
      </c>
      <c r="D1950" s="98" t="s">
        <v>1920</v>
      </c>
      <c r="E1950" s="99" t="b">
        <v>0</v>
      </c>
      <c r="F1950" s="106" t="s">
        <v>7702</v>
      </c>
      <c r="G1950" s="116" t="str">
        <f>HYPERLINK("http://nsgreg.nga.mil/genc/view?v=114118&amp;gencs=T&amp;end_month=3&amp;end_day=31&amp;end_year=2014","Piacenza")</f>
        <v>Piacenza</v>
      </c>
      <c r="H1950" s="87" t="str">
        <f>HYPERLINK("http://api.nsgreg.nga.mil/geo-division/ISO3166-2/6/ed3/IT-PC","IT-PC")</f>
        <v>IT-PC</v>
      </c>
    </row>
    <row r="1951" spans="1:8" x14ac:dyDescent="0.2">
      <c r="A1951" s="157"/>
      <c r="B1951" s="31" t="s">
        <v>7703</v>
      </c>
      <c r="C1951" s="31" t="s">
        <v>7704</v>
      </c>
      <c r="D1951" s="31" t="s">
        <v>3137</v>
      </c>
      <c r="E1951" s="61" t="b">
        <v>1</v>
      </c>
      <c r="F1951" s="107" t="s">
        <v>7705</v>
      </c>
      <c r="G1951" s="116" t="str">
        <f>HYPERLINK("http://nsgreg.nga.mil/genc/view?v=201555&amp;end_month=3&amp;end_day=31&amp;end_year=2014","Piedmont")</f>
        <v>Piedmont</v>
      </c>
      <c r="H1951" s="87" t="str">
        <f>HYPERLINK("http://api.nsgreg.nga.mil/geo-division/GENC/6/ed2/IT-21","IT-21")</f>
        <v>IT-21</v>
      </c>
    </row>
    <row r="1952" spans="1:8" x14ac:dyDescent="0.2">
      <c r="A1952" s="157"/>
      <c r="B1952" s="31" t="s">
        <v>7706</v>
      </c>
      <c r="C1952" s="31" t="s">
        <v>7707</v>
      </c>
      <c r="D1952" s="98" t="s">
        <v>1920</v>
      </c>
      <c r="E1952" s="99" t="b">
        <v>0</v>
      </c>
      <c r="F1952" s="106" t="s">
        <v>7708</v>
      </c>
      <c r="G1952" s="116" t="str">
        <f>HYPERLINK("http://nsgreg.nga.mil/genc/view?v=114122&amp;gencs=T&amp;end_month=3&amp;end_day=31&amp;end_year=2014","Pisa")</f>
        <v>Pisa</v>
      </c>
      <c r="H1952" s="87" t="str">
        <f>HYPERLINK("http://api.nsgreg.nga.mil/geo-division/ISO3166-2/6/ed3/IT-PI","IT-PI")</f>
        <v>IT-PI</v>
      </c>
    </row>
    <row r="1953" spans="1:8" x14ac:dyDescent="0.2">
      <c r="A1953" s="157"/>
      <c r="B1953" s="31" t="s">
        <v>7709</v>
      </c>
      <c r="C1953" s="31" t="s">
        <v>7710</v>
      </c>
      <c r="D1953" s="98" t="s">
        <v>1920</v>
      </c>
      <c r="E1953" s="99" t="b">
        <v>0</v>
      </c>
      <c r="F1953" s="106" t="s">
        <v>7711</v>
      </c>
      <c r="G1953" s="116" t="str">
        <f>HYPERLINK("http://nsgreg.nga.mil/genc/view?v=114126&amp;gencs=T&amp;end_month=3&amp;end_day=31&amp;end_year=2014","Pistoia")</f>
        <v>Pistoia</v>
      </c>
      <c r="H1953" s="87" t="str">
        <f>HYPERLINK("http://api.nsgreg.nga.mil/geo-division/ISO3166-2/6/ed3/IT-PT","IT-PT")</f>
        <v>IT-PT</v>
      </c>
    </row>
    <row r="1954" spans="1:8" x14ac:dyDescent="0.2">
      <c r="A1954" s="157"/>
      <c r="B1954" s="31" t="s">
        <v>7712</v>
      </c>
      <c r="C1954" s="31" t="s">
        <v>7713</v>
      </c>
      <c r="D1954" s="98" t="s">
        <v>1920</v>
      </c>
      <c r="E1954" s="99" t="b">
        <v>0</v>
      </c>
      <c r="F1954" s="106" t="s">
        <v>7714</v>
      </c>
      <c r="G1954" s="116" t="str">
        <f>HYPERLINK("http://nsgreg.nga.mil/genc/view?v=114123&amp;gencs=T&amp;end_month=3&amp;end_day=31&amp;end_year=2014","Pordenone")</f>
        <v>Pordenone</v>
      </c>
      <c r="H1954" s="87" t="str">
        <f>HYPERLINK("http://api.nsgreg.nga.mil/geo-division/ISO3166-2/6/ed3/IT-PN","IT-PN")</f>
        <v>IT-PN</v>
      </c>
    </row>
    <row r="1955" spans="1:8" x14ac:dyDescent="0.2">
      <c r="A1955" s="157"/>
      <c r="B1955" s="31" t="s">
        <v>7715</v>
      </c>
      <c r="C1955" s="31" t="s">
        <v>7716</v>
      </c>
      <c r="D1955" s="98" t="s">
        <v>1920</v>
      </c>
      <c r="E1955" s="99" t="b">
        <v>0</v>
      </c>
      <c r="F1955" s="106" t="s">
        <v>7717</v>
      </c>
      <c r="G1955" s="116" t="str">
        <f>HYPERLINK("http://nsgreg.nga.mil/genc/view?v=114129&amp;gencs=T&amp;end_month=3&amp;end_day=31&amp;end_year=2014","Potenza")</f>
        <v>Potenza</v>
      </c>
      <c r="H1955" s="87" t="str">
        <f>HYPERLINK("http://api.nsgreg.nga.mil/geo-division/ISO3166-2/6/ed3/IT-PZ","IT-PZ")</f>
        <v>IT-PZ</v>
      </c>
    </row>
    <row r="1956" spans="1:8" x14ac:dyDescent="0.2">
      <c r="A1956" s="157"/>
      <c r="B1956" s="31" t="s">
        <v>7718</v>
      </c>
      <c r="C1956" s="31" t="s">
        <v>7719</v>
      </c>
      <c r="D1956" s="98" t="s">
        <v>1920</v>
      </c>
      <c r="E1956" s="99" t="b">
        <v>0</v>
      </c>
      <c r="F1956" s="106" t="s">
        <v>7720</v>
      </c>
      <c r="G1956" s="116" t="str">
        <f>HYPERLINK("http://nsgreg.nga.mil/genc/view?v=114124&amp;gencs=T&amp;end_month=3&amp;end_day=31&amp;end_year=2014","Prato")</f>
        <v>Prato</v>
      </c>
      <c r="H1956" s="87" t="str">
        <f>HYPERLINK("http://api.nsgreg.nga.mil/geo-division/ISO3166-2/6/ed3/IT-PO","IT-PO")</f>
        <v>IT-PO</v>
      </c>
    </row>
    <row r="1957" spans="1:8" x14ac:dyDescent="0.2">
      <c r="A1957" s="157"/>
      <c r="B1957" s="31" t="s">
        <v>7721</v>
      </c>
      <c r="C1957" s="31" t="s">
        <v>7722</v>
      </c>
      <c r="D1957" s="31" t="s">
        <v>3137</v>
      </c>
      <c r="E1957" s="61" t="b">
        <v>1</v>
      </c>
      <c r="F1957" s="106" t="s">
        <v>7723</v>
      </c>
      <c r="G1957" s="116" t="str">
        <f>HYPERLINK("http://nsgreg.nga.mil/genc/view?v=114048&amp;gencs=T&amp;end_month=3&amp;end_day=31&amp;end_year=2014","Puglia")</f>
        <v>Puglia</v>
      </c>
      <c r="H1957" s="87" t="str">
        <f>HYPERLINK("http://api.nsgreg.nga.mil/geo-division/ISO3166-2/6/ed3/IT-75","IT-75")</f>
        <v>IT-75</v>
      </c>
    </row>
    <row r="1958" spans="1:8" x14ac:dyDescent="0.2">
      <c r="A1958" s="157"/>
      <c r="B1958" s="31" t="s">
        <v>7724</v>
      </c>
      <c r="C1958" s="31" t="s">
        <v>7725</v>
      </c>
      <c r="D1958" s="98" t="s">
        <v>1920</v>
      </c>
      <c r="E1958" s="99" t="b">
        <v>0</v>
      </c>
      <c r="F1958" s="106" t="s">
        <v>7726</v>
      </c>
      <c r="G1958" s="116" t="str">
        <f>HYPERLINK("http://nsgreg.nga.mil/genc/view?v=114133&amp;gencs=T&amp;end_month=3&amp;end_day=31&amp;end_year=2014","Ragusa")</f>
        <v>Ragusa</v>
      </c>
      <c r="H1958" s="87" t="str">
        <f>HYPERLINK("http://api.nsgreg.nga.mil/geo-division/ISO3166-2/6/ed3/IT-RG","IT-RG")</f>
        <v>IT-RG</v>
      </c>
    </row>
    <row r="1959" spans="1:8" x14ac:dyDescent="0.2">
      <c r="A1959" s="157"/>
      <c r="B1959" s="31" t="s">
        <v>7727</v>
      </c>
      <c r="C1959" s="31" t="s">
        <v>7728</v>
      </c>
      <c r="D1959" s="98" t="s">
        <v>1920</v>
      </c>
      <c r="E1959" s="99" t="b">
        <v>0</v>
      </c>
      <c r="F1959" s="106" t="s">
        <v>7729</v>
      </c>
      <c r="G1959" s="116" t="str">
        <f>HYPERLINK("http://nsgreg.nga.mil/genc/view?v=114130&amp;gencs=T&amp;end_month=3&amp;end_day=31&amp;end_year=2014","Ravenna")</f>
        <v>Ravenna</v>
      </c>
      <c r="H1959" s="87" t="str">
        <f>HYPERLINK("http://api.nsgreg.nga.mil/geo-division/ISO3166-2/6/ed3/IT-RA","IT-RA")</f>
        <v>IT-RA</v>
      </c>
    </row>
    <row r="1960" spans="1:8" x14ac:dyDescent="0.2">
      <c r="A1960" s="157"/>
      <c r="B1960" s="31" t="s">
        <v>7730</v>
      </c>
      <c r="C1960" s="31" t="s">
        <v>7731</v>
      </c>
      <c r="D1960" s="98" t="s">
        <v>1920</v>
      </c>
      <c r="E1960" s="99" t="b">
        <v>0</v>
      </c>
      <c r="F1960" s="107" t="s">
        <v>7732</v>
      </c>
      <c r="G1960" s="116" t="str">
        <f>HYPERLINK("http://nsgreg.nga.mil/genc/view?v=201561&amp;end_month=3&amp;end_day=31&amp;end_year=2014","Reggio di Calabria")</f>
        <v>Reggio di Calabria</v>
      </c>
      <c r="H1960" s="87" t="str">
        <f>HYPERLINK("http://api.nsgreg.nga.mil/geo-division/GENC/6/ed2/IT-RC","IT-RC")</f>
        <v>IT-RC</v>
      </c>
    </row>
    <row r="1961" spans="1:8" x14ac:dyDescent="0.2">
      <c r="A1961" s="157"/>
      <c r="B1961" s="31" t="s">
        <v>7733</v>
      </c>
      <c r="C1961" s="31" t="s">
        <v>7734</v>
      </c>
      <c r="D1961" s="98" t="s">
        <v>1920</v>
      </c>
      <c r="E1961" s="99" t="b">
        <v>0</v>
      </c>
      <c r="F1961" s="106" t="s">
        <v>7735</v>
      </c>
      <c r="G1961" s="116" t="str">
        <f>HYPERLINK("http://nsgreg.nga.mil/genc/view?v=114132&amp;gencs=T&amp;end_month=3&amp;end_day=31&amp;end_year=2014","Reggio Emilia")</f>
        <v>Reggio Emilia</v>
      </c>
      <c r="H1961" s="87" t="str">
        <f>HYPERLINK("http://api.nsgreg.nga.mil/geo-division/ISO3166-2/6/ed3/IT-RE","IT-RE")</f>
        <v>IT-RE</v>
      </c>
    </row>
    <row r="1962" spans="1:8" x14ac:dyDescent="0.2">
      <c r="A1962" s="157"/>
      <c r="B1962" s="31" t="s">
        <v>7736</v>
      </c>
      <c r="C1962" s="31" t="s">
        <v>7737</v>
      </c>
      <c r="D1962" s="98" t="s">
        <v>1920</v>
      </c>
      <c r="E1962" s="99" t="b">
        <v>0</v>
      </c>
      <c r="F1962" s="106" t="s">
        <v>7738</v>
      </c>
      <c r="G1962" s="116" t="str">
        <f>HYPERLINK("http://nsgreg.nga.mil/genc/view?v=114134&amp;gencs=T&amp;end_month=3&amp;end_day=31&amp;end_year=2014","Rieti")</f>
        <v>Rieti</v>
      </c>
      <c r="H1962" s="87" t="str">
        <f>HYPERLINK("http://api.nsgreg.nga.mil/geo-division/ISO3166-2/6/ed3/IT-RI","IT-RI")</f>
        <v>IT-RI</v>
      </c>
    </row>
    <row r="1963" spans="1:8" x14ac:dyDescent="0.2">
      <c r="A1963" s="157"/>
      <c r="B1963" s="31" t="s">
        <v>7739</v>
      </c>
      <c r="C1963" s="31" t="s">
        <v>7740</v>
      </c>
      <c r="D1963" s="98" t="s">
        <v>1920</v>
      </c>
      <c r="E1963" s="99" t="b">
        <v>0</v>
      </c>
      <c r="F1963" s="106" t="s">
        <v>7741</v>
      </c>
      <c r="G1963" s="116" t="str">
        <f>HYPERLINK("http://nsgreg.nga.mil/genc/view?v=114136&amp;gencs=T&amp;end_month=3&amp;end_day=31&amp;end_year=2014","Rimini")</f>
        <v>Rimini</v>
      </c>
      <c r="H1963" s="87" t="str">
        <f>HYPERLINK("http://api.nsgreg.nga.mil/geo-division/ISO3166-2/6/ed3/IT-RN","IT-RN")</f>
        <v>IT-RN</v>
      </c>
    </row>
    <row r="1964" spans="1:8" x14ac:dyDescent="0.2">
      <c r="A1964" s="157"/>
      <c r="B1964" s="31" t="s">
        <v>7742</v>
      </c>
      <c r="C1964" s="31" t="s">
        <v>7743</v>
      </c>
      <c r="D1964" s="98" t="s">
        <v>1920</v>
      </c>
      <c r="E1964" s="99" t="b">
        <v>0</v>
      </c>
      <c r="F1964" s="106" t="s">
        <v>7744</v>
      </c>
      <c r="G1964" s="116" t="str">
        <f>HYPERLINK("http://nsgreg.nga.mil/genc/view?v=114135&amp;gencs=T&amp;end_month=3&amp;end_day=31&amp;end_year=2014","Roma")</f>
        <v>Roma</v>
      </c>
      <c r="H1964" s="87" t="str">
        <f>HYPERLINK("http://api.nsgreg.nga.mil/geo-division/ISO3166-2/6/ed3/IT-RM","IT-RM")</f>
        <v>IT-RM</v>
      </c>
    </row>
    <row r="1965" spans="1:8" x14ac:dyDescent="0.2">
      <c r="A1965" s="157"/>
      <c r="B1965" s="31" t="s">
        <v>7745</v>
      </c>
      <c r="C1965" s="31" t="s">
        <v>7746</v>
      </c>
      <c r="D1965" s="98" t="s">
        <v>1920</v>
      </c>
      <c r="E1965" s="99" t="b">
        <v>0</v>
      </c>
      <c r="F1965" s="106" t="s">
        <v>7747</v>
      </c>
      <c r="G1965" s="116" t="str">
        <f>HYPERLINK("http://nsgreg.nga.mil/genc/view?v=114137&amp;gencs=T&amp;end_month=3&amp;end_day=31&amp;end_year=2014","Rovigo")</f>
        <v>Rovigo</v>
      </c>
      <c r="H1965" s="87" t="str">
        <f>HYPERLINK("http://api.nsgreg.nga.mil/geo-division/ISO3166-2/6/ed3/IT-RO","IT-RO")</f>
        <v>IT-RO</v>
      </c>
    </row>
    <row r="1966" spans="1:8" x14ac:dyDescent="0.2">
      <c r="A1966" s="157"/>
      <c r="B1966" s="31" t="s">
        <v>7748</v>
      </c>
      <c r="C1966" s="31" t="s">
        <v>7749</v>
      </c>
      <c r="D1966" s="98" t="s">
        <v>1920</v>
      </c>
      <c r="E1966" s="99" t="b">
        <v>0</v>
      </c>
      <c r="F1966" s="106" t="s">
        <v>7750</v>
      </c>
      <c r="G1966" s="116" t="str">
        <f>HYPERLINK("http://nsgreg.nga.mil/genc/view?v=114138&amp;gencs=T&amp;end_month=3&amp;end_day=31&amp;end_year=2014","Salerno")</f>
        <v>Salerno</v>
      </c>
      <c r="H1966" s="87" t="str">
        <f>HYPERLINK("http://api.nsgreg.nga.mil/geo-division/ISO3166-2/6/ed3/IT-SA","IT-SA")</f>
        <v>IT-SA</v>
      </c>
    </row>
    <row r="1967" spans="1:8" x14ac:dyDescent="0.2">
      <c r="A1967" s="157"/>
      <c r="B1967" s="31" t="s">
        <v>7751</v>
      </c>
      <c r="C1967" s="31" t="s">
        <v>7752</v>
      </c>
      <c r="D1967" s="31" t="s">
        <v>3137</v>
      </c>
      <c r="E1967" s="61" t="b">
        <v>1</v>
      </c>
      <c r="F1967" s="106" t="s">
        <v>7753</v>
      </c>
      <c r="G1967" s="116" t="str">
        <f>HYPERLINK("http://nsgreg.nga.mil/genc/view?v=114052&amp;gencs=T&amp;end_month=3&amp;end_day=31&amp;end_year=2014","Sardegna")</f>
        <v>Sardegna</v>
      </c>
      <c r="H1967" s="87" t="str">
        <f>HYPERLINK("http://api.nsgreg.nga.mil/geo-division/ISO3166-2/6/ed3/IT-88","IT-88")</f>
        <v>IT-88</v>
      </c>
    </row>
    <row r="1968" spans="1:8" x14ac:dyDescent="0.2">
      <c r="A1968" s="157"/>
      <c r="B1968" s="31" t="s">
        <v>7754</v>
      </c>
      <c r="C1968" s="31" t="s">
        <v>7755</v>
      </c>
      <c r="D1968" s="98" t="s">
        <v>1920</v>
      </c>
      <c r="E1968" s="99" t="b">
        <v>0</v>
      </c>
      <c r="F1968" s="106" t="s">
        <v>7756</v>
      </c>
      <c r="G1968" s="116" t="str">
        <f>HYPERLINK("http://nsgreg.nga.mil/genc/view?v=114143&amp;gencs=T&amp;end_month=3&amp;end_day=31&amp;end_year=2014","Sassari")</f>
        <v>Sassari</v>
      </c>
      <c r="H1968" s="87" t="str">
        <f>HYPERLINK("http://api.nsgreg.nga.mil/geo-division/ISO3166-2/6/ed3/IT-SS","IT-SS")</f>
        <v>IT-SS</v>
      </c>
    </row>
    <row r="1969" spans="1:8" x14ac:dyDescent="0.2">
      <c r="A1969" s="157"/>
      <c r="B1969" s="31" t="s">
        <v>7757</v>
      </c>
      <c r="C1969" s="31" t="s">
        <v>7758</v>
      </c>
      <c r="D1969" s="98" t="s">
        <v>1920</v>
      </c>
      <c r="E1969" s="99" t="b">
        <v>0</v>
      </c>
      <c r="F1969" s="106" t="s">
        <v>7759</v>
      </c>
      <c r="G1969" s="116" t="str">
        <f>HYPERLINK("http://nsgreg.nga.mil/genc/view?v=114144&amp;gencs=T&amp;end_month=3&amp;end_day=31&amp;end_year=2014","Savona")</f>
        <v>Savona</v>
      </c>
      <c r="H1969" s="87" t="str">
        <f>HYPERLINK("http://api.nsgreg.nga.mil/geo-division/ISO3166-2/6/ed3/IT-SV","IT-SV")</f>
        <v>IT-SV</v>
      </c>
    </row>
    <row r="1970" spans="1:8" x14ac:dyDescent="0.2">
      <c r="A1970" s="157"/>
      <c r="B1970" s="31" t="s">
        <v>7760</v>
      </c>
      <c r="C1970" s="31" t="s">
        <v>7761</v>
      </c>
      <c r="D1970" s="31" t="s">
        <v>4316</v>
      </c>
      <c r="E1970" s="61" t="b">
        <v>1</v>
      </c>
      <c r="F1970" s="107" t="s">
        <v>7762</v>
      </c>
      <c r="G1970" s="116" t="str">
        <f>HYPERLINK("http://nsgreg.nga.mil/genc/view?v=201559&amp;end_month=3&amp;end_day=31&amp;end_year=2014","Sicilia")</f>
        <v>Sicilia</v>
      </c>
      <c r="H1970" s="87" t="str">
        <f>HYPERLINK("http://api.nsgreg.nga.mil/geo-division/GENC/6/ed2/IT-82","IT-82")</f>
        <v>IT-82</v>
      </c>
    </row>
    <row r="1971" spans="1:8" x14ac:dyDescent="0.2">
      <c r="A1971" s="157"/>
      <c r="B1971" s="31" t="s">
        <v>7763</v>
      </c>
      <c r="C1971" s="31" t="s">
        <v>7764</v>
      </c>
      <c r="D1971" s="98" t="s">
        <v>1920</v>
      </c>
      <c r="E1971" s="99" t="b">
        <v>0</v>
      </c>
      <c r="F1971" s="106" t="s">
        <v>7765</v>
      </c>
      <c r="G1971" s="116" t="str">
        <f>HYPERLINK("http://nsgreg.nga.mil/genc/view?v=114139&amp;gencs=T&amp;end_month=3&amp;end_day=31&amp;end_year=2014","Siena")</f>
        <v>Siena</v>
      </c>
      <c r="H1971" s="87" t="str">
        <f>HYPERLINK("http://api.nsgreg.nga.mil/geo-division/ISO3166-2/6/ed3/IT-SI","IT-SI")</f>
        <v>IT-SI</v>
      </c>
    </row>
    <row r="1972" spans="1:8" x14ac:dyDescent="0.2">
      <c r="A1972" s="157"/>
      <c r="B1972" s="31" t="s">
        <v>7766</v>
      </c>
      <c r="C1972" s="31" t="s">
        <v>7767</v>
      </c>
      <c r="D1972" s="98" t="s">
        <v>1920</v>
      </c>
      <c r="E1972" s="99" t="b">
        <v>0</v>
      </c>
      <c r="F1972" s="106" t="s">
        <v>7768</v>
      </c>
      <c r="G1972" s="116" t="str">
        <f>HYPERLINK("http://nsgreg.nga.mil/genc/view?v=114142&amp;gencs=T&amp;end_month=3&amp;end_day=31&amp;end_year=2014","Siracusa")</f>
        <v>Siracusa</v>
      </c>
      <c r="H1972" s="87" t="str">
        <f>HYPERLINK("http://api.nsgreg.nga.mil/geo-division/ISO3166-2/6/ed3/IT-SR","IT-SR")</f>
        <v>IT-SR</v>
      </c>
    </row>
    <row r="1973" spans="1:8" x14ac:dyDescent="0.2">
      <c r="A1973" s="157"/>
      <c r="B1973" s="31" t="s">
        <v>7769</v>
      </c>
      <c r="C1973" s="31" t="s">
        <v>7770</v>
      </c>
      <c r="D1973" s="98" t="s">
        <v>1920</v>
      </c>
      <c r="E1973" s="99" t="b">
        <v>0</v>
      </c>
      <c r="F1973" s="106" t="s">
        <v>7771</v>
      </c>
      <c r="G1973" s="116" t="str">
        <f>HYPERLINK("http://nsgreg.nga.mil/genc/view?v=114140&amp;gencs=T&amp;end_month=3&amp;end_day=31&amp;end_year=2014","Sondrio")</f>
        <v>Sondrio</v>
      </c>
      <c r="H1973" s="87" t="str">
        <f>HYPERLINK("http://api.nsgreg.nga.mil/geo-division/ISO3166-2/6/ed3/IT-SO","IT-SO")</f>
        <v>IT-SO</v>
      </c>
    </row>
    <row r="1974" spans="1:8" x14ac:dyDescent="0.2">
      <c r="A1974" s="157"/>
      <c r="B1974" s="31" t="s">
        <v>7772</v>
      </c>
      <c r="C1974" s="31" t="s">
        <v>7773</v>
      </c>
      <c r="D1974" s="98" t="s">
        <v>1920</v>
      </c>
      <c r="E1974" s="99" t="b">
        <v>0</v>
      </c>
      <c r="F1974" s="106" t="s">
        <v>7774</v>
      </c>
      <c r="G1974" s="116" t="str">
        <f>HYPERLINK("http://nsgreg.nga.mil/genc/view?v=114145&amp;gencs=T&amp;end_month=3&amp;end_day=31&amp;end_year=2014","Taranto")</f>
        <v>Taranto</v>
      </c>
      <c r="H1974" s="87" t="str">
        <f>HYPERLINK("http://api.nsgreg.nga.mil/geo-division/ISO3166-2/6/ed3/IT-TA","IT-TA")</f>
        <v>IT-TA</v>
      </c>
    </row>
    <row r="1975" spans="1:8" x14ac:dyDescent="0.2">
      <c r="A1975" s="157"/>
      <c r="B1975" s="31" t="s">
        <v>7775</v>
      </c>
      <c r="C1975" s="31" t="s">
        <v>7776</v>
      </c>
      <c r="D1975" s="98" t="s">
        <v>1920</v>
      </c>
      <c r="E1975" s="99" t="b">
        <v>0</v>
      </c>
      <c r="F1975" s="106" t="s">
        <v>7777</v>
      </c>
      <c r="G1975" s="116" t="str">
        <f>HYPERLINK("http://nsgreg.nga.mil/genc/view?v=114146&amp;gencs=T&amp;end_month=3&amp;end_day=31&amp;end_year=2014","Teramo")</f>
        <v>Teramo</v>
      </c>
      <c r="H1975" s="87" t="str">
        <f>HYPERLINK("http://api.nsgreg.nga.mil/geo-division/ISO3166-2/6/ed3/IT-TE","IT-TE")</f>
        <v>IT-TE</v>
      </c>
    </row>
    <row r="1976" spans="1:8" x14ac:dyDescent="0.2">
      <c r="A1976" s="157"/>
      <c r="B1976" s="31" t="s">
        <v>7778</v>
      </c>
      <c r="C1976" s="31" t="s">
        <v>7779</v>
      </c>
      <c r="D1976" s="98" t="s">
        <v>1920</v>
      </c>
      <c r="E1976" s="99" t="b">
        <v>0</v>
      </c>
      <c r="F1976" s="106" t="s">
        <v>7780</v>
      </c>
      <c r="G1976" s="116" t="str">
        <f>HYPERLINK("http://nsgreg.nga.mil/genc/view?v=114150&amp;gencs=T&amp;end_month=3&amp;end_day=31&amp;end_year=2014","Terni")</f>
        <v>Terni</v>
      </c>
      <c r="H1976" s="87" t="str">
        <f>HYPERLINK("http://api.nsgreg.nga.mil/geo-division/ISO3166-2/6/ed3/IT-TR","IT-TR")</f>
        <v>IT-TR</v>
      </c>
    </row>
    <row r="1977" spans="1:8" x14ac:dyDescent="0.2">
      <c r="A1977" s="157"/>
      <c r="B1977" s="31" t="s">
        <v>7781</v>
      </c>
      <c r="C1977" s="31" t="s">
        <v>7782</v>
      </c>
      <c r="D1977" s="98" t="s">
        <v>1920</v>
      </c>
      <c r="E1977" s="99" t="b">
        <v>0</v>
      </c>
      <c r="F1977" s="106" t="s">
        <v>7783</v>
      </c>
      <c r="G1977" s="116" t="str">
        <f>HYPERLINK("http://nsgreg.nga.mil/genc/view?v=114148&amp;gencs=T&amp;end_month=3&amp;end_day=31&amp;end_year=2014","Torino")</f>
        <v>Torino</v>
      </c>
      <c r="H1977" s="87" t="str">
        <f>HYPERLINK("http://api.nsgreg.nga.mil/geo-division/ISO3166-2/6/ed3/IT-TO","IT-TO")</f>
        <v>IT-TO</v>
      </c>
    </row>
    <row r="1978" spans="1:8" x14ac:dyDescent="0.2">
      <c r="A1978" s="157"/>
      <c r="B1978" s="31" t="s">
        <v>7784</v>
      </c>
      <c r="C1978" s="31" t="s">
        <v>7785</v>
      </c>
      <c r="D1978" s="98" t="s">
        <v>1920</v>
      </c>
      <c r="E1978" s="99" t="b">
        <v>0</v>
      </c>
      <c r="F1978" s="106" t="s">
        <v>7786</v>
      </c>
      <c r="G1978" s="116" t="str">
        <f>HYPERLINK("http://nsgreg.nga.mil/genc/view?v=114149&amp;gencs=T&amp;end_month=3&amp;end_day=31&amp;end_year=2014","Trapani")</f>
        <v>Trapani</v>
      </c>
      <c r="H1978" s="87" t="str">
        <f>HYPERLINK("http://api.nsgreg.nga.mil/geo-division/ISO3166-2/6/ed3/IT-TP","IT-TP")</f>
        <v>IT-TP</v>
      </c>
    </row>
    <row r="1979" spans="1:8" x14ac:dyDescent="0.2">
      <c r="A1979" s="157"/>
      <c r="B1979" s="31" t="s">
        <v>7787</v>
      </c>
      <c r="C1979" s="31" t="s">
        <v>7788</v>
      </c>
      <c r="D1979" s="31" t="s">
        <v>3137</v>
      </c>
      <c r="E1979" s="61" t="b">
        <v>1</v>
      </c>
      <c r="F1979" s="106" t="s">
        <v>7789</v>
      </c>
      <c r="G1979" s="116" t="str">
        <f>HYPERLINK("http://nsgreg.nga.mil/genc/view?v=114036&amp;gencs=T&amp;end_month=3&amp;end_day=31&amp;end_year=2014","Trentino-Alto Adige")</f>
        <v>Trentino-Alto Adige</v>
      </c>
      <c r="H1979" s="87" t="str">
        <f>HYPERLINK("http://api.nsgreg.nga.mil/geo-division/ISO3166-2/6/ed3/IT-32","IT-32")</f>
        <v>IT-32</v>
      </c>
    </row>
    <row r="1980" spans="1:8" x14ac:dyDescent="0.2">
      <c r="A1980" s="157"/>
      <c r="B1980" s="31" t="s">
        <v>7790</v>
      </c>
      <c r="C1980" s="31" t="s">
        <v>7791</v>
      </c>
      <c r="D1980" s="98" t="s">
        <v>1920</v>
      </c>
      <c r="E1980" s="99" t="b">
        <v>0</v>
      </c>
      <c r="F1980" s="106" t="s">
        <v>7792</v>
      </c>
      <c r="G1980" s="116" t="str">
        <f>HYPERLINK("http://nsgreg.nga.mil/genc/view?v=114147&amp;gencs=T&amp;end_month=3&amp;end_day=31&amp;end_year=2014","Trento")</f>
        <v>Trento</v>
      </c>
      <c r="H1980" s="87" t="str">
        <f>HYPERLINK("http://api.nsgreg.nga.mil/geo-division/ISO3166-2/6/ed3/IT-TN","IT-TN")</f>
        <v>IT-TN</v>
      </c>
    </row>
    <row r="1981" spans="1:8" x14ac:dyDescent="0.2">
      <c r="A1981" s="157"/>
      <c r="B1981" s="31" t="s">
        <v>7793</v>
      </c>
      <c r="C1981" s="31" t="s">
        <v>7794</v>
      </c>
      <c r="D1981" s="98" t="s">
        <v>1920</v>
      </c>
      <c r="E1981" s="99" t="b">
        <v>0</v>
      </c>
      <c r="F1981" s="106" t="s">
        <v>7795</v>
      </c>
      <c r="G1981" s="116" t="str">
        <f>HYPERLINK("http://nsgreg.nga.mil/genc/view?v=114152&amp;gencs=T&amp;end_month=3&amp;end_day=31&amp;end_year=2014","Treviso")</f>
        <v>Treviso</v>
      </c>
      <c r="H1981" s="87" t="str">
        <f>HYPERLINK("http://api.nsgreg.nga.mil/geo-division/ISO3166-2/6/ed3/IT-TV","IT-TV")</f>
        <v>IT-TV</v>
      </c>
    </row>
    <row r="1982" spans="1:8" x14ac:dyDescent="0.2">
      <c r="A1982" s="157"/>
      <c r="B1982" s="31" t="s">
        <v>7796</v>
      </c>
      <c r="C1982" s="31" t="s">
        <v>7797</v>
      </c>
      <c r="D1982" s="98" t="s">
        <v>1920</v>
      </c>
      <c r="E1982" s="99" t="b">
        <v>0</v>
      </c>
      <c r="F1982" s="106" t="s">
        <v>7798</v>
      </c>
      <c r="G1982" s="116" t="str">
        <f>HYPERLINK("http://nsgreg.nga.mil/genc/view?v=114151&amp;gencs=T&amp;end_month=3&amp;end_day=31&amp;end_year=2014","Trieste")</f>
        <v>Trieste</v>
      </c>
      <c r="H1982" s="87" t="str">
        <f>HYPERLINK("http://api.nsgreg.nga.mil/geo-division/ISO3166-2/6/ed3/IT-TS","IT-TS")</f>
        <v>IT-TS</v>
      </c>
    </row>
    <row r="1983" spans="1:8" x14ac:dyDescent="0.2">
      <c r="A1983" s="157"/>
      <c r="B1983" s="31" t="s">
        <v>7799</v>
      </c>
      <c r="C1983" s="31" t="s">
        <v>7800</v>
      </c>
      <c r="D1983" s="31" t="s">
        <v>3137</v>
      </c>
      <c r="E1983" s="61" t="b">
        <v>1</v>
      </c>
      <c r="F1983" s="107" t="s">
        <v>7801</v>
      </c>
      <c r="G1983" s="116" t="str">
        <f>HYPERLINK("http://nsgreg.nga.mil/genc/view?v=201558&amp;end_month=3&amp;end_day=31&amp;end_year=2014","Tuscany")</f>
        <v>Tuscany</v>
      </c>
      <c r="H1983" s="87" t="str">
        <f>HYPERLINK("http://api.nsgreg.nga.mil/geo-division/GENC/6/ed2/IT-52","IT-52")</f>
        <v>IT-52</v>
      </c>
    </row>
    <row r="1984" spans="1:8" x14ac:dyDescent="0.2">
      <c r="A1984" s="157"/>
      <c r="B1984" s="31" t="s">
        <v>7802</v>
      </c>
      <c r="C1984" s="31" t="s">
        <v>7803</v>
      </c>
      <c r="D1984" s="98" t="s">
        <v>1920</v>
      </c>
      <c r="E1984" s="99" t="b">
        <v>0</v>
      </c>
      <c r="F1984" s="106" t="s">
        <v>7804</v>
      </c>
      <c r="G1984" s="116" t="str">
        <f>HYPERLINK("http://nsgreg.nga.mil/genc/view?v=114153&amp;gencs=T&amp;end_month=3&amp;end_day=31&amp;end_year=2014","Udine")</f>
        <v>Udine</v>
      </c>
      <c r="H1984" s="87" t="str">
        <f>HYPERLINK("http://api.nsgreg.nga.mil/geo-division/ISO3166-2/6/ed3/IT-UD","IT-UD")</f>
        <v>IT-UD</v>
      </c>
    </row>
    <row r="1985" spans="1:8" x14ac:dyDescent="0.2">
      <c r="A1985" s="157"/>
      <c r="B1985" s="31" t="s">
        <v>7805</v>
      </c>
      <c r="C1985" s="31" t="s">
        <v>7806</v>
      </c>
      <c r="D1985" s="31" t="s">
        <v>3137</v>
      </c>
      <c r="E1985" s="61" t="b">
        <v>1</v>
      </c>
      <c r="F1985" s="106" t="s">
        <v>7807</v>
      </c>
      <c r="G1985" s="116" t="str">
        <f>HYPERLINK("http://nsgreg.nga.mil/genc/view?v=114042&amp;gencs=T&amp;end_month=3&amp;end_day=31&amp;end_year=2014","Umbria")</f>
        <v>Umbria</v>
      </c>
      <c r="H1985" s="87" t="str">
        <f>HYPERLINK("http://api.nsgreg.nga.mil/geo-division/ISO3166-2/6/ed3/IT-55","IT-55")</f>
        <v>IT-55</v>
      </c>
    </row>
    <row r="1986" spans="1:8" x14ac:dyDescent="0.2">
      <c r="A1986" s="157"/>
      <c r="B1986" s="31" t="s">
        <v>7808</v>
      </c>
      <c r="C1986" s="31" t="s">
        <v>7809</v>
      </c>
      <c r="D1986" s="31" t="s">
        <v>3137</v>
      </c>
      <c r="E1986" s="61" t="b">
        <v>1</v>
      </c>
      <c r="F1986" s="107" t="s">
        <v>7810</v>
      </c>
      <c r="G1986" s="116" t="str">
        <f>HYPERLINK("http://nsgreg.nga.mil/genc/view?v=201556&amp;end_month=3&amp;end_day=31&amp;end_year=2014","Valle d’Aosta")</f>
        <v>Valle d’Aosta</v>
      </c>
      <c r="H1986" s="87" t="str">
        <f>HYPERLINK("http://api.nsgreg.nga.mil/geo-division/GENC/6/ed2/IT-23","IT-23")</f>
        <v>IT-23</v>
      </c>
    </row>
    <row r="1987" spans="1:8" x14ac:dyDescent="0.2">
      <c r="A1987" s="157"/>
      <c r="B1987" s="31" t="s">
        <v>7811</v>
      </c>
      <c r="C1987" s="31" t="s">
        <v>7812</v>
      </c>
      <c r="D1987" s="98" t="s">
        <v>1920</v>
      </c>
      <c r="E1987" s="99" t="b">
        <v>0</v>
      </c>
      <c r="F1987" s="106" t="s">
        <v>7813</v>
      </c>
      <c r="G1987" s="116" t="str">
        <f>HYPERLINK("http://nsgreg.nga.mil/genc/view?v=114154&amp;gencs=T&amp;end_month=3&amp;end_day=31&amp;end_year=2014","Varese")</f>
        <v>Varese</v>
      </c>
      <c r="H1987" s="87" t="str">
        <f>HYPERLINK("http://api.nsgreg.nga.mil/geo-division/ISO3166-2/6/ed3/IT-VA","IT-VA")</f>
        <v>IT-VA</v>
      </c>
    </row>
    <row r="1988" spans="1:8" x14ac:dyDescent="0.2">
      <c r="A1988" s="157"/>
      <c r="B1988" s="31" t="s">
        <v>7814</v>
      </c>
      <c r="C1988" s="31" t="s">
        <v>7815</v>
      </c>
      <c r="D1988" s="31" t="s">
        <v>3137</v>
      </c>
      <c r="E1988" s="61" t="b">
        <v>1</v>
      </c>
      <c r="F1988" s="106" t="s">
        <v>7816</v>
      </c>
      <c r="G1988" s="116" t="str">
        <f>HYPERLINK("http://nsgreg.nga.mil/genc/view?v=114037&amp;gencs=T&amp;end_month=3&amp;end_day=31&amp;end_year=2014","Veneto")</f>
        <v>Veneto</v>
      </c>
      <c r="H1988" s="87" t="str">
        <f>HYPERLINK("http://api.nsgreg.nga.mil/geo-division/ISO3166-2/6/ed3/IT-34","IT-34")</f>
        <v>IT-34</v>
      </c>
    </row>
    <row r="1989" spans="1:8" x14ac:dyDescent="0.2">
      <c r="A1989" s="157"/>
      <c r="B1989" s="31" t="s">
        <v>7817</v>
      </c>
      <c r="C1989" s="31" t="s">
        <v>7818</v>
      </c>
      <c r="D1989" s="98" t="s">
        <v>1920</v>
      </c>
      <c r="E1989" s="99" t="b">
        <v>0</v>
      </c>
      <c r="F1989" s="106" t="s">
        <v>7819</v>
      </c>
      <c r="G1989" s="116" t="str">
        <f>HYPERLINK("http://nsgreg.nga.mil/genc/view?v=114157&amp;gencs=T&amp;end_month=3&amp;end_day=31&amp;end_year=2014","Venezia")</f>
        <v>Venezia</v>
      </c>
      <c r="H1989" s="87" t="str">
        <f>HYPERLINK("http://api.nsgreg.nga.mil/geo-division/ISO3166-2/6/ed3/IT-VE","IT-VE")</f>
        <v>IT-VE</v>
      </c>
    </row>
    <row r="1990" spans="1:8" x14ac:dyDescent="0.2">
      <c r="A1990" s="157"/>
      <c r="B1990" s="31" t="s">
        <v>7820</v>
      </c>
      <c r="C1990" s="31" t="s">
        <v>7821</v>
      </c>
      <c r="D1990" s="98" t="s">
        <v>1920</v>
      </c>
      <c r="E1990" s="99" t="b">
        <v>0</v>
      </c>
      <c r="F1990" s="106" t="s">
        <v>7822</v>
      </c>
      <c r="G1990" s="116" t="str">
        <f>HYPERLINK("http://nsgreg.nga.mil/genc/view?v=114155&amp;gencs=T&amp;end_month=3&amp;end_day=31&amp;end_year=2014","Verbano-Cusio-Ossola")</f>
        <v>Verbano-Cusio-Ossola</v>
      </c>
      <c r="H1990" s="87" t="str">
        <f>HYPERLINK("http://api.nsgreg.nga.mil/geo-division/ISO3166-2/6/ed3/IT-VB","IT-VB")</f>
        <v>IT-VB</v>
      </c>
    </row>
    <row r="1991" spans="1:8" x14ac:dyDescent="0.2">
      <c r="A1991" s="157"/>
      <c r="B1991" s="31" t="s">
        <v>7823</v>
      </c>
      <c r="C1991" s="31" t="s">
        <v>7824</v>
      </c>
      <c r="D1991" s="98" t="s">
        <v>1920</v>
      </c>
      <c r="E1991" s="99" t="b">
        <v>0</v>
      </c>
      <c r="F1991" s="106" t="s">
        <v>7825</v>
      </c>
      <c r="G1991" s="116" t="str">
        <f>HYPERLINK("http://nsgreg.nga.mil/genc/view?v=114156&amp;gencs=T&amp;end_month=3&amp;end_day=31&amp;end_year=2014","Vercelli")</f>
        <v>Vercelli</v>
      </c>
      <c r="H1991" s="87" t="str">
        <f>HYPERLINK("http://api.nsgreg.nga.mil/geo-division/ISO3166-2/6/ed3/IT-VC","IT-VC")</f>
        <v>IT-VC</v>
      </c>
    </row>
    <row r="1992" spans="1:8" x14ac:dyDescent="0.2">
      <c r="A1992" s="157"/>
      <c r="B1992" s="31" t="s">
        <v>7826</v>
      </c>
      <c r="C1992" s="31" t="s">
        <v>7827</v>
      </c>
      <c r="D1992" s="98" t="s">
        <v>1920</v>
      </c>
      <c r="E1992" s="99" t="b">
        <v>0</v>
      </c>
      <c r="F1992" s="106" t="s">
        <v>7828</v>
      </c>
      <c r="G1992" s="116" t="str">
        <f>HYPERLINK("http://nsgreg.nga.mil/genc/view?v=114159&amp;gencs=T&amp;end_month=3&amp;end_day=31&amp;end_year=2014","Verona")</f>
        <v>Verona</v>
      </c>
      <c r="H1992" s="87" t="str">
        <f>HYPERLINK("http://api.nsgreg.nga.mil/geo-division/ISO3166-2/6/ed3/IT-VR","IT-VR")</f>
        <v>IT-VR</v>
      </c>
    </row>
    <row r="1993" spans="1:8" x14ac:dyDescent="0.2">
      <c r="A1993" s="157"/>
      <c r="B1993" s="31" t="s">
        <v>7829</v>
      </c>
      <c r="C1993" s="31" t="s">
        <v>7830</v>
      </c>
      <c r="D1993" s="98" t="s">
        <v>1920</v>
      </c>
      <c r="E1993" s="99" t="b">
        <v>0</v>
      </c>
      <c r="F1993" s="106" t="s">
        <v>7831</v>
      </c>
      <c r="G1993" s="116" t="str">
        <f>HYPERLINK("http://nsgreg.nga.mil/genc/view?v=114162&amp;gencs=T&amp;end_month=3&amp;end_day=31&amp;end_year=2014","Vibo Valentia")</f>
        <v>Vibo Valentia</v>
      </c>
      <c r="H1993" s="87" t="str">
        <f>HYPERLINK("http://api.nsgreg.nga.mil/geo-division/ISO3166-2/6/ed3/IT-VV","IT-VV")</f>
        <v>IT-VV</v>
      </c>
    </row>
    <row r="1994" spans="1:8" x14ac:dyDescent="0.2">
      <c r="A1994" s="157"/>
      <c r="B1994" s="31" t="s">
        <v>7832</v>
      </c>
      <c r="C1994" s="31" t="s">
        <v>7833</v>
      </c>
      <c r="D1994" s="98" t="s">
        <v>1920</v>
      </c>
      <c r="E1994" s="99" t="b">
        <v>0</v>
      </c>
      <c r="F1994" s="106" t="s">
        <v>7834</v>
      </c>
      <c r="G1994" s="116" t="str">
        <f>HYPERLINK("http://nsgreg.nga.mil/genc/view?v=114158&amp;gencs=T&amp;end_month=3&amp;end_day=31&amp;end_year=2014","Vicenza")</f>
        <v>Vicenza</v>
      </c>
      <c r="H1994" s="87" t="str">
        <f>HYPERLINK("http://api.nsgreg.nga.mil/geo-division/ISO3166-2/6/ed3/IT-VI","IT-VI")</f>
        <v>IT-VI</v>
      </c>
    </row>
    <row r="1995" spans="1:8" x14ac:dyDescent="0.2">
      <c r="A1995" s="158"/>
      <c r="B1995" s="58" t="s">
        <v>7835</v>
      </c>
      <c r="C1995" s="58" t="s">
        <v>7836</v>
      </c>
      <c r="D1995" s="100" t="s">
        <v>1920</v>
      </c>
      <c r="E1995" s="101" t="b">
        <v>0</v>
      </c>
      <c r="F1995" s="108" t="s">
        <v>7837</v>
      </c>
      <c r="G1995" s="117" t="str">
        <f>HYPERLINK("http://nsgreg.nga.mil/genc/view?v=114161&amp;gencs=T&amp;end_month=3&amp;end_day=31&amp;end_year=2014","Viterbo")</f>
        <v>Viterbo</v>
      </c>
      <c r="H1995" s="89" t="str">
        <f>HYPERLINK("http://api.nsgreg.nga.mil/geo-division/ISO3166-2/6/ed3/IT-VT","IT-VT")</f>
        <v>IT-VT</v>
      </c>
    </row>
    <row r="1996" spans="1:8" x14ac:dyDescent="0.2">
      <c r="A1996" s="156" t="str">
        <f>HYPERLINK("[#]Geopolitical_Entities!A132:I132","JAMAICA")</f>
        <v>JAMAICA</v>
      </c>
      <c r="B1996" s="52" t="s">
        <v>7838</v>
      </c>
      <c r="C1996" s="52" t="s">
        <v>7839</v>
      </c>
      <c r="D1996" s="52" t="s">
        <v>2301</v>
      </c>
      <c r="E1996" s="60" t="b">
        <v>1</v>
      </c>
      <c r="F1996" s="109" t="s">
        <v>7840</v>
      </c>
      <c r="G1996" s="118" t="str">
        <f>HYPERLINK("http://nsgreg.nga.mil/genc/view?v=114175&amp;gencs=T&amp;end_month=3&amp;end_day=31&amp;end_year=2014","Clarendon")</f>
        <v>Clarendon</v>
      </c>
      <c r="H1996" s="91" t="str">
        <f>HYPERLINK("http://api.nsgreg.nga.mil/geo-division/ISO3166-2/6/ed3/JM-13","JM-13")</f>
        <v>JM-13</v>
      </c>
    </row>
    <row r="1997" spans="1:8" x14ac:dyDescent="0.2">
      <c r="A1997" s="157"/>
      <c r="B1997" s="31" t="s">
        <v>7841</v>
      </c>
      <c r="C1997" s="31" t="s">
        <v>7842</v>
      </c>
      <c r="D1997" s="31" t="s">
        <v>2301</v>
      </c>
      <c r="E1997" s="61" t="b">
        <v>1</v>
      </c>
      <c r="F1997" s="106" t="s">
        <v>7843</v>
      </c>
      <c r="G1997" s="116" t="str">
        <f>HYPERLINK("http://nsgreg.nga.mil/genc/view?v=114171&amp;gencs=T&amp;end_month=3&amp;end_day=31&amp;end_year=2014","Hanover")</f>
        <v>Hanover</v>
      </c>
      <c r="H1997" s="87" t="str">
        <f>HYPERLINK("http://api.nsgreg.nga.mil/geo-division/ISO3166-2/6/ed3/JM-09","JM-09")</f>
        <v>JM-09</v>
      </c>
    </row>
    <row r="1998" spans="1:8" x14ac:dyDescent="0.2">
      <c r="A1998" s="157"/>
      <c r="B1998" s="31" t="s">
        <v>7844</v>
      </c>
      <c r="C1998" s="31" t="s">
        <v>7845</v>
      </c>
      <c r="D1998" s="31" t="s">
        <v>2301</v>
      </c>
      <c r="E1998" s="61" t="b">
        <v>1</v>
      </c>
      <c r="F1998" s="106" t="s">
        <v>7846</v>
      </c>
      <c r="G1998" s="116" t="str">
        <f>HYPERLINK("http://nsgreg.nga.mil/genc/view?v=114163&amp;gencs=T&amp;end_month=3&amp;end_day=31&amp;end_year=2014","Kingston")</f>
        <v>Kingston</v>
      </c>
      <c r="H1998" s="87" t="str">
        <f>HYPERLINK("http://api.nsgreg.nga.mil/geo-division/ISO3166-2/6/ed3/JM-01","JM-01")</f>
        <v>JM-01</v>
      </c>
    </row>
    <row r="1999" spans="1:8" x14ac:dyDescent="0.2">
      <c r="A1999" s="157"/>
      <c r="B1999" s="31" t="s">
        <v>7847</v>
      </c>
      <c r="C1999" s="31" t="s">
        <v>7848</v>
      </c>
      <c r="D1999" s="31" t="s">
        <v>2301</v>
      </c>
      <c r="E1999" s="61" t="b">
        <v>1</v>
      </c>
      <c r="F1999" s="106" t="s">
        <v>7849</v>
      </c>
      <c r="G1999" s="116" t="str">
        <f>HYPERLINK("http://nsgreg.nga.mil/genc/view?v=114174&amp;gencs=T&amp;end_month=3&amp;end_day=31&amp;end_year=2014","Manchester")</f>
        <v>Manchester</v>
      </c>
      <c r="H1999" s="87" t="str">
        <f>HYPERLINK("http://api.nsgreg.nga.mil/geo-division/ISO3166-2/6/ed3/JM-12","JM-12")</f>
        <v>JM-12</v>
      </c>
    </row>
    <row r="2000" spans="1:8" x14ac:dyDescent="0.2">
      <c r="A2000" s="157"/>
      <c r="B2000" s="31" t="s">
        <v>7850</v>
      </c>
      <c r="C2000" s="31" t="s">
        <v>7851</v>
      </c>
      <c r="D2000" s="31" t="s">
        <v>2301</v>
      </c>
      <c r="E2000" s="61" t="b">
        <v>1</v>
      </c>
      <c r="F2000" s="106" t="s">
        <v>7852</v>
      </c>
      <c r="G2000" s="116" t="str">
        <f>HYPERLINK("http://nsgreg.nga.mil/genc/view?v=114166&amp;gencs=T&amp;end_month=3&amp;end_day=31&amp;end_year=2014","Portland")</f>
        <v>Portland</v>
      </c>
      <c r="H2000" s="87" t="str">
        <f>HYPERLINK("http://api.nsgreg.nga.mil/geo-division/ISO3166-2/6/ed3/JM-04","JM-04")</f>
        <v>JM-04</v>
      </c>
    </row>
    <row r="2001" spans="1:8" x14ac:dyDescent="0.2">
      <c r="A2001" s="157"/>
      <c r="B2001" s="31" t="s">
        <v>7853</v>
      </c>
      <c r="C2001" s="31" t="s">
        <v>3110</v>
      </c>
      <c r="D2001" s="31" t="s">
        <v>2301</v>
      </c>
      <c r="E2001" s="61" t="b">
        <v>1</v>
      </c>
      <c r="F2001" s="106" t="s">
        <v>7854</v>
      </c>
      <c r="G2001" s="116" t="str">
        <f>HYPERLINK("http://nsgreg.nga.mil/genc/view?v=114164&amp;gencs=T&amp;end_month=3&amp;end_day=31&amp;end_year=2014","Saint Andrew")</f>
        <v>Saint Andrew</v>
      </c>
      <c r="H2001" s="87" t="str">
        <f>HYPERLINK("http://api.nsgreg.nga.mil/geo-division/ISO3166-2/6/ed3/JM-02","JM-02")</f>
        <v>JM-02</v>
      </c>
    </row>
    <row r="2002" spans="1:8" x14ac:dyDescent="0.2">
      <c r="A2002" s="157"/>
      <c r="B2002" s="31" t="s">
        <v>7855</v>
      </c>
      <c r="C2002" s="31" t="s">
        <v>7856</v>
      </c>
      <c r="D2002" s="31" t="s">
        <v>2301</v>
      </c>
      <c r="E2002" s="61" t="b">
        <v>1</v>
      </c>
      <c r="F2002" s="106" t="s">
        <v>7857</v>
      </c>
      <c r="G2002" s="116" t="str">
        <f>HYPERLINK("http://nsgreg.nga.mil/genc/view?v=114168&amp;gencs=T&amp;end_month=3&amp;end_day=31&amp;end_year=2014","Saint Ann")</f>
        <v>Saint Ann</v>
      </c>
      <c r="H2002" s="87" t="str">
        <f>HYPERLINK("http://api.nsgreg.nga.mil/geo-division/ISO3166-2/6/ed3/JM-06","JM-06")</f>
        <v>JM-06</v>
      </c>
    </row>
    <row r="2003" spans="1:8" x14ac:dyDescent="0.2">
      <c r="A2003" s="157"/>
      <c r="B2003" s="31" t="s">
        <v>7858</v>
      </c>
      <c r="C2003" s="31" t="s">
        <v>7859</v>
      </c>
      <c r="D2003" s="31" t="s">
        <v>2301</v>
      </c>
      <c r="E2003" s="61" t="b">
        <v>1</v>
      </c>
      <c r="F2003" s="106" t="s">
        <v>7860</v>
      </c>
      <c r="G2003" s="116" t="str">
        <f>HYPERLINK("http://nsgreg.nga.mil/genc/view?v=114176&amp;gencs=T&amp;end_month=3&amp;end_day=31&amp;end_year=2014","Saint Catherine")</f>
        <v>Saint Catherine</v>
      </c>
      <c r="H2003" s="87" t="str">
        <f>HYPERLINK("http://api.nsgreg.nga.mil/geo-division/ISO3166-2/6/ed3/JM-14","JM-14")</f>
        <v>JM-14</v>
      </c>
    </row>
    <row r="2004" spans="1:8" x14ac:dyDescent="0.2">
      <c r="A2004" s="157"/>
      <c r="B2004" s="31" t="s">
        <v>7861</v>
      </c>
      <c r="C2004" s="31" t="s">
        <v>7862</v>
      </c>
      <c r="D2004" s="31" t="s">
        <v>2301</v>
      </c>
      <c r="E2004" s="61" t="b">
        <v>1</v>
      </c>
      <c r="F2004" s="106" t="s">
        <v>7863</v>
      </c>
      <c r="G2004" s="116" t="str">
        <f>HYPERLINK("http://nsgreg.nga.mil/genc/view?v=114173&amp;gencs=T&amp;end_month=3&amp;end_day=31&amp;end_year=2014","Saint Elizabeth")</f>
        <v>Saint Elizabeth</v>
      </c>
      <c r="H2004" s="87" t="str">
        <f>HYPERLINK("http://api.nsgreg.nga.mil/geo-division/ISO3166-2/6/ed3/JM-11","JM-11")</f>
        <v>JM-11</v>
      </c>
    </row>
    <row r="2005" spans="1:8" x14ac:dyDescent="0.2">
      <c r="A2005" s="157"/>
      <c r="B2005" s="31" t="s">
        <v>7864</v>
      </c>
      <c r="C2005" s="31" t="s">
        <v>3115</v>
      </c>
      <c r="D2005" s="31" t="s">
        <v>2301</v>
      </c>
      <c r="E2005" s="61" t="b">
        <v>1</v>
      </c>
      <c r="F2005" s="106" t="s">
        <v>7865</v>
      </c>
      <c r="G2005" s="116" t="str">
        <f>HYPERLINK("http://nsgreg.nga.mil/genc/view?v=114170&amp;gencs=T&amp;end_month=3&amp;end_day=31&amp;end_year=2014","Saint James")</f>
        <v>Saint James</v>
      </c>
      <c r="H2005" s="87" t="str">
        <f>HYPERLINK("http://api.nsgreg.nga.mil/geo-division/ISO3166-2/6/ed3/JM-08","JM-08")</f>
        <v>JM-08</v>
      </c>
    </row>
    <row r="2006" spans="1:8" x14ac:dyDescent="0.2">
      <c r="A2006" s="157"/>
      <c r="B2006" s="31" t="s">
        <v>7866</v>
      </c>
      <c r="C2006" s="31" t="s">
        <v>2389</v>
      </c>
      <c r="D2006" s="31" t="s">
        <v>2301</v>
      </c>
      <c r="E2006" s="61" t="b">
        <v>1</v>
      </c>
      <c r="F2006" s="106" t="s">
        <v>7867</v>
      </c>
      <c r="G2006" s="116" t="str">
        <f>HYPERLINK("http://nsgreg.nga.mil/genc/view?v=114167&amp;gencs=T&amp;end_month=3&amp;end_day=31&amp;end_year=2014","Saint Mary")</f>
        <v>Saint Mary</v>
      </c>
      <c r="H2006" s="87" t="str">
        <f>HYPERLINK("http://api.nsgreg.nga.mil/geo-division/ISO3166-2/6/ed3/JM-05","JM-05")</f>
        <v>JM-05</v>
      </c>
    </row>
    <row r="2007" spans="1:8" x14ac:dyDescent="0.2">
      <c r="A2007" s="157"/>
      <c r="B2007" s="31" t="s">
        <v>7868</v>
      </c>
      <c r="C2007" s="31" t="s">
        <v>3133</v>
      </c>
      <c r="D2007" s="31" t="s">
        <v>2301</v>
      </c>
      <c r="E2007" s="61" t="b">
        <v>1</v>
      </c>
      <c r="F2007" s="106" t="s">
        <v>7869</v>
      </c>
      <c r="G2007" s="116" t="str">
        <f>HYPERLINK("http://nsgreg.nga.mil/genc/view?v=114165&amp;gencs=T&amp;end_month=3&amp;end_day=31&amp;end_year=2014","Saint Thomas")</f>
        <v>Saint Thomas</v>
      </c>
      <c r="H2007" s="87" t="str">
        <f>HYPERLINK("http://api.nsgreg.nga.mil/geo-division/ISO3166-2/6/ed3/JM-03","JM-03")</f>
        <v>JM-03</v>
      </c>
    </row>
    <row r="2008" spans="1:8" x14ac:dyDescent="0.2">
      <c r="A2008" s="157"/>
      <c r="B2008" s="31" t="s">
        <v>7870</v>
      </c>
      <c r="C2008" s="31" t="s">
        <v>7871</v>
      </c>
      <c r="D2008" s="31" t="s">
        <v>2301</v>
      </c>
      <c r="E2008" s="61" t="b">
        <v>1</v>
      </c>
      <c r="F2008" s="106" t="s">
        <v>7872</v>
      </c>
      <c r="G2008" s="116" t="str">
        <f>HYPERLINK("http://nsgreg.nga.mil/genc/view?v=114169&amp;gencs=T&amp;end_month=3&amp;end_day=31&amp;end_year=2014","Trelawny")</f>
        <v>Trelawny</v>
      </c>
      <c r="H2008" s="87" t="str">
        <f>HYPERLINK("http://api.nsgreg.nga.mil/geo-division/ISO3166-2/6/ed3/JM-07","JM-07")</f>
        <v>JM-07</v>
      </c>
    </row>
    <row r="2009" spans="1:8" x14ac:dyDescent="0.2">
      <c r="A2009" s="158"/>
      <c r="B2009" s="58" t="s">
        <v>7873</v>
      </c>
      <c r="C2009" s="58" t="s">
        <v>7874</v>
      </c>
      <c r="D2009" s="58" t="s">
        <v>2301</v>
      </c>
      <c r="E2009" s="62" t="b">
        <v>1</v>
      </c>
      <c r="F2009" s="108" t="s">
        <v>7875</v>
      </c>
      <c r="G2009" s="117" t="str">
        <f>HYPERLINK("http://nsgreg.nga.mil/genc/view?v=114172&amp;gencs=T&amp;end_month=3&amp;end_day=31&amp;end_year=2014","Westmoreland")</f>
        <v>Westmoreland</v>
      </c>
      <c r="H2009" s="89" t="str">
        <f>HYPERLINK("http://api.nsgreg.nga.mil/geo-division/ISO3166-2/6/ed3/JM-10","JM-10")</f>
        <v>JM-10</v>
      </c>
    </row>
    <row r="2010" spans="1:8" x14ac:dyDescent="0.2">
      <c r="A2010" s="156" t="str">
        <f>HYPERLINK("[#]Geopolitical_Entities!A134:I134","JAPAN")</f>
        <v>JAPAN</v>
      </c>
      <c r="B2010" s="52" t="s">
        <v>7876</v>
      </c>
      <c r="C2010" s="52" t="s">
        <v>7877</v>
      </c>
      <c r="D2010" s="52" t="s">
        <v>4127</v>
      </c>
      <c r="E2010" s="60" t="b">
        <v>1</v>
      </c>
      <c r="F2010" s="110" t="s">
        <v>7878</v>
      </c>
      <c r="G2010" s="118" t="str">
        <f>HYPERLINK("http://nsgreg.nga.mil/genc/view?v=201585&amp;end_month=3&amp;end_day=31&amp;end_year=2014","Aichi")</f>
        <v>Aichi</v>
      </c>
      <c r="H2010" s="91" t="str">
        <f>HYPERLINK("http://api.nsgreg.nga.mil/geo-division/GENC/6/ed2/JP-23","JP-23")</f>
        <v>JP-23</v>
      </c>
    </row>
    <row r="2011" spans="1:8" x14ac:dyDescent="0.2">
      <c r="A2011" s="157"/>
      <c r="B2011" s="31" t="s">
        <v>7879</v>
      </c>
      <c r="C2011" s="31" t="s">
        <v>7880</v>
      </c>
      <c r="D2011" s="31" t="s">
        <v>4127</v>
      </c>
      <c r="E2011" s="61" t="b">
        <v>1</v>
      </c>
      <c r="F2011" s="107" t="s">
        <v>7881</v>
      </c>
      <c r="G2011" s="116" t="str">
        <f>HYPERLINK("http://nsgreg.nga.mil/genc/view?v=201567&amp;end_month=3&amp;end_day=31&amp;end_year=2014","Akita")</f>
        <v>Akita</v>
      </c>
      <c r="H2011" s="87" t="str">
        <f>HYPERLINK("http://api.nsgreg.nga.mil/geo-division/GENC/6/ed2/JP-05","JP-05")</f>
        <v>JP-05</v>
      </c>
    </row>
    <row r="2012" spans="1:8" x14ac:dyDescent="0.2">
      <c r="A2012" s="157"/>
      <c r="B2012" s="31" t="s">
        <v>7882</v>
      </c>
      <c r="C2012" s="31" t="s">
        <v>7883</v>
      </c>
      <c r="D2012" s="31" t="s">
        <v>4127</v>
      </c>
      <c r="E2012" s="61" t="b">
        <v>1</v>
      </c>
      <c r="F2012" s="107" t="s">
        <v>7884</v>
      </c>
      <c r="G2012" s="116" t="str">
        <f>HYPERLINK("http://nsgreg.nga.mil/genc/view?v=201564&amp;end_month=3&amp;end_day=31&amp;end_year=2014","Aomori")</f>
        <v>Aomori</v>
      </c>
      <c r="H2012" s="87" t="str">
        <f>HYPERLINK("http://api.nsgreg.nga.mil/geo-division/GENC/6/ed2/JP-02","JP-02")</f>
        <v>JP-02</v>
      </c>
    </row>
    <row r="2013" spans="1:8" x14ac:dyDescent="0.2">
      <c r="A2013" s="157"/>
      <c r="B2013" s="31" t="s">
        <v>7885</v>
      </c>
      <c r="C2013" s="31" t="s">
        <v>7886</v>
      </c>
      <c r="D2013" s="31" t="s">
        <v>4127</v>
      </c>
      <c r="E2013" s="61" t="b">
        <v>1</v>
      </c>
      <c r="F2013" s="107" t="s">
        <v>7887</v>
      </c>
      <c r="G2013" s="116" t="str">
        <f>HYPERLINK("http://nsgreg.nga.mil/genc/view?v=201574&amp;end_month=3&amp;end_day=31&amp;end_year=2014","Chiba")</f>
        <v>Chiba</v>
      </c>
      <c r="H2013" s="87" t="str">
        <f>HYPERLINK("http://api.nsgreg.nga.mil/geo-division/GENC/6/ed2/JP-12","JP-12")</f>
        <v>JP-12</v>
      </c>
    </row>
    <row r="2014" spans="1:8" x14ac:dyDescent="0.2">
      <c r="A2014" s="157"/>
      <c r="B2014" s="31" t="s">
        <v>7888</v>
      </c>
      <c r="C2014" s="31" t="s">
        <v>7889</v>
      </c>
      <c r="D2014" s="31" t="s">
        <v>4127</v>
      </c>
      <c r="E2014" s="61" t="b">
        <v>1</v>
      </c>
      <c r="F2014" s="107" t="s">
        <v>7890</v>
      </c>
      <c r="G2014" s="116" t="str">
        <f>HYPERLINK("http://nsgreg.nga.mil/genc/view?v=201600&amp;end_month=3&amp;end_day=31&amp;end_year=2014","Ehime")</f>
        <v>Ehime</v>
      </c>
      <c r="H2014" s="87" t="str">
        <f>HYPERLINK("http://api.nsgreg.nga.mil/geo-division/GENC/6/ed2/JP-38","JP-38")</f>
        <v>JP-38</v>
      </c>
    </row>
    <row r="2015" spans="1:8" x14ac:dyDescent="0.2">
      <c r="A2015" s="157"/>
      <c r="B2015" s="31" t="s">
        <v>7891</v>
      </c>
      <c r="C2015" s="31" t="s">
        <v>7892</v>
      </c>
      <c r="D2015" s="31" t="s">
        <v>4127</v>
      </c>
      <c r="E2015" s="61" t="b">
        <v>1</v>
      </c>
      <c r="F2015" s="107" t="s">
        <v>7893</v>
      </c>
      <c r="G2015" s="116" t="str">
        <f>HYPERLINK("http://nsgreg.nga.mil/genc/view?v=201580&amp;end_month=3&amp;end_day=31&amp;end_year=2014","Fukui")</f>
        <v>Fukui</v>
      </c>
      <c r="H2015" s="87" t="str">
        <f>HYPERLINK("http://api.nsgreg.nga.mil/geo-division/GENC/6/ed2/JP-18","JP-18")</f>
        <v>JP-18</v>
      </c>
    </row>
    <row r="2016" spans="1:8" x14ac:dyDescent="0.2">
      <c r="A2016" s="157"/>
      <c r="B2016" s="31" t="s">
        <v>7894</v>
      </c>
      <c r="C2016" s="31" t="s">
        <v>7895</v>
      </c>
      <c r="D2016" s="31" t="s">
        <v>4127</v>
      </c>
      <c r="E2016" s="61" t="b">
        <v>1</v>
      </c>
      <c r="F2016" s="107" t="s">
        <v>7896</v>
      </c>
      <c r="G2016" s="116" t="str">
        <f>HYPERLINK("http://nsgreg.nga.mil/genc/view?v=201602&amp;end_month=3&amp;end_day=31&amp;end_year=2014","Fukuoka")</f>
        <v>Fukuoka</v>
      </c>
      <c r="H2016" s="87" t="str">
        <f>HYPERLINK("http://api.nsgreg.nga.mil/geo-division/GENC/6/ed2/JP-40","JP-40")</f>
        <v>JP-40</v>
      </c>
    </row>
    <row r="2017" spans="1:8" x14ac:dyDescent="0.2">
      <c r="A2017" s="157"/>
      <c r="B2017" s="31" t="s">
        <v>7897</v>
      </c>
      <c r="C2017" s="31" t="s">
        <v>7898</v>
      </c>
      <c r="D2017" s="31" t="s">
        <v>4127</v>
      </c>
      <c r="E2017" s="61" t="b">
        <v>1</v>
      </c>
      <c r="F2017" s="107" t="s">
        <v>7899</v>
      </c>
      <c r="G2017" s="116" t="str">
        <f>HYPERLINK("http://nsgreg.nga.mil/genc/view?v=201569&amp;end_month=3&amp;end_day=31&amp;end_year=2014","Fukushima")</f>
        <v>Fukushima</v>
      </c>
      <c r="H2017" s="87" t="str">
        <f>HYPERLINK("http://api.nsgreg.nga.mil/geo-division/GENC/6/ed2/JP-07","JP-07")</f>
        <v>JP-07</v>
      </c>
    </row>
    <row r="2018" spans="1:8" x14ac:dyDescent="0.2">
      <c r="A2018" s="157"/>
      <c r="B2018" s="31" t="s">
        <v>7900</v>
      </c>
      <c r="C2018" s="31" t="s">
        <v>7901</v>
      </c>
      <c r="D2018" s="31" t="s">
        <v>4127</v>
      </c>
      <c r="E2018" s="61" t="b">
        <v>1</v>
      </c>
      <c r="F2018" s="107" t="s">
        <v>7902</v>
      </c>
      <c r="G2018" s="116" t="str">
        <f>HYPERLINK("http://nsgreg.nga.mil/genc/view?v=201583&amp;end_month=3&amp;end_day=31&amp;end_year=2014","Gifu")</f>
        <v>Gifu</v>
      </c>
      <c r="H2018" s="87" t="str">
        <f>HYPERLINK("http://api.nsgreg.nga.mil/geo-division/GENC/6/ed2/JP-21","JP-21")</f>
        <v>JP-21</v>
      </c>
    </row>
    <row r="2019" spans="1:8" x14ac:dyDescent="0.2">
      <c r="A2019" s="157"/>
      <c r="B2019" s="31" t="s">
        <v>7903</v>
      </c>
      <c r="C2019" s="31" t="s">
        <v>7904</v>
      </c>
      <c r="D2019" s="31" t="s">
        <v>4127</v>
      </c>
      <c r="E2019" s="61" t="b">
        <v>1</v>
      </c>
      <c r="F2019" s="107" t="s">
        <v>7905</v>
      </c>
      <c r="G2019" s="116" t="str">
        <f>HYPERLINK("http://nsgreg.nga.mil/genc/view?v=201572&amp;end_month=3&amp;end_day=31&amp;end_year=2014","Gunma")</f>
        <v>Gunma</v>
      </c>
      <c r="H2019" s="87" t="str">
        <f>HYPERLINK("http://api.nsgreg.nga.mil/geo-division/GENC/6/ed2/JP-10","JP-10")</f>
        <v>JP-10</v>
      </c>
    </row>
    <row r="2020" spans="1:8" x14ac:dyDescent="0.2">
      <c r="A2020" s="157"/>
      <c r="B2020" s="31" t="s">
        <v>7906</v>
      </c>
      <c r="C2020" s="31" t="s">
        <v>7907</v>
      </c>
      <c r="D2020" s="31" t="s">
        <v>4127</v>
      </c>
      <c r="E2020" s="61" t="b">
        <v>1</v>
      </c>
      <c r="F2020" s="107" t="s">
        <v>7908</v>
      </c>
      <c r="G2020" s="116" t="str">
        <f>HYPERLINK("http://nsgreg.nga.mil/genc/view?v=201596&amp;end_month=3&amp;end_day=31&amp;end_year=2014","Hiroshima")</f>
        <v>Hiroshima</v>
      </c>
      <c r="H2020" s="87" t="str">
        <f>HYPERLINK("http://api.nsgreg.nga.mil/geo-division/GENC/6/ed2/JP-34","JP-34")</f>
        <v>JP-34</v>
      </c>
    </row>
    <row r="2021" spans="1:8" x14ac:dyDescent="0.2">
      <c r="A2021" s="157"/>
      <c r="B2021" s="31" t="s">
        <v>7909</v>
      </c>
      <c r="C2021" s="31" t="s">
        <v>7910</v>
      </c>
      <c r="D2021" s="31" t="s">
        <v>4127</v>
      </c>
      <c r="E2021" s="61" t="b">
        <v>1</v>
      </c>
      <c r="F2021" s="107" t="s">
        <v>7911</v>
      </c>
      <c r="G2021" s="116" t="str">
        <f>HYPERLINK("http://nsgreg.nga.mil/genc/view?v=201563&amp;end_month=3&amp;end_day=31&amp;end_year=2014","Hokkaidō")</f>
        <v>Hokkaidō</v>
      </c>
      <c r="H2021" s="87" t="str">
        <f>HYPERLINK("http://api.nsgreg.nga.mil/geo-division/GENC/6/ed2/JP-01","JP-01")</f>
        <v>JP-01</v>
      </c>
    </row>
    <row r="2022" spans="1:8" x14ac:dyDescent="0.2">
      <c r="A2022" s="157"/>
      <c r="B2022" s="31" t="s">
        <v>7912</v>
      </c>
      <c r="C2022" s="31" t="s">
        <v>7913</v>
      </c>
      <c r="D2022" s="31" t="s">
        <v>4127</v>
      </c>
      <c r="E2022" s="61" t="b">
        <v>1</v>
      </c>
      <c r="F2022" s="107" t="s">
        <v>7914</v>
      </c>
      <c r="G2022" s="116" t="str">
        <f>HYPERLINK("http://nsgreg.nga.mil/genc/view?v=201590&amp;end_month=3&amp;end_day=31&amp;end_year=2014","Hyōgo")</f>
        <v>Hyōgo</v>
      </c>
      <c r="H2022" s="87" t="str">
        <f>HYPERLINK("http://api.nsgreg.nga.mil/geo-division/GENC/6/ed2/JP-28","JP-28")</f>
        <v>JP-28</v>
      </c>
    </row>
    <row r="2023" spans="1:8" x14ac:dyDescent="0.2">
      <c r="A2023" s="157"/>
      <c r="B2023" s="31" t="s">
        <v>7915</v>
      </c>
      <c r="C2023" s="31" t="s">
        <v>7916</v>
      </c>
      <c r="D2023" s="31" t="s">
        <v>4127</v>
      </c>
      <c r="E2023" s="61" t="b">
        <v>1</v>
      </c>
      <c r="F2023" s="107" t="s">
        <v>7917</v>
      </c>
      <c r="G2023" s="116" t="str">
        <f>HYPERLINK("http://nsgreg.nga.mil/genc/view?v=201570&amp;end_month=3&amp;end_day=31&amp;end_year=2014","Ibaraki")</f>
        <v>Ibaraki</v>
      </c>
      <c r="H2023" s="87" t="str">
        <f>HYPERLINK("http://api.nsgreg.nga.mil/geo-division/GENC/6/ed2/JP-08","JP-08")</f>
        <v>JP-08</v>
      </c>
    </row>
    <row r="2024" spans="1:8" x14ac:dyDescent="0.2">
      <c r="A2024" s="157"/>
      <c r="B2024" s="31" t="s">
        <v>7918</v>
      </c>
      <c r="C2024" s="31" t="s">
        <v>7919</v>
      </c>
      <c r="D2024" s="31" t="s">
        <v>4127</v>
      </c>
      <c r="E2024" s="61" t="b">
        <v>1</v>
      </c>
      <c r="F2024" s="107" t="s">
        <v>7920</v>
      </c>
      <c r="G2024" s="116" t="str">
        <f>HYPERLINK("http://nsgreg.nga.mil/genc/view?v=201579&amp;end_month=3&amp;end_day=31&amp;end_year=2014","Ishikawa")</f>
        <v>Ishikawa</v>
      </c>
      <c r="H2024" s="87" t="str">
        <f>HYPERLINK("http://api.nsgreg.nga.mil/geo-division/GENC/6/ed2/JP-17","JP-17")</f>
        <v>JP-17</v>
      </c>
    </row>
    <row r="2025" spans="1:8" x14ac:dyDescent="0.2">
      <c r="A2025" s="157"/>
      <c r="B2025" s="31" t="s">
        <v>7921</v>
      </c>
      <c r="C2025" s="31" t="s">
        <v>7922</v>
      </c>
      <c r="D2025" s="31" t="s">
        <v>4127</v>
      </c>
      <c r="E2025" s="61" t="b">
        <v>1</v>
      </c>
      <c r="F2025" s="107" t="s">
        <v>7923</v>
      </c>
      <c r="G2025" s="116" t="str">
        <f>HYPERLINK("http://nsgreg.nga.mil/genc/view?v=201565&amp;end_month=3&amp;end_day=31&amp;end_year=2014","Iwate")</f>
        <v>Iwate</v>
      </c>
      <c r="H2025" s="87" t="str">
        <f>HYPERLINK("http://api.nsgreg.nga.mil/geo-division/GENC/6/ed2/JP-03","JP-03")</f>
        <v>JP-03</v>
      </c>
    </row>
    <row r="2026" spans="1:8" x14ac:dyDescent="0.2">
      <c r="A2026" s="157"/>
      <c r="B2026" s="31" t="s">
        <v>7924</v>
      </c>
      <c r="C2026" s="31" t="s">
        <v>7925</v>
      </c>
      <c r="D2026" s="31" t="s">
        <v>4127</v>
      </c>
      <c r="E2026" s="61" t="b">
        <v>1</v>
      </c>
      <c r="F2026" s="107" t="s">
        <v>7926</v>
      </c>
      <c r="G2026" s="116" t="str">
        <f>HYPERLINK("http://nsgreg.nga.mil/genc/view?v=201599&amp;end_month=3&amp;end_day=31&amp;end_year=2014","Kagawa")</f>
        <v>Kagawa</v>
      </c>
      <c r="H2026" s="87" t="str">
        <f>HYPERLINK("http://api.nsgreg.nga.mil/geo-division/GENC/6/ed2/JP-37","JP-37")</f>
        <v>JP-37</v>
      </c>
    </row>
    <row r="2027" spans="1:8" x14ac:dyDescent="0.2">
      <c r="A2027" s="157"/>
      <c r="B2027" s="31" t="s">
        <v>7927</v>
      </c>
      <c r="C2027" s="31" t="s">
        <v>7928</v>
      </c>
      <c r="D2027" s="31" t="s">
        <v>4127</v>
      </c>
      <c r="E2027" s="61" t="b">
        <v>1</v>
      </c>
      <c r="F2027" s="107" t="s">
        <v>7929</v>
      </c>
      <c r="G2027" s="116" t="str">
        <f>HYPERLINK("http://nsgreg.nga.mil/genc/view?v=201608&amp;end_month=3&amp;end_day=31&amp;end_year=2014","Kagoshima")</f>
        <v>Kagoshima</v>
      </c>
      <c r="H2027" s="87" t="str">
        <f>HYPERLINK("http://api.nsgreg.nga.mil/geo-division/GENC/6/ed2/JP-46","JP-46")</f>
        <v>JP-46</v>
      </c>
    </row>
    <row r="2028" spans="1:8" x14ac:dyDescent="0.2">
      <c r="A2028" s="157"/>
      <c r="B2028" s="31" t="s">
        <v>7930</v>
      </c>
      <c r="C2028" s="31" t="s">
        <v>7931</v>
      </c>
      <c r="D2028" s="31" t="s">
        <v>4127</v>
      </c>
      <c r="E2028" s="61" t="b">
        <v>1</v>
      </c>
      <c r="F2028" s="107" t="s">
        <v>7932</v>
      </c>
      <c r="G2028" s="116" t="str">
        <f>HYPERLINK("http://nsgreg.nga.mil/genc/view?v=201576&amp;end_month=3&amp;end_day=31&amp;end_year=2014","Kanagawa")</f>
        <v>Kanagawa</v>
      </c>
      <c r="H2028" s="87" t="str">
        <f>HYPERLINK("http://api.nsgreg.nga.mil/geo-division/GENC/6/ed2/JP-14","JP-14")</f>
        <v>JP-14</v>
      </c>
    </row>
    <row r="2029" spans="1:8" x14ac:dyDescent="0.2">
      <c r="A2029" s="157"/>
      <c r="B2029" s="31" t="s">
        <v>7933</v>
      </c>
      <c r="C2029" s="31" t="s">
        <v>7934</v>
      </c>
      <c r="D2029" s="31" t="s">
        <v>4127</v>
      </c>
      <c r="E2029" s="61" t="b">
        <v>1</v>
      </c>
      <c r="F2029" s="107" t="s">
        <v>7935</v>
      </c>
      <c r="G2029" s="116" t="str">
        <f>HYPERLINK("http://nsgreg.nga.mil/genc/view?v=201601&amp;end_month=3&amp;end_day=31&amp;end_year=2014","Kōchi")</f>
        <v>Kōchi</v>
      </c>
      <c r="H2029" s="87" t="str">
        <f>HYPERLINK("http://api.nsgreg.nga.mil/geo-division/GENC/6/ed2/JP-39","JP-39")</f>
        <v>JP-39</v>
      </c>
    </row>
    <row r="2030" spans="1:8" x14ac:dyDescent="0.2">
      <c r="A2030" s="157"/>
      <c r="B2030" s="31" t="s">
        <v>7936</v>
      </c>
      <c r="C2030" s="31" t="s">
        <v>7937</v>
      </c>
      <c r="D2030" s="31" t="s">
        <v>4127</v>
      </c>
      <c r="E2030" s="61" t="b">
        <v>1</v>
      </c>
      <c r="F2030" s="107" t="s">
        <v>7938</v>
      </c>
      <c r="G2030" s="116" t="str">
        <f>HYPERLINK("http://nsgreg.nga.mil/genc/view?v=201605&amp;end_month=3&amp;end_day=31&amp;end_year=2014","Kumamoto")</f>
        <v>Kumamoto</v>
      </c>
      <c r="H2030" s="87" t="str">
        <f>HYPERLINK("http://api.nsgreg.nga.mil/geo-division/GENC/6/ed2/JP-43","JP-43")</f>
        <v>JP-43</v>
      </c>
    </row>
    <row r="2031" spans="1:8" x14ac:dyDescent="0.2">
      <c r="A2031" s="157"/>
      <c r="B2031" s="31" t="s">
        <v>7939</v>
      </c>
      <c r="C2031" s="31" t="s">
        <v>7940</v>
      </c>
      <c r="D2031" s="31" t="s">
        <v>4127</v>
      </c>
      <c r="E2031" s="61" t="b">
        <v>1</v>
      </c>
      <c r="F2031" s="107" t="s">
        <v>7941</v>
      </c>
      <c r="G2031" s="116" t="str">
        <f>HYPERLINK("http://nsgreg.nga.mil/genc/view?v=201588&amp;end_month=3&amp;end_day=31&amp;end_year=2014","Kyōto")</f>
        <v>Kyōto</v>
      </c>
      <c r="H2031" s="87" t="str">
        <f>HYPERLINK("http://api.nsgreg.nga.mil/geo-division/GENC/6/ed2/JP-26","JP-26")</f>
        <v>JP-26</v>
      </c>
    </row>
    <row r="2032" spans="1:8" x14ac:dyDescent="0.2">
      <c r="A2032" s="157"/>
      <c r="B2032" s="31" t="s">
        <v>7942</v>
      </c>
      <c r="C2032" s="31" t="s">
        <v>7943</v>
      </c>
      <c r="D2032" s="31" t="s">
        <v>4127</v>
      </c>
      <c r="E2032" s="61" t="b">
        <v>1</v>
      </c>
      <c r="F2032" s="107" t="s">
        <v>7944</v>
      </c>
      <c r="G2032" s="116" t="str">
        <f>HYPERLINK("http://nsgreg.nga.mil/genc/view?v=201586&amp;end_month=3&amp;end_day=31&amp;end_year=2014","Mie")</f>
        <v>Mie</v>
      </c>
      <c r="H2032" s="87" t="str">
        <f>HYPERLINK("http://api.nsgreg.nga.mil/geo-division/GENC/6/ed2/JP-24","JP-24")</f>
        <v>JP-24</v>
      </c>
    </row>
    <row r="2033" spans="1:8" x14ac:dyDescent="0.2">
      <c r="A2033" s="157"/>
      <c r="B2033" s="31" t="s">
        <v>7945</v>
      </c>
      <c r="C2033" s="31" t="s">
        <v>7946</v>
      </c>
      <c r="D2033" s="31" t="s">
        <v>4127</v>
      </c>
      <c r="E2033" s="61" t="b">
        <v>1</v>
      </c>
      <c r="F2033" s="107" t="s">
        <v>7947</v>
      </c>
      <c r="G2033" s="116" t="str">
        <f>HYPERLINK("http://nsgreg.nga.mil/genc/view?v=201566&amp;end_month=3&amp;end_day=31&amp;end_year=2014","Miyagi")</f>
        <v>Miyagi</v>
      </c>
      <c r="H2033" s="87" t="str">
        <f>HYPERLINK("http://api.nsgreg.nga.mil/geo-division/GENC/6/ed2/JP-04","JP-04")</f>
        <v>JP-04</v>
      </c>
    </row>
    <row r="2034" spans="1:8" x14ac:dyDescent="0.2">
      <c r="A2034" s="157"/>
      <c r="B2034" s="31" t="s">
        <v>7948</v>
      </c>
      <c r="C2034" s="31" t="s">
        <v>7949</v>
      </c>
      <c r="D2034" s="31" t="s">
        <v>4127</v>
      </c>
      <c r="E2034" s="61" t="b">
        <v>1</v>
      </c>
      <c r="F2034" s="107" t="s">
        <v>7950</v>
      </c>
      <c r="G2034" s="116" t="str">
        <f>HYPERLINK("http://nsgreg.nga.mil/genc/view?v=201607&amp;end_month=3&amp;end_day=31&amp;end_year=2014","Miyazaki")</f>
        <v>Miyazaki</v>
      </c>
      <c r="H2034" s="87" t="str">
        <f>HYPERLINK("http://api.nsgreg.nga.mil/geo-division/GENC/6/ed2/JP-45","JP-45")</f>
        <v>JP-45</v>
      </c>
    </row>
    <row r="2035" spans="1:8" x14ac:dyDescent="0.2">
      <c r="A2035" s="157"/>
      <c r="B2035" s="31" t="s">
        <v>7951</v>
      </c>
      <c r="C2035" s="31" t="s">
        <v>7952</v>
      </c>
      <c r="D2035" s="31" t="s">
        <v>4127</v>
      </c>
      <c r="E2035" s="61" t="b">
        <v>1</v>
      </c>
      <c r="F2035" s="107" t="s">
        <v>7953</v>
      </c>
      <c r="G2035" s="116" t="str">
        <f>HYPERLINK("http://nsgreg.nga.mil/genc/view?v=201582&amp;end_month=3&amp;end_day=31&amp;end_year=2014","Nagano")</f>
        <v>Nagano</v>
      </c>
      <c r="H2035" s="87" t="str">
        <f>HYPERLINK("http://api.nsgreg.nga.mil/geo-division/GENC/6/ed2/JP-20","JP-20")</f>
        <v>JP-20</v>
      </c>
    </row>
    <row r="2036" spans="1:8" x14ac:dyDescent="0.2">
      <c r="A2036" s="157"/>
      <c r="B2036" s="31" t="s">
        <v>7954</v>
      </c>
      <c r="C2036" s="31" t="s">
        <v>7955</v>
      </c>
      <c r="D2036" s="31" t="s">
        <v>4127</v>
      </c>
      <c r="E2036" s="61" t="b">
        <v>1</v>
      </c>
      <c r="F2036" s="107" t="s">
        <v>7956</v>
      </c>
      <c r="G2036" s="116" t="str">
        <f>HYPERLINK("http://nsgreg.nga.mil/genc/view?v=201604&amp;end_month=3&amp;end_day=31&amp;end_year=2014","Nagasaki")</f>
        <v>Nagasaki</v>
      </c>
      <c r="H2036" s="87" t="str">
        <f>HYPERLINK("http://api.nsgreg.nga.mil/geo-division/GENC/6/ed2/JP-42","JP-42")</f>
        <v>JP-42</v>
      </c>
    </row>
    <row r="2037" spans="1:8" x14ac:dyDescent="0.2">
      <c r="A2037" s="157"/>
      <c r="B2037" s="31" t="s">
        <v>7957</v>
      </c>
      <c r="C2037" s="31" t="s">
        <v>7958</v>
      </c>
      <c r="D2037" s="31" t="s">
        <v>4127</v>
      </c>
      <c r="E2037" s="61" t="b">
        <v>1</v>
      </c>
      <c r="F2037" s="107" t="s">
        <v>7959</v>
      </c>
      <c r="G2037" s="116" t="str">
        <f>HYPERLINK("http://nsgreg.nga.mil/genc/view?v=201591&amp;end_month=3&amp;end_day=31&amp;end_year=2014","Nara")</f>
        <v>Nara</v>
      </c>
      <c r="H2037" s="87" t="str">
        <f>HYPERLINK("http://api.nsgreg.nga.mil/geo-division/GENC/6/ed2/JP-29","JP-29")</f>
        <v>JP-29</v>
      </c>
    </row>
    <row r="2038" spans="1:8" x14ac:dyDescent="0.2">
      <c r="A2038" s="157"/>
      <c r="B2038" s="31" t="s">
        <v>7960</v>
      </c>
      <c r="C2038" s="31" t="s">
        <v>7961</v>
      </c>
      <c r="D2038" s="31" t="s">
        <v>4127</v>
      </c>
      <c r="E2038" s="61" t="b">
        <v>1</v>
      </c>
      <c r="F2038" s="107" t="s">
        <v>7962</v>
      </c>
      <c r="G2038" s="116" t="str">
        <f>HYPERLINK("http://nsgreg.nga.mil/genc/view?v=201577&amp;end_month=3&amp;end_day=31&amp;end_year=2014","Niigata")</f>
        <v>Niigata</v>
      </c>
      <c r="H2038" s="87" t="str">
        <f>HYPERLINK("http://api.nsgreg.nga.mil/geo-division/GENC/6/ed2/JP-15","JP-15")</f>
        <v>JP-15</v>
      </c>
    </row>
    <row r="2039" spans="1:8" x14ac:dyDescent="0.2">
      <c r="A2039" s="157"/>
      <c r="B2039" s="31" t="s">
        <v>7963</v>
      </c>
      <c r="C2039" s="31" t="s">
        <v>7964</v>
      </c>
      <c r="D2039" s="31" t="s">
        <v>4127</v>
      </c>
      <c r="E2039" s="61" t="b">
        <v>1</v>
      </c>
      <c r="F2039" s="107" t="s">
        <v>7965</v>
      </c>
      <c r="G2039" s="116" t="str">
        <f>HYPERLINK("http://nsgreg.nga.mil/genc/view?v=201606&amp;end_month=3&amp;end_day=31&amp;end_year=2014","Ōita")</f>
        <v>Ōita</v>
      </c>
      <c r="H2039" s="87" t="str">
        <f>HYPERLINK("http://api.nsgreg.nga.mil/geo-division/GENC/6/ed2/JP-44","JP-44")</f>
        <v>JP-44</v>
      </c>
    </row>
    <row r="2040" spans="1:8" x14ac:dyDescent="0.2">
      <c r="A2040" s="157"/>
      <c r="B2040" s="31" t="s">
        <v>7966</v>
      </c>
      <c r="C2040" s="31" t="s">
        <v>7967</v>
      </c>
      <c r="D2040" s="31" t="s">
        <v>4127</v>
      </c>
      <c r="E2040" s="61" t="b">
        <v>1</v>
      </c>
      <c r="F2040" s="107" t="s">
        <v>7968</v>
      </c>
      <c r="G2040" s="116" t="str">
        <f>HYPERLINK("http://nsgreg.nga.mil/genc/view?v=201595&amp;end_month=3&amp;end_day=31&amp;end_year=2014","Okayama")</f>
        <v>Okayama</v>
      </c>
      <c r="H2040" s="87" t="str">
        <f>HYPERLINK("http://api.nsgreg.nga.mil/geo-division/GENC/6/ed2/JP-33","JP-33")</f>
        <v>JP-33</v>
      </c>
    </row>
    <row r="2041" spans="1:8" x14ac:dyDescent="0.2">
      <c r="A2041" s="157"/>
      <c r="B2041" s="31" t="s">
        <v>7969</v>
      </c>
      <c r="C2041" s="31" t="s">
        <v>7970</v>
      </c>
      <c r="D2041" s="31" t="s">
        <v>4127</v>
      </c>
      <c r="E2041" s="61" t="b">
        <v>1</v>
      </c>
      <c r="F2041" s="107" t="s">
        <v>7971</v>
      </c>
      <c r="G2041" s="116" t="str">
        <f>HYPERLINK("http://nsgreg.nga.mil/genc/view?v=201609&amp;end_month=3&amp;end_day=31&amp;end_year=2014","Okinawa")</f>
        <v>Okinawa</v>
      </c>
      <c r="H2041" s="87" t="str">
        <f>HYPERLINK("http://api.nsgreg.nga.mil/geo-division/GENC/6/ed2/JP-47","JP-47")</f>
        <v>JP-47</v>
      </c>
    </row>
    <row r="2042" spans="1:8" x14ac:dyDescent="0.2">
      <c r="A2042" s="157"/>
      <c r="B2042" s="31" t="s">
        <v>7972</v>
      </c>
      <c r="C2042" s="31" t="s">
        <v>7973</v>
      </c>
      <c r="D2042" s="31" t="s">
        <v>4127</v>
      </c>
      <c r="E2042" s="61" t="b">
        <v>1</v>
      </c>
      <c r="F2042" s="107" t="s">
        <v>7974</v>
      </c>
      <c r="G2042" s="116" t="str">
        <f>HYPERLINK("http://nsgreg.nga.mil/genc/view?v=201589&amp;end_month=3&amp;end_day=31&amp;end_year=2014","Ōsaka")</f>
        <v>Ōsaka</v>
      </c>
      <c r="H2042" s="87" t="str">
        <f>HYPERLINK("http://api.nsgreg.nga.mil/geo-division/GENC/6/ed2/JP-27","JP-27")</f>
        <v>JP-27</v>
      </c>
    </row>
    <row r="2043" spans="1:8" x14ac:dyDescent="0.2">
      <c r="A2043" s="157"/>
      <c r="B2043" s="31" t="s">
        <v>7975</v>
      </c>
      <c r="C2043" s="31" t="s">
        <v>7976</v>
      </c>
      <c r="D2043" s="31" t="s">
        <v>4127</v>
      </c>
      <c r="E2043" s="61" t="b">
        <v>1</v>
      </c>
      <c r="F2043" s="107" t="s">
        <v>7977</v>
      </c>
      <c r="G2043" s="116" t="str">
        <f>HYPERLINK("http://nsgreg.nga.mil/genc/view?v=201603&amp;end_month=3&amp;end_day=31&amp;end_year=2014","Saga")</f>
        <v>Saga</v>
      </c>
      <c r="H2043" s="87" t="str">
        <f>HYPERLINK("http://api.nsgreg.nga.mil/geo-division/GENC/6/ed2/JP-41","JP-41")</f>
        <v>JP-41</v>
      </c>
    </row>
    <row r="2044" spans="1:8" x14ac:dyDescent="0.2">
      <c r="A2044" s="157"/>
      <c r="B2044" s="31" t="s">
        <v>7978</v>
      </c>
      <c r="C2044" s="31" t="s">
        <v>7979</v>
      </c>
      <c r="D2044" s="31" t="s">
        <v>4127</v>
      </c>
      <c r="E2044" s="61" t="b">
        <v>1</v>
      </c>
      <c r="F2044" s="107" t="s">
        <v>7980</v>
      </c>
      <c r="G2044" s="116" t="str">
        <f>HYPERLINK("http://nsgreg.nga.mil/genc/view?v=201573&amp;end_month=3&amp;end_day=31&amp;end_year=2014","Saitama")</f>
        <v>Saitama</v>
      </c>
      <c r="H2044" s="87" t="str">
        <f>HYPERLINK("http://api.nsgreg.nga.mil/geo-division/GENC/6/ed2/JP-11","JP-11")</f>
        <v>JP-11</v>
      </c>
    </row>
    <row r="2045" spans="1:8" x14ac:dyDescent="0.2">
      <c r="A2045" s="157"/>
      <c r="B2045" s="31" t="s">
        <v>7981</v>
      </c>
      <c r="C2045" s="31" t="s">
        <v>7982</v>
      </c>
      <c r="D2045" s="31" t="s">
        <v>4127</v>
      </c>
      <c r="E2045" s="61" t="b">
        <v>1</v>
      </c>
      <c r="F2045" s="107" t="s">
        <v>7983</v>
      </c>
      <c r="G2045" s="116" t="str">
        <f>HYPERLINK("http://nsgreg.nga.mil/genc/view?v=201587&amp;end_month=3&amp;end_day=31&amp;end_year=2014","Shiga")</f>
        <v>Shiga</v>
      </c>
      <c r="H2045" s="87" t="str">
        <f>HYPERLINK("http://api.nsgreg.nga.mil/geo-division/GENC/6/ed2/JP-25","JP-25")</f>
        <v>JP-25</v>
      </c>
    </row>
    <row r="2046" spans="1:8" x14ac:dyDescent="0.2">
      <c r="A2046" s="157"/>
      <c r="B2046" s="31" t="s">
        <v>7984</v>
      </c>
      <c r="C2046" s="31" t="s">
        <v>7985</v>
      </c>
      <c r="D2046" s="31" t="s">
        <v>4127</v>
      </c>
      <c r="E2046" s="61" t="b">
        <v>1</v>
      </c>
      <c r="F2046" s="107" t="s">
        <v>7986</v>
      </c>
      <c r="G2046" s="116" t="str">
        <f>HYPERLINK("http://nsgreg.nga.mil/genc/view?v=201594&amp;end_month=3&amp;end_day=31&amp;end_year=2014","Shimane")</f>
        <v>Shimane</v>
      </c>
      <c r="H2046" s="87" t="str">
        <f>HYPERLINK("http://api.nsgreg.nga.mil/geo-division/GENC/6/ed2/JP-32","JP-32")</f>
        <v>JP-32</v>
      </c>
    </row>
    <row r="2047" spans="1:8" x14ac:dyDescent="0.2">
      <c r="A2047" s="157"/>
      <c r="B2047" s="31" t="s">
        <v>7987</v>
      </c>
      <c r="C2047" s="31" t="s">
        <v>7988</v>
      </c>
      <c r="D2047" s="31" t="s">
        <v>4127</v>
      </c>
      <c r="E2047" s="61" t="b">
        <v>1</v>
      </c>
      <c r="F2047" s="107" t="s">
        <v>7989</v>
      </c>
      <c r="G2047" s="116" t="str">
        <f>HYPERLINK("http://nsgreg.nga.mil/genc/view?v=201584&amp;end_month=3&amp;end_day=31&amp;end_year=2014","Shizuoka")</f>
        <v>Shizuoka</v>
      </c>
      <c r="H2047" s="87" t="str">
        <f>HYPERLINK("http://api.nsgreg.nga.mil/geo-division/GENC/6/ed2/JP-22","JP-22")</f>
        <v>JP-22</v>
      </c>
    </row>
    <row r="2048" spans="1:8" x14ac:dyDescent="0.2">
      <c r="A2048" s="157"/>
      <c r="B2048" s="31" t="s">
        <v>7990</v>
      </c>
      <c r="C2048" s="31" t="s">
        <v>7991</v>
      </c>
      <c r="D2048" s="31" t="s">
        <v>4127</v>
      </c>
      <c r="E2048" s="61" t="b">
        <v>1</v>
      </c>
      <c r="F2048" s="107" t="s">
        <v>7992</v>
      </c>
      <c r="G2048" s="116" t="str">
        <f>HYPERLINK("http://nsgreg.nga.mil/genc/view?v=201571&amp;end_month=3&amp;end_day=31&amp;end_year=2014","Tochigi")</f>
        <v>Tochigi</v>
      </c>
      <c r="H2048" s="87" t="str">
        <f>HYPERLINK("http://api.nsgreg.nga.mil/geo-division/GENC/6/ed2/JP-09","JP-09")</f>
        <v>JP-09</v>
      </c>
    </row>
    <row r="2049" spans="1:8" x14ac:dyDescent="0.2">
      <c r="A2049" s="157"/>
      <c r="B2049" s="31" t="s">
        <v>7993</v>
      </c>
      <c r="C2049" s="31" t="s">
        <v>7994</v>
      </c>
      <c r="D2049" s="31" t="s">
        <v>4127</v>
      </c>
      <c r="E2049" s="61" t="b">
        <v>1</v>
      </c>
      <c r="F2049" s="107" t="s">
        <v>7995</v>
      </c>
      <c r="G2049" s="116" t="str">
        <f>HYPERLINK("http://nsgreg.nga.mil/genc/view?v=201598&amp;end_month=3&amp;end_day=31&amp;end_year=2014","Tokushima")</f>
        <v>Tokushima</v>
      </c>
      <c r="H2049" s="87" t="str">
        <f>HYPERLINK("http://api.nsgreg.nga.mil/geo-division/GENC/6/ed2/JP-36","JP-36")</f>
        <v>JP-36</v>
      </c>
    </row>
    <row r="2050" spans="1:8" x14ac:dyDescent="0.2">
      <c r="A2050" s="157"/>
      <c r="B2050" s="31" t="s">
        <v>7996</v>
      </c>
      <c r="C2050" s="31" t="s">
        <v>7997</v>
      </c>
      <c r="D2050" s="31" t="s">
        <v>4411</v>
      </c>
      <c r="E2050" s="61" t="b">
        <v>1</v>
      </c>
      <c r="F2050" s="107" t="s">
        <v>7998</v>
      </c>
      <c r="G2050" s="116" t="str">
        <f>HYPERLINK("http://nsgreg.nga.mil/genc/view?v=201575&amp;end_month=3&amp;end_day=31&amp;end_year=2014","Tōkyō")</f>
        <v>Tōkyō</v>
      </c>
      <c r="H2050" s="87" t="str">
        <f>HYPERLINK("http://api.nsgreg.nga.mil/geo-division/GENC/6/ed2/JP-13","JP-13")</f>
        <v>JP-13</v>
      </c>
    </row>
    <row r="2051" spans="1:8" x14ac:dyDescent="0.2">
      <c r="A2051" s="157"/>
      <c r="B2051" s="31" t="s">
        <v>7999</v>
      </c>
      <c r="C2051" s="31" t="s">
        <v>8000</v>
      </c>
      <c r="D2051" s="31" t="s">
        <v>4127</v>
      </c>
      <c r="E2051" s="61" t="b">
        <v>1</v>
      </c>
      <c r="F2051" s="107" t="s">
        <v>8001</v>
      </c>
      <c r="G2051" s="116" t="str">
        <f>HYPERLINK("http://nsgreg.nga.mil/genc/view?v=201593&amp;end_month=3&amp;end_day=31&amp;end_year=2014","Tottori")</f>
        <v>Tottori</v>
      </c>
      <c r="H2051" s="87" t="str">
        <f>HYPERLINK("http://api.nsgreg.nga.mil/geo-division/GENC/6/ed2/JP-31","JP-31")</f>
        <v>JP-31</v>
      </c>
    </row>
    <row r="2052" spans="1:8" x14ac:dyDescent="0.2">
      <c r="A2052" s="157"/>
      <c r="B2052" s="31" t="s">
        <v>8002</v>
      </c>
      <c r="C2052" s="31" t="s">
        <v>8003</v>
      </c>
      <c r="D2052" s="31" t="s">
        <v>4127</v>
      </c>
      <c r="E2052" s="61" t="b">
        <v>1</v>
      </c>
      <c r="F2052" s="107" t="s">
        <v>8004</v>
      </c>
      <c r="G2052" s="116" t="str">
        <f>HYPERLINK("http://nsgreg.nga.mil/genc/view?v=201578&amp;end_month=3&amp;end_day=31&amp;end_year=2014","Toyama")</f>
        <v>Toyama</v>
      </c>
      <c r="H2052" s="87" t="str">
        <f>HYPERLINK("http://api.nsgreg.nga.mil/geo-division/GENC/6/ed2/JP-16","JP-16")</f>
        <v>JP-16</v>
      </c>
    </row>
    <row r="2053" spans="1:8" x14ac:dyDescent="0.2">
      <c r="A2053" s="157"/>
      <c r="B2053" s="31" t="s">
        <v>8005</v>
      </c>
      <c r="C2053" s="31" t="s">
        <v>8006</v>
      </c>
      <c r="D2053" s="31" t="s">
        <v>4127</v>
      </c>
      <c r="E2053" s="61" t="b">
        <v>1</v>
      </c>
      <c r="F2053" s="107" t="s">
        <v>8007</v>
      </c>
      <c r="G2053" s="116" t="str">
        <f>HYPERLINK("http://nsgreg.nga.mil/genc/view?v=201592&amp;end_month=3&amp;end_day=31&amp;end_year=2014","Wakayama")</f>
        <v>Wakayama</v>
      </c>
      <c r="H2053" s="87" t="str">
        <f>HYPERLINK("http://api.nsgreg.nga.mil/geo-division/GENC/6/ed2/JP-30","JP-30")</f>
        <v>JP-30</v>
      </c>
    </row>
    <row r="2054" spans="1:8" x14ac:dyDescent="0.2">
      <c r="A2054" s="157"/>
      <c r="B2054" s="31" t="s">
        <v>8008</v>
      </c>
      <c r="C2054" s="31" t="s">
        <v>8009</v>
      </c>
      <c r="D2054" s="31" t="s">
        <v>4127</v>
      </c>
      <c r="E2054" s="61" t="b">
        <v>1</v>
      </c>
      <c r="F2054" s="107" t="s">
        <v>8010</v>
      </c>
      <c r="G2054" s="116" t="str">
        <f>HYPERLINK("http://nsgreg.nga.mil/genc/view?v=201568&amp;end_month=3&amp;end_day=31&amp;end_year=2014","Yamagata")</f>
        <v>Yamagata</v>
      </c>
      <c r="H2054" s="87" t="str">
        <f>HYPERLINK("http://api.nsgreg.nga.mil/geo-division/GENC/6/ed2/JP-06","JP-06")</f>
        <v>JP-06</v>
      </c>
    </row>
    <row r="2055" spans="1:8" x14ac:dyDescent="0.2">
      <c r="A2055" s="157"/>
      <c r="B2055" s="31" t="s">
        <v>8011</v>
      </c>
      <c r="C2055" s="31" t="s">
        <v>8012</v>
      </c>
      <c r="D2055" s="31" t="s">
        <v>4127</v>
      </c>
      <c r="E2055" s="61" t="b">
        <v>1</v>
      </c>
      <c r="F2055" s="107" t="s">
        <v>8013</v>
      </c>
      <c r="G2055" s="116" t="str">
        <f>HYPERLINK("http://nsgreg.nga.mil/genc/view?v=201597&amp;end_month=3&amp;end_day=31&amp;end_year=2014","Yamaguchi")</f>
        <v>Yamaguchi</v>
      </c>
      <c r="H2055" s="87" t="str">
        <f>HYPERLINK("http://api.nsgreg.nga.mil/geo-division/GENC/6/ed2/JP-35","JP-35")</f>
        <v>JP-35</v>
      </c>
    </row>
    <row r="2056" spans="1:8" x14ac:dyDescent="0.2">
      <c r="A2056" s="158"/>
      <c r="B2056" s="58" t="s">
        <v>8014</v>
      </c>
      <c r="C2056" s="58" t="s">
        <v>8015</v>
      </c>
      <c r="D2056" s="58" t="s">
        <v>4127</v>
      </c>
      <c r="E2056" s="62" t="b">
        <v>1</v>
      </c>
      <c r="F2056" s="111" t="s">
        <v>8016</v>
      </c>
      <c r="G2056" s="117" t="str">
        <f>HYPERLINK("http://nsgreg.nga.mil/genc/view?v=201581&amp;end_month=3&amp;end_day=31&amp;end_year=2014","Yamanashi")</f>
        <v>Yamanashi</v>
      </c>
      <c r="H2056" s="89" t="str">
        <f>HYPERLINK("http://api.nsgreg.nga.mil/geo-division/GENC/6/ed2/JP-19","JP-19")</f>
        <v>JP-19</v>
      </c>
    </row>
    <row r="2057" spans="1:8" x14ac:dyDescent="0.2">
      <c r="A2057" s="156" t="str">
        <f>HYPERLINK("[#]Geopolitical_Entities!A138:I138","JORDAN")</f>
        <v>JORDAN</v>
      </c>
      <c r="B2057" s="52" t="s">
        <v>8017</v>
      </c>
      <c r="C2057" s="52" t="s">
        <v>8018</v>
      </c>
      <c r="D2057" s="52" t="s">
        <v>2885</v>
      </c>
      <c r="E2057" s="60" t="b">
        <v>1</v>
      </c>
      <c r="F2057" s="109" t="s">
        <v>8019</v>
      </c>
      <c r="G2057" s="118" t="str">
        <f>HYPERLINK("http://nsgreg.nga.mil/genc/view?v=114177&amp;gencs=T&amp;end_month=3&amp;end_day=31&amp;end_year=2014","‘Ajlūn")</f>
        <v>‘Ajlūn</v>
      </c>
      <c r="H2057" s="91" t="str">
        <f>HYPERLINK("http://api.nsgreg.nga.mil/geo-division/ISO3166-2/6/ed3/JO-AJ","JO-AJ")</f>
        <v>JO-AJ</v>
      </c>
    </row>
    <row r="2058" spans="1:8" x14ac:dyDescent="0.2">
      <c r="A2058" s="157"/>
      <c r="B2058" s="31" t="s">
        <v>8020</v>
      </c>
      <c r="C2058" s="31" t="s">
        <v>8021</v>
      </c>
      <c r="D2058" s="31" t="s">
        <v>2885</v>
      </c>
      <c r="E2058" s="61" t="b">
        <v>1</v>
      </c>
      <c r="F2058" s="106" t="s">
        <v>8022</v>
      </c>
      <c r="G2058" s="116" t="str">
        <f>HYPERLINK("http://nsgreg.nga.mil/genc/view?v=114179&amp;gencs=T&amp;end_month=3&amp;end_day=31&amp;end_year=2014","Al ‘Aqabah")</f>
        <v>Al ‘Aqabah</v>
      </c>
      <c r="H2058" s="87" t="str">
        <f>HYPERLINK("http://api.nsgreg.nga.mil/geo-division/ISO3166-2/6/ed3/JO-AQ","JO-AQ")</f>
        <v>JO-AQ</v>
      </c>
    </row>
    <row r="2059" spans="1:8" x14ac:dyDescent="0.2">
      <c r="A2059" s="157"/>
      <c r="B2059" s="31" t="s">
        <v>8023</v>
      </c>
      <c r="C2059" s="31" t="s">
        <v>8024</v>
      </c>
      <c r="D2059" s="31" t="s">
        <v>2885</v>
      </c>
      <c r="E2059" s="61" t="b">
        <v>1</v>
      </c>
      <c r="F2059" s="106" t="s">
        <v>8025</v>
      </c>
      <c r="G2059" s="116" t="str">
        <f>HYPERLINK("http://nsgreg.nga.mil/genc/view?v=114182&amp;gencs=T&amp;end_month=3&amp;end_day=31&amp;end_year=2014","Al Balqā’")</f>
        <v>Al Balqā’</v>
      </c>
      <c r="H2059" s="87" t="str">
        <f>HYPERLINK("http://api.nsgreg.nga.mil/geo-division/ISO3166-2/6/ed3/JO-BA","JO-BA")</f>
        <v>JO-BA</v>
      </c>
    </row>
    <row r="2060" spans="1:8" x14ac:dyDescent="0.2">
      <c r="A2060" s="157"/>
      <c r="B2060" s="31" t="s">
        <v>8026</v>
      </c>
      <c r="C2060" s="31" t="s">
        <v>8027</v>
      </c>
      <c r="D2060" s="31" t="s">
        <v>2885</v>
      </c>
      <c r="E2060" s="61" t="b">
        <v>1</v>
      </c>
      <c r="F2060" s="106" t="s">
        <v>8028</v>
      </c>
      <c r="G2060" s="116" t="str">
        <f>HYPERLINK("http://nsgreg.nga.mil/genc/view?v=114185&amp;gencs=T&amp;end_month=3&amp;end_day=31&amp;end_year=2014","Al Karak")</f>
        <v>Al Karak</v>
      </c>
      <c r="H2060" s="87" t="str">
        <f>HYPERLINK("http://api.nsgreg.nga.mil/geo-division/ISO3166-2/6/ed3/JO-KA","JO-KA")</f>
        <v>JO-KA</v>
      </c>
    </row>
    <row r="2061" spans="1:8" x14ac:dyDescent="0.2">
      <c r="A2061" s="157"/>
      <c r="B2061" s="31" t="s">
        <v>8029</v>
      </c>
      <c r="C2061" s="31" t="s">
        <v>8030</v>
      </c>
      <c r="D2061" s="31" t="s">
        <v>2885</v>
      </c>
      <c r="E2061" s="61" t="b">
        <v>1</v>
      </c>
      <c r="F2061" s="106" t="s">
        <v>8031</v>
      </c>
      <c r="G2061" s="116" t="str">
        <f>HYPERLINK("http://nsgreg.nga.mil/genc/view?v=114186&amp;gencs=T&amp;end_month=3&amp;end_day=31&amp;end_year=2014","Al Mafraq")</f>
        <v>Al Mafraq</v>
      </c>
      <c r="H2061" s="87" t="str">
        <f>HYPERLINK("http://api.nsgreg.nga.mil/geo-division/ISO3166-2/6/ed3/JO-MA","JO-MA")</f>
        <v>JO-MA</v>
      </c>
    </row>
    <row r="2062" spans="1:8" x14ac:dyDescent="0.2">
      <c r="A2062" s="157"/>
      <c r="B2062" s="31" t="s">
        <v>8032</v>
      </c>
      <c r="C2062" s="31" t="s">
        <v>8033</v>
      </c>
      <c r="D2062" s="31" t="s">
        <v>2885</v>
      </c>
      <c r="E2062" s="61" t="b">
        <v>1</v>
      </c>
      <c r="F2062" s="107" t="s">
        <v>8034</v>
      </c>
      <c r="G2062" s="116" t="str">
        <f>HYPERLINK("http://nsgreg.nga.mil/genc/view?v=201562&amp;end_month=3&amp;end_day=31&amp;end_year=2014","‘Ammān")</f>
        <v>‘Ammān</v>
      </c>
      <c r="H2062" s="87" t="str">
        <f>HYPERLINK("http://api.nsgreg.nga.mil/geo-division/GENC/6/ed2/JO-AM","JO-AM")</f>
        <v>JO-AM</v>
      </c>
    </row>
    <row r="2063" spans="1:8" x14ac:dyDescent="0.2">
      <c r="A2063" s="157"/>
      <c r="B2063" s="31" t="s">
        <v>8035</v>
      </c>
      <c r="C2063" s="31" t="s">
        <v>8036</v>
      </c>
      <c r="D2063" s="31" t="s">
        <v>2885</v>
      </c>
      <c r="E2063" s="61" t="b">
        <v>1</v>
      </c>
      <c r="F2063" s="106" t="s">
        <v>8037</v>
      </c>
      <c r="G2063" s="116" t="str">
        <f>HYPERLINK("http://nsgreg.nga.mil/genc/view?v=114180&amp;gencs=T&amp;end_month=3&amp;end_day=31&amp;end_year=2014","Aţ Ţafīlah")</f>
        <v>Aţ Ţafīlah</v>
      </c>
      <c r="H2063" s="87" t="str">
        <f>HYPERLINK("http://api.nsgreg.nga.mil/geo-division/ISO3166-2/6/ed3/JO-AT","JO-AT")</f>
        <v>JO-AT</v>
      </c>
    </row>
    <row r="2064" spans="1:8" x14ac:dyDescent="0.2">
      <c r="A2064" s="157"/>
      <c r="B2064" s="31" t="s">
        <v>8038</v>
      </c>
      <c r="C2064" s="31" t="s">
        <v>8039</v>
      </c>
      <c r="D2064" s="31" t="s">
        <v>2885</v>
      </c>
      <c r="E2064" s="61" t="b">
        <v>1</v>
      </c>
      <c r="F2064" s="106" t="s">
        <v>8040</v>
      </c>
      <c r="G2064" s="116" t="str">
        <f>HYPERLINK("http://nsgreg.nga.mil/genc/view?v=114181&amp;gencs=T&amp;end_month=3&amp;end_day=31&amp;end_year=2014","Az Zarqā’")</f>
        <v>Az Zarqā’</v>
      </c>
      <c r="H2064" s="87" t="str">
        <f>HYPERLINK("http://api.nsgreg.nga.mil/geo-division/ISO3166-2/6/ed3/JO-AZ","JO-AZ")</f>
        <v>JO-AZ</v>
      </c>
    </row>
    <row r="2065" spans="1:8" x14ac:dyDescent="0.2">
      <c r="A2065" s="157"/>
      <c r="B2065" s="31" t="s">
        <v>8041</v>
      </c>
      <c r="C2065" s="31" t="s">
        <v>8042</v>
      </c>
      <c r="D2065" s="31" t="s">
        <v>2885</v>
      </c>
      <c r="E2065" s="61" t="b">
        <v>1</v>
      </c>
      <c r="F2065" s="106" t="s">
        <v>8043</v>
      </c>
      <c r="G2065" s="116" t="str">
        <f>HYPERLINK("http://nsgreg.nga.mil/genc/view?v=114183&amp;gencs=T&amp;end_month=3&amp;end_day=31&amp;end_year=2014","Irbid")</f>
        <v>Irbid</v>
      </c>
      <c r="H2065" s="87" t="str">
        <f>HYPERLINK("http://api.nsgreg.nga.mil/geo-division/ISO3166-2/6/ed3/JO-IR","JO-IR")</f>
        <v>JO-IR</v>
      </c>
    </row>
    <row r="2066" spans="1:8" x14ac:dyDescent="0.2">
      <c r="A2066" s="157"/>
      <c r="B2066" s="31" t="s">
        <v>8044</v>
      </c>
      <c r="C2066" s="31" t="s">
        <v>8045</v>
      </c>
      <c r="D2066" s="31" t="s">
        <v>2885</v>
      </c>
      <c r="E2066" s="61" t="b">
        <v>1</v>
      </c>
      <c r="F2066" s="106" t="s">
        <v>8046</v>
      </c>
      <c r="G2066" s="116" t="str">
        <f>HYPERLINK("http://nsgreg.nga.mil/genc/view?v=114184&amp;gencs=T&amp;end_month=3&amp;end_day=31&amp;end_year=2014","Jarash")</f>
        <v>Jarash</v>
      </c>
      <c r="H2066" s="87" t="str">
        <f>HYPERLINK("http://api.nsgreg.nga.mil/geo-division/ISO3166-2/6/ed3/JO-JA","JO-JA")</f>
        <v>JO-JA</v>
      </c>
    </row>
    <row r="2067" spans="1:8" x14ac:dyDescent="0.2">
      <c r="A2067" s="157"/>
      <c r="B2067" s="31" t="s">
        <v>8047</v>
      </c>
      <c r="C2067" s="31" t="s">
        <v>8048</v>
      </c>
      <c r="D2067" s="31" t="s">
        <v>2885</v>
      </c>
      <c r="E2067" s="61" t="b">
        <v>1</v>
      </c>
      <c r="F2067" s="106" t="s">
        <v>8049</v>
      </c>
      <c r="G2067" s="116" t="str">
        <f>HYPERLINK("http://nsgreg.nga.mil/genc/view?v=114188&amp;gencs=T&amp;end_month=3&amp;end_day=31&amp;end_year=2014","Ma‘ān")</f>
        <v>Ma‘ān</v>
      </c>
      <c r="H2067" s="87" t="str">
        <f>HYPERLINK("http://api.nsgreg.nga.mil/geo-division/ISO3166-2/6/ed3/JO-MN","JO-MN")</f>
        <v>JO-MN</v>
      </c>
    </row>
    <row r="2068" spans="1:8" x14ac:dyDescent="0.2">
      <c r="A2068" s="158"/>
      <c r="B2068" s="58" t="s">
        <v>8050</v>
      </c>
      <c r="C2068" s="58" t="s">
        <v>8051</v>
      </c>
      <c r="D2068" s="58" t="s">
        <v>2885</v>
      </c>
      <c r="E2068" s="62" t="b">
        <v>1</v>
      </c>
      <c r="F2068" s="108" t="s">
        <v>8052</v>
      </c>
      <c r="G2068" s="117" t="str">
        <f>HYPERLINK("http://nsgreg.nga.mil/genc/view?v=114187&amp;gencs=T&amp;end_month=3&amp;end_day=31&amp;end_year=2014","Mādabā")</f>
        <v>Mādabā</v>
      </c>
      <c r="H2068" s="89" t="str">
        <f>HYPERLINK("http://api.nsgreg.nga.mil/geo-division/ISO3166-2/6/ed3/JO-MD","JO-MD")</f>
        <v>JO-MD</v>
      </c>
    </row>
    <row r="2069" spans="1:8" x14ac:dyDescent="0.2">
      <c r="A2069" s="156" t="str">
        <f>HYPERLINK("[#]Geopolitical_Entities!A140:I140","KAZAKHSTAN")</f>
        <v>KAZAKHSTAN</v>
      </c>
      <c r="B2069" s="52" t="s">
        <v>8053</v>
      </c>
      <c r="C2069" s="52" t="s">
        <v>8054</v>
      </c>
      <c r="D2069" s="52" t="s">
        <v>2405</v>
      </c>
      <c r="E2069" s="60" t="b">
        <v>1</v>
      </c>
      <c r="F2069" s="110" t="s">
        <v>8055</v>
      </c>
      <c r="G2069" s="118" t="str">
        <f>HYPERLINK("http://nsgreg.nga.mil/genc/view?v=201742&amp;end_month=3&amp;end_day=31&amp;end_year=2014","Almaty")</f>
        <v>Almaty</v>
      </c>
      <c r="H2069" s="91" t="str">
        <f>HYPERLINK("http://api.nsgreg.nga.mil/geo-division/GENC/6/ed2/KZ-ALA","KZ-ALA")</f>
        <v>KZ-ALA</v>
      </c>
    </row>
    <row r="2070" spans="1:8" x14ac:dyDescent="0.2">
      <c r="A2070" s="157"/>
      <c r="B2070" s="31" t="s">
        <v>8056</v>
      </c>
      <c r="C2070" s="31" t="s">
        <v>8054</v>
      </c>
      <c r="D2070" s="31" t="s">
        <v>3137</v>
      </c>
      <c r="E2070" s="61" t="b">
        <v>1</v>
      </c>
      <c r="F2070" s="107" t="s">
        <v>8057</v>
      </c>
      <c r="G2070" s="116" t="str">
        <f>HYPERLINK("http://nsgreg.nga.mil/genc/view?v=201743&amp;end_month=3&amp;end_day=31&amp;end_year=2014","Almaty")</f>
        <v>Almaty</v>
      </c>
      <c r="H2070" s="87" t="str">
        <f>HYPERLINK("http://api.nsgreg.nga.mil/geo-division/GENC/6/ed2/KZ-ALM","KZ-ALM")</f>
        <v>KZ-ALM</v>
      </c>
    </row>
    <row r="2071" spans="1:8" x14ac:dyDescent="0.2">
      <c r="A2071" s="157"/>
      <c r="B2071" s="31" t="s">
        <v>8058</v>
      </c>
      <c r="C2071" s="31" t="s">
        <v>8059</v>
      </c>
      <c r="D2071" s="31" t="s">
        <v>3137</v>
      </c>
      <c r="E2071" s="61" t="b">
        <v>1</v>
      </c>
      <c r="F2071" s="107" t="s">
        <v>8060</v>
      </c>
      <c r="G2071" s="116" t="str">
        <f>HYPERLINK("http://nsgreg.nga.mil/genc/view?v=201740&amp;end_month=3&amp;end_day=31&amp;end_year=2014","Aqmola")</f>
        <v>Aqmola</v>
      </c>
      <c r="H2071" s="87" t="str">
        <f>HYPERLINK("http://api.nsgreg.nga.mil/geo-division/GENC/6/ed2/KZ-AKM","KZ-AKM")</f>
        <v>KZ-AKM</v>
      </c>
    </row>
    <row r="2072" spans="1:8" x14ac:dyDescent="0.2">
      <c r="A2072" s="157"/>
      <c r="B2072" s="31" t="s">
        <v>8061</v>
      </c>
      <c r="C2072" s="31" t="s">
        <v>8062</v>
      </c>
      <c r="D2072" s="31" t="s">
        <v>3137</v>
      </c>
      <c r="E2072" s="61" t="b">
        <v>1</v>
      </c>
      <c r="F2072" s="107" t="s">
        <v>8063</v>
      </c>
      <c r="G2072" s="116" t="str">
        <f>HYPERLINK("http://nsgreg.nga.mil/genc/view?v=201741&amp;end_month=3&amp;end_day=31&amp;end_year=2014","Aqtöbe")</f>
        <v>Aqtöbe</v>
      </c>
      <c r="H2072" s="87" t="str">
        <f>HYPERLINK("http://api.nsgreg.nga.mil/geo-division/GENC/6/ed2/KZ-AKT","KZ-AKT")</f>
        <v>KZ-AKT</v>
      </c>
    </row>
    <row r="2073" spans="1:8" x14ac:dyDescent="0.2">
      <c r="A2073" s="157"/>
      <c r="B2073" s="31" t="s">
        <v>8064</v>
      </c>
      <c r="C2073" s="31" t="s">
        <v>8065</v>
      </c>
      <c r="D2073" s="31" t="s">
        <v>2405</v>
      </c>
      <c r="E2073" s="61" t="b">
        <v>1</v>
      </c>
      <c r="F2073" s="107" t="s">
        <v>8066</v>
      </c>
      <c r="G2073" s="116" t="str">
        <f>HYPERLINK("http://nsgreg.nga.mil/genc/view?v=201744&amp;end_month=3&amp;end_day=31&amp;end_year=2014","Astana")</f>
        <v>Astana</v>
      </c>
      <c r="H2073" s="87" t="str">
        <f>HYPERLINK("http://api.nsgreg.nga.mil/geo-division/GENC/6/ed2/KZ-AST","KZ-AST")</f>
        <v>KZ-AST</v>
      </c>
    </row>
    <row r="2074" spans="1:8" x14ac:dyDescent="0.2">
      <c r="A2074" s="157"/>
      <c r="B2074" s="31" t="s">
        <v>8067</v>
      </c>
      <c r="C2074" s="31" t="s">
        <v>8068</v>
      </c>
      <c r="D2074" s="31" t="s">
        <v>3137</v>
      </c>
      <c r="E2074" s="61" t="b">
        <v>1</v>
      </c>
      <c r="F2074" s="107" t="s">
        <v>8069</v>
      </c>
      <c r="G2074" s="116" t="str">
        <f>HYPERLINK("http://nsgreg.nga.mil/genc/view?v=201745&amp;end_month=3&amp;end_day=31&amp;end_year=2014","Atyraū")</f>
        <v>Atyraū</v>
      </c>
      <c r="H2074" s="87" t="str">
        <f>HYPERLINK("http://api.nsgreg.nga.mil/geo-division/GENC/6/ed2/KZ-ATY","KZ-ATY")</f>
        <v>KZ-ATY</v>
      </c>
    </row>
    <row r="2075" spans="1:8" x14ac:dyDescent="0.2">
      <c r="A2075" s="157"/>
      <c r="B2075" s="31" t="s">
        <v>8070</v>
      </c>
      <c r="C2075" s="31" t="s">
        <v>8071</v>
      </c>
      <c r="D2075" s="31" t="s">
        <v>3137</v>
      </c>
      <c r="E2075" s="61" t="b">
        <v>1</v>
      </c>
      <c r="F2075" s="107" t="s">
        <v>8072</v>
      </c>
      <c r="G2075" s="116" t="str">
        <f>HYPERLINK("http://nsgreg.nga.mil/genc/view?v=201755&amp;end_month=3&amp;end_day=31&amp;end_year=2014","Batys Qazaqstan")</f>
        <v>Batys Qazaqstan</v>
      </c>
      <c r="H2075" s="87" t="str">
        <f>HYPERLINK("http://api.nsgreg.nga.mil/geo-division/GENC/6/ed2/KZ-ZAP","KZ-ZAP")</f>
        <v>KZ-ZAP</v>
      </c>
    </row>
    <row r="2076" spans="1:8" x14ac:dyDescent="0.2">
      <c r="A2076" s="157"/>
      <c r="B2076" s="31" t="s">
        <v>8073</v>
      </c>
      <c r="C2076" s="31" t="s">
        <v>8074</v>
      </c>
      <c r="D2076" s="31" t="s">
        <v>2405</v>
      </c>
      <c r="E2076" s="61" t="b">
        <v>1</v>
      </c>
      <c r="F2076" s="107" t="s">
        <v>8075</v>
      </c>
      <c r="G2076" s="116" t="str">
        <f>HYPERLINK("http://nsgreg.nga.mil/genc/view?v=201746&amp;end_month=3&amp;end_day=31&amp;end_year=2014","Bayqongyr")</f>
        <v>Bayqongyr</v>
      </c>
      <c r="H2076" s="87" t="str">
        <f>HYPERLINK("http://api.nsgreg.nga.mil/geo-division/GENC/6/ed2/KZ-BAY","KZ-BAY")</f>
        <v>KZ-BAY</v>
      </c>
    </row>
    <row r="2077" spans="1:8" x14ac:dyDescent="0.2">
      <c r="A2077" s="157"/>
      <c r="B2077" s="31" t="s">
        <v>8076</v>
      </c>
      <c r="C2077" s="31" t="s">
        <v>8077</v>
      </c>
      <c r="D2077" s="31" t="s">
        <v>3137</v>
      </c>
      <c r="E2077" s="61" t="b">
        <v>1</v>
      </c>
      <c r="F2077" s="107" t="s">
        <v>8078</v>
      </c>
      <c r="G2077" s="116" t="str">
        <f>HYPERLINK("http://nsgreg.nga.mil/genc/view?v=201750&amp;end_month=3&amp;end_day=31&amp;end_year=2014","Mangghystaū")</f>
        <v>Mangghystaū</v>
      </c>
      <c r="H2077" s="87" t="str">
        <f>HYPERLINK("http://api.nsgreg.nga.mil/geo-division/GENC/6/ed2/KZ-MAN","KZ-MAN")</f>
        <v>KZ-MAN</v>
      </c>
    </row>
    <row r="2078" spans="1:8" x14ac:dyDescent="0.2">
      <c r="A2078" s="157"/>
      <c r="B2078" s="31" t="s">
        <v>8079</v>
      </c>
      <c r="C2078" s="31" t="s">
        <v>8080</v>
      </c>
      <c r="D2078" s="31" t="s">
        <v>3137</v>
      </c>
      <c r="E2078" s="61" t="b">
        <v>1</v>
      </c>
      <c r="F2078" s="107" t="s">
        <v>8081</v>
      </c>
      <c r="G2078" s="116" t="str">
        <f>HYPERLINK("http://nsgreg.nga.mil/genc/view?v=201754&amp;end_month=3&amp;end_day=31&amp;end_year=2014","Ongtüstik Qazaqstan")</f>
        <v>Ongtüstik Qazaqstan</v>
      </c>
      <c r="H2078" s="87" t="str">
        <f>HYPERLINK("http://api.nsgreg.nga.mil/geo-division/GENC/6/ed2/KZ-YUZ","KZ-YUZ")</f>
        <v>KZ-YUZ</v>
      </c>
    </row>
    <row r="2079" spans="1:8" x14ac:dyDescent="0.2">
      <c r="A2079" s="157"/>
      <c r="B2079" s="31" t="s">
        <v>8082</v>
      </c>
      <c r="C2079" s="31" t="s">
        <v>8083</v>
      </c>
      <c r="D2079" s="31" t="s">
        <v>3137</v>
      </c>
      <c r="E2079" s="61" t="b">
        <v>1</v>
      </c>
      <c r="F2079" s="107" t="s">
        <v>8084</v>
      </c>
      <c r="G2079" s="116" t="str">
        <f>HYPERLINK("http://nsgreg.nga.mil/genc/view?v=201751&amp;end_month=3&amp;end_day=31&amp;end_year=2014","Pavlodar")</f>
        <v>Pavlodar</v>
      </c>
      <c r="H2079" s="87" t="str">
        <f>HYPERLINK("http://api.nsgreg.nga.mil/geo-division/GENC/6/ed2/KZ-PAV","KZ-PAV")</f>
        <v>KZ-PAV</v>
      </c>
    </row>
    <row r="2080" spans="1:8" x14ac:dyDescent="0.2">
      <c r="A2080" s="157"/>
      <c r="B2080" s="31" t="s">
        <v>8085</v>
      </c>
      <c r="C2080" s="31" t="s">
        <v>8086</v>
      </c>
      <c r="D2080" s="31" t="s">
        <v>3137</v>
      </c>
      <c r="E2080" s="61" t="b">
        <v>1</v>
      </c>
      <c r="F2080" s="107" t="s">
        <v>8087</v>
      </c>
      <c r="G2080" s="116" t="str">
        <f>HYPERLINK("http://nsgreg.nga.mil/genc/view?v=201747&amp;end_month=3&amp;end_day=31&amp;end_year=2014","Qaraghandy")</f>
        <v>Qaraghandy</v>
      </c>
      <c r="H2080" s="87" t="str">
        <f>HYPERLINK("http://api.nsgreg.nga.mil/geo-division/GENC/6/ed2/KZ-KAR","KZ-KAR")</f>
        <v>KZ-KAR</v>
      </c>
    </row>
    <row r="2081" spans="1:8" x14ac:dyDescent="0.2">
      <c r="A2081" s="157"/>
      <c r="B2081" s="31" t="s">
        <v>8088</v>
      </c>
      <c r="C2081" s="31" t="s">
        <v>8089</v>
      </c>
      <c r="D2081" s="31" t="s">
        <v>3137</v>
      </c>
      <c r="E2081" s="61" t="b">
        <v>1</v>
      </c>
      <c r="F2081" s="107" t="s">
        <v>8090</v>
      </c>
      <c r="G2081" s="116" t="str">
        <f>HYPERLINK("http://nsgreg.nga.mil/genc/view?v=201748&amp;end_month=3&amp;end_day=31&amp;end_year=2014","Qostanay")</f>
        <v>Qostanay</v>
      </c>
      <c r="H2081" s="87" t="str">
        <f>HYPERLINK("http://api.nsgreg.nga.mil/geo-division/GENC/6/ed2/KZ-KUS","KZ-KUS")</f>
        <v>KZ-KUS</v>
      </c>
    </row>
    <row r="2082" spans="1:8" x14ac:dyDescent="0.2">
      <c r="A2082" s="157"/>
      <c r="B2082" s="31" t="s">
        <v>8091</v>
      </c>
      <c r="C2082" s="31" t="s">
        <v>8092</v>
      </c>
      <c r="D2082" s="31" t="s">
        <v>3137</v>
      </c>
      <c r="E2082" s="61" t="b">
        <v>1</v>
      </c>
      <c r="F2082" s="107" t="s">
        <v>8093</v>
      </c>
      <c r="G2082" s="116" t="str">
        <f>HYPERLINK("http://nsgreg.nga.mil/genc/view?v=201749&amp;end_month=3&amp;end_day=31&amp;end_year=2014","Qyzylorda")</f>
        <v>Qyzylorda</v>
      </c>
      <c r="H2082" s="87" t="str">
        <f>HYPERLINK("http://api.nsgreg.nga.mil/geo-division/GENC/6/ed2/KZ-KZY","KZ-KZY")</f>
        <v>KZ-KZY</v>
      </c>
    </row>
    <row r="2083" spans="1:8" x14ac:dyDescent="0.2">
      <c r="A2083" s="157"/>
      <c r="B2083" s="31" t="s">
        <v>8094</v>
      </c>
      <c r="C2083" s="31" t="s">
        <v>8095</v>
      </c>
      <c r="D2083" s="31" t="s">
        <v>3137</v>
      </c>
      <c r="E2083" s="61" t="b">
        <v>1</v>
      </c>
      <c r="F2083" s="107" t="s">
        <v>8096</v>
      </c>
      <c r="G2083" s="116" t="str">
        <f>HYPERLINK("http://nsgreg.nga.mil/genc/view?v=201753&amp;end_month=3&amp;end_day=31&amp;end_year=2014","Shyghys Qazaqstan")</f>
        <v>Shyghys Qazaqstan</v>
      </c>
      <c r="H2083" s="87" t="str">
        <f>HYPERLINK("http://api.nsgreg.nga.mil/geo-division/GENC/6/ed2/KZ-VOS","KZ-VOS")</f>
        <v>KZ-VOS</v>
      </c>
    </row>
    <row r="2084" spans="1:8" x14ac:dyDescent="0.2">
      <c r="A2084" s="157"/>
      <c r="B2084" s="31" t="s">
        <v>8097</v>
      </c>
      <c r="C2084" s="31" t="s">
        <v>8098</v>
      </c>
      <c r="D2084" s="31" t="s">
        <v>3137</v>
      </c>
      <c r="E2084" s="61" t="b">
        <v>1</v>
      </c>
      <c r="F2084" s="107" t="s">
        <v>8099</v>
      </c>
      <c r="G2084" s="116" t="str">
        <f>HYPERLINK("http://nsgreg.nga.mil/genc/view?v=201752&amp;end_month=3&amp;end_day=31&amp;end_year=2014","Soltüstik Qazaqstan")</f>
        <v>Soltüstik Qazaqstan</v>
      </c>
      <c r="H2084" s="87" t="str">
        <f>HYPERLINK("http://api.nsgreg.nga.mil/geo-division/GENC/6/ed2/KZ-SEV","KZ-SEV")</f>
        <v>KZ-SEV</v>
      </c>
    </row>
    <row r="2085" spans="1:8" x14ac:dyDescent="0.2">
      <c r="A2085" s="158"/>
      <c r="B2085" s="58" t="s">
        <v>8100</v>
      </c>
      <c r="C2085" s="58" t="s">
        <v>8101</v>
      </c>
      <c r="D2085" s="58" t="s">
        <v>3137</v>
      </c>
      <c r="E2085" s="62" t="b">
        <v>1</v>
      </c>
      <c r="F2085" s="111" t="s">
        <v>8102</v>
      </c>
      <c r="G2085" s="117" t="str">
        <f>HYPERLINK("http://nsgreg.nga.mil/genc/view?v=201756&amp;end_month=3&amp;end_day=31&amp;end_year=2014","Zhambyl")</f>
        <v>Zhambyl</v>
      </c>
      <c r="H2085" s="89" t="str">
        <f>HYPERLINK("http://api.nsgreg.nga.mil/geo-division/GENC/6/ed2/KZ-ZHA","KZ-ZHA")</f>
        <v>KZ-ZHA</v>
      </c>
    </row>
    <row r="2086" spans="1:8" x14ac:dyDescent="0.2">
      <c r="A2086" s="156" t="str">
        <f>HYPERLINK("[#]Geopolitical_Entities!A141:I141","KENYA")</f>
        <v>KENYA</v>
      </c>
      <c r="B2086" s="52" t="s">
        <v>8103</v>
      </c>
      <c r="C2086" s="52" t="s">
        <v>8104</v>
      </c>
      <c r="D2086" s="52" t="s">
        <v>2023</v>
      </c>
      <c r="E2086" s="60" t="b">
        <v>1</v>
      </c>
      <c r="F2086" s="110" t="s">
        <v>8105</v>
      </c>
      <c r="G2086" s="118" t="str">
        <f>HYPERLINK("http://nsgreg.nga.mil/genc/view?v=201610&amp;end_month=3&amp;end_day=31&amp;end_year=2014","Baringo")</f>
        <v>Baringo</v>
      </c>
      <c r="H2086" s="91" t="str">
        <f>HYPERLINK("http://api.nsgreg.nga.mil/geo-division/GENC/6/ed2/KE-01","KE-01")</f>
        <v>KE-01</v>
      </c>
    </row>
    <row r="2087" spans="1:8" x14ac:dyDescent="0.2">
      <c r="A2087" s="157"/>
      <c r="B2087" s="31" t="s">
        <v>8106</v>
      </c>
      <c r="C2087" s="31" t="s">
        <v>8107</v>
      </c>
      <c r="D2087" s="31" t="s">
        <v>2023</v>
      </c>
      <c r="E2087" s="61" t="b">
        <v>1</v>
      </c>
      <c r="F2087" s="107" t="s">
        <v>8108</v>
      </c>
      <c r="G2087" s="116" t="str">
        <f>HYPERLINK("http://nsgreg.nga.mil/genc/view?v=201611&amp;end_month=3&amp;end_day=31&amp;end_year=2014","Bomet")</f>
        <v>Bomet</v>
      </c>
      <c r="H2087" s="87" t="str">
        <f>HYPERLINK("http://api.nsgreg.nga.mil/geo-division/GENC/6/ed2/KE-02","KE-02")</f>
        <v>KE-02</v>
      </c>
    </row>
    <row r="2088" spans="1:8" x14ac:dyDescent="0.2">
      <c r="A2088" s="157"/>
      <c r="B2088" s="31" t="s">
        <v>8109</v>
      </c>
      <c r="C2088" s="31" t="s">
        <v>8110</v>
      </c>
      <c r="D2088" s="31" t="s">
        <v>2023</v>
      </c>
      <c r="E2088" s="61" t="b">
        <v>1</v>
      </c>
      <c r="F2088" s="107" t="s">
        <v>8111</v>
      </c>
      <c r="G2088" s="116" t="str">
        <f>HYPERLINK("http://nsgreg.nga.mil/genc/view?v=201612&amp;end_month=3&amp;end_day=31&amp;end_year=2014","Bungoma")</f>
        <v>Bungoma</v>
      </c>
      <c r="H2088" s="87" t="str">
        <f>HYPERLINK("http://api.nsgreg.nga.mil/geo-division/GENC/6/ed2/KE-03","KE-03")</f>
        <v>KE-03</v>
      </c>
    </row>
    <row r="2089" spans="1:8" x14ac:dyDescent="0.2">
      <c r="A2089" s="157"/>
      <c r="B2089" s="31" t="s">
        <v>8112</v>
      </c>
      <c r="C2089" s="31" t="s">
        <v>8113</v>
      </c>
      <c r="D2089" s="31" t="s">
        <v>2023</v>
      </c>
      <c r="E2089" s="61" t="b">
        <v>1</v>
      </c>
      <c r="F2089" s="107" t="s">
        <v>8114</v>
      </c>
      <c r="G2089" s="116" t="str">
        <f>HYPERLINK("http://nsgreg.nga.mil/genc/view?v=201613&amp;end_month=3&amp;end_day=31&amp;end_year=2014","Busia")</f>
        <v>Busia</v>
      </c>
      <c r="H2089" s="87" t="str">
        <f>HYPERLINK("http://api.nsgreg.nga.mil/geo-division/GENC/6/ed2/KE-04","KE-04")</f>
        <v>KE-04</v>
      </c>
    </row>
    <row r="2090" spans="1:8" x14ac:dyDescent="0.2">
      <c r="A2090" s="157"/>
      <c r="B2090" s="31" t="s">
        <v>8115</v>
      </c>
      <c r="C2090" s="31" t="s">
        <v>3420</v>
      </c>
      <c r="D2090" s="98" t="s">
        <v>1920</v>
      </c>
      <c r="E2090" s="99" t="b">
        <v>0</v>
      </c>
      <c r="F2090" s="107" t="s">
        <v>8116</v>
      </c>
      <c r="G2090" s="116" t="str">
        <f>HYPERLINK("http://nsgreg.nga.mil/genc/view?v=201631&amp;end_month=3&amp;end_day=31&amp;end_year=2014","Central")</f>
        <v>Central</v>
      </c>
      <c r="H2090" s="87" t="str">
        <f>HYPERLINK("http://api.nsgreg.nga.mil/geo-division/GENC/6/ed2/KE-200","KE-200")</f>
        <v>KE-200</v>
      </c>
    </row>
    <row r="2091" spans="1:8" x14ac:dyDescent="0.2">
      <c r="A2091" s="157"/>
      <c r="B2091" s="31" t="s">
        <v>8117</v>
      </c>
      <c r="C2091" s="31" t="s">
        <v>8118</v>
      </c>
      <c r="D2091" s="98" t="s">
        <v>1920</v>
      </c>
      <c r="E2091" s="99" t="b">
        <v>0</v>
      </c>
      <c r="F2091" s="107" t="s">
        <v>8119</v>
      </c>
      <c r="G2091" s="116" t="str">
        <f>HYPERLINK("http://nsgreg.nga.mil/genc/view?v=201642&amp;end_month=3&amp;end_day=31&amp;end_year=2014","Coast")</f>
        <v>Coast</v>
      </c>
      <c r="H2091" s="87" t="str">
        <f>HYPERLINK("http://api.nsgreg.nga.mil/geo-division/GENC/6/ed2/KE-300","KE-300")</f>
        <v>KE-300</v>
      </c>
    </row>
    <row r="2092" spans="1:8" x14ac:dyDescent="0.2">
      <c r="A2092" s="157"/>
      <c r="B2092" s="31" t="s">
        <v>8120</v>
      </c>
      <c r="C2092" s="31" t="s">
        <v>5622</v>
      </c>
      <c r="D2092" s="98" t="s">
        <v>1920</v>
      </c>
      <c r="E2092" s="99" t="b">
        <v>0</v>
      </c>
      <c r="F2092" s="107" t="s">
        <v>8121</v>
      </c>
      <c r="G2092" s="116" t="str">
        <f>HYPERLINK("http://nsgreg.nga.mil/genc/view?v=201653&amp;end_month=3&amp;end_day=31&amp;end_year=2014","Eastern")</f>
        <v>Eastern</v>
      </c>
      <c r="H2092" s="87" t="str">
        <f>HYPERLINK("http://api.nsgreg.nga.mil/geo-division/GENC/6/ed2/KE-400","KE-400")</f>
        <v>KE-400</v>
      </c>
    </row>
    <row r="2093" spans="1:8" x14ac:dyDescent="0.2">
      <c r="A2093" s="157"/>
      <c r="B2093" s="31" t="s">
        <v>8122</v>
      </c>
      <c r="C2093" s="31" t="s">
        <v>8123</v>
      </c>
      <c r="D2093" s="31" t="s">
        <v>2023</v>
      </c>
      <c r="E2093" s="61" t="b">
        <v>1</v>
      </c>
      <c r="F2093" s="107" t="s">
        <v>8124</v>
      </c>
      <c r="G2093" s="116" t="str">
        <f>HYPERLINK("http://nsgreg.nga.mil/genc/view?v=201614&amp;end_month=3&amp;end_day=31&amp;end_year=2014","Elgeyo/Marakwet")</f>
        <v>Elgeyo/Marakwet</v>
      </c>
      <c r="H2093" s="87" t="str">
        <f>HYPERLINK("http://api.nsgreg.nga.mil/geo-division/GENC/6/ed2/KE-05","KE-05")</f>
        <v>KE-05</v>
      </c>
    </row>
    <row r="2094" spans="1:8" x14ac:dyDescent="0.2">
      <c r="A2094" s="157"/>
      <c r="B2094" s="31" t="s">
        <v>8125</v>
      </c>
      <c r="C2094" s="31" t="s">
        <v>8126</v>
      </c>
      <c r="D2094" s="31" t="s">
        <v>2023</v>
      </c>
      <c r="E2094" s="61" t="b">
        <v>1</v>
      </c>
      <c r="F2094" s="107" t="s">
        <v>8127</v>
      </c>
      <c r="G2094" s="116" t="str">
        <f>HYPERLINK("http://nsgreg.nga.mil/genc/view?v=201615&amp;end_month=3&amp;end_day=31&amp;end_year=2014","Embu")</f>
        <v>Embu</v>
      </c>
      <c r="H2094" s="87" t="str">
        <f>HYPERLINK("http://api.nsgreg.nga.mil/geo-division/GENC/6/ed2/KE-06","KE-06")</f>
        <v>KE-06</v>
      </c>
    </row>
    <row r="2095" spans="1:8" x14ac:dyDescent="0.2">
      <c r="A2095" s="157"/>
      <c r="B2095" s="31" t="s">
        <v>8128</v>
      </c>
      <c r="C2095" s="31" t="s">
        <v>8129</v>
      </c>
      <c r="D2095" s="31" t="s">
        <v>2023</v>
      </c>
      <c r="E2095" s="61" t="b">
        <v>1</v>
      </c>
      <c r="F2095" s="107" t="s">
        <v>8130</v>
      </c>
      <c r="G2095" s="116" t="str">
        <f>HYPERLINK("http://nsgreg.nga.mil/genc/view?v=201616&amp;end_month=3&amp;end_day=31&amp;end_year=2014","Garissa")</f>
        <v>Garissa</v>
      </c>
      <c r="H2095" s="87" t="str">
        <f>HYPERLINK("http://api.nsgreg.nga.mil/geo-division/GENC/6/ed2/KE-07","KE-07")</f>
        <v>KE-07</v>
      </c>
    </row>
    <row r="2096" spans="1:8" x14ac:dyDescent="0.2">
      <c r="A2096" s="157"/>
      <c r="B2096" s="31" t="s">
        <v>8131</v>
      </c>
      <c r="C2096" s="31" t="s">
        <v>8132</v>
      </c>
      <c r="D2096" s="31" t="s">
        <v>2023</v>
      </c>
      <c r="E2096" s="61" t="b">
        <v>1</v>
      </c>
      <c r="F2096" s="107" t="s">
        <v>8133</v>
      </c>
      <c r="G2096" s="116" t="str">
        <f>HYPERLINK("http://nsgreg.nga.mil/genc/view?v=201617&amp;end_month=3&amp;end_day=31&amp;end_year=2014","Homa Bay")</f>
        <v>Homa Bay</v>
      </c>
      <c r="H2096" s="87" t="str">
        <f>HYPERLINK("http://api.nsgreg.nga.mil/geo-division/GENC/6/ed2/KE-08","KE-08")</f>
        <v>KE-08</v>
      </c>
    </row>
    <row r="2097" spans="1:8" x14ac:dyDescent="0.2">
      <c r="A2097" s="157"/>
      <c r="B2097" s="31" t="s">
        <v>8134</v>
      </c>
      <c r="C2097" s="31" t="s">
        <v>8135</v>
      </c>
      <c r="D2097" s="31" t="s">
        <v>2023</v>
      </c>
      <c r="E2097" s="61" t="b">
        <v>1</v>
      </c>
      <c r="F2097" s="107" t="s">
        <v>8136</v>
      </c>
      <c r="G2097" s="116" t="str">
        <f>HYPERLINK("http://nsgreg.nga.mil/genc/view?v=201618&amp;end_month=3&amp;end_day=31&amp;end_year=2014","Isiolo")</f>
        <v>Isiolo</v>
      </c>
      <c r="H2097" s="87" t="str">
        <f>HYPERLINK("http://api.nsgreg.nga.mil/geo-division/GENC/6/ed2/KE-09","KE-09")</f>
        <v>KE-09</v>
      </c>
    </row>
    <row r="2098" spans="1:8" x14ac:dyDescent="0.2">
      <c r="A2098" s="157"/>
      <c r="B2098" s="31" t="s">
        <v>8137</v>
      </c>
      <c r="C2098" s="31" t="s">
        <v>8138</v>
      </c>
      <c r="D2098" s="31" t="s">
        <v>2023</v>
      </c>
      <c r="E2098" s="61" t="b">
        <v>1</v>
      </c>
      <c r="F2098" s="107" t="s">
        <v>8139</v>
      </c>
      <c r="G2098" s="116" t="str">
        <f>HYPERLINK("http://nsgreg.nga.mil/genc/view?v=201619&amp;end_month=3&amp;end_day=31&amp;end_year=2014","Kajiado")</f>
        <v>Kajiado</v>
      </c>
      <c r="H2098" s="87" t="str">
        <f>HYPERLINK("http://api.nsgreg.nga.mil/geo-division/GENC/6/ed2/KE-10","KE-10")</f>
        <v>KE-10</v>
      </c>
    </row>
    <row r="2099" spans="1:8" x14ac:dyDescent="0.2">
      <c r="A2099" s="157"/>
      <c r="B2099" s="31" t="s">
        <v>8140</v>
      </c>
      <c r="C2099" s="31" t="s">
        <v>8141</v>
      </c>
      <c r="D2099" s="31" t="s">
        <v>2023</v>
      </c>
      <c r="E2099" s="61" t="b">
        <v>1</v>
      </c>
      <c r="F2099" s="107" t="s">
        <v>8142</v>
      </c>
      <c r="G2099" s="116" t="str">
        <f>HYPERLINK("http://nsgreg.nga.mil/genc/view?v=201620&amp;end_month=3&amp;end_day=31&amp;end_year=2014","Kakamega")</f>
        <v>Kakamega</v>
      </c>
      <c r="H2099" s="87" t="str">
        <f>HYPERLINK("http://api.nsgreg.nga.mil/geo-division/GENC/6/ed2/KE-11","KE-11")</f>
        <v>KE-11</v>
      </c>
    </row>
    <row r="2100" spans="1:8" x14ac:dyDescent="0.2">
      <c r="A2100" s="157"/>
      <c r="B2100" s="31" t="s">
        <v>8143</v>
      </c>
      <c r="C2100" s="31" t="s">
        <v>8144</v>
      </c>
      <c r="D2100" s="31" t="s">
        <v>2023</v>
      </c>
      <c r="E2100" s="61" t="b">
        <v>1</v>
      </c>
      <c r="F2100" s="107" t="s">
        <v>8145</v>
      </c>
      <c r="G2100" s="116" t="str">
        <f>HYPERLINK("http://nsgreg.nga.mil/genc/view?v=201622&amp;end_month=3&amp;end_day=31&amp;end_year=2014","Kericho")</f>
        <v>Kericho</v>
      </c>
      <c r="H2100" s="87" t="str">
        <f>HYPERLINK("http://api.nsgreg.nga.mil/geo-division/GENC/6/ed2/KE-12","KE-12")</f>
        <v>KE-12</v>
      </c>
    </row>
    <row r="2101" spans="1:8" x14ac:dyDescent="0.2">
      <c r="A2101" s="157"/>
      <c r="B2101" s="31" t="s">
        <v>8146</v>
      </c>
      <c r="C2101" s="31" t="s">
        <v>8147</v>
      </c>
      <c r="D2101" s="31" t="s">
        <v>2023</v>
      </c>
      <c r="E2101" s="61" t="b">
        <v>1</v>
      </c>
      <c r="F2101" s="107" t="s">
        <v>8148</v>
      </c>
      <c r="G2101" s="116" t="str">
        <f>HYPERLINK("http://nsgreg.nga.mil/genc/view?v=201623&amp;end_month=3&amp;end_day=31&amp;end_year=2014","Kiambu")</f>
        <v>Kiambu</v>
      </c>
      <c r="H2101" s="87" t="str">
        <f>HYPERLINK("http://api.nsgreg.nga.mil/geo-division/GENC/6/ed2/KE-13","KE-13")</f>
        <v>KE-13</v>
      </c>
    </row>
    <row r="2102" spans="1:8" x14ac:dyDescent="0.2">
      <c r="A2102" s="157"/>
      <c r="B2102" s="31" t="s">
        <v>8149</v>
      </c>
      <c r="C2102" s="31" t="s">
        <v>8150</v>
      </c>
      <c r="D2102" s="31" t="s">
        <v>2023</v>
      </c>
      <c r="E2102" s="61" t="b">
        <v>1</v>
      </c>
      <c r="F2102" s="107" t="s">
        <v>8151</v>
      </c>
      <c r="G2102" s="116" t="str">
        <f>HYPERLINK("http://nsgreg.nga.mil/genc/view?v=201624&amp;end_month=3&amp;end_day=31&amp;end_year=2014","Kilifi")</f>
        <v>Kilifi</v>
      </c>
      <c r="H2102" s="87" t="str">
        <f>HYPERLINK("http://api.nsgreg.nga.mil/geo-division/GENC/6/ed2/KE-14","KE-14")</f>
        <v>KE-14</v>
      </c>
    </row>
    <row r="2103" spans="1:8" x14ac:dyDescent="0.2">
      <c r="A2103" s="157"/>
      <c r="B2103" s="31" t="s">
        <v>8152</v>
      </c>
      <c r="C2103" s="31" t="s">
        <v>8153</v>
      </c>
      <c r="D2103" s="31" t="s">
        <v>2023</v>
      </c>
      <c r="E2103" s="61" t="b">
        <v>1</v>
      </c>
      <c r="F2103" s="107" t="s">
        <v>8154</v>
      </c>
      <c r="G2103" s="116" t="str">
        <f>HYPERLINK("http://nsgreg.nga.mil/genc/view?v=201625&amp;end_month=3&amp;end_day=31&amp;end_year=2014","Kirinyaga")</f>
        <v>Kirinyaga</v>
      </c>
      <c r="H2103" s="87" t="str">
        <f>HYPERLINK("http://api.nsgreg.nga.mil/geo-division/GENC/6/ed2/KE-15","KE-15")</f>
        <v>KE-15</v>
      </c>
    </row>
    <row r="2104" spans="1:8" x14ac:dyDescent="0.2">
      <c r="A2104" s="157"/>
      <c r="B2104" s="31" t="s">
        <v>8155</v>
      </c>
      <c r="C2104" s="31" t="s">
        <v>8156</v>
      </c>
      <c r="D2104" s="31" t="s">
        <v>2023</v>
      </c>
      <c r="E2104" s="61" t="b">
        <v>1</v>
      </c>
      <c r="F2104" s="107" t="s">
        <v>8157</v>
      </c>
      <c r="G2104" s="116" t="str">
        <f>HYPERLINK("http://nsgreg.nga.mil/genc/view?v=201626&amp;end_month=3&amp;end_day=31&amp;end_year=2014","Kisii")</f>
        <v>Kisii</v>
      </c>
      <c r="H2104" s="87" t="str">
        <f>HYPERLINK("http://api.nsgreg.nga.mil/geo-division/GENC/6/ed2/KE-16","KE-16")</f>
        <v>KE-16</v>
      </c>
    </row>
    <row r="2105" spans="1:8" x14ac:dyDescent="0.2">
      <c r="A2105" s="157"/>
      <c r="B2105" s="31" t="s">
        <v>8158</v>
      </c>
      <c r="C2105" s="31" t="s">
        <v>8159</v>
      </c>
      <c r="D2105" s="31" t="s">
        <v>2023</v>
      </c>
      <c r="E2105" s="61" t="b">
        <v>1</v>
      </c>
      <c r="F2105" s="107" t="s">
        <v>8160</v>
      </c>
      <c r="G2105" s="116" t="str">
        <f>HYPERLINK("http://nsgreg.nga.mil/genc/view?v=201627&amp;end_month=3&amp;end_day=31&amp;end_year=2014","Kisumu")</f>
        <v>Kisumu</v>
      </c>
      <c r="H2105" s="87" t="str">
        <f>HYPERLINK("http://api.nsgreg.nga.mil/geo-division/GENC/6/ed2/KE-17","KE-17")</f>
        <v>KE-17</v>
      </c>
    </row>
    <row r="2106" spans="1:8" x14ac:dyDescent="0.2">
      <c r="A2106" s="157"/>
      <c r="B2106" s="31" t="s">
        <v>8161</v>
      </c>
      <c r="C2106" s="31" t="s">
        <v>8162</v>
      </c>
      <c r="D2106" s="31" t="s">
        <v>2023</v>
      </c>
      <c r="E2106" s="61" t="b">
        <v>1</v>
      </c>
      <c r="F2106" s="107" t="s">
        <v>8163</v>
      </c>
      <c r="G2106" s="116" t="str">
        <f>HYPERLINK("http://nsgreg.nga.mil/genc/view?v=201628&amp;end_month=3&amp;end_day=31&amp;end_year=2014","Kitui")</f>
        <v>Kitui</v>
      </c>
      <c r="H2106" s="87" t="str">
        <f>HYPERLINK("http://api.nsgreg.nga.mil/geo-division/GENC/6/ed2/KE-18","KE-18")</f>
        <v>KE-18</v>
      </c>
    </row>
    <row r="2107" spans="1:8" x14ac:dyDescent="0.2">
      <c r="A2107" s="157"/>
      <c r="B2107" s="31" t="s">
        <v>8164</v>
      </c>
      <c r="C2107" s="31" t="s">
        <v>8165</v>
      </c>
      <c r="D2107" s="31" t="s">
        <v>2023</v>
      </c>
      <c r="E2107" s="61" t="b">
        <v>1</v>
      </c>
      <c r="F2107" s="107" t="s">
        <v>8166</v>
      </c>
      <c r="G2107" s="116" t="str">
        <f>HYPERLINK("http://nsgreg.nga.mil/genc/view?v=201629&amp;end_month=3&amp;end_day=31&amp;end_year=2014","Kwale")</f>
        <v>Kwale</v>
      </c>
      <c r="H2107" s="87" t="str">
        <f>HYPERLINK("http://api.nsgreg.nga.mil/geo-division/GENC/6/ed2/KE-19","KE-19")</f>
        <v>KE-19</v>
      </c>
    </row>
    <row r="2108" spans="1:8" x14ac:dyDescent="0.2">
      <c r="A2108" s="157"/>
      <c r="B2108" s="31" t="s">
        <v>8167</v>
      </c>
      <c r="C2108" s="31" t="s">
        <v>8168</v>
      </c>
      <c r="D2108" s="31" t="s">
        <v>2023</v>
      </c>
      <c r="E2108" s="61" t="b">
        <v>1</v>
      </c>
      <c r="F2108" s="107" t="s">
        <v>8169</v>
      </c>
      <c r="G2108" s="116" t="str">
        <f>HYPERLINK("http://nsgreg.nga.mil/genc/view?v=201630&amp;end_month=3&amp;end_day=31&amp;end_year=2014","Laikipia")</f>
        <v>Laikipia</v>
      </c>
      <c r="H2108" s="87" t="str">
        <f>HYPERLINK("http://api.nsgreg.nga.mil/geo-division/GENC/6/ed2/KE-20","KE-20")</f>
        <v>KE-20</v>
      </c>
    </row>
    <row r="2109" spans="1:8" x14ac:dyDescent="0.2">
      <c r="A2109" s="157"/>
      <c r="B2109" s="31" t="s">
        <v>8170</v>
      </c>
      <c r="C2109" s="31" t="s">
        <v>8171</v>
      </c>
      <c r="D2109" s="31" t="s">
        <v>2023</v>
      </c>
      <c r="E2109" s="61" t="b">
        <v>1</v>
      </c>
      <c r="F2109" s="107" t="s">
        <v>8172</v>
      </c>
      <c r="G2109" s="116" t="str">
        <f>HYPERLINK("http://nsgreg.nga.mil/genc/view?v=201632&amp;end_month=3&amp;end_day=31&amp;end_year=2014","Lamu")</f>
        <v>Lamu</v>
      </c>
      <c r="H2109" s="87" t="str">
        <f>HYPERLINK("http://api.nsgreg.nga.mil/geo-division/GENC/6/ed2/KE-21","KE-21")</f>
        <v>KE-21</v>
      </c>
    </row>
    <row r="2110" spans="1:8" x14ac:dyDescent="0.2">
      <c r="A2110" s="157"/>
      <c r="B2110" s="31" t="s">
        <v>8173</v>
      </c>
      <c r="C2110" s="31" t="s">
        <v>8174</v>
      </c>
      <c r="D2110" s="31" t="s">
        <v>2023</v>
      </c>
      <c r="E2110" s="61" t="b">
        <v>1</v>
      </c>
      <c r="F2110" s="107" t="s">
        <v>8175</v>
      </c>
      <c r="G2110" s="116" t="str">
        <f>HYPERLINK("http://nsgreg.nga.mil/genc/view?v=201633&amp;end_month=3&amp;end_day=31&amp;end_year=2014","Machakos")</f>
        <v>Machakos</v>
      </c>
      <c r="H2110" s="87" t="str">
        <f>HYPERLINK("http://api.nsgreg.nga.mil/geo-division/GENC/6/ed2/KE-22","KE-22")</f>
        <v>KE-22</v>
      </c>
    </row>
    <row r="2111" spans="1:8" x14ac:dyDescent="0.2">
      <c r="A2111" s="157"/>
      <c r="B2111" s="31" t="s">
        <v>8176</v>
      </c>
      <c r="C2111" s="31" t="s">
        <v>8177</v>
      </c>
      <c r="D2111" s="31" t="s">
        <v>2023</v>
      </c>
      <c r="E2111" s="61" t="b">
        <v>1</v>
      </c>
      <c r="F2111" s="107" t="s">
        <v>8178</v>
      </c>
      <c r="G2111" s="116" t="str">
        <f>HYPERLINK("http://nsgreg.nga.mil/genc/view?v=201634&amp;end_month=3&amp;end_day=31&amp;end_year=2014","Makueni")</f>
        <v>Makueni</v>
      </c>
      <c r="H2111" s="87" t="str">
        <f>HYPERLINK("http://api.nsgreg.nga.mil/geo-division/GENC/6/ed2/KE-23","KE-23")</f>
        <v>KE-23</v>
      </c>
    </row>
    <row r="2112" spans="1:8" x14ac:dyDescent="0.2">
      <c r="A2112" s="157"/>
      <c r="B2112" s="31" t="s">
        <v>8179</v>
      </c>
      <c r="C2112" s="31" t="s">
        <v>8180</v>
      </c>
      <c r="D2112" s="31" t="s">
        <v>2023</v>
      </c>
      <c r="E2112" s="61" t="b">
        <v>1</v>
      </c>
      <c r="F2112" s="107" t="s">
        <v>8181</v>
      </c>
      <c r="G2112" s="116" t="str">
        <f>HYPERLINK("http://nsgreg.nga.mil/genc/view?v=201635&amp;end_month=3&amp;end_day=31&amp;end_year=2014","Mandera")</f>
        <v>Mandera</v>
      </c>
      <c r="H2112" s="87" t="str">
        <f>HYPERLINK("http://api.nsgreg.nga.mil/geo-division/GENC/6/ed2/KE-24","KE-24")</f>
        <v>KE-24</v>
      </c>
    </row>
    <row r="2113" spans="1:8" x14ac:dyDescent="0.2">
      <c r="A2113" s="157"/>
      <c r="B2113" s="31" t="s">
        <v>8182</v>
      </c>
      <c r="C2113" s="31" t="s">
        <v>8183</v>
      </c>
      <c r="D2113" s="31" t="s">
        <v>2023</v>
      </c>
      <c r="E2113" s="61" t="b">
        <v>1</v>
      </c>
      <c r="F2113" s="107" t="s">
        <v>8184</v>
      </c>
      <c r="G2113" s="116" t="str">
        <f>HYPERLINK("http://nsgreg.nga.mil/genc/view?v=201636&amp;end_month=3&amp;end_day=31&amp;end_year=2014","Marsabit")</f>
        <v>Marsabit</v>
      </c>
      <c r="H2113" s="87" t="str">
        <f>HYPERLINK("http://api.nsgreg.nga.mil/geo-division/GENC/6/ed2/KE-25","KE-25")</f>
        <v>KE-25</v>
      </c>
    </row>
    <row r="2114" spans="1:8" x14ac:dyDescent="0.2">
      <c r="A2114" s="157"/>
      <c r="B2114" s="31" t="s">
        <v>8185</v>
      </c>
      <c r="C2114" s="31" t="s">
        <v>8186</v>
      </c>
      <c r="D2114" s="31" t="s">
        <v>2023</v>
      </c>
      <c r="E2114" s="61" t="b">
        <v>1</v>
      </c>
      <c r="F2114" s="107" t="s">
        <v>8187</v>
      </c>
      <c r="G2114" s="116" t="str">
        <f>HYPERLINK("http://nsgreg.nga.mil/genc/view?v=201637&amp;end_month=3&amp;end_day=31&amp;end_year=2014","Meru")</f>
        <v>Meru</v>
      </c>
      <c r="H2114" s="87" t="str">
        <f>HYPERLINK("http://api.nsgreg.nga.mil/geo-division/GENC/6/ed2/KE-26","KE-26")</f>
        <v>KE-26</v>
      </c>
    </row>
    <row r="2115" spans="1:8" x14ac:dyDescent="0.2">
      <c r="A2115" s="157"/>
      <c r="B2115" s="31" t="s">
        <v>8188</v>
      </c>
      <c r="C2115" s="31" t="s">
        <v>8189</v>
      </c>
      <c r="D2115" s="31" t="s">
        <v>2023</v>
      </c>
      <c r="E2115" s="61" t="b">
        <v>1</v>
      </c>
      <c r="F2115" s="107" t="s">
        <v>8190</v>
      </c>
      <c r="G2115" s="116" t="str">
        <f>HYPERLINK("http://nsgreg.nga.mil/genc/view?v=201638&amp;end_month=3&amp;end_day=31&amp;end_year=2014","Migori")</f>
        <v>Migori</v>
      </c>
      <c r="H2115" s="87" t="str">
        <f>HYPERLINK("http://api.nsgreg.nga.mil/geo-division/GENC/6/ed2/KE-27","KE-27")</f>
        <v>KE-27</v>
      </c>
    </row>
    <row r="2116" spans="1:8" x14ac:dyDescent="0.2">
      <c r="A2116" s="157"/>
      <c r="B2116" s="31" t="s">
        <v>8191</v>
      </c>
      <c r="C2116" s="31" t="s">
        <v>8192</v>
      </c>
      <c r="D2116" s="31" t="s">
        <v>2023</v>
      </c>
      <c r="E2116" s="61" t="b">
        <v>1</v>
      </c>
      <c r="F2116" s="107" t="s">
        <v>8193</v>
      </c>
      <c r="G2116" s="116" t="str">
        <f>HYPERLINK("http://nsgreg.nga.mil/genc/view?v=201639&amp;end_month=3&amp;end_day=31&amp;end_year=2014","Mombasa")</f>
        <v>Mombasa</v>
      </c>
      <c r="H2116" s="87" t="str">
        <f>HYPERLINK("http://api.nsgreg.nga.mil/geo-division/GENC/6/ed2/KE-28","KE-28")</f>
        <v>KE-28</v>
      </c>
    </row>
    <row r="2117" spans="1:8" x14ac:dyDescent="0.2">
      <c r="A2117" s="157"/>
      <c r="B2117" s="31" t="s">
        <v>8194</v>
      </c>
      <c r="C2117" s="31" t="s">
        <v>8195</v>
      </c>
      <c r="D2117" s="31" t="s">
        <v>2023</v>
      </c>
      <c r="E2117" s="61" t="b">
        <v>1</v>
      </c>
      <c r="F2117" s="107" t="s">
        <v>8196</v>
      </c>
      <c r="G2117" s="116" t="str">
        <f>HYPERLINK("http://nsgreg.nga.mil/genc/view?v=201640&amp;end_month=3&amp;end_day=31&amp;end_year=2014","Murang’a")</f>
        <v>Murang’a</v>
      </c>
      <c r="H2117" s="87" t="str">
        <f>HYPERLINK("http://api.nsgreg.nga.mil/geo-division/GENC/6/ed2/KE-29","KE-29")</f>
        <v>KE-29</v>
      </c>
    </row>
    <row r="2118" spans="1:8" x14ac:dyDescent="0.2">
      <c r="A2118" s="157"/>
      <c r="B2118" s="31" t="s">
        <v>8197</v>
      </c>
      <c r="C2118" s="31" t="s">
        <v>8198</v>
      </c>
      <c r="D2118" s="98" t="s">
        <v>1920</v>
      </c>
      <c r="E2118" s="99" t="b">
        <v>0</v>
      </c>
      <c r="F2118" s="107" t="s">
        <v>8199</v>
      </c>
      <c r="G2118" s="116" t="str">
        <f>HYPERLINK("http://nsgreg.nga.mil/genc/view?v=201621&amp;end_month=3&amp;end_day=31&amp;end_year=2014","Nairobi")</f>
        <v>Nairobi</v>
      </c>
      <c r="H2118" s="87" t="str">
        <f>HYPERLINK("http://api.nsgreg.nga.mil/geo-division/GENC/6/ed2/KE-110","KE-110")</f>
        <v>KE-110</v>
      </c>
    </row>
    <row r="2119" spans="1:8" x14ac:dyDescent="0.2">
      <c r="A2119" s="157"/>
      <c r="B2119" s="31" t="s">
        <v>8200</v>
      </c>
      <c r="C2119" s="31" t="s">
        <v>8201</v>
      </c>
      <c r="D2119" s="31" t="s">
        <v>2023</v>
      </c>
      <c r="E2119" s="61" t="b">
        <v>1</v>
      </c>
      <c r="F2119" s="107" t="s">
        <v>8202</v>
      </c>
      <c r="G2119" s="116" t="str">
        <f>HYPERLINK("http://nsgreg.nga.mil/genc/view?v=201641&amp;end_month=3&amp;end_day=31&amp;end_year=2014","Nairobi City")</f>
        <v>Nairobi City</v>
      </c>
      <c r="H2119" s="87" t="str">
        <f>HYPERLINK("http://api.nsgreg.nga.mil/geo-division/GENC/6/ed2/KE-30","KE-30")</f>
        <v>KE-30</v>
      </c>
    </row>
    <row r="2120" spans="1:8" x14ac:dyDescent="0.2">
      <c r="A2120" s="157"/>
      <c r="B2120" s="31" t="s">
        <v>8203</v>
      </c>
      <c r="C2120" s="31" t="s">
        <v>8204</v>
      </c>
      <c r="D2120" s="31" t="s">
        <v>2023</v>
      </c>
      <c r="E2120" s="61" t="b">
        <v>1</v>
      </c>
      <c r="F2120" s="107" t="s">
        <v>8205</v>
      </c>
      <c r="G2120" s="116" t="str">
        <f>HYPERLINK("http://nsgreg.nga.mil/genc/view?v=201643&amp;end_month=3&amp;end_day=31&amp;end_year=2014","Nakuru")</f>
        <v>Nakuru</v>
      </c>
      <c r="H2120" s="87" t="str">
        <f>HYPERLINK("http://api.nsgreg.nga.mil/geo-division/GENC/6/ed2/KE-31","KE-31")</f>
        <v>KE-31</v>
      </c>
    </row>
    <row r="2121" spans="1:8" x14ac:dyDescent="0.2">
      <c r="A2121" s="157"/>
      <c r="B2121" s="31" t="s">
        <v>8206</v>
      </c>
      <c r="C2121" s="31" t="s">
        <v>8207</v>
      </c>
      <c r="D2121" s="31" t="s">
        <v>2023</v>
      </c>
      <c r="E2121" s="61" t="b">
        <v>1</v>
      </c>
      <c r="F2121" s="107" t="s">
        <v>8208</v>
      </c>
      <c r="G2121" s="116" t="str">
        <f>HYPERLINK("http://nsgreg.nga.mil/genc/view?v=201644&amp;end_month=3&amp;end_day=31&amp;end_year=2014","Nandi")</f>
        <v>Nandi</v>
      </c>
      <c r="H2121" s="87" t="str">
        <f>HYPERLINK("http://api.nsgreg.nga.mil/geo-division/GENC/6/ed2/KE-32","KE-32")</f>
        <v>KE-32</v>
      </c>
    </row>
    <row r="2122" spans="1:8" x14ac:dyDescent="0.2">
      <c r="A2122" s="157"/>
      <c r="B2122" s="31" t="s">
        <v>8209</v>
      </c>
      <c r="C2122" s="31" t="s">
        <v>8210</v>
      </c>
      <c r="D2122" s="31" t="s">
        <v>2023</v>
      </c>
      <c r="E2122" s="61" t="b">
        <v>1</v>
      </c>
      <c r="F2122" s="107" t="s">
        <v>8211</v>
      </c>
      <c r="G2122" s="116" t="str">
        <f>HYPERLINK("http://nsgreg.nga.mil/genc/view?v=201645&amp;end_month=3&amp;end_day=31&amp;end_year=2014","Narok")</f>
        <v>Narok</v>
      </c>
      <c r="H2122" s="87" t="str">
        <f>HYPERLINK("http://api.nsgreg.nga.mil/geo-division/GENC/6/ed2/KE-33","KE-33")</f>
        <v>KE-33</v>
      </c>
    </row>
    <row r="2123" spans="1:8" x14ac:dyDescent="0.2">
      <c r="A2123" s="157"/>
      <c r="B2123" s="31" t="s">
        <v>8212</v>
      </c>
      <c r="C2123" s="31" t="s">
        <v>8213</v>
      </c>
      <c r="D2123" s="98" t="s">
        <v>1920</v>
      </c>
      <c r="E2123" s="99" t="b">
        <v>0</v>
      </c>
      <c r="F2123" s="107" t="s">
        <v>8214</v>
      </c>
      <c r="G2123" s="116" t="str">
        <f>HYPERLINK("http://nsgreg.nga.mil/genc/view?v=201661&amp;end_month=3&amp;end_day=31&amp;end_year=2014","North-Eastern")</f>
        <v>North-Eastern</v>
      </c>
      <c r="H2123" s="87" t="str">
        <f>HYPERLINK("http://api.nsgreg.nga.mil/geo-division/GENC/6/ed2/KE-500","KE-500")</f>
        <v>KE-500</v>
      </c>
    </row>
    <row r="2124" spans="1:8" x14ac:dyDescent="0.2">
      <c r="A2124" s="157"/>
      <c r="B2124" s="31" t="s">
        <v>8215</v>
      </c>
      <c r="C2124" s="31" t="s">
        <v>8216</v>
      </c>
      <c r="D2124" s="31" t="s">
        <v>2023</v>
      </c>
      <c r="E2124" s="61" t="b">
        <v>1</v>
      </c>
      <c r="F2124" s="107" t="s">
        <v>8217</v>
      </c>
      <c r="G2124" s="116" t="str">
        <f>HYPERLINK("http://nsgreg.nga.mil/genc/view?v=201646&amp;end_month=3&amp;end_day=31&amp;end_year=2014","Nyamira")</f>
        <v>Nyamira</v>
      </c>
      <c r="H2124" s="87" t="str">
        <f>HYPERLINK("http://api.nsgreg.nga.mil/geo-division/GENC/6/ed2/KE-34","KE-34")</f>
        <v>KE-34</v>
      </c>
    </row>
    <row r="2125" spans="1:8" x14ac:dyDescent="0.2">
      <c r="A2125" s="157"/>
      <c r="B2125" s="31" t="s">
        <v>8218</v>
      </c>
      <c r="C2125" s="31" t="s">
        <v>8219</v>
      </c>
      <c r="D2125" s="31" t="s">
        <v>2023</v>
      </c>
      <c r="E2125" s="61" t="b">
        <v>1</v>
      </c>
      <c r="F2125" s="107" t="s">
        <v>8220</v>
      </c>
      <c r="G2125" s="116" t="str">
        <f>HYPERLINK("http://nsgreg.nga.mil/genc/view?v=201647&amp;end_month=3&amp;end_day=31&amp;end_year=2014","Nyandarua")</f>
        <v>Nyandarua</v>
      </c>
      <c r="H2125" s="87" t="str">
        <f>HYPERLINK("http://api.nsgreg.nga.mil/geo-division/GENC/6/ed2/KE-35","KE-35")</f>
        <v>KE-35</v>
      </c>
    </row>
    <row r="2126" spans="1:8" x14ac:dyDescent="0.2">
      <c r="A2126" s="157"/>
      <c r="B2126" s="31" t="s">
        <v>8221</v>
      </c>
      <c r="C2126" s="31" t="s">
        <v>8222</v>
      </c>
      <c r="D2126" s="98" t="s">
        <v>1920</v>
      </c>
      <c r="E2126" s="99" t="b">
        <v>0</v>
      </c>
      <c r="F2126" s="107" t="s">
        <v>8223</v>
      </c>
      <c r="G2126" s="116" t="str">
        <f>HYPERLINK("http://nsgreg.nga.mil/genc/view?v=201662&amp;end_month=3&amp;end_day=31&amp;end_year=2014","Nyanza")</f>
        <v>Nyanza</v>
      </c>
      <c r="H2126" s="87" t="str">
        <f>HYPERLINK("http://api.nsgreg.nga.mil/geo-division/GENC/6/ed2/KE-600","KE-600")</f>
        <v>KE-600</v>
      </c>
    </row>
    <row r="2127" spans="1:8" x14ac:dyDescent="0.2">
      <c r="A2127" s="157"/>
      <c r="B2127" s="31" t="s">
        <v>8224</v>
      </c>
      <c r="C2127" s="31" t="s">
        <v>8225</v>
      </c>
      <c r="D2127" s="31" t="s">
        <v>2023</v>
      </c>
      <c r="E2127" s="61" t="b">
        <v>1</v>
      </c>
      <c r="F2127" s="107" t="s">
        <v>8226</v>
      </c>
      <c r="G2127" s="116" t="str">
        <f>HYPERLINK("http://nsgreg.nga.mil/genc/view?v=201648&amp;end_month=3&amp;end_day=31&amp;end_year=2014","Nyeri")</f>
        <v>Nyeri</v>
      </c>
      <c r="H2127" s="87" t="str">
        <f>HYPERLINK("http://api.nsgreg.nga.mil/geo-division/GENC/6/ed2/KE-36","KE-36")</f>
        <v>KE-36</v>
      </c>
    </row>
    <row r="2128" spans="1:8" x14ac:dyDescent="0.2">
      <c r="A2128" s="157"/>
      <c r="B2128" s="31" t="s">
        <v>8227</v>
      </c>
      <c r="C2128" s="31" t="s">
        <v>8228</v>
      </c>
      <c r="D2128" s="98" t="s">
        <v>1920</v>
      </c>
      <c r="E2128" s="99" t="b">
        <v>0</v>
      </c>
      <c r="F2128" s="107" t="s">
        <v>8229</v>
      </c>
      <c r="G2128" s="116" t="str">
        <f>HYPERLINK("http://nsgreg.nga.mil/genc/view?v=201663&amp;end_month=3&amp;end_day=31&amp;end_year=2014","Rift Valley")</f>
        <v>Rift Valley</v>
      </c>
      <c r="H2128" s="87" t="str">
        <f>HYPERLINK("http://api.nsgreg.nga.mil/geo-division/GENC/6/ed2/KE-700","KE-700")</f>
        <v>KE-700</v>
      </c>
    </row>
    <row r="2129" spans="1:8" x14ac:dyDescent="0.2">
      <c r="A2129" s="157"/>
      <c r="B2129" s="31" t="s">
        <v>8230</v>
      </c>
      <c r="C2129" s="31" t="s">
        <v>8231</v>
      </c>
      <c r="D2129" s="31" t="s">
        <v>2023</v>
      </c>
      <c r="E2129" s="61" t="b">
        <v>1</v>
      </c>
      <c r="F2129" s="107" t="s">
        <v>8232</v>
      </c>
      <c r="G2129" s="116" t="str">
        <f>HYPERLINK("http://nsgreg.nga.mil/genc/view?v=201649&amp;end_month=3&amp;end_day=31&amp;end_year=2014","Samburu")</f>
        <v>Samburu</v>
      </c>
      <c r="H2129" s="87" t="str">
        <f>HYPERLINK("http://api.nsgreg.nga.mil/geo-division/GENC/6/ed2/KE-37","KE-37")</f>
        <v>KE-37</v>
      </c>
    </row>
    <row r="2130" spans="1:8" x14ac:dyDescent="0.2">
      <c r="A2130" s="157"/>
      <c r="B2130" s="31" t="s">
        <v>8233</v>
      </c>
      <c r="C2130" s="31" t="s">
        <v>8234</v>
      </c>
      <c r="D2130" s="31" t="s">
        <v>2023</v>
      </c>
      <c r="E2130" s="61" t="b">
        <v>1</v>
      </c>
      <c r="F2130" s="107" t="s">
        <v>8235</v>
      </c>
      <c r="G2130" s="116" t="str">
        <f>HYPERLINK("http://nsgreg.nga.mil/genc/view?v=201650&amp;end_month=3&amp;end_day=31&amp;end_year=2014","Siaya")</f>
        <v>Siaya</v>
      </c>
      <c r="H2130" s="87" t="str">
        <f>HYPERLINK("http://api.nsgreg.nga.mil/geo-division/GENC/6/ed2/KE-38","KE-38")</f>
        <v>KE-38</v>
      </c>
    </row>
    <row r="2131" spans="1:8" x14ac:dyDescent="0.2">
      <c r="A2131" s="157"/>
      <c r="B2131" s="31" t="s">
        <v>8236</v>
      </c>
      <c r="C2131" s="31" t="s">
        <v>8237</v>
      </c>
      <c r="D2131" s="31" t="s">
        <v>2023</v>
      </c>
      <c r="E2131" s="61" t="b">
        <v>1</v>
      </c>
      <c r="F2131" s="107" t="s">
        <v>8238</v>
      </c>
      <c r="G2131" s="116" t="str">
        <f>HYPERLINK("http://nsgreg.nga.mil/genc/view?v=201651&amp;end_month=3&amp;end_day=31&amp;end_year=2014","Taita/Taveta")</f>
        <v>Taita/Taveta</v>
      </c>
      <c r="H2131" s="87" t="str">
        <f>HYPERLINK("http://api.nsgreg.nga.mil/geo-division/GENC/6/ed2/KE-39","KE-39")</f>
        <v>KE-39</v>
      </c>
    </row>
    <row r="2132" spans="1:8" x14ac:dyDescent="0.2">
      <c r="A2132" s="157"/>
      <c r="B2132" s="31" t="s">
        <v>8239</v>
      </c>
      <c r="C2132" s="31" t="s">
        <v>8240</v>
      </c>
      <c r="D2132" s="31" t="s">
        <v>2023</v>
      </c>
      <c r="E2132" s="61" t="b">
        <v>1</v>
      </c>
      <c r="F2132" s="107" t="s">
        <v>8241</v>
      </c>
      <c r="G2132" s="116" t="str">
        <f>HYPERLINK("http://nsgreg.nga.mil/genc/view?v=201652&amp;end_month=3&amp;end_day=31&amp;end_year=2014","Tana River")</f>
        <v>Tana River</v>
      </c>
      <c r="H2132" s="87" t="str">
        <f>HYPERLINK("http://api.nsgreg.nga.mil/geo-division/GENC/6/ed2/KE-40","KE-40")</f>
        <v>KE-40</v>
      </c>
    </row>
    <row r="2133" spans="1:8" x14ac:dyDescent="0.2">
      <c r="A2133" s="157"/>
      <c r="B2133" s="31" t="s">
        <v>8242</v>
      </c>
      <c r="C2133" s="31" t="s">
        <v>8243</v>
      </c>
      <c r="D2133" s="31" t="s">
        <v>2023</v>
      </c>
      <c r="E2133" s="61" t="b">
        <v>1</v>
      </c>
      <c r="F2133" s="107" t="s">
        <v>8244</v>
      </c>
      <c r="G2133" s="116" t="str">
        <f>HYPERLINK("http://nsgreg.nga.mil/genc/view?v=201654&amp;end_month=3&amp;end_day=31&amp;end_year=2014","Tharaka-Nithi")</f>
        <v>Tharaka-Nithi</v>
      </c>
      <c r="H2133" s="87" t="str">
        <f>HYPERLINK("http://api.nsgreg.nga.mil/geo-division/GENC/6/ed2/KE-41","KE-41")</f>
        <v>KE-41</v>
      </c>
    </row>
    <row r="2134" spans="1:8" x14ac:dyDescent="0.2">
      <c r="A2134" s="157"/>
      <c r="B2134" s="31" t="s">
        <v>8245</v>
      </c>
      <c r="C2134" s="31" t="s">
        <v>8246</v>
      </c>
      <c r="D2134" s="31" t="s">
        <v>2023</v>
      </c>
      <c r="E2134" s="61" t="b">
        <v>1</v>
      </c>
      <c r="F2134" s="107" t="s">
        <v>8247</v>
      </c>
      <c r="G2134" s="116" t="str">
        <f>HYPERLINK("http://nsgreg.nga.mil/genc/view?v=201655&amp;end_month=3&amp;end_day=31&amp;end_year=2014","Trans Nzoia")</f>
        <v>Trans Nzoia</v>
      </c>
      <c r="H2134" s="87" t="str">
        <f>HYPERLINK("http://api.nsgreg.nga.mil/geo-division/GENC/6/ed2/KE-42","KE-42")</f>
        <v>KE-42</v>
      </c>
    </row>
    <row r="2135" spans="1:8" x14ac:dyDescent="0.2">
      <c r="A2135" s="157"/>
      <c r="B2135" s="31" t="s">
        <v>8248</v>
      </c>
      <c r="C2135" s="31" t="s">
        <v>8249</v>
      </c>
      <c r="D2135" s="31" t="s">
        <v>2023</v>
      </c>
      <c r="E2135" s="61" t="b">
        <v>1</v>
      </c>
      <c r="F2135" s="107" t="s">
        <v>8250</v>
      </c>
      <c r="G2135" s="116" t="str">
        <f>HYPERLINK("http://nsgreg.nga.mil/genc/view?v=201656&amp;end_month=3&amp;end_day=31&amp;end_year=2014","Turkana")</f>
        <v>Turkana</v>
      </c>
      <c r="H2135" s="87" t="str">
        <f>HYPERLINK("http://api.nsgreg.nga.mil/geo-division/GENC/6/ed2/KE-43","KE-43")</f>
        <v>KE-43</v>
      </c>
    </row>
    <row r="2136" spans="1:8" x14ac:dyDescent="0.2">
      <c r="A2136" s="157"/>
      <c r="B2136" s="31" t="s">
        <v>8251</v>
      </c>
      <c r="C2136" s="31" t="s">
        <v>8252</v>
      </c>
      <c r="D2136" s="31" t="s">
        <v>2023</v>
      </c>
      <c r="E2136" s="61" t="b">
        <v>1</v>
      </c>
      <c r="F2136" s="107" t="s">
        <v>8253</v>
      </c>
      <c r="G2136" s="116" t="str">
        <f>HYPERLINK("http://nsgreg.nga.mil/genc/view?v=201657&amp;end_month=3&amp;end_day=31&amp;end_year=2014","Uasin Gishu")</f>
        <v>Uasin Gishu</v>
      </c>
      <c r="H2136" s="87" t="str">
        <f>HYPERLINK("http://api.nsgreg.nga.mil/geo-division/GENC/6/ed2/KE-44","KE-44")</f>
        <v>KE-44</v>
      </c>
    </row>
    <row r="2137" spans="1:8" x14ac:dyDescent="0.2">
      <c r="A2137" s="157"/>
      <c r="B2137" s="31" t="s">
        <v>8254</v>
      </c>
      <c r="C2137" s="31" t="s">
        <v>8255</v>
      </c>
      <c r="D2137" s="31" t="s">
        <v>2023</v>
      </c>
      <c r="E2137" s="61" t="b">
        <v>1</v>
      </c>
      <c r="F2137" s="107" t="s">
        <v>8256</v>
      </c>
      <c r="G2137" s="116" t="str">
        <f>HYPERLINK("http://nsgreg.nga.mil/genc/view?v=201658&amp;end_month=3&amp;end_day=31&amp;end_year=2014","Vihiga")</f>
        <v>Vihiga</v>
      </c>
      <c r="H2137" s="87" t="str">
        <f>HYPERLINK("http://api.nsgreg.nga.mil/geo-division/GENC/6/ed2/KE-45","KE-45")</f>
        <v>KE-45</v>
      </c>
    </row>
    <row r="2138" spans="1:8" x14ac:dyDescent="0.2">
      <c r="A2138" s="157"/>
      <c r="B2138" s="31" t="s">
        <v>8257</v>
      </c>
      <c r="C2138" s="31" t="s">
        <v>8258</v>
      </c>
      <c r="D2138" s="31" t="s">
        <v>2023</v>
      </c>
      <c r="E2138" s="61" t="b">
        <v>1</v>
      </c>
      <c r="F2138" s="107" t="s">
        <v>8259</v>
      </c>
      <c r="G2138" s="116" t="str">
        <f>HYPERLINK("http://nsgreg.nga.mil/genc/view?v=201659&amp;end_month=3&amp;end_day=31&amp;end_year=2014","Wajir")</f>
        <v>Wajir</v>
      </c>
      <c r="H2138" s="87" t="str">
        <f>HYPERLINK("http://api.nsgreg.nga.mil/geo-division/GENC/6/ed2/KE-46","KE-46")</f>
        <v>KE-46</v>
      </c>
    </row>
    <row r="2139" spans="1:8" x14ac:dyDescent="0.2">
      <c r="A2139" s="157"/>
      <c r="B2139" s="31" t="s">
        <v>8260</v>
      </c>
      <c r="C2139" s="31" t="s">
        <v>5631</v>
      </c>
      <c r="D2139" s="98" t="s">
        <v>1920</v>
      </c>
      <c r="E2139" s="99" t="b">
        <v>0</v>
      </c>
      <c r="F2139" s="107" t="s">
        <v>8261</v>
      </c>
      <c r="G2139" s="116" t="str">
        <f>HYPERLINK("http://nsgreg.nga.mil/genc/view?v=201664&amp;end_month=3&amp;end_day=31&amp;end_year=2014","Western")</f>
        <v>Western</v>
      </c>
      <c r="H2139" s="87" t="str">
        <f>HYPERLINK("http://api.nsgreg.nga.mil/geo-division/GENC/6/ed2/KE-800","KE-800")</f>
        <v>KE-800</v>
      </c>
    </row>
    <row r="2140" spans="1:8" x14ac:dyDescent="0.2">
      <c r="A2140" s="158"/>
      <c r="B2140" s="58" t="s">
        <v>8262</v>
      </c>
      <c r="C2140" s="58" t="s">
        <v>8263</v>
      </c>
      <c r="D2140" s="58" t="s">
        <v>2023</v>
      </c>
      <c r="E2140" s="62" t="b">
        <v>1</v>
      </c>
      <c r="F2140" s="111" t="s">
        <v>8264</v>
      </c>
      <c r="G2140" s="117" t="str">
        <f>HYPERLINK("http://nsgreg.nga.mil/genc/view?v=201660&amp;end_month=3&amp;end_day=31&amp;end_year=2014","West Pokot")</f>
        <v>West Pokot</v>
      </c>
      <c r="H2140" s="89" t="str">
        <f>HYPERLINK("http://api.nsgreg.nga.mil/geo-division/GENC/6/ed2/KE-47","KE-47")</f>
        <v>KE-47</v>
      </c>
    </row>
    <row r="2141" spans="1:8" x14ac:dyDescent="0.2">
      <c r="A2141" s="156" t="str">
        <f>HYPERLINK("[#]Geopolitical_Entities!A143:I143","KIRIBATI")</f>
        <v>KIRIBATI</v>
      </c>
      <c r="B2141" s="52" t="s">
        <v>8265</v>
      </c>
      <c r="C2141" s="52" t="s">
        <v>8266</v>
      </c>
      <c r="D2141" s="102" t="s">
        <v>8267</v>
      </c>
      <c r="E2141" s="103" t="b">
        <v>0</v>
      </c>
      <c r="F2141" s="110" t="s">
        <v>8268</v>
      </c>
      <c r="G2141" s="118" t="str">
        <f>HYPERLINK("http://nsgreg.nga.mil/genc/view?v=201697&amp;end_month=3&amp;end_day=31&amp;end_year=2014","Gilbert Islands")</f>
        <v>Gilbert Islands</v>
      </c>
      <c r="H2141" s="91" t="str">
        <f>HYPERLINK("http://api.nsgreg.nga.mil/geo-division/GENC/6/ed2/KI-G","KI-G")</f>
        <v>KI-G</v>
      </c>
    </row>
    <row r="2142" spans="1:8" x14ac:dyDescent="0.2">
      <c r="A2142" s="157"/>
      <c r="B2142" s="31" t="s">
        <v>8269</v>
      </c>
      <c r="C2142" s="31" t="s">
        <v>8270</v>
      </c>
      <c r="D2142" s="98" t="s">
        <v>8267</v>
      </c>
      <c r="E2142" s="99" t="b">
        <v>0</v>
      </c>
      <c r="F2142" s="107" t="s">
        <v>8271</v>
      </c>
      <c r="G2142" s="116" t="str">
        <f>HYPERLINK("http://nsgreg.nga.mil/genc/view?v=201698&amp;end_month=3&amp;end_day=31&amp;end_year=2014","Line Islands")</f>
        <v>Line Islands</v>
      </c>
      <c r="H2142" s="87" t="str">
        <f>HYPERLINK("http://api.nsgreg.nga.mil/geo-division/GENC/6/ed2/KI-L","KI-L")</f>
        <v>KI-L</v>
      </c>
    </row>
    <row r="2143" spans="1:8" x14ac:dyDescent="0.2">
      <c r="A2143" s="158"/>
      <c r="B2143" s="58" t="s">
        <v>8272</v>
      </c>
      <c r="C2143" s="58" t="s">
        <v>8273</v>
      </c>
      <c r="D2143" s="100" t="s">
        <v>8267</v>
      </c>
      <c r="E2143" s="101" t="b">
        <v>0</v>
      </c>
      <c r="F2143" s="111" t="s">
        <v>8274</v>
      </c>
      <c r="G2143" s="117" t="str">
        <f>HYPERLINK("http://nsgreg.nga.mil/genc/view?v=201699&amp;end_month=3&amp;end_day=31&amp;end_year=2014","Phoenix Islands")</f>
        <v>Phoenix Islands</v>
      </c>
      <c r="H2143" s="89" t="str">
        <f>HYPERLINK("http://api.nsgreg.nga.mil/geo-division/GENC/6/ed2/KI-P","KI-P")</f>
        <v>KI-P</v>
      </c>
    </row>
    <row r="2144" spans="1:8" x14ac:dyDescent="0.2">
      <c r="A2144" s="156" t="str">
        <f>HYPERLINK("[#]Geopolitical_Entities!A144:I144","KOREA, NORTH")</f>
        <v>KOREA, NORTH</v>
      </c>
      <c r="B2144" s="52" t="s">
        <v>8275</v>
      </c>
      <c r="C2144" s="52" t="s">
        <v>8276</v>
      </c>
      <c r="D2144" s="52" t="s">
        <v>1920</v>
      </c>
      <c r="E2144" s="60" t="b">
        <v>1</v>
      </c>
      <c r="F2144" s="110" t="s">
        <v>8277</v>
      </c>
      <c r="G2144" s="118" t="str">
        <f>HYPERLINK("http://nsgreg.nga.mil/genc/view?v=201706&amp;end_month=3&amp;end_day=31&amp;end_year=2014","Chagang")</f>
        <v>Chagang</v>
      </c>
      <c r="H2144" s="91" t="str">
        <f>HYPERLINK("http://api.nsgreg.nga.mil/geo-division/GENC/6/ed2/KP-04","KP-04")</f>
        <v>KP-04</v>
      </c>
    </row>
    <row r="2145" spans="1:8" x14ac:dyDescent="0.2">
      <c r="A2145" s="157"/>
      <c r="B2145" s="31" t="s">
        <v>8278</v>
      </c>
      <c r="C2145" s="31" t="s">
        <v>8279</v>
      </c>
      <c r="D2145" s="31" t="s">
        <v>1920</v>
      </c>
      <c r="E2145" s="61" t="b">
        <v>1</v>
      </c>
      <c r="F2145" s="107" t="s">
        <v>8280</v>
      </c>
      <c r="G2145" s="116" t="str">
        <f>HYPERLINK("http://nsgreg.nga.mil/genc/view?v=201711&amp;end_month=3&amp;end_day=31&amp;end_year=2014","Hambuk")</f>
        <v>Hambuk</v>
      </c>
      <c r="H2145" s="87" t="str">
        <f>HYPERLINK("http://api.nsgreg.nga.mil/geo-division/GENC/6/ed2/KP-09","KP-09")</f>
        <v>KP-09</v>
      </c>
    </row>
    <row r="2146" spans="1:8" x14ac:dyDescent="0.2">
      <c r="A2146" s="157"/>
      <c r="B2146" s="31" t="s">
        <v>8281</v>
      </c>
      <c r="C2146" s="31" t="s">
        <v>8282</v>
      </c>
      <c r="D2146" s="31" t="s">
        <v>1920</v>
      </c>
      <c r="E2146" s="61" t="b">
        <v>1</v>
      </c>
      <c r="F2146" s="107" t="s">
        <v>8283</v>
      </c>
      <c r="G2146" s="116" t="str">
        <f>HYPERLINK("http://nsgreg.nga.mil/genc/view?v=201710&amp;end_month=3&amp;end_day=31&amp;end_year=2014","Hamnam")</f>
        <v>Hamnam</v>
      </c>
      <c r="H2146" s="87" t="str">
        <f>HYPERLINK("http://api.nsgreg.nga.mil/geo-division/GENC/6/ed2/KP-08","KP-08")</f>
        <v>KP-08</v>
      </c>
    </row>
    <row r="2147" spans="1:8" x14ac:dyDescent="0.2">
      <c r="A2147" s="157"/>
      <c r="B2147" s="31" t="s">
        <v>8284</v>
      </c>
      <c r="C2147" s="31" t="s">
        <v>8285</v>
      </c>
      <c r="D2147" s="31" t="s">
        <v>1920</v>
      </c>
      <c r="E2147" s="61" t="b">
        <v>1</v>
      </c>
      <c r="F2147" s="107" t="s">
        <v>8286</v>
      </c>
      <c r="G2147" s="116" t="str">
        <f>HYPERLINK("http://nsgreg.nga.mil/genc/view?v=201708&amp;end_month=3&amp;end_day=31&amp;end_year=2014","Hwangbuk")</f>
        <v>Hwangbuk</v>
      </c>
      <c r="H2147" s="87" t="str">
        <f>HYPERLINK("http://api.nsgreg.nga.mil/geo-division/GENC/6/ed2/KP-06","KP-06")</f>
        <v>KP-06</v>
      </c>
    </row>
    <row r="2148" spans="1:8" x14ac:dyDescent="0.2">
      <c r="A2148" s="157"/>
      <c r="B2148" s="31" t="s">
        <v>8287</v>
      </c>
      <c r="C2148" s="31" t="s">
        <v>8288</v>
      </c>
      <c r="D2148" s="31" t="s">
        <v>1920</v>
      </c>
      <c r="E2148" s="61" t="b">
        <v>1</v>
      </c>
      <c r="F2148" s="107" t="s">
        <v>8289</v>
      </c>
      <c r="G2148" s="116" t="str">
        <f>HYPERLINK("http://nsgreg.nga.mil/genc/view?v=201707&amp;end_month=3&amp;end_day=31&amp;end_year=2014","Hwangnam")</f>
        <v>Hwangnam</v>
      </c>
      <c r="H2148" s="87" t="str">
        <f>HYPERLINK("http://api.nsgreg.nga.mil/geo-division/GENC/6/ed2/KP-05","KP-05")</f>
        <v>KP-05</v>
      </c>
    </row>
    <row r="2149" spans="1:8" x14ac:dyDescent="0.2">
      <c r="A2149" s="157"/>
      <c r="B2149" s="31" t="s">
        <v>8290</v>
      </c>
      <c r="C2149" s="31" t="s">
        <v>8291</v>
      </c>
      <c r="D2149" s="31" t="s">
        <v>1920</v>
      </c>
      <c r="E2149" s="61" t="b">
        <v>1</v>
      </c>
      <c r="F2149" s="107" t="s">
        <v>8292</v>
      </c>
      <c r="G2149" s="116" t="str">
        <f>HYPERLINK("http://nsgreg.nga.mil/genc/view?v=201709&amp;end_month=3&amp;end_day=31&amp;end_year=2014","Kangwŏn")</f>
        <v>Kangwŏn</v>
      </c>
      <c r="H2149" s="87" t="str">
        <f>HYPERLINK("http://api.nsgreg.nga.mil/geo-division/GENC/6/ed2/KP-07","KP-07")</f>
        <v>KP-07</v>
      </c>
    </row>
    <row r="2150" spans="1:8" x14ac:dyDescent="0.2">
      <c r="A2150" s="157"/>
      <c r="B2150" s="31" t="s">
        <v>8293</v>
      </c>
      <c r="C2150" s="31" t="s">
        <v>8294</v>
      </c>
      <c r="D2150" s="31" t="s">
        <v>8295</v>
      </c>
      <c r="E2150" s="61" t="b">
        <v>1</v>
      </c>
      <c r="F2150" s="107" t="s">
        <v>8296</v>
      </c>
      <c r="G2150" s="116" t="str">
        <f>HYPERLINK("http://nsgreg.nga.mil/genc/view?v=201713&amp;end_month=3&amp;end_day=31&amp;end_year=2014","Nasŏn")</f>
        <v>Nasŏn</v>
      </c>
      <c r="H2150" s="87" t="str">
        <f>HYPERLINK("http://api.nsgreg.nga.mil/geo-division/GENC/6/ed2/KP-13","KP-13")</f>
        <v>KP-13</v>
      </c>
    </row>
    <row r="2151" spans="1:8" x14ac:dyDescent="0.2">
      <c r="A2151" s="157"/>
      <c r="B2151" s="31" t="s">
        <v>8297</v>
      </c>
      <c r="C2151" s="31" t="s">
        <v>8298</v>
      </c>
      <c r="D2151" s="31" t="s">
        <v>1920</v>
      </c>
      <c r="E2151" s="61" t="b">
        <v>1</v>
      </c>
      <c r="F2151" s="107" t="s">
        <v>8299</v>
      </c>
      <c r="G2151" s="116" t="str">
        <f>HYPERLINK("http://nsgreg.nga.mil/genc/view?v=201705&amp;end_month=3&amp;end_day=31&amp;end_year=2014","P’yŏngbuk")</f>
        <v>P’yŏngbuk</v>
      </c>
      <c r="H2151" s="87" t="str">
        <f>HYPERLINK("http://api.nsgreg.nga.mil/geo-division/GENC/6/ed2/KP-03","KP-03")</f>
        <v>KP-03</v>
      </c>
    </row>
    <row r="2152" spans="1:8" x14ac:dyDescent="0.2">
      <c r="A2152" s="157"/>
      <c r="B2152" s="31" t="s">
        <v>8300</v>
      </c>
      <c r="C2152" s="31" t="s">
        <v>8301</v>
      </c>
      <c r="D2152" s="31" t="s">
        <v>1920</v>
      </c>
      <c r="E2152" s="61" t="b">
        <v>1</v>
      </c>
      <c r="F2152" s="107" t="s">
        <v>8302</v>
      </c>
      <c r="G2152" s="116" t="str">
        <f>HYPERLINK("http://nsgreg.nga.mil/genc/view?v=201704&amp;end_month=3&amp;end_day=31&amp;end_year=2014","P’yŏngnam")</f>
        <v>P’yŏngnam</v>
      </c>
      <c r="H2152" s="87" t="str">
        <f>HYPERLINK("http://api.nsgreg.nga.mil/geo-division/GENC/6/ed2/KP-02","KP-02")</f>
        <v>KP-02</v>
      </c>
    </row>
    <row r="2153" spans="1:8" x14ac:dyDescent="0.2">
      <c r="A2153" s="157"/>
      <c r="B2153" s="31" t="s">
        <v>8303</v>
      </c>
      <c r="C2153" s="31" t="s">
        <v>8304</v>
      </c>
      <c r="D2153" s="31" t="s">
        <v>8295</v>
      </c>
      <c r="E2153" s="61" t="b">
        <v>1</v>
      </c>
      <c r="F2153" s="107" t="s">
        <v>8305</v>
      </c>
      <c r="G2153" s="116" t="str">
        <f>HYPERLINK("http://nsgreg.nga.mil/genc/view?v=201703&amp;end_month=3&amp;end_day=31&amp;end_year=2014","P’yŏngyang")</f>
        <v>P’yŏngyang</v>
      </c>
      <c r="H2153" s="87" t="str">
        <f>HYPERLINK("http://api.nsgreg.nga.mil/geo-division/GENC/6/ed2/KP-01","KP-01")</f>
        <v>KP-01</v>
      </c>
    </row>
    <row r="2154" spans="1:8" x14ac:dyDescent="0.2">
      <c r="A2154" s="158"/>
      <c r="B2154" s="58" t="s">
        <v>8306</v>
      </c>
      <c r="C2154" s="58" t="s">
        <v>8307</v>
      </c>
      <c r="D2154" s="58" t="s">
        <v>1920</v>
      </c>
      <c r="E2154" s="62" t="b">
        <v>1</v>
      </c>
      <c r="F2154" s="111" t="s">
        <v>8308</v>
      </c>
      <c r="G2154" s="117" t="str">
        <f>HYPERLINK("http://nsgreg.nga.mil/genc/view?v=201712&amp;end_month=3&amp;end_day=31&amp;end_year=2014","Yanggang")</f>
        <v>Yanggang</v>
      </c>
      <c r="H2154" s="89" t="str">
        <f>HYPERLINK("http://api.nsgreg.nga.mil/geo-division/GENC/6/ed2/KP-10","KP-10")</f>
        <v>KP-10</v>
      </c>
    </row>
    <row r="2155" spans="1:8" x14ac:dyDescent="0.2">
      <c r="A2155" s="156" t="str">
        <f>HYPERLINK("[#]Geopolitical_Entities!A145:I145","KOREA, SOUTH")</f>
        <v>KOREA, SOUTH</v>
      </c>
      <c r="B2155" s="52" t="s">
        <v>8309</v>
      </c>
      <c r="C2155" s="52" t="s">
        <v>8310</v>
      </c>
      <c r="D2155" s="52" t="s">
        <v>8311</v>
      </c>
      <c r="E2155" s="60" t="b">
        <v>1</v>
      </c>
      <c r="F2155" s="110" t="s">
        <v>8312</v>
      </c>
      <c r="G2155" s="118" t="str">
        <f>HYPERLINK("http://nsgreg.nga.mil/genc/view?v=201715&amp;end_month=3&amp;end_day=31&amp;end_year=2014","Busan")</f>
        <v>Busan</v>
      </c>
      <c r="H2155" s="91" t="str">
        <f>HYPERLINK("http://api.nsgreg.nga.mil/geo-division/GENC/6/ed2/KR-26","KR-26")</f>
        <v>KR-26</v>
      </c>
    </row>
    <row r="2156" spans="1:8" x14ac:dyDescent="0.2">
      <c r="A2156" s="157"/>
      <c r="B2156" s="31" t="s">
        <v>8313</v>
      </c>
      <c r="C2156" s="31" t="s">
        <v>8314</v>
      </c>
      <c r="D2156" s="31" t="s">
        <v>1920</v>
      </c>
      <c r="E2156" s="61" t="b">
        <v>1</v>
      </c>
      <c r="F2156" s="107" t="s">
        <v>8315</v>
      </c>
      <c r="G2156" s="116" t="str">
        <f>HYPERLINK("http://nsgreg.nga.mil/genc/view?v=201723&amp;end_month=3&amp;end_day=31&amp;end_year=2014","Chungbuk")</f>
        <v>Chungbuk</v>
      </c>
      <c r="H2156" s="87" t="str">
        <f>HYPERLINK("http://api.nsgreg.nga.mil/geo-division/GENC/6/ed2/KR-43","KR-43")</f>
        <v>KR-43</v>
      </c>
    </row>
    <row r="2157" spans="1:8" x14ac:dyDescent="0.2">
      <c r="A2157" s="157"/>
      <c r="B2157" s="31" t="s">
        <v>8316</v>
      </c>
      <c r="C2157" s="31" t="s">
        <v>8317</v>
      </c>
      <c r="D2157" s="31" t="s">
        <v>1920</v>
      </c>
      <c r="E2157" s="61" t="b">
        <v>1</v>
      </c>
      <c r="F2157" s="107" t="s">
        <v>8318</v>
      </c>
      <c r="G2157" s="116" t="str">
        <f>HYPERLINK("http://nsgreg.nga.mil/genc/view?v=201724&amp;end_month=3&amp;end_day=31&amp;end_year=2014","Chungnam")</f>
        <v>Chungnam</v>
      </c>
      <c r="H2157" s="87" t="str">
        <f>HYPERLINK("http://api.nsgreg.nga.mil/geo-division/GENC/6/ed2/KR-44","KR-44")</f>
        <v>KR-44</v>
      </c>
    </row>
    <row r="2158" spans="1:8" x14ac:dyDescent="0.2">
      <c r="A2158" s="157"/>
      <c r="B2158" s="31" t="s">
        <v>8319</v>
      </c>
      <c r="C2158" s="31" t="s">
        <v>8320</v>
      </c>
      <c r="D2158" s="31" t="s">
        <v>8311</v>
      </c>
      <c r="E2158" s="61" t="b">
        <v>1</v>
      </c>
      <c r="F2158" s="107" t="s">
        <v>8321</v>
      </c>
      <c r="G2158" s="116" t="str">
        <f>HYPERLINK("http://nsgreg.nga.mil/genc/view?v=201716&amp;end_month=3&amp;end_day=31&amp;end_year=2014","Daegu")</f>
        <v>Daegu</v>
      </c>
      <c r="H2158" s="87" t="str">
        <f>HYPERLINK("http://api.nsgreg.nga.mil/geo-division/GENC/6/ed2/KR-27","KR-27")</f>
        <v>KR-27</v>
      </c>
    </row>
    <row r="2159" spans="1:8" x14ac:dyDescent="0.2">
      <c r="A2159" s="157"/>
      <c r="B2159" s="31" t="s">
        <v>8322</v>
      </c>
      <c r="C2159" s="31" t="s">
        <v>8323</v>
      </c>
      <c r="D2159" s="31" t="s">
        <v>8311</v>
      </c>
      <c r="E2159" s="61" t="b">
        <v>1</v>
      </c>
      <c r="F2159" s="107" t="s">
        <v>8324</v>
      </c>
      <c r="G2159" s="116" t="str">
        <f>HYPERLINK("http://nsgreg.nga.mil/genc/view?v=201719&amp;end_month=3&amp;end_day=31&amp;end_year=2014","Daejeon")</f>
        <v>Daejeon</v>
      </c>
      <c r="H2159" s="87" t="str">
        <f>HYPERLINK("http://api.nsgreg.nga.mil/geo-division/GENC/6/ed2/KR-30","KR-30")</f>
        <v>KR-30</v>
      </c>
    </row>
    <row r="2160" spans="1:8" x14ac:dyDescent="0.2">
      <c r="A2160" s="157"/>
      <c r="B2160" s="31" t="s">
        <v>8325</v>
      </c>
      <c r="C2160" s="31" t="s">
        <v>8326</v>
      </c>
      <c r="D2160" s="31" t="s">
        <v>1920</v>
      </c>
      <c r="E2160" s="61" t="b">
        <v>1</v>
      </c>
      <c r="F2160" s="107" t="s">
        <v>8327</v>
      </c>
      <c r="G2160" s="116" t="str">
        <f>HYPERLINK("http://nsgreg.nga.mil/genc/view?v=201722&amp;end_month=3&amp;end_day=31&amp;end_year=2014","Gangwon")</f>
        <v>Gangwon</v>
      </c>
      <c r="H2160" s="87" t="str">
        <f>HYPERLINK("http://api.nsgreg.nga.mil/geo-division/GENC/6/ed2/KR-42","KR-42")</f>
        <v>KR-42</v>
      </c>
    </row>
    <row r="2161" spans="1:8" x14ac:dyDescent="0.2">
      <c r="A2161" s="157"/>
      <c r="B2161" s="31" t="s">
        <v>8328</v>
      </c>
      <c r="C2161" s="31" t="s">
        <v>8329</v>
      </c>
      <c r="D2161" s="31" t="s">
        <v>8311</v>
      </c>
      <c r="E2161" s="61" t="b">
        <v>1</v>
      </c>
      <c r="F2161" s="107" t="s">
        <v>8330</v>
      </c>
      <c r="G2161" s="116" t="str">
        <f>HYPERLINK("http://nsgreg.nga.mil/genc/view?v=201718&amp;end_month=3&amp;end_day=31&amp;end_year=2014","Gwangju")</f>
        <v>Gwangju</v>
      </c>
      <c r="H2161" s="87" t="str">
        <f>HYPERLINK("http://api.nsgreg.nga.mil/geo-division/GENC/6/ed2/KR-29","KR-29")</f>
        <v>KR-29</v>
      </c>
    </row>
    <row r="2162" spans="1:8" x14ac:dyDescent="0.2">
      <c r="A2162" s="157"/>
      <c r="B2162" s="31" t="s">
        <v>8331</v>
      </c>
      <c r="C2162" s="31" t="s">
        <v>8332</v>
      </c>
      <c r="D2162" s="31" t="s">
        <v>1920</v>
      </c>
      <c r="E2162" s="61" t="b">
        <v>1</v>
      </c>
      <c r="F2162" s="107" t="s">
        <v>8333</v>
      </c>
      <c r="G2162" s="116" t="str">
        <f>HYPERLINK("http://nsgreg.nga.mil/genc/view?v=201721&amp;end_month=3&amp;end_day=31&amp;end_year=2014","Gyeongbuk")</f>
        <v>Gyeongbuk</v>
      </c>
      <c r="H2162" s="87" t="str">
        <f>HYPERLINK("http://api.nsgreg.nga.mil/geo-division/GENC/6/ed2/KR-47","KR-47")</f>
        <v>KR-47</v>
      </c>
    </row>
    <row r="2163" spans="1:8" x14ac:dyDescent="0.2">
      <c r="A2163" s="157"/>
      <c r="B2163" s="31" t="s">
        <v>8334</v>
      </c>
      <c r="C2163" s="31" t="s">
        <v>8335</v>
      </c>
      <c r="D2163" s="31" t="s">
        <v>1920</v>
      </c>
      <c r="E2163" s="61" t="b">
        <v>1</v>
      </c>
      <c r="F2163" s="107" t="s">
        <v>8336</v>
      </c>
      <c r="G2163" s="116" t="str">
        <f>HYPERLINK("http://nsgreg.nga.mil/genc/view?v=201727&amp;end_month=3&amp;end_day=31&amp;end_year=2014","Gyeonggi")</f>
        <v>Gyeonggi</v>
      </c>
      <c r="H2163" s="87" t="str">
        <f>HYPERLINK("http://api.nsgreg.nga.mil/geo-division/GENC/6/ed2/KR-41","KR-41")</f>
        <v>KR-41</v>
      </c>
    </row>
    <row r="2164" spans="1:8" x14ac:dyDescent="0.2">
      <c r="A2164" s="157"/>
      <c r="B2164" s="31" t="s">
        <v>8337</v>
      </c>
      <c r="C2164" s="31" t="s">
        <v>8338</v>
      </c>
      <c r="D2164" s="31" t="s">
        <v>1920</v>
      </c>
      <c r="E2164" s="61" t="b">
        <v>1</v>
      </c>
      <c r="F2164" s="107" t="s">
        <v>8339</v>
      </c>
      <c r="G2164" s="116" t="str">
        <f>HYPERLINK("http://nsgreg.nga.mil/genc/view?v=201728&amp;end_month=3&amp;end_day=31&amp;end_year=2014","Gyeongnam")</f>
        <v>Gyeongnam</v>
      </c>
      <c r="H2164" s="87" t="str">
        <f>HYPERLINK("http://api.nsgreg.nga.mil/geo-division/GENC/6/ed2/KR-48","KR-48")</f>
        <v>KR-48</v>
      </c>
    </row>
    <row r="2165" spans="1:8" x14ac:dyDescent="0.2">
      <c r="A2165" s="157"/>
      <c r="B2165" s="31" t="s">
        <v>8340</v>
      </c>
      <c r="C2165" s="31" t="s">
        <v>8341</v>
      </c>
      <c r="D2165" s="31" t="s">
        <v>8311</v>
      </c>
      <c r="E2165" s="61" t="b">
        <v>1</v>
      </c>
      <c r="F2165" s="107" t="s">
        <v>8342</v>
      </c>
      <c r="G2165" s="116" t="str">
        <f>HYPERLINK("http://nsgreg.nga.mil/genc/view?v=201717&amp;end_month=3&amp;end_day=31&amp;end_year=2014","Incheon")</f>
        <v>Incheon</v>
      </c>
      <c r="H2165" s="87" t="str">
        <f>HYPERLINK("http://api.nsgreg.nga.mil/geo-division/GENC/6/ed2/KR-28","KR-28")</f>
        <v>KR-28</v>
      </c>
    </row>
    <row r="2166" spans="1:8" x14ac:dyDescent="0.2">
      <c r="A2166" s="157"/>
      <c r="B2166" s="31" t="s">
        <v>8343</v>
      </c>
      <c r="C2166" s="31" t="s">
        <v>8344</v>
      </c>
      <c r="D2166" s="31" t="s">
        <v>1920</v>
      </c>
      <c r="E2166" s="61" t="b">
        <v>1</v>
      </c>
      <c r="F2166" s="107" t="s">
        <v>8345</v>
      </c>
      <c r="G2166" s="116" t="str">
        <f>HYPERLINK("http://nsgreg.nga.mil/genc/view?v=201729&amp;end_month=3&amp;end_day=31&amp;end_year=2014","Jeju")</f>
        <v>Jeju</v>
      </c>
      <c r="H2166" s="87" t="str">
        <f>HYPERLINK("http://api.nsgreg.nga.mil/geo-division/GENC/6/ed2/KR-49","KR-49")</f>
        <v>KR-49</v>
      </c>
    </row>
    <row r="2167" spans="1:8" x14ac:dyDescent="0.2">
      <c r="A2167" s="157"/>
      <c r="B2167" s="31" t="s">
        <v>8346</v>
      </c>
      <c r="C2167" s="31" t="s">
        <v>8347</v>
      </c>
      <c r="D2167" s="31" t="s">
        <v>1920</v>
      </c>
      <c r="E2167" s="61" t="b">
        <v>1</v>
      </c>
      <c r="F2167" s="107" t="s">
        <v>8348</v>
      </c>
      <c r="G2167" s="116" t="str">
        <f>HYPERLINK("http://nsgreg.nga.mil/genc/view?v=201725&amp;end_month=3&amp;end_day=31&amp;end_year=2014","Jeonbuk")</f>
        <v>Jeonbuk</v>
      </c>
      <c r="H2167" s="87" t="str">
        <f>HYPERLINK("http://api.nsgreg.nga.mil/geo-division/GENC/6/ed2/KR-45","KR-45")</f>
        <v>KR-45</v>
      </c>
    </row>
    <row r="2168" spans="1:8" x14ac:dyDescent="0.2">
      <c r="A2168" s="157"/>
      <c r="B2168" s="31" t="s">
        <v>8349</v>
      </c>
      <c r="C2168" s="31" t="s">
        <v>8350</v>
      </c>
      <c r="D2168" s="31" t="s">
        <v>1920</v>
      </c>
      <c r="E2168" s="61" t="b">
        <v>1</v>
      </c>
      <c r="F2168" s="107" t="s">
        <v>8351</v>
      </c>
      <c r="G2168" s="116" t="str">
        <f>HYPERLINK("http://nsgreg.nga.mil/genc/view?v=201726&amp;end_month=3&amp;end_day=31&amp;end_year=2014","Jeonnam")</f>
        <v>Jeonnam</v>
      </c>
      <c r="H2168" s="87" t="str">
        <f>HYPERLINK("http://api.nsgreg.nga.mil/geo-division/GENC/6/ed2/KR-46","KR-46")</f>
        <v>KR-46</v>
      </c>
    </row>
    <row r="2169" spans="1:8" x14ac:dyDescent="0.2">
      <c r="A2169" s="157"/>
      <c r="B2169" s="31" t="s">
        <v>8352</v>
      </c>
      <c r="C2169" s="31" t="s">
        <v>8353</v>
      </c>
      <c r="D2169" s="31" t="s">
        <v>8354</v>
      </c>
      <c r="E2169" s="61" t="b">
        <v>1</v>
      </c>
      <c r="F2169" s="107" t="s">
        <v>8355</v>
      </c>
      <c r="G2169" s="116" t="str">
        <f>HYPERLINK("http://nsgreg.nga.mil/genc/view?v=201730&amp;end_month=3&amp;end_day=31&amp;end_year=2014","Sejong")</f>
        <v>Sejong</v>
      </c>
      <c r="H2169" s="87" t="str">
        <f>HYPERLINK("http://api.nsgreg.nga.mil/geo-division/GENC/6/ed2/KR-50","KR-50")</f>
        <v>KR-50</v>
      </c>
    </row>
    <row r="2170" spans="1:8" x14ac:dyDescent="0.2">
      <c r="A2170" s="157"/>
      <c r="B2170" s="31" t="s">
        <v>8356</v>
      </c>
      <c r="C2170" s="31" t="s">
        <v>8357</v>
      </c>
      <c r="D2170" s="31" t="s">
        <v>6802</v>
      </c>
      <c r="E2170" s="61" t="b">
        <v>1</v>
      </c>
      <c r="F2170" s="107" t="s">
        <v>8358</v>
      </c>
      <c r="G2170" s="116" t="str">
        <f>HYPERLINK("http://nsgreg.nga.mil/genc/view?v=201714&amp;end_month=3&amp;end_day=31&amp;end_year=2014","Seoul")</f>
        <v>Seoul</v>
      </c>
      <c r="H2170" s="87" t="str">
        <f>HYPERLINK("http://api.nsgreg.nga.mil/geo-division/GENC/6/ed2/KR-11","KR-11")</f>
        <v>KR-11</v>
      </c>
    </row>
    <row r="2171" spans="1:8" x14ac:dyDescent="0.2">
      <c r="A2171" s="158"/>
      <c r="B2171" s="58" t="s">
        <v>8359</v>
      </c>
      <c r="C2171" s="58" t="s">
        <v>8360</v>
      </c>
      <c r="D2171" s="58" t="s">
        <v>8311</v>
      </c>
      <c r="E2171" s="62" t="b">
        <v>1</v>
      </c>
      <c r="F2171" s="111" t="s">
        <v>8361</v>
      </c>
      <c r="G2171" s="117" t="str">
        <f>HYPERLINK("http://nsgreg.nga.mil/genc/view?v=201720&amp;end_month=3&amp;end_day=31&amp;end_year=2014","Ulsan")</f>
        <v>Ulsan</v>
      </c>
      <c r="H2171" s="89" t="str">
        <f>HYPERLINK("http://api.nsgreg.nga.mil/geo-division/GENC/6/ed2/KR-31","KR-31")</f>
        <v>KR-31</v>
      </c>
    </row>
    <row r="2172" spans="1:8" x14ac:dyDescent="0.2">
      <c r="A2172" s="156" t="str">
        <f>HYPERLINK("[#]Geopolitical_Entities!A146:I146","KOSOVO")</f>
        <v>KOSOVO</v>
      </c>
      <c r="B2172" s="52" t="s">
        <v>8362</v>
      </c>
      <c r="C2172" s="52" t="s">
        <v>8363</v>
      </c>
      <c r="D2172" s="52" t="s">
        <v>3254</v>
      </c>
      <c r="E2172" s="60" t="b">
        <v>1</v>
      </c>
      <c r="F2172" s="110" t="s">
        <v>8364</v>
      </c>
      <c r="G2172" s="118" t="str">
        <f>HYPERLINK("http://nsgreg.nga.mil/genc/view?v=203338&amp;end_month=3&amp;end_day=31&amp;end_year=2014","Deçan")</f>
        <v>Deçan</v>
      </c>
      <c r="H2172" s="91" t="str">
        <f>HYPERLINK("http://api.nsgreg.nga.mil/geo-division/GENC/6/ed2/XK-01","XK-01")</f>
        <v>XK-01</v>
      </c>
    </row>
    <row r="2173" spans="1:8" x14ac:dyDescent="0.2">
      <c r="A2173" s="157"/>
      <c r="B2173" s="31" t="s">
        <v>8365</v>
      </c>
      <c r="C2173" s="31" t="s">
        <v>8366</v>
      </c>
      <c r="D2173" s="31" t="s">
        <v>3254</v>
      </c>
      <c r="E2173" s="61" t="b">
        <v>1</v>
      </c>
      <c r="F2173" s="107" t="s">
        <v>8367</v>
      </c>
      <c r="G2173" s="116" t="str">
        <f>HYPERLINK("http://nsgreg.nga.mil/genc/view?v=203339&amp;end_month=3&amp;end_day=31&amp;end_year=2014","Dragash")</f>
        <v>Dragash</v>
      </c>
      <c r="H2173" s="87" t="str">
        <f>HYPERLINK("http://api.nsgreg.nga.mil/geo-division/GENC/6/ed2/XK-02","XK-02")</f>
        <v>XK-02</v>
      </c>
    </row>
    <row r="2174" spans="1:8" x14ac:dyDescent="0.2">
      <c r="A2174" s="157"/>
      <c r="B2174" s="31" t="s">
        <v>8368</v>
      </c>
      <c r="C2174" s="31" t="s">
        <v>8369</v>
      </c>
      <c r="D2174" s="31" t="s">
        <v>3254</v>
      </c>
      <c r="E2174" s="61" t="b">
        <v>1</v>
      </c>
      <c r="F2174" s="107" t="s">
        <v>8370</v>
      </c>
      <c r="G2174" s="116" t="str">
        <f>HYPERLINK("http://nsgreg.nga.mil/genc/view?v=203340&amp;end_month=3&amp;end_day=31&amp;end_year=2014","Ferizaj")</f>
        <v>Ferizaj</v>
      </c>
      <c r="H2174" s="87" t="str">
        <f>HYPERLINK("http://api.nsgreg.nga.mil/geo-division/GENC/6/ed2/XK-03","XK-03")</f>
        <v>XK-03</v>
      </c>
    </row>
    <row r="2175" spans="1:8" x14ac:dyDescent="0.2">
      <c r="A2175" s="157"/>
      <c r="B2175" s="31" t="s">
        <v>8371</v>
      </c>
      <c r="C2175" s="31" t="s">
        <v>8372</v>
      </c>
      <c r="D2175" s="31" t="s">
        <v>3254</v>
      </c>
      <c r="E2175" s="61" t="b">
        <v>1</v>
      </c>
      <c r="F2175" s="107" t="s">
        <v>8373</v>
      </c>
      <c r="G2175" s="116" t="str">
        <f>HYPERLINK("http://nsgreg.nga.mil/genc/view?v=203341&amp;end_month=3&amp;end_day=31&amp;end_year=2014","Fushë Kosovë")</f>
        <v>Fushë Kosovë</v>
      </c>
      <c r="H2175" s="87" t="str">
        <f>HYPERLINK("http://api.nsgreg.nga.mil/geo-division/GENC/6/ed2/XK-04","XK-04")</f>
        <v>XK-04</v>
      </c>
    </row>
    <row r="2176" spans="1:8" x14ac:dyDescent="0.2">
      <c r="A2176" s="157"/>
      <c r="B2176" s="31" t="s">
        <v>8374</v>
      </c>
      <c r="C2176" s="31" t="s">
        <v>8375</v>
      </c>
      <c r="D2176" s="31" t="s">
        <v>3254</v>
      </c>
      <c r="E2176" s="61" t="b">
        <v>1</v>
      </c>
      <c r="F2176" s="107" t="s">
        <v>8376</v>
      </c>
      <c r="G2176" s="116" t="str">
        <f>HYPERLINK("http://nsgreg.nga.mil/genc/view?v=203342&amp;end_month=3&amp;end_day=31&amp;end_year=2014","Gjakovë")</f>
        <v>Gjakovë</v>
      </c>
      <c r="H2176" s="87" t="str">
        <f>HYPERLINK("http://api.nsgreg.nga.mil/geo-division/GENC/6/ed2/XK-05","XK-05")</f>
        <v>XK-05</v>
      </c>
    </row>
    <row r="2177" spans="1:8" x14ac:dyDescent="0.2">
      <c r="A2177" s="157"/>
      <c r="B2177" s="31" t="s">
        <v>8377</v>
      </c>
      <c r="C2177" s="31" t="s">
        <v>8378</v>
      </c>
      <c r="D2177" s="31" t="s">
        <v>3254</v>
      </c>
      <c r="E2177" s="61" t="b">
        <v>1</v>
      </c>
      <c r="F2177" s="107" t="s">
        <v>8379</v>
      </c>
      <c r="G2177" s="116" t="str">
        <f>HYPERLINK("http://nsgreg.nga.mil/genc/view?v=203343&amp;end_month=3&amp;end_day=31&amp;end_year=2014","Gjilan")</f>
        <v>Gjilan</v>
      </c>
      <c r="H2177" s="87" t="str">
        <f>HYPERLINK("http://api.nsgreg.nga.mil/geo-division/GENC/6/ed2/XK-06","XK-06")</f>
        <v>XK-06</v>
      </c>
    </row>
    <row r="2178" spans="1:8" x14ac:dyDescent="0.2">
      <c r="A2178" s="157"/>
      <c r="B2178" s="31" t="s">
        <v>8380</v>
      </c>
      <c r="C2178" s="31" t="s">
        <v>8381</v>
      </c>
      <c r="D2178" s="31" t="s">
        <v>3254</v>
      </c>
      <c r="E2178" s="61" t="b">
        <v>1</v>
      </c>
      <c r="F2178" s="107" t="s">
        <v>8382</v>
      </c>
      <c r="G2178" s="116" t="str">
        <f>HYPERLINK("http://nsgreg.nga.mil/genc/view?v=203344&amp;end_month=3&amp;end_day=31&amp;end_year=2014","Gllogovc")</f>
        <v>Gllogovc</v>
      </c>
      <c r="H2178" s="87" t="str">
        <f>HYPERLINK("http://api.nsgreg.nga.mil/geo-division/GENC/6/ed2/XK-07","XK-07")</f>
        <v>XK-07</v>
      </c>
    </row>
    <row r="2179" spans="1:8" x14ac:dyDescent="0.2">
      <c r="A2179" s="157"/>
      <c r="B2179" s="31" t="s">
        <v>8383</v>
      </c>
      <c r="C2179" s="31" t="s">
        <v>8384</v>
      </c>
      <c r="D2179" s="31" t="s">
        <v>3254</v>
      </c>
      <c r="E2179" s="61" t="b">
        <v>1</v>
      </c>
      <c r="F2179" s="107" t="s">
        <v>8385</v>
      </c>
      <c r="G2179" s="116" t="str">
        <f>HYPERLINK("http://nsgreg.nga.mil/genc/view?v=203345&amp;end_month=3&amp;end_day=31&amp;end_year=2014","Graçanicë")</f>
        <v>Graçanicë</v>
      </c>
      <c r="H2179" s="87" t="str">
        <f>HYPERLINK("http://api.nsgreg.nga.mil/geo-division/GENC/6/ed2/XK-08","XK-08")</f>
        <v>XK-08</v>
      </c>
    </row>
    <row r="2180" spans="1:8" x14ac:dyDescent="0.2">
      <c r="A2180" s="157"/>
      <c r="B2180" s="31" t="s">
        <v>8386</v>
      </c>
      <c r="C2180" s="31" t="s">
        <v>8387</v>
      </c>
      <c r="D2180" s="31" t="s">
        <v>3254</v>
      </c>
      <c r="E2180" s="61" t="b">
        <v>1</v>
      </c>
      <c r="F2180" s="107" t="s">
        <v>8388</v>
      </c>
      <c r="G2180" s="116" t="str">
        <f>HYPERLINK("http://nsgreg.nga.mil/genc/view?v=203346&amp;end_month=3&amp;end_day=31&amp;end_year=2014","Hani i Elezit")</f>
        <v>Hani i Elezit</v>
      </c>
      <c r="H2180" s="87" t="str">
        <f>HYPERLINK("http://api.nsgreg.nga.mil/geo-division/GENC/6/ed2/XK-09","XK-09")</f>
        <v>XK-09</v>
      </c>
    </row>
    <row r="2181" spans="1:8" x14ac:dyDescent="0.2">
      <c r="A2181" s="157"/>
      <c r="B2181" s="31" t="s">
        <v>8389</v>
      </c>
      <c r="C2181" s="31" t="s">
        <v>8390</v>
      </c>
      <c r="D2181" s="31" t="s">
        <v>3254</v>
      </c>
      <c r="E2181" s="61" t="b">
        <v>1</v>
      </c>
      <c r="F2181" s="107" t="s">
        <v>8391</v>
      </c>
      <c r="G2181" s="116" t="str">
        <f>HYPERLINK("http://nsgreg.nga.mil/genc/view?v=203347&amp;end_month=3&amp;end_day=31&amp;end_year=2014","Istog")</f>
        <v>Istog</v>
      </c>
      <c r="H2181" s="87" t="str">
        <f>HYPERLINK("http://api.nsgreg.nga.mil/geo-division/GENC/6/ed2/XK-10","XK-10")</f>
        <v>XK-10</v>
      </c>
    </row>
    <row r="2182" spans="1:8" x14ac:dyDescent="0.2">
      <c r="A2182" s="157"/>
      <c r="B2182" s="31" t="s">
        <v>8392</v>
      </c>
      <c r="C2182" s="31" t="s">
        <v>8393</v>
      </c>
      <c r="D2182" s="31" t="s">
        <v>3254</v>
      </c>
      <c r="E2182" s="61" t="b">
        <v>1</v>
      </c>
      <c r="F2182" s="107" t="s">
        <v>8394</v>
      </c>
      <c r="G2182" s="116" t="str">
        <f>HYPERLINK("http://nsgreg.nga.mil/genc/view?v=203348&amp;end_month=3&amp;end_day=31&amp;end_year=2014","Junik")</f>
        <v>Junik</v>
      </c>
      <c r="H2182" s="87" t="str">
        <f>HYPERLINK("http://api.nsgreg.nga.mil/geo-division/GENC/6/ed2/XK-11","XK-11")</f>
        <v>XK-11</v>
      </c>
    </row>
    <row r="2183" spans="1:8" x14ac:dyDescent="0.2">
      <c r="A2183" s="157"/>
      <c r="B2183" s="31" t="s">
        <v>8395</v>
      </c>
      <c r="C2183" s="31" t="s">
        <v>8396</v>
      </c>
      <c r="D2183" s="31" t="s">
        <v>3254</v>
      </c>
      <c r="E2183" s="61" t="b">
        <v>1</v>
      </c>
      <c r="F2183" s="107" t="s">
        <v>8397</v>
      </c>
      <c r="G2183" s="116" t="str">
        <f>HYPERLINK("http://nsgreg.nga.mil/genc/view?v=203349&amp;end_month=3&amp;end_day=31&amp;end_year=2014","Kaçanik")</f>
        <v>Kaçanik</v>
      </c>
      <c r="H2183" s="87" t="str">
        <f>HYPERLINK("http://api.nsgreg.nga.mil/geo-division/GENC/6/ed2/XK-12","XK-12")</f>
        <v>XK-12</v>
      </c>
    </row>
    <row r="2184" spans="1:8" x14ac:dyDescent="0.2">
      <c r="A2184" s="157"/>
      <c r="B2184" s="31" t="s">
        <v>8398</v>
      </c>
      <c r="C2184" s="31" t="s">
        <v>8399</v>
      </c>
      <c r="D2184" s="31" t="s">
        <v>3254</v>
      </c>
      <c r="E2184" s="61" t="b">
        <v>1</v>
      </c>
      <c r="F2184" s="107" t="s">
        <v>8400</v>
      </c>
      <c r="G2184" s="116" t="str">
        <f>HYPERLINK("http://nsgreg.nga.mil/genc/view?v=203350&amp;end_month=3&amp;end_day=31&amp;end_year=2014","Kamenicë")</f>
        <v>Kamenicë</v>
      </c>
      <c r="H2184" s="87" t="str">
        <f>HYPERLINK("http://api.nsgreg.nga.mil/geo-division/GENC/6/ed2/XK-13","XK-13")</f>
        <v>XK-13</v>
      </c>
    </row>
    <row r="2185" spans="1:8" x14ac:dyDescent="0.2">
      <c r="A2185" s="157"/>
      <c r="B2185" s="31" t="s">
        <v>8401</v>
      </c>
      <c r="C2185" s="31" t="s">
        <v>8402</v>
      </c>
      <c r="D2185" s="31" t="s">
        <v>3254</v>
      </c>
      <c r="E2185" s="61" t="b">
        <v>1</v>
      </c>
      <c r="F2185" s="107" t="s">
        <v>8403</v>
      </c>
      <c r="G2185" s="116" t="str">
        <f>HYPERLINK("http://nsgreg.nga.mil/genc/view?v=203351&amp;end_month=3&amp;end_day=31&amp;end_year=2014","Klinë")</f>
        <v>Klinë</v>
      </c>
      <c r="H2185" s="87" t="str">
        <f>HYPERLINK("http://api.nsgreg.nga.mil/geo-division/GENC/6/ed2/XK-14","XK-14")</f>
        <v>XK-14</v>
      </c>
    </row>
    <row r="2186" spans="1:8" x14ac:dyDescent="0.2">
      <c r="A2186" s="157"/>
      <c r="B2186" s="31" t="s">
        <v>8404</v>
      </c>
      <c r="C2186" s="31" t="s">
        <v>8405</v>
      </c>
      <c r="D2186" s="31" t="s">
        <v>3254</v>
      </c>
      <c r="E2186" s="61" t="b">
        <v>1</v>
      </c>
      <c r="F2186" s="107" t="s">
        <v>8406</v>
      </c>
      <c r="G2186" s="116" t="str">
        <f>HYPERLINK("http://nsgreg.nga.mil/genc/view?v=203352&amp;end_month=3&amp;end_day=31&amp;end_year=2014","Kllokot")</f>
        <v>Kllokot</v>
      </c>
      <c r="H2186" s="87" t="str">
        <f>HYPERLINK("http://api.nsgreg.nga.mil/geo-division/GENC/6/ed2/XK-15","XK-15")</f>
        <v>XK-15</v>
      </c>
    </row>
    <row r="2187" spans="1:8" x14ac:dyDescent="0.2">
      <c r="A2187" s="157"/>
      <c r="B2187" s="31" t="s">
        <v>8407</v>
      </c>
      <c r="C2187" s="31" t="s">
        <v>8408</v>
      </c>
      <c r="D2187" s="31" t="s">
        <v>3254</v>
      </c>
      <c r="E2187" s="61" t="b">
        <v>1</v>
      </c>
      <c r="F2187" s="107" t="s">
        <v>8409</v>
      </c>
      <c r="G2187" s="116" t="str">
        <f>HYPERLINK("http://nsgreg.nga.mil/genc/view?v=203353&amp;end_month=3&amp;end_day=31&amp;end_year=2014","Leposaviq")</f>
        <v>Leposaviq</v>
      </c>
      <c r="H2187" s="87" t="str">
        <f>HYPERLINK("http://api.nsgreg.nga.mil/geo-division/GENC/6/ed2/XK-16","XK-16")</f>
        <v>XK-16</v>
      </c>
    </row>
    <row r="2188" spans="1:8" x14ac:dyDescent="0.2">
      <c r="A2188" s="157"/>
      <c r="B2188" s="31" t="s">
        <v>8410</v>
      </c>
      <c r="C2188" s="31" t="s">
        <v>8411</v>
      </c>
      <c r="D2188" s="31" t="s">
        <v>3254</v>
      </c>
      <c r="E2188" s="61" t="b">
        <v>1</v>
      </c>
      <c r="F2188" s="107" t="s">
        <v>8412</v>
      </c>
      <c r="G2188" s="116" t="str">
        <f>HYPERLINK("http://nsgreg.nga.mil/genc/view?v=203354&amp;end_month=3&amp;end_day=31&amp;end_year=2014","Lipjan")</f>
        <v>Lipjan</v>
      </c>
      <c r="H2188" s="87" t="str">
        <f>HYPERLINK("http://api.nsgreg.nga.mil/geo-division/GENC/6/ed2/XK-17","XK-17")</f>
        <v>XK-17</v>
      </c>
    </row>
    <row r="2189" spans="1:8" x14ac:dyDescent="0.2">
      <c r="A2189" s="157"/>
      <c r="B2189" s="31" t="s">
        <v>8413</v>
      </c>
      <c r="C2189" s="31" t="s">
        <v>8414</v>
      </c>
      <c r="D2189" s="31" t="s">
        <v>3254</v>
      </c>
      <c r="E2189" s="61" t="b">
        <v>1</v>
      </c>
      <c r="F2189" s="107" t="s">
        <v>8415</v>
      </c>
      <c r="G2189" s="116" t="str">
        <f>HYPERLINK("http://nsgreg.nga.mil/genc/view?v=203355&amp;end_month=3&amp;end_day=31&amp;end_year=2014","Malishevë")</f>
        <v>Malishevë</v>
      </c>
      <c r="H2189" s="87" t="str">
        <f>HYPERLINK("http://api.nsgreg.nga.mil/geo-division/GENC/6/ed2/XK-18","XK-18")</f>
        <v>XK-18</v>
      </c>
    </row>
    <row r="2190" spans="1:8" x14ac:dyDescent="0.2">
      <c r="A2190" s="157"/>
      <c r="B2190" s="31" t="s">
        <v>8416</v>
      </c>
      <c r="C2190" s="31" t="s">
        <v>8417</v>
      </c>
      <c r="D2190" s="31" t="s">
        <v>3254</v>
      </c>
      <c r="E2190" s="61" t="b">
        <v>1</v>
      </c>
      <c r="F2190" s="107" t="s">
        <v>8418</v>
      </c>
      <c r="G2190" s="116" t="str">
        <f>HYPERLINK("http://nsgreg.nga.mil/genc/view?v=203356&amp;end_month=3&amp;end_day=31&amp;end_year=2014","Mamushë")</f>
        <v>Mamushë</v>
      </c>
      <c r="H2190" s="87" t="str">
        <f>HYPERLINK("http://api.nsgreg.nga.mil/geo-division/GENC/6/ed2/XK-19","XK-19")</f>
        <v>XK-19</v>
      </c>
    </row>
    <row r="2191" spans="1:8" x14ac:dyDescent="0.2">
      <c r="A2191" s="157"/>
      <c r="B2191" s="31" t="s">
        <v>8419</v>
      </c>
      <c r="C2191" s="31" t="s">
        <v>8420</v>
      </c>
      <c r="D2191" s="31" t="s">
        <v>3254</v>
      </c>
      <c r="E2191" s="61" t="b">
        <v>1</v>
      </c>
      <c r="F2191" s="107" t="s">
        <v>8421</v>
      </c>
      <c r="G2191" s="116" t="str">
        <f>HYPERLINK("http://nsgreg.nga.mil/genc/view?v=203357&amp;end_month=3&amp;end_day=31&amp;end_year=2014","Mitrovicë")</f>
        <v>Mitrovicë</v>
      </c>
      <c r="H2191" s="87" t="str">
        <f>HYPERLINK("http://api.nsgreg.nga.mil/geo-division/GENC/6/ed2/XK-20","XK-20")</f>
        <v>XK-20</v>
      </c>
    </row>
    <row r="2192" spans="1:8" x14ac:dyDescent="0.2">
      <c r="A2192" s="157"/>
      <c r="B2192" s="31" t="s">
        <v>8422</v>
      </c>
      <c r="C2192" s="31" t="s">
        <v>8423</v>
      </c>
      <c r="D2192" s="31" t="s">
        <v>3254</v>
      </c>
      <c r="E2192" s="61" t="b">
        <v>1</v>
      </c>
      <c r="F2192" s="107" t="s">
        <v>8424</v>
      </c>
      <c r="G2192" s="116" t="str">
        <f>HYPERLINK("http://nsgreg.nga.mil/genc/view?v=203358&amp;end_month=3&amp;end_day=31&amp;end_year=2014","Novobërdë")</f>
        <v>Novobërdë</v>
      </c>
      <c r="H2192" s="87" t="str">
        <f>HYPERLINK("http://api.nsgreg.nga.mil/geo-division/GENC/6/ed2/XK-21","XK-21")</f>
        <v>XK-21</v>
      </c>
    </row>
    <row r="2193" spans="1:8" x14ac:dyDescent="0.2">
      <c r="A2193" s="157"/>
      <c r="B2193" s="31" t="s">
        <v>8425</v>
      </c>
      <c r="C2193" s="31" t="s">
        <v>8426</v>
      </c>
      <c r="D2193" s="31" t="s">
        <v>3254</v>
      </c>
      <c r="E2193" s="61" t="b">
        <v>1</v>
      </c>
      <c r="F2193" s="107" t="s">
        <v>8427</v>
      </c>
      <c r="G2193" s="116" t="str">
        <f>HYPERLINK("http://nsgreg.nga.mil/genc/view?v=203359&amp;end_month=3&amp;end_day=31&amp;end_year=2014","Obiliq")</f>
        <v>Obiliq</v>
      </c>
      <c r="H2193" s="87" t="str">
        <f>HYPERLINK("http://api.nsgreg.nga.mil/geo-division/GENC/6/ed2/XK-22","XK-22")</f>
        <v>XK-22</v>
      </c>
    </row>
    <row r="2194" spans="1:8" x14ac:dyDescent="0.2">
      <c r="A2194" s="157"/>
      <c r="B2194" s="31" t="s">
        <v>8428</v>
      </c>
      <c r="C2194" s="31" t="s">
        <v>8429</v>
      </c>
      <c r="D2194" s="31" t="s">
        <v>3254</v>
      </c>
      <c r="E2194" s="61" t="b">
        <v>1</v>
      </c>
      <c r="F2194" s="107" t="s">
        <v>8430</v>
      </c>
      <c r="G2194" s="116" t="str">
        <f>HYPERLINK("http://nsgreg.nga.mil/genc/view?v=203360&amp;end_month=3&amp;end_day=31&amp;end_year=2014","Partesh")</f>
        <v>Partesh</v>
      </c>
      <c r="H2194" s="87" t="str">
        <f>HYPERLINK("http://api.nsgreg.nga.mil/geo-division/GENC/6/ed2/XK-23","XK-23")</f>
        <v>XK-23</v>
      </c>
    </row>
    <row r="2195" spans="1:8" x14ac:dyDescent="0.2">
      <c r="A2195" s="157"/>
      <c r="B2195" s="31" t="s">
        <v>8431</v>
      </c>
      <c r="C2195" s="31" t="s">
        <v>8432</v>
      </c>
      <c r="D2195" s="31" t="s">
        <v>3254</v>
      </c>
      <c r="E2195" s="61" t="b">
        <v>1</v>
      </c>
      <c r="F2195" s="107" t="s">
        <v>8433</v>
      </c>
      <c r="G2195" s="116" t="str">
        <f>HYPERLINK("http://nsgreg.nga.mil/genc/view?v=203361&amp;end_month=3&amp;end_day=31&amp;end_year=2014","Pejë")</f>
        <v>Pejë</v>
      </c>
      <c r="H2195" s="87" t="str">
        <f>HYPERLINK("http://api.nsgreg.nga.mil/geo-division/GENC/6/ed2/XK-24","XK-24")</f>
        <v>XK-24</v>
      </c>
    </row>
    <row r="2196" spans="1:8" x14ac:dyDescent="0.2">
      <c r="A2196" s="157"/>
      <c r="B2196" s="31" t="s">
        <v>8434</v>
      </c>
      <c r="C2196" s="31" t="s">
        <v>8435</v>
      </c>
      <c r="D2196" s="31" t="s">
        <v>3254</v>
      </c>
      <c r="E2196" s="61" t="b">
        <v>1</v>
      </c>
      <c r="F2196" s="107" t="s">
        <v>8436</v>
      </c>
      <c r="G2196" s="116" t="str">
        <f>HYPERLINK("http://nsgreg.nga.mil/genc/view?v=203362&amp;end_month=3&amp;end_day=31&amp;end_year=2014","Podujevë")</f>
        <v>Podujevë</v>
      </c>
      <c r="H2196" s="87" t="str">
        <f>HYPERLINK("http://api.nsgreg.nga.mil/geo-division/GENC/6/ed2/XK-25","XK-25")</f>
        <v>XK-25</v>
      </c>
    </row>
    <row r="2197" spans="1:8" x14ac:dyDescent="0.2">
      <c r="A2197" s="157"/>
      <c r="B2197" s="31" t="s">
        <v>8437</v>
      </c>
      <c r="C2197" s="31" t="s">
        <v>8438</v>
      </c>
      <c r="D2197" s="31" t="s">
        <v>3254</v>
      </c>
      <c r="E2197" s="61" t="b">
        <v>1</v>
      </c>
      <c r="F2197" s="107" t="s">
        <v>8439</v>
      </c>
      <c r="G2197" s="116" t="str">
        <f>HYPERLINK("http://nsgreg.nga.mil/genc/view?v=203363&amp;end_month=3&amp;end_day=31&amp;end_year=2014","Prishtinë")</f>
        <v>Prishtinë</v>
      </c>
      <c r="H2197" s="87" t="str">
        <f>HYPERLINK("http://api.nsgreg.nga.mil/geo-division/GENC/6/ed2/XK-26","XK-26")</f>
        <v>XK-26</v>
      </c>
    </row>
    <row r="2198" spans="1:8" x14ac:dyDescent="0.2">
      <c r="A2198" s="157"/>
      <c r="B2198" s="31" t="s">
        <v>8440</v>
      </c>
      <c r="C2198" s="31" t="s">
        <v>8441</v>
      </c>
      <c r="D2198" s="31" t="s">
        <v>3254</v>
      </c>
      <c r="E2198" s="61" t="b">
        <v>1</v>
      </c>
      <c r="F2198" s="107" t="s">
        <v>8442</v>
      </c>
      <c r="G2198" s="116" t="str">
        <f>HYPERLINK("http://nsgreg.nga.mil/genc/view?v=203364&amp;end_month=3&amp;end_day=31&amp;end_year=2014","Prizren")</f>
        <v>Prizren</v>
      </c>
      <c r="H2198" s="87" t="str">
        <f>HYPERLINK("http://api.nsgreg.nga.mil/geo-division/GENC/6/ed2/XK-27","XK-27")</f>
        <v>XK-27</v>
      </c>
    </row>
    <row r="2199" spans="1:8" x14ac:dyDescent="0.2">
      <c r="A2199" s="157"/>
      <c r="B2199" s="31" t="s">
        <v>8443</v>
      </c>
      <c r="C2199" s="31" t="s">
        <v>8444</v>
      </c>
      <c r="D2199" s="31" t="s">
        <v>3254</v>
      </c>
      <c r="E2199" s="61" t="b">
        <v>1</v>
      </c>
      <c r="F2199" s="107" t="s">
        <v>8445</v>
      </c>
      <c r="G2199" s="116" t="str">
        <f>HYPERLINK("http://nsgreg.nga.mil/genc/view?v=203365&amp;end_month=3&amp;end_day=31&amp;end_year=2014","Rahovec")</f>
        <v>Rahovec</v>
      </c>
      <c r="H2199" s="87" t="str">
        <f>HYPERLINK("http://api.nsgreg.nga.mil/geo-division/GENC/6/ed2/XK-28","XK-28")</f>
        <v>XK-28</v>
      </c>
    </row>
    <row r="2200" spans="1:8" x14ac:dyDescent="0.2">
      <c r="A2200" s="157"/>
      <c r="B2200" s="31" t="s">
        <v>8446</v>
      </c>
      <c r="C2200" s="31" t="s">
        <v>8447</v>
      </c>
      <c r="D2200" s="31" t="s">
        <v>3254</v>
      </c>
      <c r="E2200" s="61" t="b">
        <v>1</v>
      </c>
      <c r="F2200" s="107" t="s">
        <v>8448</v>
      </c>
      <c r="G2200" s="116" t="str">
        <f>HYPERLINK("http://nsgreg.nga.mil/genc/view?v=203366&amp;end_month=3&amp;end_day=31&amp;end_year=2014","Ranillug")</f>
        <v>Ranillug</v>
      </c>
      <c r="H2200" s="87" t="str">
        <f>HYPERLINK("http://api.nsgreg.nga.mil/geo-division/GENC/6/ed2/XK-29","XK-29")</f>
        <v>XK-29</v>
      </c>
    </row>
    <row r="2201" spans="1:8" x14ac:dyDescent="0.2">
      <c r="A2201" s="157"/>
      <c r="B2201" s="31" t="s">
        <v>8449</v>
      </c>
      <c r="C2201" s="31" t="s">
        <v>8450</v>
      </c>
      <c r="D2201" s="31" t="s">
        <v>3254</v>
      </c>
      <c r="E2201" s="61" t="b">
        <v>1</v>
      </c>
      <c r="F2201" s="107" t="s">
        <v>8451</v>
      </c>
      <c r="G2201" s="116" t="str">
        <f>HYPERLINK("http://nsgreg.nga.mil/genc/view?v=203367&amp;end_month=3&amp;end_day=31&amp;end_year=2014","Shtërpcë")</f>
        <v>Shtërpcë</v>
      </c>
      <c r="H2201" s="87" t="str">
        <f>HYPERLINK("http://api.nsgreg.nga.mil/geo-division/GENC/6/ed2/XK-30","XK-30")</f>
        <v>XK-30</v>
      </c>
    </row>
    <row r="2202" spans="1:8" x14ac:dyDescent="0.2">
      <c r="A2202" s="157"/>
      <c r="B2202" s="31" t="s">
        <v>8452</v>
      </c>
      <c r="C2202" s="31" t="s">
        <v>8453</v>
      </c>
      <c r="D2202" s="31" t="s">
        <v>3254</v>
      </c>
      <c r="E2202" s="61" t="b">
        <v>1</v>
      </c>
      <c r="F2202" s="107" t="s">
        <v>8454</v>
      </c>
      <c r="G2202" s="116" t="str">
        <f>HYPERLINK("http://nsgreg.nga.mil/genc/view?v=203368&amp;end_month=3&amp;end_day=31&amp;end_year=2014","Shtime")</f>
        <v>Shtime</v>
      </c>
      <c r="H2202" s="87" t="str">
        <f>HYPERLINK("http://api.nsgreg.nga.mil/geo-division/GENC/6/ed2/XK-31","XK-31")</f>
        <v>XK-31</v>
      </c>
    </row>
    <row r="2203" spans="1:8" x14ac:dyDescent="0.2">
      <c r="A2203" s="157"/>
      <c r="B2203" s="31" t="s">
        <v>8455</v>
      </c>
      <c r="C2203" s="31" t="s">
        <v>8456</v>
      </c>
      <c r="D2203" s="31" t="s">
        <v>3254</v>
      </c>
      <c r="E2203" s="61" t="b">
        <v>1</v>
      </c>
      <c r="F2203" s="107" t="s">
        <v>8457</v>
      </c>
      <c r="G2203" s="116" t="str">
        <f>HYPERLINK("http://nsgreg.nga.mil/genc/view?v=203369&amp;end_month=3&amp;end_day=31&amp;end_year=2014","Skënderaj")</f>
        <v>Skënderaj</v>
      </c>
      <c r="H2203" s="87" t="str">
        <f>HYPERLINK("http://api.nsgreg.nga.mil/geo-division/GENC/6/ed2/XK-32","XK-32")</f>
        <v>XK-32</v>
      </c>
    </row>
    <row r="2204" spans="1:8" x14ac:dyDescent="0.2">
      <c r="A2204" s="157"/>
      <c r="B2204" s="31" t="s">
        <v>8458</v>
      </c>
      <c r="C2204" s="31" t="s">
        <v>8459</v>
      </c>
      <c r="D2204" s="31" t="s">
        <v>3254</v>
      </c>
      <c r="E2204" s="61" t="b">
        <v>1</v>
      </c>
      <c r="F2204" s="107" t="s">
        <v>8460</v>
      </c>
      <c r="G2204" s="116" t="str">
        <f>HYPERLINK("http://nsgreg.nga.mil/genc/view?v=203370&amp;end_month=3&amp;end_day=31&amp;end_year=2014","Suharekë")</f>
        <v>Suharekë</v>
      </c>
      <c r="H2204" s="87" t="str">
        <f>HYPERLINK("http://api.nsgreg.nga.mil/geo-division/GENC/6/ed2/XK-33","XK-33")</f>
        <v>XK-33</v>
      </c>
    </row>
    <row r="2205" spans="1:8" x14ac:dyDescent="0.2">
      <c r="A2205" s="157"/>
      <c r="B2205" s="31" t="s">
        <v>8461</v>
      </c>
      <c r="C2205" s="31" t="s">
        <v>8462</v>
      </c>
      <c r="D2205" s="31" t="s">
        <v>3254</v>
      </c>
      <c r="E2205" s="61" t="b">
        <v>1</v>
      </c>
      <c r="F2205" s="107" t="s">
        <v>8463</v>
      </c>
      <c r="G2205" s="116" t="str">
        <f>HYPERLINK("http://nsgreg.nga.mil/genc/view?v=203371&amp;end_month=3&amp;end_day=31&amp;end_year=2014","Viti")</f>
        <v>Viti</v>
      </c>
      <c r="H2205" s="87" t="str">
        <f>HYPERLINK("http://api.nsgreg.nga.mil/geo-division/GENC/6/ed2/XK-34","XK-34")</f>
        <v>XK-34</v>
      </c>
    </row>
    <row r="2206" spans="1:8" x14ac:dyDescent="0.2">
      <c r="A2206" s="157"/>
      <c r="B2206" s="31" t="s">
        <v>8464</v>
      </c>
      <c r="C2206" s="31" t="s">
        <v>8465</v>
      </c>
      <c r="D2206" s="31" t="s">
        <v>3254</v>
      </c>
      <c r="E2206" s="61" t="b">
        <v>1</v>
      </c>
      <c r="F2206" s="107" t="s">
        <v>8466</v>
      </c>
      <c r="G2206" s="116" t="str">
        <f>HYPERLINK("http://nsgreg.nga.mil/genc/view?v=203372&amp;end_month=3&amp;end_day=31&amp;end_year=2014","Vushtrri")</f>
        <v>Vushtrri</v>
      </c>
      <c r="H2206" s="87" t="str">
        <f>HYPERLINK("http://api.nsgreg.nga.mil/geo-division/GENC/6/ed2/XK-35","XK-35")</f>
        <v>XK-35</v>
      </c>
    </row>
    <row r="2207" spans="1:8" x14ac:dyDescent="0.2">
      <c r="A2207" s="157"/>
      <c r="B2207" s="31" t="s">
        <v>8467</v>
      </c>
      <c r="C2207" s="31" t="s">
        <v>8468</v>
      </c>
      <c r="D2207" s="31" t="s">
        <v>3254</v>
      </c>
      <c r="E2207" s="61" t="b">
        <v>1</v>
      </c>
      <c r="F2207" s="107" t="s">
        <v>8469</v>
      </c>
      <c r="G2207" s="116" t="str">
        <f>HYPERLINK("http://nsgreg.nga.mil/genc/view?v=203373&amp;end_month=3&amp;end_day=31&amp;end_year=2014","Zubin Potok")</f>
        <v>Zubin Potok</v>
      </c>
      <c r="H2207" s="87" t="str">
        <f>HYPERLINK("http://api.nsgreg.nga.mil/geo-division/GENC/6/ed2/XK-36","XK-36")</f>
        <v>XK-36</v>
      </c>
    </row>
    <row r="2208" spans="1:8" x14ac:dyDescent="0.2">
      <c r="A2208" s="158"/>
      <c r="B2208" s="58" t="s">
        <v>8470</v>
      </c>
      <c r="C2208" s="58" t="s">
        <v>8471</v>
      </c>
      <c r="D2208" s="58" t="s">
        <v>3254</v>
      </c>
      <c r="E2208" s="62" t="b">
        <v>1</v>
      </c>
      <c r="F2208" s="111" t="s">
        <v>8472</v>
      </c>
      <c r="G2208" s="117" t="str">
        <f>HYPERLINK("http://nsgreg.nga.mil/genc/view?v=203374&amp;end_month=3&amp;end_day=31&amp;end_year=2014","Zveçan")</f>
        <v>Zveçan</v>
      </c>
      <c r="H2208" s="89" t="str">
        <f>HYPERLINK("http://api.nsgreg.nga.mil/geo-division/GENC/6/ed2/XK-37","XK-37")</f>
        <v>XK-37</v>
      </c>
    </row>
    <row r="2209" spans="1:8" x14ac:dyDescent="0.2">
      <c r="A2209" s="156" t="str">
        <f>HYPERLINK("[#]Geopolitical_Entities!A147:I147","KUWAIT")</f>
        <v>KUWAIT</v>
      </c>
      <c r="B2209" s="52" t="s">
        <v>8473</v>
      </c>
      <c r="C2209" s="52" t="s">
        <v>8474</v>
      </c>
      <c r="D2209" s="52" t="s">
        <v>2885</v>
      </c>
      <c r="E2209" s="60" t="b">
        <v>1</v>
      </c>
      <c r="F2209" s="109" t="s">
        <v>8475</v>
      </c>
      <c r="G2209" s="118" t="str">
        <f>HYPERLINK("http://nsgreg.nga.mil/genc/view?v=114325&amp;gencs=T&amp;end_month=3&amp;end_day=31&amp;end_year=2014","Al Aḩmadī")</f>
        <v>Al Aḩmadī</v>
      </c>
      <c r="H2209" s="91" t="str">
        <f>HYPERLINK("http://api.nsgreg.nga.mil/geo-division/ISO3166-2/6/ed3/KW-AH","KW-AH")</f>
        <v>KW-AH</v>
      </c>
    </row>
    <row r="2210" spans="1:8" x14ac:dyDescent="0.2">
      <c r="A2210" s="157"/>
      <c r="B2210" s="31" t="s">
        <v>8476</v>
      </c>
      <c r="C2210" s="31" t="s">
        <v>2884</v>
      </c>
      <c r="D2210" s="31" t="s">
        <v>2885</v>
      </c>
      <c r="E2210" s="61" t="b">
        <v>1</v>
      </c>
      <c r="F2210" s="107" t="s">
        <v>8477</v>
      </c>
      <c r="G2210" s="116" t="str">
        <f>HYPERLINK("http://nsgreg.nga.mil/genc/view?v=201731&amp;end_month=3&amp;end_day=31&amp;end_year=2014","Al ‘Āşimah")</f>
        <v>Al ‘Āşimah</v>
      </c>
      <c r="H2210" s="87" t="str">
        <f>HYPERLINK("http://api.nsgreg.nga.mil/geo-division/GENC/6/ed2/KW-KU","KW-KU")</f>
        <v>KW-KU</v>
      </c>
    </row>
    <row r="2211" spans="1:8" x14ac:dyDescent="0.2">
      <c r="A2211" s="157"/>
      <c r="B2211" s="31" t="s">
        <v>8478</v>
      </c>
      <c r="C2211" s="31" t="s">
        <v>8479</v>
      </c>
      <c r="D2211" s="31" t="s">
        <v>2885</v>
      </c>
      <c r="E2211" s="61" t="b">
        <v>1</v>
      </c>
      <c r="F2211" s="106" t="s">
        <v>8480</v>
      </c>
      <c r="G2211" s="116" t="str">
        <f>HYPERLINK("http://nsgreg.nga.mil/genc/view?v=114326&amp;gencs=T&amp;end_month=3&amp;end_day=31&amp;end_year=2014","Al Farwānīyah")</f>
        <v>Al Farwānīyah</v>
      </c>
      <c r="H2211" s="87" t="str">
        <f>HYPERLINK("http://api.nsgreg.nga.mil/geo-division/ISO3166-2/6/ed3/KW-FA","KW-FA")</f>
        <v>KW-FA</v>
      </c>
    </row>
    <row r="2212" spans="1:8" x14ac:dyDescent="0.2">
      <c r="A2212" s="157"/>
      <c r="B2212" s="31" t="s">
        <v>8481</v>
      </c>
      <c r="C2212" s="31" t="s">
        <v>8482</v>
      </c>
      <c r="D2212" s="31" t="s">
        <v>2885</v>
      </c>
      <c r="E2212" s="61" t="b">
        <v>1</v>
      </c>
      <c r="F2212" s="106" t="s">
        <v>8483</v>
      </c>
      <c r="G2212" s="116" t="str">
        <f>HYPERLINK("http://nsgreg.nga.mil/genc/view?v=114328&amp;gencs=T&amp;end_month=3&amp;end_day=31&amp;end_year=2014","Al Jahrā’")</f>
        <v>Al Jahrā’</v>
      </c>
      <c r="H2212" s="87" t="str">
        <f>HYPERLINK("http://api.nsgreg.nga.mil/geo-division/ISO3166-2/6/ed3/KW-JA","KW-JA")</f>
        <v>KW-JA</v>
      </c>
    </row>
    <row r="2213" spans="1:8" x14ac:dyDescent="0.2">
      <c r="A2213" s="157"/>
      <c r="B2213" s="31" t="s">
        <v>8484</v>
      </c>
      <c r="C2213" s="31" t="s">
        <v>8485</v>
      </c>
      <c r="D2213" s="31" t="s">
        <v>2885</v>
      </c>
      <c r="E2213" s="61" t="b">
        <v>1</v>
      </c>
      <c r="F2213" s="106" t="s">
        <v>8486</v>
      </c>
      <c r="G2213" s="116" t="str">
        <f>HYPERLINK("http://nsgreg.nga.mil/genc/view?v=114327&amp;gencs=T&amp;end_month=3&amp;end_day=31&amp;end_year=2014","Ḩawallī")</f>
        <v>Ḩawallī</v>
      </c>
      <c r="H2213" s="87" t="str">
        <f>HYPERLINK("http://api.nsgreg.nga.mil/geo-division/ISO3166-2/6/ed3/KW-HA","KW-HA")</f>
        <v>KW-HA</v>
      </c>
    </row>
    <row r="2214" spans="1:8" x14ac:dyDescent="0.2">
      <c r="A2214" s="158"/>
      <c r="B2214" s="58" t="s">
        <v>8487</v>
      </c>
      <c r="C2214" s="58" t="s">
        <v>8488</v>
      </c>
      <c r="D2214" s="58" t="s">
        <v>2885</v>
      </c>
      <c r="E2214" s="62" t="b">
        <v>1</v>
      </c>
      <c r="F2214" s="108" t="s">
        <v>8489</v>
      </c>
      <c r="G2214" s="117" t="str">
        <f>HYPERLINK("http://nsgreg.nga.mil/genc/view?v=114330&amp;gencs=T&amp;end_month=3&amp;end_day=31&amp;end_year=2014","Mubārak al Kabīr")</f>
        <v>Mubārak al Kabīr</v>
      </c>
      <c r="H2214" s="89" t="str">
        <f>HYPERLINK("http://api.nsgreg.nga.mil/geo-division/ISO3166-2/6/ed3/KW-MU","KW-MU")</f>
        <v>KW-MU</v>
      </c>
    </row>
    <row r="2215" spans="1:8" x14ac:dyDescent="0.2">
      <c r="A2215" s="156" t="str">
        <f>HYPERLINK("[#]Geopolitical_Entities!A148:I148","KYRGYZSTAN")</f>
        <v>KYRGYZSTAN</v>
      </c>
      <c r="B2215" s="52" t="s">
        <v>8490</v>
      </c>
      <c r="C2215" s="52" t="s">
        <v>8491</v>
      </c>
      <c r="D2215" s="52" t="s">
        <v>1920</v>
      </c>
      <c r="E2215" s="60" t="b">
        <v>1</v>
      </c>
      <c r="F2215" s="110" t="s">
        <v>8492</v>
      </c>
      <c r="G2215" s="118" t="str">
        <f>HYPERLINK("http://nsgreg.nga.mil/genc/view?v=201665&amp;end_month=3&amp;end_day=31&amp;end_year=2014","Batken")</f>
        <v>Batken</v>
      </c>
      <c r="H2215" s="91" t="str">
        <f>HYPERLINK("http://api.nsgreg.nga.mil/geo-division/GENC/6/ed2/KG-B","KG-B")</f>
        <v>KG-B</v>
      </c>
    </row>
    <row r="2216" spans="1:8" x14ac:dyDescent="0.2">
      <c r="A2216" s="157"/>
      <c r="B2216" s="31" t="s">
        <v>8493</v>
      </c>
      <c r="C2216" s="31" t="s">
        <v>8494</v>
      </c>
      <c r="D2216" s="31" t="s">
        <v>2405</v>
      </c>
      <c r="E2216" s="61" t="b">
        <v>1</v>
      </c>
      <c r="F2216" s="107" t="s">
        <v>8495</v>
      </c>
      <c r="G2216" s="116" t="str">
        <f>HYPERLINK("http://nsgreg.nga.mil/genc/view?v=201667&amp;end_month=3&amp;end_day=31&amp;end_year=2014","Bishkek")</f>
        <v>Bishkek</v>
      </c>
      <c r="H2216" s="87" t="str">
        <f>HYPERLINK("http://api.nsgreg.nga.mil/geo-division/GENC/6/ed2/KG-GB","KG-GB")</f>
        <v>KG-GB</v>
      </c>
    </row>
    <row r="2217" spans="1:8" x14ac:dyDescent="0.2">
      <c r="A2217" s="157"/>
      <c r="B2217" s="31" t="s">
        <v>8496</v>
      </c>
      <c r="C2217" s="31" t="s">
        <v>8497</v>
      </c>
      <c r="D2217" s="31" t="s">
        <v>1920</v>
      </c>
      <c r="E2217" s="61" t="b">
        <v>1</v>
      </c>
      <c r="F2217" s="107" t="s">
        <v>8498</v>
      </c>
      <c r="G2217" s="116" t="str">
        <f>HYPERLINK("http://nsgreg.nga.mil/genc/view?v=201666&amp;end_month=3&amp;end_day=31&amp;end_year=2014","Chüy")</f>
        <v>Chüy</v>
      </c>
      <c r="H2217" s="87" t="str">
        <f>HYPERLINK("http://api.nsgreg.nga.mil/geo-division/GENC/6/ed2/KG-C","KG-C")</f>
        <v>KG-C</v>
      </c>
    </row>
    <row r="2218" spans="1:8" x14ac:dyDescent="0.2">
      <c r="A2218" s="157"/>
      <c r="B2218" s="31" t="s">
        <v>8499</v>
      </c>
      <c r="C2218" s="31" t="s">
        <v>8500</v>
      </c>
      <c r="D2218" s="31" t="s">
        <v>1920</v>
      </c>
      <c r="E2218" s="61" t="b">
        <v>1</v>
      </c>
      <c r="F2218" s="107" t="s">
        <v>8501</v>
      </c>
      <c r="G2218" s="116" t="str">
        <f>HYPERLINK("http://nsgreg.nga.mil/genc/view?v=201668&amp;end_month=3&amp;end_day=31&amp;end_year=2014","Jalal-Abad")</f>
        <v>Jalal-Abad</v>
      </c>
      <c r="H2218" s="87" t="str">
        <f>HYPERLINK("http://api.nsgreg.nga.mil/geo-division/GENC/6/ed2/KG-J","KG-J")</f>
        <v>KG-J</v>
      </c>
    </row>
    <row r="2219" spans="1:8" x14ac:dyDescent="0.2">
      <c r="A2219" s="157"/>
      <c r="B2219" s="31" t="s">
        <v>8502</v>
      </c>
      <c r="C2219" s="31" t="s">
        <v>8503</v>
      </c>
      <c r="D2219" s="31" t="s">
        <v>1920</v>
      </c>
      <c r="E2219" s="61" t="b">
        <v>1</v>
      </c>
      <c r="F2219" s="107" t="s">
        <v>8504</v>
      </c>
      <c r="G2219" s="116" t="str">
        <f>HYPERLINK("http://nsgreg.nga.mil/genc/view?v=201669&amp;end_month=3&amp;end_day=31&amp;end_year=2014","Naryn")</f>
        <v>Naryn</v>
      </c>
      <c r="H2219" s="87" t="str">
        <f>HYPERLINK("http://api.nsgreg.nga.mil/geo-division/GENC/6/ed2/KG-N","KG-N")</f>
        <v>KG-N</v>
      </c>
    </row>
    <row r="2220" spans="1:8" x14ac:dyDescent="0.2">
      <c r="A2220" s="157"/>
      <c r="B2220" s="31" t="s">
        <v>8505</v>
      </c>
      <c r="C2220" s="31" t="s">
        <v>8506</v>
      </c>
      <c r="D2220" s="31" t="s">
        <v>2405</v>
      </c>
      <c r="E2220" s="61" t="b">
        <v>1</v>
      </c>
      <c r="F2220" s="107" t="s">
        <v>8507</v>
      </c>
      <c r="G2220" s="116" t="str">
        <f>HYPERLINK("http://nsgreg.nga.mil/genc/view?v=204490&amp;end_month=3&amp;end_day=31&amp;end_year=2014","Osh")</f>
        <v>Osh</v>
      </c>
      <c r="H2220" s="87" t="str">
        <f>HYPERLINK("http://api.nsgreg.nga.mil/geo-division/GENC/6/ed2/KG-GO","KG-GO")</f>
        <v>KG-GO</v>
      </c>
    </row>
    <row r="2221" spans="1:8" x14ac:dyDescent="0.2">
      <c r="A2221" s="157"/>
      <c r="B2221" s="31" t="s">
        <v>8508</v>
      </c>
      <c r="C2221" s="31" t="s">
        <v>8506</v>
      </c>
      <c r="D2221" s="31" t="s">
        <v>1920</v>
      </c>
      <c r="E2221" s="61" t="b">
        <v>1</v>
      </c>
      <c r="F2221" s="107" t="s">
        <v>8509</v>
      </c>
      <c r="G2221" s="116" t="str">
        <f>HYPERLINK("http://nsgreg.nga.mil/genc/view?v=201670&amp;end_month=3&amp;end_day=31&amp;end_year=2014","Osh")</f>
        <v>Osh</v>
      </c>
      <c r="H2221" s="87" t="str">
        <f>HYPERLINK("http://api.nsgreg.nga.mil/geo-division/GENC/6/ed2/KG-O","KG-O")</f>
        <v>KG-O</v>
      </c>
    </row>
    <row r="2222" spans="1:8" x14ac:dyDescent="0.2">
      <c r="A2222" s="157"/>
      <c r="B2222" s="31" t="s">
        <v>8510</v>
      </c>
      <c r="C2222" s="31" t="s">
        <v>8511</v>
      </c>
      <c r="D2222" s="31" t="s">
        <v>1920</v>
      </c>
      <c r="E2222" s="61" t="b">
        <v>1</v>
      </c>
      <c r="F2222" s="107" t="s">
        <v>8512</v>
      </c>
      <c r="G2222" s="116" t="str">
        <f>HYPERLINK("http://nsgreg.nga.mil/genc/view?v=201671&amp;end_month=3&amp;end_day=31&amp;end_year=2014","Talas")</f>
        <v>Talas</v>
      </c>
      <c r="H2222" s="87" t="str">
        <f>HYPERLINK("http://api.nsgreg.nga.mil/geo-division/GENC/6/ed2/KG-T","KG-T")</f>
        <v>KG-T</v>
      </c>
    </row>
    <row r="2223" spans="1:8" x14ac:dyDescent="0.2">
      <c r="A2223" s="158"/>
      <c r="B2223" s="58" t="s">
        <v>8513</v>
      </c>
      <c r="C2223" s="58" t="s">
        <v>8514</v>
      </c>
      <c r="D2223" s="58" t="s">
        <v>1920</v>
      </c>
      <c r="E2223" s="62" t="b">
        <v>1</v>
      </c>
      <c r="F2223" s="111" t="s">
        <v>8515</v>
      </c>
      <c r="G2223" s="117" t="str">
        <f>HYPERLINK("http://nsgreg.nga.mil/genc/view?v=201672&amp;end_month=3&amp;end_day=31&amp;end_year=2014","Ysyk-Köl")</f>
        <v>Ysyk-Köl</v>
      </c>
      <c r="H2223" s="89" t="str">
        <f>HYPERLINK("http://api.nsgreg.nga.mil/geo-division/GENC/6/ed2/KG-Y","KG-Y")</f>
        <v>KG-Y</v>
      </c>
    </row>
    <row r="2224" spans="1:8" x14ac:dyDescent="0.2">
      <c r="A2224" s="156" t="str">
        <f>HYPERLINK("[#]Geopolitical_Entities!A149:I149","LAOS")</f>
        <v>LAOS</v>
      </c>
      <c r="B2224" s="52" t="s">
        <v>8516</v>
      </c>
      <c r="C2224" s="52" t="s">
        <v>8517</v>
      </c>
      <c r="D2224" s="52" t="s">
        <v>1920</v>
      </c>
      <c r="E2224" s="60" t="b">
        <v>1</v>
      </c>
      <c r="F2224" s="110" t="s">
        <v>8518</v>
      </c>
      <c r="G2224" s="118" t="str">
        <f>HYPERLINK("http://nsgreg.nga.mil/genc/view?v=201757&amp;end_month=3&amp;end_day=31&amp;end_year=2014","Attapu")</f>
        <v>Attapu</v>
      </c>
      <c r="H2224" s="91" t="str">
        <f>HYPERLINK("http://api.nsgreg.nga.mil/geo-division/GENC/6/ed2/LA-AT","LA-AT")</f>
        <v>LA-AT</v>
      </c>
    </row>
    <row r="2225" spans="1:8" x14ac:dyDescent="0.2">
      <c r="A2225" s="157"/>
      <c r="B2225" s="31" t="s">
        <v>8519</v>
      </c>
      <c r="C2225" s="31" t="s">
        <v>8520</v>
      </c>
      <c r="D2225" s="31" t="s">
        <v>1920</v>
      </c>
      <c r="E2225" s="61" t="b">
        <v>1</v>
      </c>
      <c r="F2225" s="106" t="s">
        <v>8521</v>
      </c>
      <c r="G2225" s="116" t="str">
        <f>HYPERLINK("http://nsgreg.nga.mil/genc/view?v=114348&amp;gencs=T&amp;end_month=3&amp;end_day=31&amp;end_year=2014","Bokèo")</f>
        <v>Bokèo</v>
      </c>
      <c r="H2225" s="87" t="str">
        <f>HYPERLINK("http://api.nsgreg.nga.mil/geo-division/ISO3166-2/6/ed3/LA-BK","LA-BK")</f>
        <v>LA-BK</v>
      </c>
    </row>
    <row r="2226" spans="1:8" x14ac:dyDescent="0.2">
      <c r="A2226" s="157"/>
      <c r="B2226" s="31" t="s">
        <v>8522</v>
      </c>
      <c r="C2226" s="31" t="s">
        <v>8523</v>
      </c>
      <c r="D2226" s="31" t="s">
        <v>1920</v>
      </c>
      <c r="E2226" s="61" t="b">
        <v>1</v>
      </c>
      <c r="F2226" s="107" t="s">
        <v>8524</v>
      </c>
      <c r="G2226" s="116" t="str">
        <f>HYPERLINK("http://nsgreg.nga.mil/genc/view?v=201758&amp;end_month=3&amp;end_day=31&amp;end_year=2014","Bolikhamxai")</f>
        <v>Bolikhamxai</v>
      </c>
      <c r="H2226" s="87" t="str">
        <f>HYPERLINK("http://api.nsgreg.nga.mil/geo-division/GENC/6/ed2/LA-BL","LA-BL")</f>
        <v>LA-BL</v>
      </c>
    </row>
    <row r="2227" spans="1:8" x14ac:dyDescent="0.2">
      <c r="A2227" s="157"/>
      <c r="B2227" s="31" t="s">
        <v>8525</v>
      </c>
      <c r="C2227" s="31" t="s">
        <v>8526</v>
      </c>
      <c r="D2227" s="31" t="s">
        <v>1920</v>
      </c>
      <c r="E2227" s="61" t="b">
        <v>1</v>
      </c>
      <c r="F2227" s="107" t="s">
        <v>8527</v>
      </c>
      <c r="G2227" s="116" t="str">
        <f>HYPERLINK("http://nsgreg.nga.mil/genc/view?v=201759&amp;end_month=3&amp;end_day=31&amp;end_year=2014","Champasak")</f>
        <v>Champasak</v>
      </c>
      <c r="H2227" s="87" t="str">
        <f>HYPERLINK("http://api.nsgreg.nga.mil/geo-division/GENC/6/ed2/LA-CH","LA-CH")</f>
        <v>LA-CH</v>
      </c>
    </row>
    <row r="2228" spans="1:8" x14ac:dyDescent="0.2">
      <c r="A2228" s="157"/>
      <c r="B2228" s="31" t="s">
        <v>8528</v>
      </c>
      <c r="C2228" s="31" t="s">
        <v>8529</v>
      </c>
      <c r="D2228" s="31" t="s">
        <v>1920</v>
      </c>
      <c r="E2228" s="61" t="b">
        <v>1</v>
      </c>
      <c r="F2228" s="106" t="s">
        <v>8530</v>
      </c>
      <c r="G2228" s="116" t="str">
        <f>HYPERLINK("http://nsgreg.nga.mil/genc/view?v=114351&amp;gencs=T&amp;end_month=3&amp;end_day=31&amp;end_year=2014","Houaphan")</f>
        <v>Houaphan</v>
      </c>
      <c r="H2228" s="87" t="str">
        <f>HYPERLINK("http://api.nsgreg.nga.mil/geo-division/ISO3166-2/6/ed3/LA-HO","LA-HO")</f>
        <v>LA-HO</v>
      </c>
    </row>
    <row r="2229" spans="1:8" x14ac:dyDescent="0.2">
      <c r="A2229" s="157"/>
      <c r="B2229" s="31" t="s">
        <v>8531</v>
      </c>
      <c r="C2229" s="31" t="s">
        <v>8532</v>
      </c>
      <c r="D2229" s="31" t="s">
        <v>1920</v>
      </c>
      <c r="E2229" s="61" t="b">
        <v>1</v>
      </c>
      <c r="F2229" s="106" t="s">
        <v>8533</v>
      </c>
      <c r="G2229" s="116" t="str">
        <f>HYPERLINK("http://nsgreg.nga.mil/genc/view?v=114352&amp;gencs=T&amp;end_month=3&amp;end_day=31&amp;end_year=2014","Khammouan")</f>
        <v>Khammouan</v>
      </c>
      <c r="H2229" s="87" t="str">
        <f>HYPERLINK("http://api.nsgreg.nga.mil/geo-division/ISO3166-2/6/ed3/LA-KH","LA-KH")</f>
        <v>LA-KH</v>
      </c>
    </row>
    <row r="2230" spans="1:8" x14ac:dyDescent="0.2">
      <c r="A2230" s="157"/>
      <c r="B2230" s="31" t="s">
        <v>8534</v>
      </c>
      <c r="C2230" s="31" t="s">
        <v>8535</v>
      </c>
      <c r="D2230" s="31" t="s">
        <v>1920</v>
      </c>
      <c r="E2230" s="61" t="b">
        <v>1</v>
      </c>
      <c r="F2230" s="107" t="s">
        <v>8536</v>
      </c>
      <c r="G2230" s="116" t="str">
        <f>HYPERLINK("http://nsgreg.nga.mil/genc/view?v=201760&amp;end_month=3&amp;end_day=31&amp;end_year=2014","Louangnamtha")</f>
        <v>Louangnamtha</v>
      </c>
      <c r="H2230" s="87" t="str">
        <f>HYPERLINK("http://api.nsgreg.nga.mil/geo-division/GENC/6/ed2/LA-LM","LA-LM")</f>
        <v>LA-LM</v>
      </c>
    </row>
    <row r="2231" spans="1:8" x14ac:dyDescent="0.2">
      <c r="A2231" s="157"/>
      <c r="B2231" s="31" t="s">
        <v>8537</v>
      </c>
      <c r="C2231" s="31" t="s">
        <v>8538</v>
      </c>
      <c r="D2231" s="31" t="s">
        <v>1920</v>
      </c>
      <c r="E2231" s="61" t="b">
        <v>1</v>
      </c>
      <c r="F2231" s="107" t="s">
        <v>8539</v>
      </c>
      <c r="G2231" s="116" t="str">
        <f>HYPERLINK("http://nsgreg.nga.mil/genc/view?v=201761&amp;end_month=3&amp;end_day=31&amp;end_year=2014","Louangphabang")</f>
        <v>Louangphabang</v>
      </c>
      <c r="H2231" s="87" t="str">
        <f>HYPERLINK("http://api.nsgreg.nga.mil/geo-division/GENC/6/ed2/LA-LP","LA-LP")</f>
        <v>LA-LP</v>
      </c>
    </row>
    <row r="2232" spans="1:8" x14ac:dyDescent="0.2">
      <c r="A2232" s="157"/>
      <c r="B2232" s="31" t="s">
        <v>8540</v>
      </c>
      <c r="C2232" s="31" t="s">
        <v>8541</v>
      </c>
      <c r="D2232" s="31" t="s">
        <v>1920</v>
      </c>
      <c r="E2232" s="61" t="b">
        <v>1</v>
      </c>
      <c r="F2232" s="107" t="s">
        <v>8542</v>
      </c>
      <c r="G2232" s="116" t="str">
        <f>HYPERLINK("http://nsgreg.nga.mil/genc/view?v=201762&amp;end_month=3&amp;end_day=31&amp;end_year=2014","Oudômxai")</f>
        <v>Oudômxai</v>
      </c>
      <c r="H2232" s="87" t="str">
        <f>HYPERLINK("http://api.nsgreg.nga.mil/geo-division/GENC/6/ed2/LA-OU","LA-OU")</f>
        <v>LA-OU</v>
      </c>
    </row>
    <row r="2233" spans="1:8" x14ac:dyDescent="0.2">
      <c r="A2233" s="157"/>
      <c r="B2233" s="31" t="s">
        <v>8543</v>
      </c>
      <c r="C2233" s="31" t="s">
        <v>8544</v>
      </c>
      <c r="D2233" s="31" t="s">
        <v>1920</v>
      </c>
      <c r="E2233" s="61" t="b">
        <v>1</v>
      </c>
      <c r="F2233" s="107" t="s">
        <v>8545</v>
      </c>
      <c r="G2233" s="116" t="str">
        <f>HYPERLINK("http://nsgreg.nga.mil/genc/view?v=201763&amp;end_month=3&amp;end_day=31&amp;end_year=2014","Phôngsali")</f>
        <v>Phôngsali</v>
      </c>
      <c r="H2233" s="87" t="str">
        <f>HYPERLINK("http://api.nsgreg.nga.mil/geo-division/GENC/6/ed2/LA-PH","LA-PH")</f>
        <v>LA-PH</v>
      </c>
    </row>
    <row r="2234" spans="1:8" x14ac:dyDescent="0.2">
      <c r="A2234" s="157"/>
      <c r="B2234" s="31" t="s">
        <v>8546</v>
      </c>
      <c r="C2234" s="31" t="s">
        <v>8547</v>
      </c>
      <c r="D2234" s="31" t="s">
        <v>1920</v>
      </c>
      <c r="E2234" s="61" t="b">
        <v>1</v>
      </c>
      <c r="F2234" s="107" t="s">
        <v>8548</v>
      </c>
      <c r="G2234" s="116" t="str">
        <f>HYPERLINK("http://nsgreg.nga.mil/genc/view?v=201764&amp;end_month=3&amp;end_day=31&amp;end_year=2014","Salavan")</f>
        <v>Salavan</v>
      </c>
      <c r="H2234" s="87" t="str">
        <f>HYPERLINK("http://api.nsgreg.nga.mil/geo-division/GENC/6/ed2/LA-SL","LA-SL")</f>
        <v>LA-SL</v>
      </c>
    </row>
    <row r="2235" spans="1:8" x14ac:dyDescent="0.2">
      <c r="A2235" s="157"/>
      <c r="B2235" s="31" t="s">
        <v>8549</v>
      </c>
      <c r="C2235" s="31" t="s">
        <v>8550</v>
      </c>
      <c r="D2235" s="31" t="s">
        <v>1920</v>
      </c>
      <c r="E2235" s="61" t="b">
        <v>1</v>
      </c>
      <c r="F2235" s="106" t="s">
        <v>8551</v>
      </c>
      <c r="G2235" s="116" t="str">
        <f>HYPERLINK("http://nsgreg.nga.mil/genc/view?v=114358&amp;gencs=T&amp;end_month=3&amp;end_day=31&amp;end_year=2014","Savannakhét")</f>
        <v>Savannakhét</v>
      </c>
      <c r="H2235" s="87" t="str">
        <f>HYPERLINK("http://api.nsgreg.nga.mil/geo-division/ISO3166-2/6/ed3/LA-SV","LA-SV")</f>
        <v>LA-SV</v>
      </c>
    </row>
    <row r="2236" spans="1:8" x14ac:dyDescent="0.2">
      <c r="A2236" s="157"/>
      <c r="B2236" s="31" t="s">
        <v>8552</v>
      </c>
      <c r="C2236" s="31" t="s">
        <v>8553</v>
      </c>
      <c r="D2236" s="31" t="s">
        <v>4127</v>
      </c>
      <c r="E2236" s="61" t="b">
        <v>1</v>
      </c>
      <c r="F2236" s="107" t="s">
        <v>8554</v>
      </c>
      <c r="G2236" s="116" t="str">
        <f>HYPERLINK("http://nsgreg.nga.mil/genc/view?v=201766&amp;end_month=3&amp;end_day=31&amp;end_year=2014","Viangchan")</f>
        <v>Viangchan</v>
      </c>
      <c r="H2236" s="87" t="str">
        <f>HYPERLINK("http://api.nsgreg.nga.mil/geo-division/GENC/6/ed2/LA-VT","LA-VT")</f>
        <v>LA-VT</v>
      </c>
    </row>
    <row r="2237" spans="1:8" x14ac:dyDescent="0.2">
      <c r="A2237" s="157"/>
      <c r="B2237" s="31" t="s">
        <v>8555</v>
      </c>
      <c r="C2237" s="31" t="s">
        <v>8553</v>
      </c>
      <c r="D2237" s="31" t="s">
        <v>1920</v>
      </c>
      <c r="E2237" s="61" t="b">
        <v>1</v>
      </c>
      <c r="F2237" s="107" t="s">
        <v>8556</v>
      </c>
      <c r="G2237" s="116" t="str">
        <f>HYPERLINK("http://nsgreg.nga.mil/genc/view?v=201765&amp;end_month=3&amp;end_day=31&amp;end_year=2014","Viangchan")</f>
        <v>Viangchan</v>
      </c>
      <c r="H2237" s="87" t="str">
        <f>HYPERLINK("http://api.nsgreg.nga.mil/geo-division/GENC/6/ed2/LA-VI","LA-VI")</f>
        <v>LA-VI</v>
      </c>
    </row>
    <row r="2238" spans="1:8" x14ac:dyDescent="0.2">
      <c r="A2238" s="157"/>
      <c r="B2238" s="31" t="s">
        <v>8557</v>
      </c>
      <c r="C2238" s="31" t="s">
        <v>8558</v>
      </c>
      <c r="D2238" s="31" t="s">
        <v>1920</v>
      </c>
      <c r="E2238" s="61" t="b">
        <v>1</v>
      </c>
      <c r="F2238" s="107" t="s">
        <v>8559</v>
      </c>
      <c r="G2238" s="116" t="str">
        <f>HYPERLINK("http://nsgreg.nga.mil/genc/view?v=201767&amp;end_month=3&amp;end_day=31&amp;end_year=2014","Xaignabouli")</f>
        <v>Xaignabouli</v>
      </c>
      <c r="H2238" s="87" t="str">
        <f>HYPERLINK("http://api.nsgreg.nga.mil/geo-division/GENC/6/ed2/LA-XA","LA-XA")</f>
        <v>LA-XA</v>
      </c>
    </row>
    <row r="2239" spans="1:8" x14ac:dyDescent="0.2">
      <c r="A2239" s="157"/>
      <c r="B2239" s="31" t="s">
        <v>8560</v>
      </c>
      <c r="C2239" s="31" t="s">
        <v>8561</v>
      </c>
      <c r="D2239" s="98" t="s">
        <v>1920</v>
      </c>
      <c r="E2239" s="99" t="b">
        <v>0</v>
      </c>
      <c r="F2239" s="107" t="s">
        <v>8562</v>
      </c>
      <c r="G2239" s="116" t="str">
        <f>HYPERLINK("http://nsgreg.nga.mil/genc/view?v=203437&amp;end_month=3&amp;end_day=31&amp;end_year=2014","Xaisômboun")</f>
        <v>Xaisômboun</v>
      </c>
      <c r="H2239" s="87" t="str">
        <f>HYPERLINK("http://api.nsgreg.nga.mil/geo-division/GENC/6/ed2/LA-XN","LA-XN")</f>
        <v>LA-XN</v>
      </c>
    </row>
    <row r="2240" spans="1:8" x14ac:dyDescent="0.2">
      <c r="A2240" s="157"/>
      <c r="B2240" s="31" t="s">
        <v>8563</v>
      </c>
      <c r="C2240" s="31" t="s">
        <v>8564</v>
      </c>
      <c r="D2240" s="31" t="s">
        <v>1920</v>
      </c>
      <c r="E2240" s="61" t="b">
        <v>1</v>
      </c>
      <c r="F2240" s="107" t="s">
        <v>8565</v>
      </c>
      <c r="G2240" s="116" t="str">
        <f>HYPERLINK("http://nsgreg.nga.mil/genc/view?v=201768&amp;end_month=3&amp;end_day=31&amp;end_year=2014","Xékong")</f>
        <v>Xékong</v>
      </c>
      <c r="H2240" s="87" t="str">
        <f>HYPERLINK("http://api.nsgreg.nga.mil/geo-division/GENC/6/ed2/LA-XE","LA-XE")</f>
        <v>LA-XE</v>
      </c>
    </row>
    <row r="2241" spans="1:8" x14ac:dyDescent="0.2">
      <c r="A2241" s="158"/>
      <c r="B2241" s="58" t="s">
        <v>8566</v>
      </c>
      <c r="C2241" s="58" t="s">
        <v>8567</v>
      </c>
      <c r="D2241" s="58" t="s">
        <v>1920</v>
      </c>
      <c r="E2241" s="62" t="b">
        <v>1</v>
      </c>
      <c r="F2241" s="111" t="s">
        <v>8568</v>
      </c>
      <c r="G2241" s="117" t="str">
        <f>HYPERLINK("http://nsgreg.nga.mil/genc/view?v=201769&amp;end_month=3&amp;end_day=31&amp;end_year=2014","Xiangkhouang")</f>
        <v>Xiangkhouang</v>
      </c>
      <c r="H2241" s="89" t="str">
        <f>HYPERLINK("http://api.nsgreg.nga.mil/geo-division/GENC/6/ed2/LA-XI","LA-XI")</f>
        <v>LA-XI</v>
      </c>
    </row>
    <row r="2242" spans="1:8" x14ac:dyDescent="0.2">
      <c r="A2242" s="156" t="str">
        <f>HYPERLINK("[#]Geopolitical_Entities!A150:I150","LATVIA")</f>
        <v>LATVIA</v>
      </c>
      <c r="B2242" s="52" t="s">
        <v>8569</v>
      </c>
      <c r="C2242" s="52" t="s">
        <v>8570</v>
      </c>
      <c r="D2242" s="52" t="s">
        <v>3254</v>
      </c>
      <c r="E2242" s="60" t="b">
        <v>1</v>
      </c>
      <c r="F2242" s="110" t="s">
        <v>8571</v>
      </c>
      <c r="G2242" s="118" t="str">
        <f>HYPERLINK("http://nsgreg.nga.mil/genc/view?v=201849&amp;end_month=3&amp;end_day=31&amp;end_year=2014","Ādažu Novads")</f>
        <v>Ādažu Novads</v>
      </c>
      <c r="H2242" s="91" t="str">
        <f>HYPERLINK("http://api.nsgreg.nga.mil/geo-division/GENC/6/ed2/LV-011","LV-011")</f>
        <v>LV-011</v>
      </c>
    </row>
    <row r="2243" spans="1:8" x14ac:dyDescent="0.2">
      <c r="A2243" s="157"/>
      <c r="B2243" s="31" t="s">
        <v>8572</v>
      </c>
      <c r="C2243" s="31" t="s">
        <v>8573</v>
      </c>
      <c r="D2243" s="31" t="s">
        <v>3254</v>
      </c>
      <c r="E2243" s="61" t="b">
        <v>1</v>
      </c>
      <c r="F2243" s="107" t="s">
        <v>8574</v>
      </c>
      <c r="G2243" s="116" t="str">
        <f>HYPERLINK("http://nsgreg.nga.mil/genc/view?v=201839&amp;end_month=3&amp;end_day=31&amp;end_year=2014","Aglonas Novads")</f>
        <v>Aglonas Novads</v>
      </c>
      <c r="H2243" s="87" t="str">
        <f>HYPERLINK("http://api.nsgreg.nga.mil/geo-division/GENC/6/ed2/LV-001","LV-001")</f>
        <v>LV-001</v>
      </c>
    </row>
    <row r="2244" spans="1:8" x14ac:dyDescent="0.2">
      <c r="A2244" s="157"/>
      <c r="B2244" s="31" t="s">
        <v>8575</v>
      </c>
      <c r="C2244" s="31" t="s">
        <v>8576</v>
      </c>
      <c r="D2244" s="31" t="s">
        <v>3254</v>
      </c>
      <c r="E2244" s="61" t="b">
        <v>1</v>
      </c>
      <c r="F2244" s="107" t="s">
        <v>8577</v>
      </c>
      <c r="G2244" s="116" t="str">
        <f>HYPERLINK("http://nsgreg.nga.mil/genc/view?v=201840&amp;end_month=3&amp;end_day=31&amp;end_year=2014","Aizkraukles Novads")</f>
        <v>Aizkraukles Novads</v>
      </c>
      <c r="H2244" s="87" t="str">
        <f>HYPERLINK("http://api.nsgreg.nga.mil/geo-division/GENC/6/ed2/LV-002","LV-002")</f>
        <v>LV-002</v>
      </c>
    </row>
    <row r="2245" spans="1:8" x14ac:dyDescent="0.2">
      <c r="A2245" s="157"/>
      <c r="B2245" s="31" t="s">
        <v>8578</v>
      </c>
      <c r="C2245" s="31" t="s">
        <v>8579</v>
      </c>
      <c r="D2245" s="31" t="s">
        <v>3254</v>
      </c>
      <c r="E2245" s="61" t="b">
        <v>1</v>
      </c>
      <c r="F2245" s="107" t="s">
        <v>8580</v>
      </c>
      <c r="G2245" s="116" t="str">
        <f>HYPERLINK("http://nsgreg.nga.mil/genc/view?v=201841&amp;end_month=3&amp;end_day=31&amp;end_year=2014","Aizputes Novads")</f>
        <v>Aizputes Novads</v>
      </c>
      <c r="H2245" s="87" t="str">
        <f>HYPERLINK("http://api.nsgreg.nga.mil/geo-division/GENC/6/ed2/LV-003","LV-003")</f>
        <v>LV-003</v>
      </c>
    </row>
    <row r="2246" spans="1:8" x14ac:dyDescent="0.2">
      <c r="A2246" s="157"/>
      <c r="B2246" s="31" t="s">
        <v>8581</v>
      </c>
      <c r="C2246" s="31" t="s">
        <v>8582</v>
      </c>
      <c r="D2246" s="31" t="s">
        <v>3254</v>
      </c>
      <c r="E2246" s="61" t="b">
        <v>1</v>
      </c>
      <c r="F2246" s="107" t="s">
        <v>8583</v>
      </c>
      <c r="G2246" s="116" t="str">
        <f>HYPERLINK("http://nsgreg.nga.mil/genc/view?v=201842&amp;end_month=3&amp;end_day=31&amp;end_year=2014","Aknīstes Novads")</f>
        <v>Aknīstes Novads</v>
      </c>
      <c r="H2246" s="87" t="str">
        <f>HYPERLINK("http://api.nsgreg.nga.mil/geo-division/GENC/6/ed2/LV-004","LV-004")</f>
        <v>LV-004</v>
      </c>
    </row>
    <row r="2247" spans="1:8" x14ac:dyDescent="0.2">
      <c r="A2247" s="157"/>
      <c r="B2247" s="31" t="s">
        <v>8584</v>
      </c>
      <c r="C2247" s="31" t="s">
        <v>8585</v>
      </c>
      <c r="D2247" s="31" t="s">
        <v>3254</v>
      </c>
      <c r="E2247" s="61" t="b">
        <v>1</v>
      </c>
      <c r="F2247" s="107" t="s">
        <v>8586</v>
      </c>
      <c r="G2247" s="116" t="str">
        <f>HYPERLINK("http://nsgreg.nga.mil/genc/view?v=201843&amp;end_month=3&amp;end_day=31&amp;end_year=2014","Alojas Novads")</f>
        <v>Alojas Novads</v>
      </c>
      <c r="H2247" s="87" t="str">
        <f>HYPERLINK("http://api.nsgreg.nga.mil/geo-division/GENC/6/ed2/LV-005","LV-005")</f>
        <v>LV-005</v>
      </c>
    </row>
    <row r="2248" spans="1:8" x14ac:dyDescent="0.2">
      <c r="A2248" s="157"/>
      <c r="B2248" s="31" t="s">
        <v>8587</v>
      </c>
      <c r="C2248" s="31" t="s">
        <v>8588</v>
      </c>
      <c r="D2248" s="31" t="s">
        <v>3254</v>
      </c>
      <c r="E2248" s="61" t="b">
        <v>1</v>
      </c>
      <c r="F2248" s="107" t="s">
        <v>8589</v>
      </c>
      <c r="G2248" s="116" t="str">
        <f>HYPERLINK("http://nsgreg.nga.mil/genc/view?v=201844&amp;end_month=3&amp;end_day=31&amp;end_year=2014","Alsungas Novads")</f>
        <v>Alsungas Novads</v>
      </c>
      <c r="H2248" s="87" t="str">
        <f>HYPERLINK("http://api.nsgreg.nga.mil/geo-division/GENC/6/ed2/LV-006","LV-006")</f>
        <v>LV-006</v>
      </c>
    </row>
    <row r="2249" spans="1:8" x14ac:dyDescent="0.2">
      <c r="A2249" s="157"/>
      <c r="B2249" s="31" t="s">
        <v>8590</v>
      </c>
      <c r="C2249" s="31" t="s">
        <v>8591</v>
      </c>
      <c r="D2249" s="31" t="s">
        <v>3254</v>
      </c>
      <c r="E2249" s="61" t="b">
        <v>1</v>
      </c>
      <c r="F2249" s="107" t="s">
        <v>8592</v>
      </c>
      <c r="G2249" s="116" t="str">
        <f>HYPERLINK("http://nsgreg.nga.mil/genc/view?v=201845&amp;end_month=3&amp;end_day=31&amp;end_year=2014","Alūksnes Novads")</f>
        <v>Alūksnes Novads</v>
      </c>
      <c r="H2249" s="87" t="str">
        <f>HYPERLINK("http://api.nsgreg.nga.mil/geo-division/GENC/6/ed2/LV-007","LV-007")</f>
        <v>LV-007</v>
      </c>
    </row>
    <row r="2250" spans="1:8" x14ac:dyDescent="0.2">
      <c r="A2250" s="157"/>
      <c r="B2250" s="31" t="s">
        <v>8593</v>
      </c>
      <c r="C2250" s="31" t="s">
        <v>8594</v>
      </c>
      <c r="D2250" s="31" t="s">
        <v>3254</v>
      </c>
      <c r="E2250" s="61" t="b">
        <v>1</v>
      </c>
      <c r="F2250" s="107" t="s">
        <v>8595</v>
      </c>
      <c r="G2250" s="116" t="str">
        <f>HYPERLINK("http://nsgreg.nga.mil/genc/view?v=201846&amp;end_month=3&amp;end_day=31&amp;end_year=2014","Amatas Novads")</f>
        <v>Amatas Novads</v>
      </c>
      <c r="H2250" s="87" t="str">
        <f>HYPERLINK("http://api.nsgreg.nga.mil/geo-division/GENC/6/ed2/LV-008","LV-008")</f>
        <v>LV-008</v>
      </c>
    </row>
    <row r="2251" spans="1:8" x14ac:dyDescent="0.2">
      <c r="A2251" s="157"/>
      <c r="B2251" s="31" t="s">
        <v>8596</v>
      </c>
      <c r="C2251" s="31" t="s">
        <v>8597</v>
      </c>
      <c r="D2251" s="31" t="s">
        <v>3254</v>
      </c>
      <c r="E2251" s="61" t="b">
        <v>1</v>
      </c>
      <c r="F2251" s="107" t="s">
        <v>8598</v>
      </c>
      <c r="G2251" s="116" t="str">
        <f>HYPERLINK("http://nsgreg.nga.mil/genc/view?v=201847&amp;end_month=3&amp;end_day=31&amp;end_year=2014","Apes Novads")</f>
        <v>Apes Novads</v>
      </c>
      <c r="H2251" s="87" t="str">
        <f>HYPERLINK("http://api.nsgreg.nga.mil/geo-division/GENC/6/ed2/LV-009","LV-009")</f>
        <v>LV-009</v>
      </c>
    </row>
    <row r="2252" spans="1:8" x14ac:dyDescent="0.2">
      <c r="A2252" s="157"/>
      <c r="B2252" s="31" t="s">
        <v>8599</v>
      </c>
      <c r="C2252" s="31" t="s">
        <v>8600</v>
      </c>
      <c r="D2252" s="31" t="s">
        <v>3254</v>
      </c>
      <c r="E2252" s="61" t="b">
        <v>1</v>
      </c>
      <c r="F2252" s="107" t="s">
        <v>8601</v>
      </c>
      <c r="G2252" s="116" t="str">
        <f>HYPERLINK("http://nsgreg.nga.mil/genc/view?v=201848&amp;end_month=3&amp;end_day=31&amp;end_year=2014","Auces Novads")</f>
        <v>Auces Novads</v>
      </c>
      <c r="H2252" s="87" t="str">
        <f>HYPERLINK("http://api.nsgreg.nga.mil/geo-division/GENC/6/ed2/LV-010","LV-010")</f>
        <v>LV-010</v>
      </c>
    </row>
    <row r="2253" spans="1:8" x14ac:dyDescent="0.2">
      <c r="A2253" s="157"/>
      <c r="B2253" s="31" t="s">
        <v>8602</v>
      </c>
      <c r="C2253" s="31" t="s">
        <v>8603</v>
      </c>
      <c r="D2253" s="31" t="s">
        <v>3254</v>
      </c>
      <c r="E2253" s="61" t="b">
        <v>1</v>
      </c>
      <c r="F2253" s="107" t="s">
        <v>8604</v>
      </c>
      <c r="G2253" s="116" t="str">
        <f>HYPERLINK("http://nsgreg.nga.mil/genc/view?v=201850&amp;end_month=3&amp;end_day=31&amp;end_year=2014","Babītes Novads")</f>
        <v>Babītes Novads</v>
      </c>
      <c r="H2253" s="87" t="str">
        <f>HYPERLINK("http://api.nsgreg.nga.mil/geo-division/GENC/6/ed2/LV-012","LV-012")</f>
        <v>LV-012</v>
      </c>
    </row>
    <row r="2254" spans="1:8" x14ac:dyDescent="0.2">
      <c r="A2254" s="157"/>
      <c r="B2254" s="31" t="s">
        <v>8605</v>
      </c>
      <c r="C2254" s="31" t="s">
        <v>8606</v>
      </c>
      <c r="D2254" s="31" t="s">
        <v>3254</v>
      </c>
      <c r="E2254" s="61" t="b">
        <v>1</v>
      </c>
      <c r="F2254" s="107" t="s">
        <v>8607</v>
      </c>
      <c r="G2254" s="116" t="str">
        <f>HYPERLINK("http://nsgreg.nga.mil/genc/view?v=201851&amp;end_month=3&amp;end_day=31&amp;end_year=2014","Baldones Novads")</f>
        <v>Baldones Novads</v>
      </c>
      <c r="H2254" s="87" t="str">
        <f>HYPERLINK("http://api.nsgreg.nga.mil/geo-division/GENC/6/ed2/LV-013","LV-013")</f>
        <v>LV-013</v>
      </c>
    </row>
    <row r="2255" spans="1:8" x14ac:dyDescent="0.2">
      <c r="A2255" s="157"/>
      <c r="B2255" s="31" t="s">
        <v>8608</v>
      </c>
      <c r="C2255" s="31" t="s">
        <v>8609</v>
      </c>
      <c r="D2255" s="31" t="s">
        <v>3254</v>
      </c>
      <c r="E2255" s="61" t="b">
        <v>1</v>
      </c>
      <c r="F2255" s="107" t="s">
        <v>8610</v>
      </c>
      <c r="G2255" s="116" t="str">
        <f>HYPERLINK("http://nsgreg.nga.mil/genc/view?v=201852&amp;end_month=3&amp;end_day=31&amp;end_year=2014","Baltinavas Novads")</f>
        <v>Baltinavas Novads</v>
      </c>
      <c r="H2255" s="87" t="str">
        <f>HYPERLINK("http://api.nsgreg.nga.mil/geo-division/GENC/6/ed2/LV-014","LV-014")</f>
        <v>LV-014</v>
      </c>
    </row>
    <row r="2256" spans="1:8" x14ac:dyDescent="0.2">
      <c r="A2256" s="157"/>
      <c r="B2256" s="31" t="s">
        <v>8611</v>
      </c>
      <c r="C2256" s="31" t="s">
        <v>8612</v>
      </c>
      <c r="D2256" s="31" t="s">
        <v>3254</v>
      </c>
      <c r="E2256" s="61" t="b">
        <v>1</v>
      </c>
      <c r="F2256" s="107" t="s">
        <v>8613</v>
      </c>
      <c r="G2256" s="116" t="str">
        <f>HYPERLINK("http://nsgreg.nga.mil/genc/view?v=201853&amp;end_month=3&amp;end_day=31&amp;end_year=2014","Balvu Novads")</f>
        <v>Balvu Novads</v>
      </c>
      <c r="H2256" s="87" t="str">
        <f>HYPERLINK("http://api.nsgreg.nga.mil/geo-division/GENC/6/ed2/LV-015","LV-015")</f>
        <v>LV-015</v>
      </c>
    </row>
    <row r="2257" spans="1:8" x14ac:dyDescent="0.2">
      <c r="A2257" s="157"/>
      <c r="B2257" s="31" t="s">
        <v>8614</v>
      </c>
      <c r="C2257" s="31" t="s">
        <v>8615</v>
      </c>
      <c r="D2257" s="31" t="s">
        <v>3254</v>
      </c>
      <c r="E2257" s="61" t="b">
        <v>1</v>
      </c>
      <c r="F2257" s="107" t="s">
        <v>8616</v>
      </c>
      <c r="G2257" s="116" t="str">
        <f>HYPERLINK("http://nsgreg.nga.mil/genc/view?v=201854&amp;end_month=3&amp;end_day=31&amp;end_year=2014","Bauskas Novads")</f>
        <v>Bauskas Novads</v>
      </c>
      <c r="H2257" s="87" t="str">
        <f>HYPERLINK("http://api.nsgreg.nga.mil/geo-division/GENC/6/ed2/LV-016","LV-016")</f>
        <v>LV-016</v>
      </c>
    </row>
    <row r="2258" spans="1:8" x14ac:dyDescent="0.2">
      <c r="A2258" s="157"/>
      <c r="B2258" s="31" t="s">
        <v>8617</v>
      </c>
      <c r="C2258" s="31" t="s">
        <v>8618</v>
      </c>
      <c r="D2258" s="31" t="s">
        <v>3254</v>
      </c>
      <c r="E2258" s="61" t="b">
        <v>1</v>
      </c>
      <c r="F2258" s="107" t="s">
        <v>8619</v>
      </c>
      <c r="G2258" s="116" t="str">
        <f>HYPERLINK("http://nsgreg.nga.mil/genc/view?v=201855&amp;end_month=3&amp;end_day=31&amp;end_year=2014","Beverīnas Novads")</f>
        <v>Beverīnas Novads</v>
      </c>
      <c r="H2258" s="87" t="str">
        <f>HYPERLINK("http://api.nsgreg.nga.mil/geo-division/GENC/6/ed2/LV-017","LV-017")</f>
        <v>LV-017</v>
      </c>
    </row>
    <row r="2259" spans="1:8" x14ac:dyDescent="0.2">
      <c r="A2259" s="157"/>
      <c r="B2259" s="31" t="s">
        <v>8620</v>
      </c>
      <c r="C2259" s="31" t="s">
        <v>8621</v>
      </c>
      <c r="D2259" s="31" t="s">
        <v>3254</v>
      </c>
      <c r="E2259" s="61" t="b">
        <v>1</v>
      </c>
      <c r="F2259" s="107" t="s">
        <v>8622</v>
      </c>
      <c r="G2259" s="116" t="str">
        <f>HYPERLINK("http://nsgreg.nga.mil/genc/view?v=201856&amp;end_month=3&amp;end_day=31&amp;end_year=2014","Brocēnu Novads")</f>
        <v>Brocēnu Novads</v>
      </c>
      <c r="H2259" s="87" t="str">
        <f>HYPERLINK("http://api.nsgreg.nga.mil/geo-division/GENC/6/ed2/LV-018","LV-018")</f>
        <v>LV-018</v>
      </c>
    </row>
    <row r="2260" spans="1:8" x14ac:dyDescent="0.2">
      <c r="A2260" s="157"/>
      <c r="B2260" s="31" t="s">
        <v>8623</v>
      </c>
      <c r="C2260" s="31" t="s">
        <v>8624</v>
      </c>
      <c r="D2260" s="31" t="s">
        <v>3254</v>
      </c>
      <c r="E2260" s="61" t="b">
        <v>1</v>
      </c>
      <c r="F2260" s="107" t="s">
        <v>8625</v>
      </c>
      <c r="G2260" s="116" t="str">
        <f>HYPERLINK("http://nsgreg.nga.mil/genc/view?v=201857&amp;end_month=3&amp;end_day=31&amp;end_year=2014","Burtnieku Novads")</f>
        <v>Burtnieku Novads</v>
      </c>
      <c r="H2260" s="87" t="str">
        <f>HYPERLINK("http://api.nsgreg.nga.mil/geo-division/GENC/6/ed2/LV-019","LV-019")</f>
        <v>LV-019</v>
      </c>
    </row>
    <row r="2261" spans="1:8" x14ac:dyDescent="0.2">
      <c r="A2261" s="157"/>
      <c r="B2261" s="31" t="s">
        <v>8626</v>
      </c>
      <c r="C2261" s="31" t="s">
        <v>8627</v>
      </c>
      <c r="D2261" s="31" t="s">
        <v>3254</v>
      </c>
      <c r="E2261" s="61" t="b">
        <v>1</v>
      </c>
      <c r="F2261" s="107" t="s">
        <v>8628</v>
      </c>
      <c r="G2261" s="116" t="str">
        <f>HYPERLINK("http://nsgreg.nga.mil/genc/view?v=201858&amp;end_month=3&amp;end_day=31&amp;end_year=2014","Carnikavas Novads")</f>
        <v>Carnikavas Novads</v>
      </c>
      <c r="H2261" s="87" t="str">
        <f>HYPERLINK("http://api.nsgreg.nga.mil/geo-division/GENC/6/ed2/LV-020","LV-020")</f>
        <v>LV-020</v>
      </c>
    </row>
    <row r="2262" spans="1:8" x14ac:dyDescent="0.2">
      <c r="A2262" s="157"/>
      <c r="B2262" s="31" t="s">
        <v>8629</v>
      </c>
      <c r="C2262" s="31" t="s">
        <v>8630</v>
      </c>
      <c r="D2262" s="31" t="s">
        <v>3254</v>
      </c>
      <c r="E2262" s="61" t="b">
        <v>1</v>
      </c>
      <c r="F2262" s="107" t="s">
        <v>8631</v>
      </c>
      <c r="G2262" s="116" t="str">
        <f>HYPERLINK("http://nsgreg.nga.mil/genc/view?v=201859&amp;end_month=3&amp;end_day=31&amp;end_year=2014","Cēsu Novads")</f>
        <v>Cēsu Novads</v>
      </c>
      <c r="H2262" s="87" t="str">
        <f>HYPERLINK("http://api.nsgreg.nga.mil/geo-division/GENC/6/ed2/LV-022","LV-022")</f>
        <v>LV-022</v>
      </c>
    </row>
    <row r="2263" spans="1:8" x14ac:dyDescent="0.2">
      <c r="A2263" s="157"/>
      <c r="B2263" s="31" t="s">
        <v>8632</v>
      </c>
      <c r="C2263" s="31" t="s">
        <v>8633</v>
      </c>
      <c r="D2263" s="31" t="s">
        <v>3254</v>
      </c>
      <c r="E2263" s="61" t="b">
        <v>1</v>
      </c>
      <c r="F2263" s="107" t="s">
        <v>8634</v>
      </c>
      <c r="G2263" s="116" t="str">
        <f>HYPERLINK("http://nsgreg.nga.mil/genc/view?v=201860&amp;end_month=3&amp;end_day=31&amp;end_year=2014","Cesvaines Novads")</f>
        <v>Cesvaines Novads</v>
      </c>
      <c r="H2263" s="87" t="str">
        <f>HYPERLINK("http://api.nsgreg.nga.mil/geo-division/GENC/6/ed2/LV-021","LV-021")</f>
        <v>LV-021</v>
      </c>
    </row>
    <row r="2264" spans="1:8" x14ac:dyDescent="0.2">
      <c r="A2264" s="157"/>
      <c r="B2264" s="31" t="s">
        <v>8635</v>
      </c>
      <c r="C2264" s="31" t="s">
        <v>8636</v>
      </c>
      <c r="D2264" s="31" t="s">
        <v>3254</v>
      </c>
      <c r="E2264" s="61" t="b">
        <v>1</v>
      </c>
      <c r="F2264" s="107" t="s">
        <v>8637</v>
      </c>
      <c r="G2264" s="116" t="str">
        <f>HYPERLINK("http://nsgreg.nga.mil/genc/view?v=201861&amp;end_month=3&amp;end_day=31&amp;end_year=2014","Ciblas Novads")</f>
        <v>Ciblas Novads</v>
      </c>
      <c r="H2264" s="87" t="str">
        <f>HYPERLINK("http://api.nsgreg.nga.mil/geo-division/GENC/6/ed2/LV-023","LV-023")</f>
        <v>LV-023</v>
      </c>
    </row>
    <row r="2265" spans="1:8" x14ac:dyDescent="0.2">
      <c r="A2265" s="157"/>
      <c r="B2265" s="31" t="s">
        <v>8638</v>
      </c>
      <c r="C2265" s="31" t="s">
        <v>8639</v>
      </c>
      <c r="D2265" s="31" t="s">
        <v>3254</v>
      </c>
      <c r="E2265" s="61" t="b">
        <v>1</v>
      </c>
      <c r="F2265" s="107" t="s">
        <v>8640</v>
      </c>
      <c r="G2265" s="116" t="str">
        <f>HYPERLINK("http://nsgreg.nga.mil/genc/view?v=201862&amp;end_month=3&amp;end_day=31&amp;end_year=2014","Dagdas Novads")</f>
        <v>Dagdas Novads</v>
      </c>
      <c r="H2265" s="87" t="str">
        <f>HYPERLINK("http://api.nsgreg.nga.mil/geo-division/GENC/6/ed2/LV-024","LV-024")</f>
        <v>LV-024</v>
      </c>
    </row>
    <row r="2266" spans="1:8" x14ac:dyDescent="0.2">
      <c r="A2266" s="157"/>
      <c r="B2266" s="31" t="s">
        <v>8641</v>
      </c>
      <c r="C2266" s="31" t="s">
        <v>8642</v>
      </c>
      <c r="D2266" s="31" t="s">
        <v>8643</v>
      </c>
      <c r="E2266" s="61" t="b">
        <v>1</v>
      </c>
      <c r="F2266" s="107" t="s">
        <v>8644</v>
      </c>
      <c r="G2266" s="116" t="str">
        <f>HYPERLINK("http://nsgreg.nga.mil/genc/view?v=201949&amp;end_month=3&amp;end_day=31&amp;end_year=2014","Daugavpils")</f>
        <v>Daugavpils</v>
      </c>
      <c r="H2266" s="87" t="str">
        <f>HYPERLINK("http://api.nsgreg.nga.mil/geo-division/GENC/6/ed2/LV-DGV","LV-DGV")</f>
        <v>LV-DGV</v>
      </c>
    </row>
    <row r="2267" spans="1:8" x14ac:dyDescent="0.2">
      <c r="A2267" s="157"/>
      <c r="B2267" s="31" t="s">
        <v>8645</v>
      </c>
      <c r="C2267" s="31" t="s">
        <v>8646</v>
      </c>
      <c r="D2267" s="31" t="s">
        <v>3254</v>
      </c>
      <c r="E2267" s="61" t="b">
        <v>1</v>
      </c>
      <c r="F2267" s="107" t="s">
        <v>8647</v>
      </c>
      <c r="G2267" s="116" t="str">
        <f>HYPERLINK("http://nsgreg.nga.mil/genc/view?v=201863&amp;end_month=3&amp;end_day=31&amp;end_year=2014","Daugavpils Novads")</f>
        <v>Daugavpils Novads</v>
      </c>
      <c r="H2267" s="87" t="str">
        <f>HYPERLINK("http://api.nsgreg.nga.mil/geo-division/GENC/6/ed2/LV-025","LV-025")</f>
        <v>LV-025</v>
      </c>
    </row>
    <row r="2268" spans="1:8" x14ac:dyDescent="0.2">
      <c r="A2268" s="157"/>
      <c r="B2268" s="31" t="s">
        <v>8648</v>
      </c>
      <c r="C2268" s="31" t="s">
        <v>8649</v>
      </c>
      <c r="D2268" s="31" t="s">
        <v>3254</v>
      </c>
      <c r="E2268" s="61" t="b">
        <v>1</v>
      </c>
      <c r="F2268" s="107" t="s">
        <v>8650</v>
      </c>
      <c r="G2268" s="116" t="str">
        <f>HYPERLINK("http://nsgreg.nga.mil/genc/view?v=201864&amp;end_month=3&amp;end_day=31&amp;end_year=2014","Dobeles Novads")</f>
        <v>Dobeles Novads</v>
      </c>
      <c r="H2268" s="87" t="str">
        <f>HYPERLINK("http://api.nsgreg.nga.mil/geo-division/GENC/6/ed2/LV-026","LV-026")</f>
        <v>LV-026</v>
      </c>
    </row>
    <row r="2269" spans="1:8" x14ac:dyDescent="0.2">
      <c r="A2269" s="157"/>
      <c r="B2269" s="31" t="s">
        <v>8651</v>
      </c>
      <c r="C2269" s="31" t="s">
        <v>8652</v>
      </c>
      <c r="D2269" s="31" t="s">
        <v>3254</v>
      </c>
      <c r="E2269" s="61" t="b">
        <v>1</v>
      </c>
      <c r="F2269" s="107" t="s">
        <v>8653</v>
      </c>
      <c r="G2269" s="116" t="str">
        <f>HYPERLINK("http://nsgreg.nga.mil/genc/view?v=201865&amp;end_month=3&amp;end_day=31&amp;end_year=2014","Dundagas Novads")</f>
        <v>Dundagas Novads</v>
      </c>
      <c r="H2269" s="87" t="str">
        <f>HYPERLINK("http://api.nsgreg.nga.mil/geo-division/GENC/6/ed2/LV-027","LV-027")</f>
        <v>LV-027</v>
      </c>
    </row>
    <row r="2270" spans="1:8" x14ac:dyDescent="0.2">
      <c r="A2270" s="157"/>
      <c r="B2270" s="31" t="s">
        <v>8654</v>
      </c>
      <c r="C2270" s="31" t="s">
        <v>8655</v>
      </c>
      <c r="D2270" s="31" t="s">
        <v>3254</v>
      </c>
      <c r="E2270" s="61" t="b">
        <v>1</v>
      </c>
      <c r="F2270" s="107" t="s">
        <v>8656</v>
      </c>
      <c r="G2270" s="116" t="str">
        <f>HYPERLINK("http://nsgreg.nga.mil/genc/view?v=201866&amp;end_month=3&amp;end_day=31&amp;end_year=2014","Durbes Novads")</f>
        <v>Durbes Novads</v>
      </c>
      <c r="H2270" s="87" t="str">
        <f>HYPERLINK("http://api.nsgreg.nga.mil/geo-division/GENC/6/ed2/LV-028","LV-028")</f>
        <v>LV-028</v>
      </c>
    </row>
    <row r="2271" spans="1:8" x14ac:dyDescent="0.2">
      <c r="A2271" s="157"/>
      <c r="B2271" s="31" t="s">
        <v>8657</v>
      </c>
      <c r="C2271" s="31" t="s">
        <v>8658</v>
      </c>
      <c r="D2271" s="31" t="s">
        <v>3254</v>
      </c>
      <c r="E2271" s="61" t="b">
        <v>1</v>
      </c>
      <c r="F2271" s="107" t="s">
        <v>8659</v>
      </c>
      <c r="G2271" s="116" t="str">
        <f>HYPERLINK("http://nsgreg.nga.mil/genc/view?v=201867&amp;end_month=3&amp;end_day=31&amp;end_year=2014","Engures Novads")</f>
        <v>Engures Novads</v>
      </c>
      <c r="H2271" s="87" t="str">
        <f>HYPERLINK("http://api.nsgreg.nga.mil/geo-division/GENC/6/ed2/LV-029","LV-029")</f>
        <v>LV-029</v>
      </c>
    </row>
    <row r="2272" spans="1:8" x14ac:dyDescent="0.2">
      <c r="A2272" s="157"/>
      <c r="B2272" s="31" t="s">
        <v>8660</v>
      </c>
      <c r="C2272" s="31" t="s">
        <v>8661</v>
      </c>
      <c r="D2272" s="31" t="s">
        <v>3254</v>
      </c>
      <c r="E2272" s="61" t="b">
        <v>1</v>
      </c>
      <c r="F2272" s="107" t="s">
        <v>8662</v>
      </c>
      <c r="G2272" s="116" t="str">
        <f>HYPERLINK("http://nsgreg.nga.mil/genc/view?v=201868&amp;end_month=3&amp;end_day=31&amp;end_year=2014","Ērgļu Novads")</f>
        <v>Ērgļu Novads</v>
      </c>
      <c r="H2272" s="87" t="str">
        <f>HYPERLINK("http://api.nsgreg.nga.mil/geo-division/GENC/6/ed2/LV-030","LV-030")</f>
        <v>LV-030</v>
      </c>
    </row>
    <row r="2273" spans="1:8" x14ac:dyDescent="0.2">
      <c r="A2273" s="157"/>
      <c r="B2273" s="31" t="s">
        <v>8663</v>
      </c>
      <c r="C2273" s="31" t="s">
        <v>8664</v>
      </c>
      <c r="D2273" s="31" t="s">
        <v>3254</v>
      </c>
      <c r="E2273" s="61" t="b">
        <v>1</v>
      </c>
      <c r="F2273" s="107" t="s">
        <v>8665</v>
      </c>
      <c r="G2273" s="116" t="str">
        <f>HYPERLINK("http://nsgreg.nga.mil/genc/view?v=201869&amp;end_month=3&amp;end_day=31&amp;end_year=2014","Garkalnes Novads")</f>
        <v>Garkalnes Novads</v>
      </c>
      <c r="H2273" s="87" t="str">
        <f>HYPERLINK("http://api.nsgreg.nga.mil/geo-division/GENC/6/ed2/LV-031","LV-031")</f>
        <v>LV-031</v>
      </c>
    </row>
    <row r="2274" spans="1:8" x14ac:dyDescent="0.2">
      <c r="A2274" s="157"/>
      <c r="B2274" s="31" t="s">
        <v>8666</v>
      </c>
      <c r="C2274" s="31" t="s">
        <v>8667</v>
      </c>
      <c r="D2274" s="31" t="s">
        <v>3254</v>
      </c>
      <c r="E2274" s="61" t="b">
        <v>1</v>
      </c>
      <c r="F2274" s="107" t="s">
        <v>8668</v>
      </c>
      <c r="G2274" s="116" t="str">
        <f>HYPERLINK("http://nsgreg.nga.mil/genc/view?v=201870&amp;end_month=3&amp;end_day=31&amp;end_year=2014","Grobiņas Novads")</f>
        <v>Grobiņas Novads</v>
      </c>
      <c r="H2274" s="87" t="str">
        <f>HYPERLINK("http://api.nsgreg.nga.mil/geo-division/GENC/6/ed2/LV-032","LV-032")</f>
        <v>LV-032</v>
      </c>
    </row>
    <row r="2275" spans="1:8" x14ac:dyDescent="0.2">
      <c r="A2275" s="157"/>
      <c r="B2275" s="31" t="s">
        <v>8669</v>
      </c>
      <c r="C2275" s="31" t="s">
        <v>8670</v>
      </c>
      <c r="D2275" s="31" t="s">
        <v>3254</v>
      </c>
      <c r="E2275" s="61" t="b">
        <v>1</v>
      </c>
      <c r="F2275" s="107" t="s">
        <v>8671</v>
      </c>
      <c r="G2275" s="116" t="str">
        <f>HYPERLINK("http://nsgreg.nga.mil/genc/view?v=201871&amp;end_month=3&amp;end_day=31&amp;end_year=2014","Gulbenes Novads")</f>
        <v>Gulbenes Novads</v>
      </c>
      <c r="H2275" s="87" t="str">
        <f>HYPERLINK("http://api.nsgreg.nga.mil/geo-division/GENC/6/ed2/LV-033","LV-033")</f>
        <v>LV-033</v>
      </c>
    </row>
    <row r="2276" spans="1:8" x14ac:dyDescent="0.2">
      <c r="A2276" s="157"/>
      <c r="B2276" s="31" t="s">
        <v>8672</v>
      </c>
      <c r="C2276" s="31" t="s">
        <v>8673</v>
      </c>
      <c r="D2276" s="31" t="s">
        <v>3254</v>
      </c>
      <c r="E2276" s="61" t="b">
        <v>1</v>
      </c>
      <c r="F2276" s="107" t="s">
        <v>8674</v>
      </c>
      <c r="G2276" s="116" t="str">
        <f>HYPERLINK("http://nsgreg.nga.mil/genc/view?v=201872&amp;end_month=3&amp;end_day=31&amp;end_year=2014","Iecavas Novads")</f>
        <v>Iecavas Novads</v>
      </c>
      <c r="H2276" s="87" t="str">
        <f>HYPERLINK("http://api.nsgreg.nga.mil/geo-division/GENC/6/ed2/LV-034","LV-034")</f>
        <v>LV-034</v>
      </c>
    </row>
    <row r="2277" spans="1:8" x14ac:dyDescent="0.2">
      <c r="A2277" s="157"/>
      <c r="B2277" s="31" t="s">
        <v>8675</v>
      </c>
      <c r="C2277" s="31" t="s">
        <v>8676</v>
      </c>
      <c r="D2277" s="31" t="s">
        <v>3254</v>
      </c>
      <c r="E2277" s="61" t="b">
        <v>1</v>
      </c>
      <c r="F2277" s="107" t="s">
        <v>8677</v>
      </c>
      <c r="G2277" s="116" t="str">
        <f>HYPERLINK("http://nsgreg.nga.mil/genc/view?v=201873&amp;end_month=3&amp;end_day=31&amp;end_year=2014","Ikšķiles Novads")</f>
        <v>Ikšķiles Novads</v>
      </c>
      <c r="H2277" s="87" t="str">
        <f>HYPERLINK("http://api.nsgreg.nga.mil/geo-division/GENC/6/ed2/LV-035","LV-035")</f>
        <v>LV-035</v>
      </c>
    </row>
    <row r="2278" spans="1:8" x14ac:dyDescent="0.2">
      <c r="A2278" s="157"/>
      <c r="B2278" s="31" t="s">
        <v>8678</v>
      </c>
      <c r="C2278" s="31" t="s">
        <v>8679</v>
      </c>
      <c r="D2278" s="31" t="s">
        <v>3254</v>
      </c>
      <c r="E2278" s="61" t="b">
        <v>1</v>
      </c>
      <c r="F2278" s="107" t="s">
        <v>8680</v>
      </c>
      <c r="G2278" s="116" t="str">
        <f>HYPERLINK("http://nsgreg.nga.mil/genc/view?v=201874&amp;end_month=3&amp;end_day=31&amp;end_year=2014","Ilūkstes Novads")</f>
        <v>Ilūkstes Novads</v>
      </c>
      <c r="H2278" s="87" t="str">
        <f>HYPERLINK("http://api.nsgreg.nga.mil/geo-division/GENC/6/ed2/LV-036","LV-036")</f>
        <v>LV-036</v>
      </c>
    </row>
    <row r="2279" spans="1:8" x14ac:dyDescent="0.2">
      <c r="A2279" s="157"/>
      <c r="B2279" s="31" t="s">
        <v>8681</v>
      </c>
      <c r="C2279" s="31" t="s">
        <v>8682</v>
      </c>
      <c r="D2279" s="31" t="s">
        <v>3254</v>
      </c>
      <c r="E2279" s="61" t="b">
        <v>1</v>
      </c>
      <c r="F2279" s="107" t="s">
        <v>8683</v>
      </c>
      <c r="G2279" s="116" t="str">
        <f>HYPERLINK("http://nsgreg.nga.mil/genc/view?v=201875&amp;end_month=3&amp;end_day=31&amp;end_year=2014","Inčukalna Novads")</f>
        <v>Inčukalna Novads</v>
      </c>
      <c r="H2279" s="87" t="str">
        <f>HYPERLINK("http://api.nsgreg.nga.mil/geo-division/GENC/6/ed2/LV-037","LV-037")</f>
        <v>LV-037</v>
      </c>
    </row>
    <row r="2280" spans="1:8" x14ac:dyDescent="0.2">
      <c r="A2280" s="157"/>
      <c r="B2280" s="31" t="s">
        <v>8684</v>
      </c>
      <c r="C2280" s="31" t="s">
        <v>8685</v>
      </c>
      <c r="D2280" s="31" t="s">
        <v>3254</v>
      </c>
      <c r="E2280" s="61" t="b">
        <v>1</v>
      </c>
      <c r="F2280" s="107" t="s">
        <v>8686</v>
      </c>
      <c r="G2280" s="116" t="str">
        <f>HYPERLINK("http://nsgreg.nga.mil/genc/view?v=201876&amp;end_month=3&amp;end_day=31&amp;end_year=2014","Jaunjelgavas Novads")</f>
        <v>Jaunjelgavas Novads</v>
      </c>
      <c r="H2280" s="87" t="str">
        <f>HYPERLINK("http://api.nsgreg.nga.mil/geo-division/GENC/6/ed2/LV-038","LV-038")</f>
        <v>LV-038</v>
      </c>
    </row>
    <row r="2281" spans="1:8" x14ac:dyDescent="0.2">
      <c r="A2281" s="157"/>
      <c r="B2281" s="31" t="s">
        <v>8687</v>
      </c>
      <c r="C2281" s="31" t="s">
        <v>8688</v>
      </c>
      <c r="D2281" s="31" t="s">
        <v>3254</v>
      </c>
      <c r="E2281" s="61" t="b">
        <v>1</v>
      </c>
      <c r="F2281" s="107" t="s">
        <v>8689</v>
      </c>
      <c r="G2281" s="116" t="str">
        <f>HYPERLINK("http://nsgreg.nga.mil/genc/view?v=201877&amp;end_month=3&amp;end_day=31&amp;end_year=2014","Jaunpiebalgas Novads")</f>
        <v>Jaunpiebalgas Novads</v>
      </c>
      <c r="H2281" s="87" t="str">
        <f>HYPERLINK("http://api.nsgreg.nga.mil/geo-division/GENC/6/ed2/LV-039","LV-039")</f>
        <v>LV-039</v>
      </c>
    </row>
    <row r="2282" spans="1:8" x14ac:dyDescent="0.2">
      <c r="A2282" s="157"/>
      <c r="B2282" s="31" t="s">
        <v>8690</v>
      </c>
      <c r="C2282" s="31" t="s">
        <v>8691</v>
      </c>
      <c r="D2282" s="31" t="s">
        <v>3254</v>
      </c>
      <c r="E2282" s="61" t="b">
        <v>1</v>
      </c>
      <c r="F2282" s="107" t="s">
        <v>8692</v>
      </c>
      <c r="G2282" s="116" t="str">
        <f>HYPERLINK("http://nsgreg.nga.mil/genc/view?v=201878&amp;end_month=3&amp;end_day=31&amp;end_year=2014","Jaunpils Novads")</f>
        <v>Jaunpils Novads</v>
      </c>
      <c r="H2282" s="87" t="str">
        <f>HYPERLINK("http://api.nsgreg.nga.mil/geo-division/GENC/6/ed2/LV-040","LV-040")</f>
        <v>LV-040</v>
      </c>
    </row>
    <row r="2283" spans="1:8" x14ac:dyDescent="0.2">
      <c r="A2283" s="157"/>
      <c r="B2283" s="31" t="s">
        <v>8693</v>
      </c>
      <c r="C2283" s="31" t="s">
        <v>8694</v>
      </c>
      <c r="D2283" s="31" t="s">
        <v>8643</v>
      </c>
      <c r="E2283" s="61" t="b">
        <v>1</v>
      </c>
      <c r="F2283" s="107" t="s">
        <v>8695</v>
      </c>
      <c r="G2283" s="116" t="str">
        <f>HYPERLINK("http://nsgreg.nga.mil/genc/view?v=201951&amp;end_month=3&amp;end_day=31&amp;end_year=2014","Jēkabpils")</f>
        <v>Jēkabpils</v>
      </c>
      <c r="H2283" s="87" t="str">
        <f>HYPERLINK("http://api.nsgreg.nga.mil/geo-division/GENC/6/ed2/LV-JKB","LV-JKB")</f>
        <v>LV-JKB</v>
      </c>
    </row>
    <row r="2284" spans="1:8" x14ac:dyDescent="0.2">
      <c r="A2284" s="157"/>
      <c r="B2284" s="31" t="s">
        <v>8696</v>
      </c>
      <c r="C2284" s="31" t="s">
        <v>8697</v>
      </c>
      <c r="D2284" s="31" t="s">
        <v>3254</v>
      </c>
      <c r="E2284" s="61" t="b">
        <v>1</v>
      </c>
      <c r="F2284" s="107" t="s">
        <v>8698</v>
      </c>
      <c r="G2284" s="116" t="str">
        <f>HYPERLINK("http://nsgreg.nga.mil/genc/view?v=201880&amp;end_month=3&amp;end_day=31&amp;end_year=2014","Jēkabpils Novads")</f>
        <v>Jēkabpils Novads</v>
      </c>
      <c r="H2284" s="87" t="str">
        <f>HYPERLINK("http://api.nsgreg.nga.mil/geo-division/GENC/6/ed2/LV-042","LV-042")</f>
        <v>LV-042</v>
      </c>
    </row>
    <row r="2285" spans="1:8" x14ac:dyDescent="0.2">
      <c r="A2285" s="157"/>
      <c r="B2285" s="31" t="s">
        <v>8699</v>
      </c>
      <c r="C2285" s="31" t="s">
        <v>8700</v>
      </c>
      <c r="D2285" s="31" t="s">
        <v>8643</v>
      </c>
      <c r="E2285" s="61" t="b">
        <v>1</v>
      </c>
      <c r="F2285" s="107" t="s">
        <v>8701</v>
      </c>
      <c r="G2285" s="116" t="str">
        <f>HYPERLINK("http://nsgreg.nga.mil/genc/view?v=201950&amp;end_month=3&amp;end_day=31&amp;end_year=2014","Jelgava")</f>
        <v>Jelgava</v>
      </c>
      <c r="H2285" s="87" t="str">
        <f>HYPERLINK("http://api.nsgreg.nga.mil/geo-division/GENC/6/ed2/LV-JEL","LV-JEL")</f>
        <v>LV-JEL</v>
      </c>
    </row>
    <row r="2286" spans="1:8" x14ac:dyDescent="0.2">
      <c r="A2286" s="157"/>
      <c r="B2286" s="31" t="s">
        <v>8702</v>
      </c>
      <c r="C2286" s="31" t="s">
        <v>8703</v>
      </c>
      <c r="D2286" s="31" t="s">
        <v>3254</v>
      </c>
      <c r="E2286" s="61" t="b">
        <v>1</v>
      </c>
      <c r="F2286" s="107" t="s">
        <v>8704</v>
      </c>
      <c r="G2286" s="116" t="str">
        <f>HYPERLINK("http://nsgreg.nga.mil/genc/view?v=201879&amp;end_month=3&amp;end_day=31&amp;end_year=2014","Jelgavas Novads")</f>
        <v>Jelgavas Novads</v>
      </c>
      <c r="H2286" s="87" t="str">
        <f>HYPERLINK("http://api.nsgreg.nga.mil/geo-division/GENC/6/ed2/LV-041","LV-041")</f>
        <v>LV-041</v>
      </c>
    </row>
    <row r="2287" spans="1:8" x14ac:dyDescent="0.2">
      <c r="A2287" s="157"/>
      <c r="B2287" s="31" t="s">
        <v>8705</v>
      </c>
      <c r="C2287" s="31" t="s">
        <v>8706</v>
      </c>
      <c r="D2287" s="31" t="s">
        <v>8643</v>
      </c>
      <c r="E2287" s="61" t="b">
        <v>1</v>
      </c>
      <c r="F2287" s="107" t="s">
        <v>8707</v>
      </c>
      <c r="G2287" s="116" t="str">
        <f>HYPERLINK("http://nsgreg.nga.mil/genc/view?v=201952&amp;end_month=3&amp;end_day=31&amp;end_year=2014","Jūrmala")</f>
        <v>Jūrmala</v>
      </c>
      <c r="H2287" s="87" t="str">
        <f>HYPERLINK("http://api.nsgreg.nga.mil/geo-division/GENC/6/ed2/LV-JUR","LV-JUR")</f>
        <v>LV-JUR</v>
      </c>
    </row>
    <row r="2288" spans="1:8" x14ac:dyDescent="0.2">
      <c r="A2288" s="157"/>
      <c r="B2288" s="31" t="s">
        <v>8708</v>
      </c>
      <c r="C2288" s="31" t="s">
        <v>8709</v>
      </c>
      <c r="D2288" s="31" t="s">
        <v>3254</v>
      </c>
      <c r="E2288" s="61" t="b">
        <v>1</v>
      </c>
      <c r="F2288" s="107" t="s">
        <v>8710</v>
      </c>
      <c r="G2288" s="116" t="str">
        <f>HYPERLINK("http://nsgreg.nga.mil/genc/view?v=201881&amp;end_month=3&amp;end_day=31&amp;end_year=2014","Kandavas Novads")</f>
        <v>Kandavas Novads</v>
      </c>
      <c r="H2288" s="87" t="str">
        <f>HYPERLINK("http://api.nsgreg.nga.mil/geo-division/GENC/6/ed2/LV-043","LV-043")</f>
        <v>LV-043</v>
      </c>
    </row>
    <row r="2289" spans="1:8" x14ac:dyDescent="0.2">
      <c r="A2289" s="157"/>
      <c r="B2289" s="31" t="s">
        <v>8711</v>
      </c>
      <c r="C2289" s="31" t="s">
        <v>8712</v>
      </c>
      <c r="D2289" s="31" t="s">
        <v>3254</v>
      </c>
      <c r="E2289" s="61" t="b">
        <v>1</v>
      </c>
      <c r="F2289" s="107" t="s">
        <v>8713</v>
      </c>
      <c r="G2289" s="116" t="str">
        <f>HYPERLINK("http://nsgreg.nga.mil/genc/view?v=201882&amp;end_month=3&amp;end_day=31&amp;end_year=2014","Kārsavas Novads")</f>
        <v>Kārsavas Novads</v>
      </c>
      <c r="H2289" s="87" t="str">
        <f>HYPERLINK("http://api.nsgreg.nga.mil/geo-division/GENC/6/ed2/LV-044","LV-044")</f>
        <v>LV-044</v>
      </c>
    </row>
    <row r="2290" spans="1:8" x14ac:dyDescent="0.2">
      <c r="A2290" s="157"/>
      <c r="B2290" s="31" t="s">
        <v>8714</v>
      </c>
      <c r="C2290" s="31" t="s">
        <v>8715</v>
      </c>
      <c r="D2290" s="31" t="s">
        <v>3254</v>
      </c>
      <c r="E2290" s="61" t="b">
        <v>1</v>
      </c>
      <c r="F2290" s="107" t="s">
        <v>8716</v>
      </c>
      <c r="G2290" s="116" t="str">
        <f>HYPERLINK("http://nsgreg.nga.mil/genc/view?v=201883&amp;end_month=3&amp;end_day=31&amp;end_year=2014","Ķeguma Novads")</f>
        <v>Ķeguma Novads</v>
      </c>
      <c r="H2290" s="87" t="str">
        <f>HYPERLINK("http://api.nsgreg.nga.mil/geo-division/GENC/6/ed2/LV-051","LV-051")</f>
        <v>LV-051</v>
      </c>
    </row>
    <row r="2291" spans="1:8" x14ac:dyDescent="0.2">
      <c r="A2291" s="157"/>
      <c r="B2291" s="31" t="s">
        <v>8717</v>
      </c>
      <c r="C2291" s="31" t="s">
        <v>8718</v>
      </c>
      <c r="D2291" s="31" t="s">
        <v>3254</v>
      </c>
      <c r="E2291" s="61" t="b">
        <v>1</v>
      </c>
      <c r="F2291" s="107" t="s">
        <v>8719</v>
      </c>
      <c r="G2291" s="116" t="str">
        <f>HYPERLINK("http://nsgreg.nga.mil/genc/view?v=201884&amp;end_month=3&amp;end_day=31&amp;end_year=2014","Ķekavas Novads")</f>
        <v>Ķekavas Novads</v>
      </c>
      <c r="H2291" s="87" t="str">
        <f>HYPERLINK("http://api.nsgreg.nga.mil/geo-division/GENC/6/ed2/LV-052","LV-052")</f>
        <v>LV-052</v>
      </c>
    </row>
    <row r="2292" spans="1:8" x14ac:dyDescent="0.2">
      <c r="A2292" s="157"/>
      <c r="B2292" s="31" t="s">
        <v>8720</v>
      </c>
      <c r="C2292" s="31" t="s">
        <v>8721</v>
      </c>
      <c r="D2292" s="31" t="s">
        <v>3254</v>
      </c>
      <c r="E2292" s="61" t="b">
        <v>1</v>
      </c>
      <c r="F2292" s="107" t="s">
        <v>8722</v>
      </c>
      <c r="G2292" s="116" t="str">
        <f>HYPERLINK("http://nsgreg.nga.mil/genc/view?v=201885&amp;end_month=3&amp;end_day=31&amp;end_year=2014","Kocēnu Novads")</f>
        <v>Kocēnu Novads</v>
      </c>
      <c r="H2292" s="87" t="str">
        <f>HYPERLINK("http://api.nsgreg.nga.mil/geo-division/GENC/6/ed2/LV-045","LV-045")</f>
        <v>LV-045</v>
      </c>
    </row>
    <row r="2293" spans="1:8" x14ac:dyDescent="0.2">
      <c r="A2293" s="157"/>
      <c r="B2293" s="31" t="s">
        <v>8723</v>
      </c>
      <c r="C2293" s="31" t="s">
        <v>8724</v>
      </c>
      <c r="D2293" s="31" t="s">
        <v>3254</v>
      </c>
      <c r="E2293" s="61" t="b">
        <v>1</v>
      </c>
      <c r="F2293" s="107" t="s">
        <v>8725</v>
      </c>
      <c r="G2293" s="116" t="str">
        <f>HYPERLINK("http://nsgreg.nga.mil/genc/view?v=201886&amp;end_month=3&amp;end_day=31&amp;end_year=2014","Kokneses Novads")</f>
        <v>Kokneses Novads</v>
      </c>
      <c r="H2293" s="87" t="str">
        <f>HYPERLINK("http://api.nsgreg.nga.mil/geo-division/GENC/6/ed2/LV-046","LV-046")</f>
        <v>LV-046</v>
      </c>
    </row>
    <row r="2294" spans="1:8" x14ac:dyDescent="0.2">
      <c r="A2294" s="157"/>
      <c r="B2294" s="31" t="s">
        <v>8726</v>
      </c>
      <c r="C2294" s="31" t="s">
        <v>8727</v>
      </c>
      <c r="D2294" s="31" t="s">
        <v>3254</v>
      </c>
      <c r="E2294" s="61" t="b">
        <v>1</v>
      </c>
      <c r="F2294" s="107" t="s">
        <v>8728</v>
      </c>
      <c r="G2294" s="116" t="str">
        <f>HYPERLINK("http://nsgreg.nga.mil/genc/view?v=201887&amp;end_month=3&amp;end_day=31&amp;end_year=2014","Krāslavas Novads")</f>
        <v>Krāslavas Novads</v>
      </c>
      <c r="H2294" s="87" t="str">
        <f>HYPERLINK("http://api.nsgreg.nga.mil/geo-division/GENC/6/ed2/LV-047","LV-047")</f>
        <v>LV-047</v>
      </c>
    </row>
    <row r="2295" spans="1:8" x14ac:dyDescent="0.2">
      <c r="A2295" s="157"/>
      <c r="B2295" s="31" t="s">
        <v>8729</v>
      </c>
      <c r="C2295" s="31" t="s">
        <v>8730</v>
      </c>
      <c r="D2295" s="31" t="s">
        <v>3254</v>
      </c>
      <c r="E2295" s="61" t="b">
        <v>1</v>
      </c>
      <c r="F2295" s="107" t="s">
        <v>8731</v>
      </c>
      <c r="G2295" s="116" t="str">
        <f>HYPERLINK("http://nsgreg.nga.mil/genc/view?v=201888&amp;end_month=3&amp;end_day=31&amp;end_year=2014","Krimuldas Novads")</f>
        <v>Krimuldas Novads</v>
      </c>
      <c r="H2295" s="87" t="str">
        <f>HYPERLINK("http://api.nsgreg.nga.mil/geo-division/GENC/6/ed2/LV-048","LV-048")</f>
        <v>LV-048</v>
      </c>
    </row>
    <row r="2296" spans="1:8" x14ac:dyDescent="0.2">
      <c r="A2296" s="157"/>
      <c r="B2296" s="31" t="s">
        <v>8732</v>
      </c>
      <c r="C2296" s="31" t="s">
        <v>8733</v>
      </c>
      <c r="D2296" s="31" t="s">
        <v>3254</v>
      </c>
      <c r="E2296" s="61" t="b">
        <v>1</v>
      </c>
      <c r="F2296" s="107" t="s">
        <v>8734</v>
      </c>
      <c r="G2296" s="116" t="str">
        <f>HYPERLINK("http://nsgreg.nga.mil/genc/view?v=201889&amp;end_month=3&amp;end_day=31&amp;end_year=2014","Krustpils Novads")</f>
        <v>Krustpils Novads</v>
      </c>
      <c r="H2296" s="87" t="str">
        <f>HYPERLINK("http://api.nsgreg.nga.mil/geo-division/GENC/6/ed2/LV-049","LV-049")</f>
        <v>LV-049</v>
      </c>
    </row>
    <row r="2297" spans="1:8" x14ac:dyDescent="0.2">
      <c r="A2297" s="157"/>
      <c r="B2297" s="31" t="s">
        <v>8735</v>
      </c>
      <c r="C2297" s="31" t="s">
        <v>8736</v>
      </c>
      <c r="D2297" s="31" t="s">
        <v>3254</v>
      </c>
      <c r="E2297" s="61" t="b">
        <v>1</v>
      </c>
      <c r="F2297" s="107" t="s">
        <v>8737</v>
      </c>
      <c r="G2297" s="116" t="str">
        <f>HYPERLINK("http://nsgreg.nga.mil/genc/view?v=201890&amp;end_month=3&amp;end_day=31&amp;end_year=2014","Kuldīgas Novads")</f>
        <v>Kuldīgas Novads</v>
      </c>
      <c r="H2297" s="87" t="str">
        <f>HYPERLINK("http://api.nsgreg.nga.mil/geo-division/GENC/6/ed2/LV-050","LV-050")</f>
        <v>LV-050</v>
      </c>
    </row>
    <row r="2298" spans="1:8" x14ac:dyDescent="0.2">
      <c r="A2298" s="157"/>
      <c r="B2298" s="31" t="s">
        <v>8738</v>
      </c>
      <c r="C2298" s="31" t="s">
        <v>8739</v>
      </c>
      <c r="D2298" s="31" t="s">
        <v>3254</v>
      </c>
      <c r="E2298" s="61" t="b">
        <v>1</v>
      </c>
      <c r="F2298" s="107" t="s">
        <v>8740</v>
      </c>
      <c r="G2298" s="116" t="str">
        <f>HYPERLINK("http://nsgreg.nga.mil/genc/view?v=201891&amp;end_month=3&amp;end_day=31&amp;end_year=2014","Lielvārdes Novads")</f>
        <v>Lielvārdes Novads</v>
      </c>
      <c r="H2298" s="87" t="str">
        <f>HYPERLINK("http://api.nsgreg.nga.mil/geo-division/GENC/6/ed2/LV-053","LV-053")</f>
        <v>LV-053</v>
      </c>
    </row>
    <row r="2299" spans="1:8" x14ac:dyDescent="0.2">
      <c r="A2299" s="157"/>
      <c r="B2299" s="31" t="s">
        <v>8741</v>
      </c>
      <c r="C2299" s="31" t="s">
        <v>8742</v>
      </c>
      <c r="D2299" s="31" t="s">
        <v>8643</v>
      </c>
      <c r="E2299" s="61" t="b">
        <v>1</v>
      </c>
      <c r="F2299" s="107" t="s">
        <v>8743</v>
      </c>
      <c r="G2299" s="116" t="str">
        <f>HYPERLINK("http://nsgreg.nga.mil/genc/view?v=201953&amp;end_month=3&amp;end_day=31&amp;end_year=2014","Liepāja")</f>
        <v>Liepāja</v>
      </c>
      <c r="H2299" s="87" t="str">
        <f>HYPERLINK("http://api.nsgreg.nga.mil/geo-division/GENC/6/ed2/LV-LPX","LV-LPX")</f>
        <v>LV-LPX</v>
      </c>
    </row>
    <row r="2300" spans="1:8" x14ac:dyDescent="0.2">
      <c r="A2300" s="157"/>
      <c r="B2300" s="31" t="s">
        <v>8744</v>
      </c>
      <c r="C2300" s="31" t="s">
        <v>8745</v>
      </c>
      <c r="D2300" s="31" t="s">
        <v>3254</v>
      </c>
      <c r="E2300" s="61" t="b">
        <v>1</v>
      </c>
      <c r="F2300" s="107" t="s">
        <v>8746</v>
      </c>
      <c r="G2300" s="116" t="str">
        <f>HYPERLINK("http://nsgreg.nga.mil/genc/view?v=201893&amp;end_month=3&amp;end_day=31&amp;end_year=2014","Līgatnes Novads")</f>
        <v>Līgatnes Novads</v>
      </c>
      <c r="H2300" s="87" t="str">
        <f>HYPERLINK("http://api.nsgreg.nga.mil/geo-division/GENC/6/ed2/LV-055","LV-055")</f>
        <v>LV-055</v>
      </c>
    </row>
    <row r="2301" spans="1:8" x14ac:dyDescent="0.2">
      <c r="A2301" s="157"/>
      <c r="B2301" s="31" t="s">
        <v>8747</v>
      </c>
      <c r="C2301" s="31" t="s">
        <v>8748</v>
      </c>
      <c r="D2301" s="31" t="s">
        <v>3254</v>
      </c>
      <c r="E2301" s="61" t="b">
        <v>1</v>
      </c>
      <c r="F2301" s="107" t="s">
        <v>8749</v>
      </c>
      <c r="G2301" s="116" t="str">
        <f>HYPERLINK("http://nsgreg.nga.mil/genc/view?v=201892&amp;end_month=3&amp;end_day=31&amp;end_year=2014","Limbažu Novads")</f>
        <v>Limbažu Novads</v>
      </c>
      <c r="H2301" s="87" t="str">
        <f>HYPERLINK("http://api.nsgreg.nga.mil/geo-division/GENC/6/ed2/LV-054","LV-054")</f>
        <v>LV-054</v>
      </c>
    </row>
    <row r="2302" spans="1:8" x14ac:dyDescent="0.2">
      <c r="A2302" s="157"/>
      <c r="B2302" s="31" t="s">
        <v>8750</v>
      </c>
      <c r="C2302" s="31" t="s">
        <v>8751</v>
      </c>
      <c r="D2302" s="31" t="s">
        <v>3254</v>
      </c>
      <c r="E2302" s="61" t="b">
        <v>1</v>
      </c>
      <c r="F2302" s="107" t="s">
        <v>8752</v>
      </c>
      <c r="G2302" s="116" t="str">
        <f>HYPERLINK("http://nsgreg.nga.mil/genc/view?v=201894&amp;end_month=3&amp;end_day=31&amp;end_year=2014","Līvānu Novads")</f>
        <v>Līvānu Novads</v>
      </c>
      <c r="H2302" s="87" t="str">
        <f>HYPERLINK("http://api.nsgreg.nga.mil/geo-division/GENC/6/ed2/LV-056","LV-056")</f>
        <v>LV-056</v>
      </c>
    </row>
    <row r="2303" spans="1:8" x14ac:dyDescent="0.2">
      <c r="A2303" s="157"/>
      <c r="B2303" s="31" t="s">
        <v>8753</v>
      </c>
      <c r="C2303" s="31" t="s">
        <v>8754</v>
      </c>
      <c r="D2303" s="31" t="s">
        <v>3254</v>
      </c>
      <c r="E2303" s="61" t="b">
        <v>1</v>
      </c>
      <c r="F2303" s="107" t="s">
        <v>8755</v>
      </c>
      <c r="G2303" s="116" t="str">
        <f>HYPERLINK("http://nsgreg.nga.mil/genc/view?v=201895&amp;end_month=3&amp;end_day=31&amp;end_year=2014","Lubānas Novads")</f>
        <v>Lubānas Novads</v>
      </c>
      <c r="H2303" s="87" t="str">
        <f>HYPERLINK("http://api.nsgreg.nga.mil/geo-division/GENC/6/ed2/LV-057","LV-057")</f>
        <v>LV-057</v>
      </c>
    </row>
    <row r="2304" spans="1:8" x14ac:dyDescent="0.2">
      <c r="A2304" s="157"/>
      <c r="B2304" s="31" t="s">
        <v>8756</v>
      </c>
      <c r="C2304" s="31" t="s">
        <v>8757</v>
      </c>
      <c r="D2304" s="31" t="s">
        <v>3254</v>
      </c>
      <c r="E2304" s="61" t="b">
        <v>1</v>
      </c>
      <c r="F2304" s="107" t="s">
        <v>8758</v>
      </c>
      <c r="G2304" s="116" t="str">
        <f>HYPERLINK("http://nsgreg.nga.mil/genc/view?v=201896&amp;end_month=3&amp;end_day=31&amp;end_year=2014","Ludzas Novads")</f>
        <v>Ludzas Novads</v>
      </c>
      <c r="H2304" s="87" t="str">
        <f>HYPERLINK("http://api.nsgreg.nga.mil/geo-division/GENC/6/ed2/LV-058","LV-058")</f>
        <v>LV-058</v>
      </c>
    </row>
    <row r="2305" spans="1:8" x14ac:dyDescent="0.2">
      <c r="A2305" s="157"/>
      <c r="B2305" s="31" t="s">
        <v>8759</v>
      </c>
      <c r="C2305" s="31" t="s">
        <v>8760</v>
      </c>
      <c r="D2305" s="31" t="s">
        <v>3254</v>
      </c>
      <c r="E2305" s="61" t="b">
        <v>1</v>
      </c>
      <c r="F2305" s="107" t="s">
        <v>8761</v>
      </c>
      <c r="G2305" s="116" t="str">
        <f>HYPERLINK("http://nsgreg.nga.mil/genc/view?v=201897&amp;end_month=3&amp;end_day=31&amp;end_year=2014","Madonas Novads")</f>
        <v>Madonas Novads</v>
      </c>
      <c r="H2305" s="87" t="str">
        <f>HYPERLINK("http://api.nsgreg.nga.mil/geo-division/GENC/6/ed2/LV-059","LV-059")</f>
        <v>LV-059</v>
      </c>
    </row>
    <row r="2306" spans="1:8" x14ac:dyDescent="0.2">
      <c r="A2306" s="157"/>
      <c r="B2306" s="31" t="s">
        <v>8762</v>
      </c>
      <c r="C2306" s="31" t="s">
        <v>8763</v>
      </c>
      <c r="D2306" s="31" t="s">
        <v>3254</v>
      </c>
      <c r="E2306" s="61" t="b">
        <v>1</v>
      </c>
      <c r="F2306" s="107" t="s">
        <v>8764</v>
      </c>
      <c r="G2306" s="116" t="str">
        <f>HYPERLINK("http://nsgreg.nga.mil/genc/view?v=201899&amp;end_month=3&amp;end_day=31&amp;end_year=2014","Mālpils Novads")</f>
        <v>Mālpils Novads</v>
      </c>
      <c r="H2306" s="87" t="str">
        <f>HYPERLINK("http://api.nsgreg.nga.mil/geo-division/GENC/6/ed2/LV-061","LV-061")</f>
        <v>LV-061</v>
      </c>
    </row>
    <row r="2307" spans="1:8" x14ac:dyDescent="0.2">
      <c r="A2307" s="157"/>
      <c r="B2307" s="31" t="s">
        <v>8765</v>
      </c>
      <c r="C2307" s="31" t="s">
        <v>8766</v>
      </c>
      <c r="D2307" s="31" t="s">
        <v>3254</v>
      </c>
      <c r="E2307" s="61" t="b">
        <v>1</v>
      </c>
      <c r="F2307" s="107" t="s">
        <v>8767</v>
      </c>
      <c r="G2307" s="116" t="str">
        <f>HYPERLINK("http://nsgreg.nga.mil/genc/view?v=201900&amp;end_month=3&amp;end_day=31&amp;end_year=2014","Mārupes Novads")</f>
        <v>Mārupes Novads</v>
      </c>
      <c r="H2307" s="87" t="str">
        <f>HYPERLINK("http://api.nsgreg.nga.mil/geo-division/GENC/6/ed2/LV-062","LV-062")</f>
        <v>LV-062</v>
      </c>
    </row>
    <row r="2308" spans="1:8" x14ac:dyDescent="0.2">
      <c r="A2308" s="157"/>
      <c r="B2308" s="31" t="s">
        <v>8768</v>
      </c>
      <c r="C2308" s="31" t="s">
        <v>8769</v>
      </c>
      <c r="D2308" s="31" t="s">
        <v>3254</v>
      </c>
      <c r="E2308" s="61" t="b">
        <v>1</v>
      </c>
      <c r="F2308" s="107" t="s">
        <v>8770</v>
      </c>
      <c r="G2308" s="116" t="str">
        <f>HYPERLINK("http://nsgreg.nga.mil/genc/view?v=201898&amp;end_month=3&amp;end_day=31&amp;end_year=2014","Mazsalacas Novads")</f>
        <v>Mazsalacas Novads</v>
      </c>
      <c r="H2308" s="87" t="str">
        <f>HYPERLINK("http://api.nsgreg.nga.mil/geo-division/GENC/6/ed2/LV-060","LV-060")</f>
        <v>LV-060</v>
      </c>
    </row>
    <row r="2309" spans="1:8" x14ac:dyDescent="0.2">
      <c r="A2309" s="157"/>
      <c r="B2309" s="31" t="s">
        <v>8771</v>
      </c>
      <c r="C2309" s="31" t="s">
        <v>8772</v>
      </c>
      <c r="D2309" s="31" t="s">
        <v>3254</v>
      </c>
      <c r="E2309" s="61" t="b">
        <v>1</v>
      </c>
      <c r="F2309" s="107" t="s">
        <v>8773</v>
      </c>
      <c r="G2309" s="116" t="str">
        <f>HYPERLINK("http://nsgreg.nga.mil/genc/view?v=201901&amp;end_month=3&amp;end_day=31&amp;end_year=2014","Mērsraga Novads")</f>
        <v>Mērsraga Novads</v>
      </c>
      <c r="H2309" s="87" t="str">
        <f>HYPERLINK("http://api.nsgreg.nga.mil/geo-division/GENC/6/ed2/LV-063","LV-063")</f>
        <v>LV-063</v>
      </c>
    </row>
    <row r="2310" spans="1:8" x14ac:dyDescent="0.2">
      <c r="A2310" s="157"/>
      <c r="B2310" s="31" t="s">
        <v>8774</v>
      </c>
      <c r="C2310" s="31" t="s">
        <v>8775</v>
      </c>
      <c r="D2310" s="31" t="s">
        <v>3254</v>
      </c>
      <c r="E2310" s="61" t="b">
        <v>1</v>
      </c>
      <c r="F2310" s="107" t="s">
        <v>8776</v>
      </c>
      <c r="G2310" s="116" t="str">
        <f>HYPERLINK("http://nsgreg.nga.mil/genc/view?v=201902&amp;end_month=3&amp;end_day=31&amp;end_year=2014","Naukšēnu Novads")</f>
        <v>Naukšēnu Novads</v>
      </c>
      <c r="H2310" s="87" t="str">
        <f>HYPERLINK("http://api.nsgreg.nga.mil/geo-division/GENC/6/ed2/LV-064","LV-064")</f>
        <v>LV-064</v>
      </c>
    </row>
    <row r="2311" spans="1:8" x14ac:dyDescent="0.2">
      <c r="A2311" s="157"/>
      <c r="B2311" s="31" t="s">
        <v>8777</v>
      </c>
      <c r="C2311" s="31" t="s">
        <v>8778</v>
      </c>
      <c r="D2311" s="31" t="s">
        <v>3254</v>
      </c>
      <c r="E2311" s="61" t="b">
        <v>1</v>
      </c>
      <c r="F2311" s="107" t="s">
        <v>8779</v>
      </c>
      <c r="G2311" s="116" t="str">
        <f>HYPERLINK("http://nsgreg.nga.mil/genc/view?v=201903&amp;end_month=3&amp;end_day=31&amp;end_year=2014","Neretas Novads")</f>
        <v>Neretas Novads</v>
      </c>
      <c r="H2311" s="87" t="str">
        <f>HYPERLINK("http://api.nsgreg.nga.mil/geo-division/GENC/6/ed2/LV-065","LV-065")</f>
        <v>LV-065</v>
      </c>
    </row>
    <row r="2312" spans="1:8" x14ac:dyDescent="0.2">
      <c r="A2312" s="157"/>
      <c r="B2312" s="31" t="s">
        <v>8780</v>
      </c>
      <c r="C2312" s="31" t="s">
        <v>8781</v>
      </c>
      <c r="D2312" s="31" t="s">
        <v>3254</v>
      </c>
      <c r="E2312" s="61" t="b">
        <v>1</v>
      </c>
      <c r="F2312" s="107" t="s">
        <v>8782</v>
      </c>
      <c r="G2312" s="116" t="str">
        <f>HYPERLINK("http://nsgreg.nga.mil/genc/view?v=201904&amp;end_month=3&amp;end_day=31&amp;end_year=2014","Nīcas Novads")</f>
        <v>Nīcas Novads</v>
      </c>
      <c r="H2312" s="87" t="str">
        <f>HYPERLINK("http://api.nsgreg.nga.mil/geo-division/GENC/6/ed2/LV-066","LV-066")</f>
        <v>LV-066</v>
      </c>
    </row>
    <row r="2313" spans="1:8" x14ac:dyDescent="0.2">
      <c r="A2313" s="157"/>
      <c r="B2313" s="31" t="s">
        <v>8783</v>
      </c>
      <c r="C2313" s="31" t="s">
        <v>8784</v>
      </c>
      <c r="D2313" s="31" t="s">
        <v>3254</v>
      </c>
      <c r="E2313" s="61" t="b">
        <v>1</v>
      </c>
      <c r="F2313" s="107" t="s">
        <v>8785</v>
      </c>
      <c r="G2313" s="116" t="str">
        <f>HYPERLINK("http://nsgreg.nga.mil/genc/view?v=201905&amp;end_month=3&amp;end_day=31&amp;end_year=2014","Ogres Novads")</f>
        <v>Ogres Novads</v>
      </c>
      <c r="H2313" s="87" t="str">
        <f>HYPERLINK("http://api.nsgreg.nga.mil/geo-division/GENC/6/ed2/LV-067","LV-067")</f>
        <v>LV-067</v>
      </c>
    </row>
    <row r="2314" spans="1:8" x14ac:dyDescent="0.2">
      <c r="A2314" s="157"/>
      <c r="B2314" s="31" t="s">
        <v>8786</v>
      </c>
      <c r="C2314" s="31" t="s">
        <v>8787</v>
      </c>
      <c r="D2314" s="31" t="s">
        <v>3254</v>
      </c>
      <c r="E2314" s="61" t="b">
        <v>1</v>
      </c>
      <c r="F2314" s="107" t="s">
        <v>8788</v>
      </c>
      <c r="G2314" s="116" t="str">
        <f>HYPERLINK("http://nsgreg.nga.mil/genc/view?v=201906&amp;end_month=3&amp;end_day=31&amp;end_year=2014","Olaines Novads")</f>
        <v>Olaines Novads</v>
      </c>
      <c r="H2314" s="87" t="str">
        <f>HYPERLINK("http://api.nsgreg.nga.mil/geo-division/GENC/6/ed2/LV-068","LV-068")</f>
        <v>LV-068</v>
      </c>
    </row>
    <row r="2315" spans="1:8" x14ac:dyDescent="0.2">
      <c r="A2315" s="157"/>
      <c r="B2315" s="31" t="s">
        <v>8789</v>
      </c>
      <c r="C2315" s="31" t="s">
        <v>8790</v>
      </c>
      <c r="D2315" s="31" t="s">
        <v>3254</v>
      </c>
      <c r="E2315" s="61" t="b">
        <v>1</v>
      </c>
      <c r="F2315" s="107" t="s">
        <v>8791</v>
      </c>
      <c r="G2315" s="116" t="str">
        <f>HYPERLINK("http://nsgreg.nga.mil/genc/view?v=201907&amp;end_month=3&amp;end_day=31&amp;end_year=2014","Ozolnieku Novads")</f>
        <v>Ozolnieku Novads</v>
      </c>
      <c r="H2315" s="87" t="str">
        <f>HYPERLINK("http://api.nsgreg.nga.mil/geo-division/GENC/6/ed2/LV-069","LV-069")</f>
        <v>LV-069</v>
      </c>
    </row>
    <row r="2316" spans="1:8" x14ac:dyDescent="0.2">
      <c r="A2316" s="157"/>
      <c r="B2316" s="31" t="s">
        <v>8792</v>
      </c>
      <c r="C2316" s="31" t="s">
        <v>8793</v>
      </c>
      <c r="D2316" s="31" t="s">
        <v>3254</v>
      </c>
      <c r="E2316" s="61" t="b">
        <v>1</v>
      </c>
      <c r="F2316" s="107" t="s">
        <v>8794</v>
      </c>
      <c r="G2316" s="116" t="str">
        <f>HYPERLINK("http://nsgreg.nga.mil/genc/view?v=201908&amp;end_month=3&amp;end_day=31&amp;end_year=2014","Pārgaujas Novads")</f>
        <v>Pārgaujas Novads</v>
      </c>
      <c r="H2316" s="87" t="str">
        <f>HYPERLINK("http://api.nsgreg.nga.mil/geo-division/GENC/6/ed2/LV-070","LV-070")</f>
        <v>LV-070</v>
      </c>
    </row>
    <row r="2317" spans="1:8" x14ac:dyDescent="0.2">
      <c r="A2317" s="157"/>
      <c r="B2317" s="31" t="s">
        <v>8795</v>
      </c>
      <c r="C2317" s="31" t="s">
        <v>8796</v>
      </c>
      <c r="D2317" s="31" t="s">
        <v>3254</v>
      </c>
      <c r="E2317" s="61" t="b">
        <v>1</v>
      </c>
      <c r="F2317" s="107" t="s">
        <v>8797</v>
      </c>
      <c r="G2317" s="116" t="str">
        <f>HYPERLINK("http://nsgreg.nga.mil/genc/view?v=201909&amp;end_month=3&amp;end_day=31&amp;end_year=2014","Pāvilostas Novads")</f>
        <v>Pāvilostas Novads</v>
      </c>
      <c r="H2317" s="87" t="str">
        <f>HYPERLINK("http://api.nsgreg.nga.mil/geo-division/GENC/6/ed2/LV-071","LV-071")</f>
        <v>LV-071</v>
      </c>
    </row>
    <row r="2318" spans="1:8" x14ac:dyDescent="0.2">
      <c r="A2318" s="157"/>
      <c r="B2318" s="31" t="s">
        <v>8798</v>
      </c>
      <c r="C2318" s="31" t="s">
        <v>8799</v>
      </c>
      <c r="D2318" s="31" t="s">
        <v>3254</v>
      </c>
      <c r="E2318" s="61" t="b">
        <v>1</v>
      </c>
      <c r="F2318" s="107" t="s">
        <v>8800</v>
      </c>
      <c r="G2318" s="116" t="str">
        <f>HYPERLINK("http://nsgreg.nga.mil/genc/view?v=201910&amp;end_month=3&amp;end_day=31&amp;end_year=2014","Pļaviņu Novads")</f>
        <v>Pļaviņu Novads</v>
      </c>
      <c r="H2318" s="87" t="str">
        <f>HYPERLINK("http://api.nsgreg.nga.mil/geo-division/GENC/6/ed2/LV-072","LV-072")</f>
        <v>LV-072</v>
      </c>
    </row>
    <row r="2319" spans="1:8" x14ac:dyDescent="0.2">
      <c r="A2319" s="157"/>
      <c r="B2319" s="31" t="s">
        <v>8801</v>
      </c>
      <c r="C2319" s="31" t="s">
        <v>8802</v>
      </c>
      <c r="D2319" s="31" t="s">
        <v>3254</v>
      </c>
      <c r="E2319" s="61" t="b">
        <v>1</v>
      </c>
      <c r="F2319" s="107" t="s">
        <v>8803</v>
      </c>
      <c r="G2319" s="116" t="str">
        <f>HYPERLINK("http://nsgreg.nga.mil/genc/view?v=201911&amp;end_month=3&amp;end_day=31&amp;end_year=2014","Preiļu Novads")</f>
        <v>Preiļu Novads</v>
      </c>
      <c r="H2319" s="87" t="str">
        <f>HYPERLINK("http://api.nsgreg.nga.mil/geo-division/GENC/6/ed2/LV-073","LV-073")</f>
        <v>LV-073</v>
      </c>
    </row>
    <row r="2320" spans="1:8" x14ac:dyDescent="0.2">
      <c r="A2320" s="157"/>
      <c r="B2320" s="31" t="s">
        <v>8804</v>
      </c>
      <c r="C2320" s="31" t="s">
        <v>8805</v>
      </c>
      <c r="D2320" s="31" t="s">
        <v>3254</v>
      </c>
      <c r="E2320" s="61" t="b">
        <v>1</v>
      </c>
      <c r="F2320" s="107" t="s">
        <v>8806</v>
      </c>
      <c r="G2320" s="116" t="str">
        <f>HYPERLINK("http://nsgreg.nga.mil/genc/view?v=201912&amp;end_month=3&amp;end_day=31&amp;end_year=2014","Priekules Novads")</f>
        <v>Priekules Novads</v>
      </c>
      <c r="H2320" s="87" t="str">
        <f>HYPERLINK("http://api.nsgreg.nga.mil/geo-division/GENC/6/ed2/LV-074","LV-074")</f>
        <v>LV-074</v>
      </c>
    </row>
    <row r="2321" spans="1:8" x14ac:dyDescent="0.2">
      <c r="A2321" s="157"/>
      <c r="B2321" s="31" t="s">
        <v>8807</v>
      </c>
      <c r="C2321" s="31" t="s">
        <v>8808</v>
      </c>
      <c r="D2321" s="31" t="s">
        <v>3254</v>
      </c>
      <c r="E2321" s="61" t="b">
        <v>1</v>
      </c>
      <c r="F2321" s="107" t="s">
        <v>8809</v>
      </c>
      <c r="G2321" s="116" t="str">
        <f>HYPERLINK("http://nsgreg.nga.mil/genc/view?v=201913&amp;end_month=3&amp;end_day=31&amp;end_year=2014","Priekuļu Novads")</f>
        <v>Priekuļu Novads</v>
      </c>
      <c r="H2321" s="87" t="str">
        <f>HYPERLINK("http://api.nsgreg.nga.mil/geo-division/GENC/6/ed2/LV-075","LV-075")</f>
        <v>LV-075</v>
      </c>
    </row>
    <row r="2322" spans="1:8" x14ac:dyDescent="0.2">
      <c r="A2322" s="157"/>
      <c r="B2322" s="31" t="s">
        <v>8810</v>
      </c>
      <c r="C2322" s="31" t="s">
        <v>8811</v>
      </c>
      <c r="D2322" s="31" t="s">
        <v>3254</v>
      </c>
      <c r="E2322" s="61" t="b">
        <v>1</v>
      </c>
      <c r="F2322" s="107" t="s">
        <v>8812</v>
      </c>
      <c r="G2322" s="116" t="str">
        <f>HYPERLINK("http://nsgreg.nga.mil/genc/view?v=201914&amp;end_month=3&amp;end_day=31&amp;end_year=2014","Raunas Novads")</f>
        <v>Raunas Novads</v>
      </c>
      <c r="H2322" s="87" t="str">
        <f>HYPERLINK("http://api.nsgreg.nga.mil/geo-division/GENC/6/ed2/LV-076","LV-076")</f>
        <v>LV-076</v>
      </c>
    </row>
    <row r="2323" spans="1:8" x14ac:dyDescent="0.2">
      <c r="A2323" s="157"/>
      <c r="B2323" s="31" t="s">
        <v>8813</v>
      </c>
      <c r="C2323" s="31" t="s">
        <v>8814</v>
      </c>
      <c r="D2323" s="31" t="s">
        <v>8643</v>
      </c>
      <c r="E2323" s="61" t="b">
        <v>1</v>
      </c>
      <c r="F2323" s="107" t="s">
        <v>8815</v>
      </c>
      <c r="G2323" s="116" t="str">
        <f>HYPERLINK("http://nsgreg.nga.mil/genc/view?v=201954&amp;end_month=3&amp;end_day=31&amp;end_year=2014","Rēzekne")</f>
        <v>Rēzekne</v>
      </c>
      <c r="H2323" s="87" t="str">
        <f>HYPERLINK("http://api.nsgreg.nga.mil/geo-division/GENC/6/ed2/LV-REZ","LV-REZ")</f>
        <v>LV-REZ</v>
      </c>
    </row>
    <row r="2324" spans="1:8" x14ac:dyDescent="0.2">
      <c r="A2324" s="157"/>
      <c r="B2324" s="31" t="s">
        <v>8816</v>
      </c>
      <c r="C2324" s="31" t="s">
        <v>8817</v>
      </c>
      <c r="D2324" s="31" t="s">
        <v>3254</v>
      </c>
      <c r="E2324" s="61" t="b">
        <v>1</v>
      </c>
      <c r="F2324" s="107" t="s">
        <v>8818</v>
      </c>
      <c r="G2324" s="116" t="str">
        <f>HYPERLINK("http://nsgreg.nga.mil/genc/view?v=201915&amp;end_month=3&amp;end_day=31&amp;end_year=2014","Rēzeknes Novads")</f>
        <v>Rēzeknes Novads</v>
      </c>
      <c r="H2324" s="87" t="str">
        <f>HYPERLINK("http://api.nsgreg.nga.mil/geo-division/GENC/6/ed2/LV-077","LV-077")</f>
        <v>LV-077</v>
      </c>
    </row>
    <row r="2325" spans="1:8" x14ac:dyDescent="0.2">
      <c r="A2325" s="157"/>
      <c r="B2325" s="31" t="s">
        <v>8819</v>
      </c>
      <c r="C2325" s="31" t="s">
        <v>8820</v>
      </c>
      <c r="D2325" s="31" t="s">
        <v>3254</v>
      </c>
      <c r="E2325" s="61" t="b">
        <v>1</v>
      </c>
      <c r="F2325" s="107" t="s">
        <v>8821</v>
      </c>
      <c r="G2325" s="116" t="str">
        <f>HYPERLINK("http://nsgreg.nga.mil/genc/view?v=201916&amp;end_month=3&amp;end_day=31&amp;end_year=2014","Riebiņu Novads")</f>
        <v>Riebiņu Novads</v>
      </c>
      <c r="H2325" s="87" t="str">
        <f>HYPERLINK("http://api.nsgreg.nga.mil/geo-division/GENC/6/ed2/LV-078","LV-078")</f>
        <v>LV-078</v>
      </c>
    </row>
    <row r="2326" spans="1:8" x14ac:dyDescent="0.2">
      <c r="A2326" s="157"/>
      <c r="B2326" s="31" t="s">
        <v>8822</v>
      </c>
      <c r="C2326" s="31" t="s">
        <v>8823</v>
      </c>
      <c r="D2326" s="31" t="s">
        <v>8643</v>
      </c>
      <c r="E2326" s="61" t="b">
        <v>1</v>
      </c>
      <c r="F2326" s="107" t="s">
        <v>8824</v>
      </c>
      <c r="G2326" s="116" t="str">
        <f>HYPERLINK("http://nsgreg.nga.mil/genc/view?v=201955&amp;end_month=3&amp;end_day=31&amp;end_year=2014","Rīga")</f>
        <v>Rīga</v>
      </c>
      <c r="H2326" s="87" t="str">
        <f>HYPERLINK("http://api.nsgreg.nga.mil/geo-division/GENC/6/ed2/LV-RIX","LV-RIX")</f>
        <v>LV-RIX</v>
      </c>
    </row>
    <row r="2327" spans="1:8" x14ac:dyDescent="0.2">
      <c r="A2327" s="157"/>
      <c r="B2327" s="31" t="s">
        <v>8825</v>
      </c>
      <c r="C2327" s="31" t="s">
        <v>8826</v>
      </c>
      <c r="D2327" s="31" t="s">
        <v>3254</v>
      </c>
      <c r="E2327" s="61" t="b">
        <v>1</v>
      </c>
      <c r="F2327" s="107" t="s">
        <v>8827</v>
      </c>
      <c r="G2327" s="116" t="str">
        <f>HYPERLINK("http://nsgreg.nga.mil/genc/view?v=201917&amp;end_month=3&amp;end_day=31&amp;end_year=2014","Rojas Novads")</f>
        <v>Rojas Novads</v>
      </c>
      <c r="H2327" s="87" t="str">
        <f>HYPERLINK("http://api.nsgreg.nga.mil/geo-division/GENC/6/ed2/LV-079","LV-079")</f>
        <v>LV-079</v>
      </c>
    </row>
    <row r="2328" spans="1:8" x14ac:dyDescent="0.2">
      <c r="A2328" s="157"/>
      <c r="B2328" s="31" t="s">
        <v>8828</v>
      </c>
      <c r="C2328" s="31" t="s">
        <v>8829</v>
      </c>
      <c r="D2328" s="31" t="s">
        <v>3254</v>
      </c>
      <c r="E2328" s="61" t="b">
        <v>1</v>
      </c>
      <c r="F2328" s="107" t="s">
        <v>8830</v>
      </c>
      <c r="G2328" s="116" t="str">
        <f>HYPERLINK("http://nsgreg.nga.mil/genc/view?v=201918&amp;end_month=3&amp;end_day=31&amp;end_year=2014","Ropažu Novads")</f>
        <v>Ropažu Novads</v>
      </c>
      <c r="H2328" s="87" t="str">
        <f>HYPERLINK("http://api.nsgreg.nga.mil/geo-division/GENC/6/ed2/LV-080","LV-080")</f>
        <v>LV-080</v>
      </c>
    </row>
    <row r="2329" spans="1:8" x14ac:dyDescent="0.2">
      <c r="A2329" s="157"/>
      <c r="B2329" s="31" t="s">
        <v>8831</v>
      </c>
      <c r="C2329" s="31" t="s">
        <v>8832</v>
      </c>
      <c r="D2329" s="31" t="s">
        <v>3254</v>
      </c>
      <c r="E2329" s="61" t="b">
        <v>1</v>
      </c>
      <c r="F2329" s="107" t="s">
        <v>8833</v>
      </c>
      <c r="G2329" s="116" t="str">
        <f>HYPERLINK("http://nsgreg.nga.mil/genc/view?v=201919&amp;end_month=3&amp;end_day=31&amp;end_year=2014","Rucavas Novads")</f>
        <v>Rucavas Novads</v>
      </c>
      <c r="H2329" s="87" t="str">
        <f>HYPERLINK("http://api.nsgreg.nga.mil/geo-division/GENC/6/ed2/LV-081","LV-081")</f>
        <v>LV-081</v>
      </c>
    </row>
    <row r="2330" spans="1:8" x14ac:dyDescent="0.2">
      <c r="A2330" s="157"/>
      <c r="B2330" s="31" t="s">
        <v>8834</v>
      </c>
      <c r="C2330" s="31" t="s">
        <v>8835</v>
      </c>
      <c r="D2330" s="31" t="s">
        <v>3254</v>
      </c>
      <c r="E2330" s="61" t="b">
        <v>1</v>
      </c>
      <c r="F2330" s="107" t="s">
        <v>8836</v>
      </c>
      <c r="G2330" s="116" t="str">
        <f>HYPERLINK("http://nsgreg.nga.mil/genc/view?v=201920&amp;end_month=3&amp;end_day=31&amp;end_year=2014","Rugāju Novads")</f>
        <v>Rugāju Novads</v>
      </c>
      <c r="H2330" s="87" t="str">
        <f>HYPERLINK("http://api.nsgreg.nga.mil/geo-division/GENC/6/ed2/LV-082","LV-082")</f>
        <v>LV-082</v>
      </c>
    </row>
    <row r="2331" spans="1:8" x14ac:dyDescent="0.2">
      <c r="A2331" s="157"/>
      <c r="B2331" s="31" t="s">
        <v>8837</v>
      </c>
      <c r="C2331" s="31" t="s">
        <v>8838</v>
      </c>
      <c r="D2331" s="31" t="s">
        <v>3254</v>
      </c>
      <c r="E2331" s="61" t="b">
        <v>1</v>
      </c>
      <c r="F2331" s="107" t="s">
        <v>8839</v>
      </c>
      <c r="G2331" s="116" t="str">
        <f>HYPERLINK("http://nsgreg.nga.mil/genc/view?v=201922&amp;end_month=3&amp;end_day=31&amp;end_year=2014","Rūjienas Novads")</f>
        <v>Rūjienas Novads</v>
      </c>
      <c r="H2331" s="87" t="str">
        <f>HYPERLINK("http://api.nsgreg.nga.mil/geo-division/GENC/6/ed2/LV-084","LV-084")</f>
        <v>LV-084</v>
      </c>
    </row>
    <row r="2332" spans="1:8" x14ac:dyDescent="0.2">
      <c r="A2332" s="157"/>
      <c r="B2332" s="31" t="s">
        <v>8840</v>
      </c>
      <c r="C2332" s="31" t="s">
        <v>8841</v>
      </c>
      <c r="D2332" s="31" t="s">
        <v>3254</v>
      </c>
      <c r="E2332" s="61" t="b">
        <v>1</v>
      </c>
      <c r="F2332" s="107" t="s">
        <v>8842</v>
      </c>
      <c r="G2332" s="116" t="str">
        <f>HYPERLINK("http://nsgreg.nga.mil/genc/view?v=201921&amp;end_month=3&amp;end_day=31&amp;end_year=2014","Rundāles Novads")</f>
        <v>Rundāles Novads</v>
      </c>
      <c r="H2332" s="87" t="str">
        <f>HYPERLINK("http://api.nsgreg.nga.mil/geo-division/GENC/6/ed2/LV-083","LV-083")</f>
        <v>LV-083</v>
      </c>
    </row>
    <row r="2333" spans="1:8" x14ac:dyDescent="0.2">
      <c r="A2333" s="157"/>
      <c r="B2333" s="31" t="s">
        <v>8843</v>
      </c>
      <c r="C2333" s="31" t="s">
        <v>8844</v>
      </c>
      <c r="D2333" s="31" t="s">
        <v>3254</v>
      </c>
      <c r="E2333" s="61" t="b">
        <v>1</v>
      </c>
      <c r="F2333" s="107" t="s">
        <v>8845</v>
      </c>
      <c r="G2333" s="116" t="str">
        <f>HYPERLINK("http://nsgreg.nga.mil/genc/view?v=201924&amp;end_month=3&amp;end_day=31&amp;end_year=2014","Salacgrīvas Novads")</f>
        <v>Salacgrīvas Novads</v>
      </c>
      <c r="H2333" s="87" t="str">
        <f>HYPERLINK("http://api.nsgreg.nga.mil/geo-division/GENC/6/ed2/LV-086","LV-086")</f>
        <v>LV-086</v>
      </c>
    </row>
    <row r="2334" spans="1:8" x14ac:dyDescent="0.2">
      <c r="A2334" s="157"/>
      <c r="B2334" s="31" t="s">
        <v>8846</v>
      </c>
      <c r="C2334" s="31" t="s">
        <v>8847</v>
      </c>
      <c r="D2334" s="31" t="s">
        <v>3254</v>
      </c>
      <c r="E2334" s="61" t="b">
        <v>1</v>
      </c>
      <c r="F2334" s="107" t="s">
        <v>8848</v>
      </c>
      <c r="G2334" s="116" t="str">
        <f>HYPERLINK("http://nsgreg.nga.mil/genc/view?v=201923&amp;end_month=3&amp;end_day=31&amp;end_year=2014","Salas Novads")</f>
        <v>Salas Novads</v>
      </c>
      <c r="H2334" s="87" t="str">
        <f>HYPERLINK("http://api.nsgreg.nga.mil/geo-division/GENC/6/ed2/LV-085","LV-085")</f>
        <v>LV-085</v>
      </c>
    </row>
    <row r="2335" spans="1:8" x14ac:dyDescent="0.2">
      <c r="A2335" s="157"/>
      <c r="B2335" s="31" t="s">
        <v>8849</v>
      </c>
      <c r="C2335" s="31" t="s">
        <v>8850</v>
      </c>
      <c r="D2335" s="31" t="s">
        <v>3254</v>
      </c>
      <c r="E2335" s="61" t="b">
        <v>1</v>
      </c>
      <c r="F2335" s="107" t="s">
        <v>8851</v>
      </c>
      <c r="G2335" s="116" t="str">
        <f>HYPERLINK("http://nsgreg.nga.mil/genc/view?v=201925&amp;end_month=3&amp;end_day=31&amp;end_year=2014","Salaspils Novads")</f>
        <v>Salaspils Novads</v>
      </c>
      <c r="H2335" s="87" t="str">
        <f>HYPERLINK("http://api.nsgreg.nga.mil/geo-division/GENC/6/ed2/LV-087","LV-087")</f>
        <v>LV-087</v>
      </c>
    </row>
    <row r="2336" spans="1:8" x14ac:dyDescent="0.2">
      <c r="A2336" s="157"/>
      <c r="B2336" s="31" t="s">
        <v>8852</v>
      </c>
      <c r="C2336" s="31" t="s">
        <v>8853</v>
      </c>
      <c r="D2336" s="31" t="s">
        <v>3254</v>
      </c>
      <c r="E2336" s="61" t="b">
        <v>1</v>
      </c>
      <c r="F2336" s="107" t="s">
        <v>8854</v>
      </c>
      <c r="G2336" s="116" t="str">
        <f>HYPERLINK("http://nsgreg.nga.mil/genc/view?v=201926&amp;end_month=3&amp;end_day=31&amp;end_year=2014","Saldus Novads")</f>
        <v>Saldus Novads</v>
      </c>
      <c r="H2336" s="87" t="str">
        <f>HYPERLINK("http://api.nsgreg.nga.mil/geo-division/GENC/6/ed2/LV-088","LV-088")</f>
        <v>LV-088</v>
      </c>
    </row>
    <row r="2337" spans="1:8" x14ac:dyDescent="0.2">
      <c r="A2337" s="157"/>
      <c r="B2337" s="31" t="s">
        <v>8855</v>
      </c>
      <c r="C2337" s="31" t="s">
        <v>8856</v>
      </c>
      <c r="D2337" s="31" t="s">
        <v>3254</v>
      </c>
      <c r="E2337" s="61" t="b">
        <v>1</v>
      </c>
      <c r="F2337" s="107" t="s">
        <v>8857</v>
      </c>
      <c r="G2337" s="116" t="str">
        <f>HYPERLINK("http://nsgreg.nga.mil/genc/view?v=201927&amp;end_month=3&amp;end_day=31&amp;end_year=2014","Saulkrastu Novads")</f>
        <v>Saulkrastu Novads</v>
      </c>
      <c r="H2337" s="87" t="str">
        <f>HYPERLINK("http://api.nsgreg.nga.mil/geo-division/GENC/6/ed2/LV-089","LV-089")</f>
        <v>LV-089</v>
      </c>
    </row>
    <row r="2338" spans="1:8" x14ac:dyDescent="0.2">
      <c r="A2338" s="157"/>
      <c r="B2338" s="31" t="s">
        <v>8858</v>
      </c>
      <c r="C2338" s="31" t="s">
        <v>8859</v>
      </c>
      <c r="D2338" s="31" t="s">
        <v>3254</v>
      </c>
      <c r="E2338" s="61" t="b">
        <v>1</v>
      </c>
      <c r="F2338" s="107" t="s">
        <v>8860</v>
      </c>
      <c r="G2338" s="116" t="str">
        <f>HYPERLINK("http://nsgreg.nga.mil/genc/view?v=201928&amp;end_month=3&amp;end_day=31&amp;end_year=2014","Sējas Novads")</f>
        <v>Sējas Novads</v>
      </c>
      <c r="H2338" s="87" t="str">
        <f>HYPERLINK("http://api.nsgreg.nga.mil/geo-division/GENC/6/ed2/LV-090","LV-090")</f>
        <v>LV-090</v>
      </c>
    </row>
    <row r="2339" spans="1:8" x14ac:dyDescent="0.2">
      <c r="A2339" s="157"/>
      <c r="B2339" s="31" t="s">
        <v>8861</v>
      </c>
      <c r="C2339" s="31" t="s">
        <v>8862</v>
      </c>
      <c r="D2339" s="31" t="s">
        <v>3254</v>
      </c>
      <c r="E2339" s="61" t="b">
        <v>1</v>
      </c>
      <c r="F2339" s="107" t="s">
        <v>8863</v>
      </c>
      <c r="G2339" s="116" t="str">
        <f>HYPERLINK("http://nsgreg.nga.mil/genc/view?v=201929&amp;end_month=3&amp;end_day=31&amp;end_year=2014","Siguldas Novads")</f>
        <v>Siguldas Novads</v>
      </c>
      <c r="H2339" s="87" t="str">
        <f>HYPERLINK("http://api.nsgreg.nga.mil/geo-division/GENC/6/ed2/LV-091","LV-091")</f>
        <v>LV-091</v>
      </c>
    </row>
    <row r="2340" spans="1:8" x14ac:dyDescent="0.2">
      <c r="A2340" s="157"/>
      <c r="B2340" s="31" t="s">
        <v>8864</v>
      </c>
      <c r="C2340" s="31" t="s">
        <v>8865</v>
      </c>
      <c r="D2340" s="31" t="s">
        <v>3254</v>
      </c>
      <c r="E2340" s="61" t="b">
        <v>1</v>
      </c>
      <c r="F2340" s="107" t="s">
        <v>8866</v>
      </c>
      <c r="G2340" s="116" t="str">
        <f>HYPERLINK("http://nsgreg.nga.mil/genc/view?v=201930&amp;end_month=3&amp;end_day=31&amp;end_year=2014","Skrīveru Novads")</f>
        <v>Skrīveru Novads</v>
      </c>
      <c r="H2340" s="87" t="str">
        <f>HYPERLINK("http://api.nsgreg.nga.mil/geo-division/GENC/6/ed2/LV-092","LV-092")</f>
        <v>LV-092</v>
      </c>
    </row>
    <row r="2341" spans="1:8" x14ac:dyDescent="0.2">
      <c r="A2341" s="157"/>
      <c r="B2341" s="31" t="s">
        <v>8867</v>
      </c>
      <c r="C2341" s="31" t="s">
        <v>8868</v>
      </c>
      <c r="D2341" s="31" t="s">
        <v>3254</v>
      </c>
      <c r="E2341" s="61" t="b">
        <v>1</v>
      </c>
      <c r="F2341" s="107" t="s">
        <v>8869</v>
      </c>
      <c r="G2341" s="116" t="str">
        <f>HYPERLINK("http://nsgreg.nga.mil/genc/view?v=201931&amp;end_month=3&amp;end_day=31&amp;end_year=2014","Skrundas Novads")</f>
        <v>Skrundas Novads</v>
      </c>
      <c r="H2341" s="87" t="str">
        <f>HYPERLINK("http://api.nsgreg.nga.mil/geo-division/GENC/6/ed2/LV-093","LV-093")</f>
        <v>LV-093</v>
      </c>
    </row>
    <row r="2342" spans="1:8" x14ac:dyDescent="0.2">
      <c r="A2342" s="157"/>
      <c r="B2342" s="31" t="s">
        <v>8870</v>
      </c>
      <c r="C2342" s="31" t="s">
        <v>8871</v>
      </c>
      <c r="D2342" s="31" t="s">
        <v>3254</v>
      </c>
      <c r="E2342" s="61" t="b">
        <v>1</v>
      </c>
      <c r="F2342" s="107" t="s">
        <v>8872</v>
      </c>
      <c r="G2342" s="116" t="str">
        <f>HYPERLINK("http://nsgreg.nga.mil/genc/view?v=201932&amp;end_month=3&amp;end_day=31&amp;end_year=2014","Smiltenes Novads")</f>
        <v>Smiltenes Novads</v>
      </c>
      <c r="H2342" s="87" t="str">
        <f>HYPERLINK("http://api.nsgreg.nga.mil/geo-division/GENC/6/ed2/LV-094","LV-094")</f>
        <v>LV-094</v>
      </c>
    </row>
    <row r="2343" spans="1:8" x14ac:dyDescent="0.2">
      <c r="A2343" s="157"/>
      <c r="B2343" s="31" t="s">
        <v>8873</v>
      </c>
      <c r="C2343" s="31" t="s">
        <v>8874</v>
      </c>
      <c r="D2343" s="31" t="s">
        <v>3254</v>
      </c>
      <c r="E2343" s="61" t="b">
        <v>1</v>
      </c>
      <c r="F2343" s="107" t="s">
        <v>8875</v>
      </c>
      <c r="G2343" s="116" t="str">
        <f>HYPERLINK("http://nsgreg.nga.mil/genc/view?v=201933&amp;end_month=3&amp;end_day=31&amp;end_year=2014","Stopiņu Novads")</f>
        <v>Stopiņu Novads</v>
      </c>
      <c r="H2343" s="87" t="str">
        <f>HYPERLINK("http://api.nsgreg.nga.mil/geo-division/GENC/6/ed2/LV-095","LV-095")</f>
        <v>LV-095</v>
      </c>
    </row>
    <row r="2344" spans="1:8" x14ac:dyDescent="0.2">
      <c r="A2344" s="157"/>
      <c r="B2344" s="31" t="s">
        <v>8876</v>
      </c>
      <c r="C2344" s="31" t="s">
        <v>8877</v>
      </c>
      <c r="D2344" s="31" t="s">
        <v>3254</v>
      </c>
      <c r="E2344" s="61" t="b">
        <v>1</v>
      </c>
      <c r="F2344" s="107" t="s">
        <v>8878</v>
      </c>
      <c r="G2344" s="116" t="str">
        <f>HYPERLINK("http://nsgreg.nga.mil/genc/view?v=201934&amp;end_month=3&amp;end_day=31&amp;end_year=2014","Strenču Novads")</f>
        <v>Strenču Novads</v>
      </c>
      <c r="H2344" s="87" t="str">
        <f>HYPERLINK("http://api.nsgreg.nga.mil/geo-division/GENC/6/ed2/LV-096","LV-096")</f>
        <v>LV-096</v>
      </c>
    </row>
    <row r="2345" spans="1:8" x14ac:dyDescent="0.2">
      <c r="A2345" s="157"/>
      <c r="B2345" s="31" t="s">
        <v>8879</v>
      </c>
      <c r="C2345" s="31" t="s">
        <v>8880</v>
      </c>
      <c r="D2345" s="31" t="s">
        <v>3254</v>
      </c>
      <c r="E2345" s="61" t="b">
        <v>1</v>
      </c>
      <c r="F2345" s="107" t="s">
        <v>8881</v>
      </c>
      <c r="G2345" s="116" t="str">
        <f>HYPERLINK("http://nsgreg.nga.mil/genc/view?v=201935&amp;end_month=3&amp;end_day=31&amp;end_year=2014","Talsu Novads")</f>
        <v>Talsu Novads</v>
      </c>
      <c r="H2345" s="87" t="str">
        <f>HYPERLINK("http://api.nsgreg.nga.mil/geo-division/GENC/6/ed2/LV-097","LV-097")</f>
        <v>LV-097</v>
      </c>
    </row>
    <row r="2346" spans="1:8" x14ac:dyDescent="0.2">
      <c r="A2346" s="157"/>
      <c r="B2346" s="31" t="s">
        <v>8882</v>
      </c>
      <c r="C2346" s="31" t="s">
        <v>8883</v>
      </c>
      <c r="D2346" s="31" t="s">
        <v>3254</v>
      </c>
      <c r="E2346" s="61" t="b">
        <v>1</v>
      </c>
      <c r="F2346" s="107" t="s">
        <v>8884</v>
      </c>
      <c r="G2346" s="116" t="str">
        <f>HYPERLINK("http://nsgreg.nga.mil/genc/view?v=201936&amp;end_month=3&amp;end_day=31&amp;end_year=2014","Tērvetes Novads")</f>
        <v>Tērvetes Novads</v>
      </c>
      <c r="H2346" s="87" t="str">
        <f>HYPERLINK("http://api.nsgreg.nga.mil/geo-division/GENC/6/ed2/LV-098","LV-098")</f>
        <v>LV-098</v>
      </c>
    </row>
    <row r="2347" spans="1:8" x14ac:dyDescent="0.2">
      <c r="A2347" s="157"/>
      <c r="B2347" s="31" t="s">
        <v>8885</v>
      </c>
      <c r="C2347" s="31" t="s">
        <v>8886</v>
      </c>
      <c r="D2347" s="31" t="s">
        <v>3254</v>
      </c>
      <c r="E2347" s="61" t="b">
        <v>1</v>
      </c>
      <c r="F2347" s="107" t="s">
        <v>8887</v>
      </c>
      <c r="G2347" s="116" t="str">
        <f>HYPERLINK("http://nsgreg.nga.mil/genc/view?v=201937&amp;end_month=3&amp;end_day=31&amp;end_year=2014","Tukuma Novads")</f>
        <v>Tukuma Novads</v>
      </c>
      <c r="H2347" s="87" t="str">
        <f>HYPERLINK("http://api.nsgreg.nga.mil/geo-division/GENC/6/ed2/LV-099","LV-099")</f>
        <v>LV-099</v>
      </c>
    </row>
    <row r="2348" spans="1:8" x14ac:dyDescent="0.2">
      <c r="A2348" s="157"/>
      <c r="B2348" s="31" t="s">
        <v>8888</v>
      </c>
      <c r="C2348" s="31" t="s">
        <v>8889</v>
      </c>
      <c r="D2348" s="31" t="s">
        <v>3254</v>
      </c>
      <c r="E2348" s="61" t="b">
        <v>1</v>
      </c>
      <c r="F2348" s="107" t="s">
        <v>8890</v>
      </c>
      <c r="G2348" s="116" t="str">
        <f>HYPERLINK("http://nsgreg.nga.mil/genc/view?v=201938&amp;end_month=3&amp;end_day=31&amp;end_year=2014","Vaiņodes Novads")</f>
        <v>Vaiņodes Novads</v>
      </c>
      <c r="H2348" s="87" t="str">
        <f>HYPERLINK("http://api.nsgreg.nga.mil/geo-division/GENC/6/ed2/LV-100","LV-100")</f>
        <v>LV-100</v>
      </c>
    </row>
    <row r="2349" spans="1:8" x14ac:dyDescent="0.2">
      <c r="A2349" s="157"/>
      <c r="B2349" s="31" t="s">
        <v>8891</v>
      </c>
      <c r="C2349" s="31" t="s">
        <v>8892</v>
      </c>
      <c r="D2349" s="31" t="s">
        <v>3254</v>
      </c>
      <c r="E2349" s="61" t="b">
        <v>1</v>
      </c>
      <c r="F2349" s="107" t="s">
        <v>8893</v>
      </c>
      <c r="G2349" s="116" t="str">
        <f>HYPERLINK("http://nsgreg.nga.mil/genc/view?v=201939&amp;end_month=3&amp;end_day=31&amp;end_year=2014","Valkas Novads")</f>
        <v>Valkas Novads</v>
      </c>
      <c r="H2349" s="87" t="str">
        <f>HYPERLINK("http://api.nsgreg.nga.mil/geo-division/GENC/6/ed2/LV-101","LV-101")</f>
        <v>LV-101</v>
      </c>
    </row>
    <row r="2350" spans="1:8" x14ac:dyDescent="0.2">
      <c r="A2350" s="157"/>
      <c r="B2350" s="31" t="s">
        <v>8894</v>
      </c>
      <c r="C2350" s="31" t="s">
        <v>8895</v>
      </c>
      <c r="D2350" s="31" t="s">
        <v>8643</v>
      </c>
      <c r="E2350" s="61" t="b">
        <v>1</v>
      </c>
      <c r="F2350" s="107" t="s">
        <v>8896</v>
      </c>
      <c r="G2350" s="116" t="str">
        <f>HYPERLINK("http://nsgreg.nga.mil/genc/view?v=201957&amp;end_month=3&amp;end_day=31&amp;end_year=2014","Valmiera")</f>
        <v>Valmiera</v>
      </c>
      <c r="H2350" s="87" t="str">
        <f>HYPERLINK("http://api.nsgreg.nga.mil/geo-division/GENC/6/ed2/LV-VMR","LV-VMR")</f>
        <v>LV-VMR</v>
      </c>
    </row>
    <row r="2351" spans="1:8" x14ac:dyDescent="0.2">
      <c r="A2351" s="157"/>
      <c r="B2351" s="31" t="s">
        <v>8897</v>
      </c>
      <c r="C2351" s="31" t="s">
        <v>8898</v>
      </c>
      <c r="D2351" s="31" t="s">
        <v>3254</v>
      </c>
      <c r="E2351" s="61" t="b">
        <v>1</v>
      </c>
      <c r="F2351" s="107" t="s">
        <v>8899</v>
      </c>
      <c r="G2351" s="116" t="str">
        <f>HYPERLINK("http://nsgreg.nga.mil/genc/view?v=201940&amp;end_month=3&amp;end_day=31&amp;end_year=2014","Varakļānu Novads")</f>
        <v>Varakļānu Novads</v>
      </c>
      <c r="H2351" s="87" t="str">
        <f>HYPERLINK("http://api.nsgreg.nga.mil/geo-division/GENC/6/ed2/LV-102","LV-102")</f>
        <v>LV-102</v>
      </c>
    </row>
    <row r="2352" spans="1:8" x14ac:dyDescent="0.2">
      <c r="A2352" s="157"/>
      <c r="B2352" s="31" t="s">
        <v>8900</v>
      </c>
      <c r="C2352" s="31" t="s">
        <v>8901</v>
      </c>
      <c r="D2352" s="31" t="s">
        <v>3254</v>
      </c>
      <c r="E2352" s="61" t="b">
        <v>1</v>
      </c>
      <c r="F2352" s="107" t="s">
        <v>8902</v>
      </c>
      <c r="G2352" s="116" t="str">
        <f>HYPERLINK("http://nsgreg.nga.mil/genc/view?v=201941&amp;end_month=3&amp;end_day=31&amp;end_year=2014","Vārkavas Novads")</f>
        <v>Vārkavas Novads</v>
      </c>
      <c r="H2352" s="87" t="str">
        <f>HYPERLINK("http://api.nsgreg.nga.mil/geo-division/GENC/6/ed2/LV-103","LV-103")</f>
        <v>LV-103</v>
      </c>
    </row>
    <row r="2353" spans="1:8" x14ac:dyDescent="0.2">
      <c r="A2353" s="157"/>
      <c r="B2353" s="31" t="s">
        <v>8903</v>
      </c>
      <c r="C2353" s="31" t="s">
        <v>8904</v>
      </c>
      <c r="D2353" s="31" t="s">
        <v>3254</v>
      </c>
      <c r="E2353" s="61" t="b">
        <v>1</v>
      </c>
      <c r="F2353" s="107" t="s">
        <v>8905</v>
      </c>
      <c r="G2353" s="116" t="str">
        <f>HYPERLINK("http://nsgreg.nga.mil/genc/view?v=201942&amp;end_month=3&amp;end_day=31&amp;end_year=2014","Vecpiebalgas Novads")</f>
        <v>Vecpiebalgas Novads</v>
      </c>
      <c r="H2353" s="87" t="str">
        <f>HYPERLINK("http://api.nsgreg.nga.mil/geo-division/GENC/6/ed2/LV-104","LV-104")</f>
        <v>LV-104</v>
      </c>
    </row>
    <row r="2354" spans="1:8" x14ac:dyDescent="0.2">
      <c r="A2354" s="157"/>
      <c r="B2354" s="31" t="s">
        <v>8906</v>
      </c>
      <c r="C2354" s="31" t="s">
        <v>8907</v>
      </c>
      <c r="D2354" s="31" t="s">
        <v>3254</v>
      </c>
      <c r="E2354" s="61" t="b">
        <v>1</v>
      </c>
      <c r="F2354" s="107" t="s">
        <v>8908</v>
      </c>
      <c r="G2354" s="116" t="str">
        <f>HYPERLINK("http://nsgreg.nga.mil/genc/view?v=201943&amp;end_month=3&amp;end_day=31&amp;end_year=2014","Vecumnieku Novads")</f>
        <v>Vecumnieku Novads</v>
      </c>
      <c r="H2354" s="87" t="str">
        <f>HYPERLINK("http://api.nsgreg.nga.mil/geo-division/GENC/6/ed2/LV-105","LV-105")</f>
        <v>LV-105</v>
      </c>
    </row>
    <row r="2355" spans="1:8" x14ac:dyDescent="0.2">
      <c r="A2355" s="157"/>
      <c r="B2355" s="31" t="s">
        <v>8909</v>
      </c>
      <c r="C2355" s="31" t="s">
        <v>8910</v>
      </c>
      <c r="D2355" s="31" t="s">
        <v>8643</v>
      </c>
      <c r="E2355" s="61" t="b">
        <v>1</v>
      </c>
      <c r="F2355" s="107" t="s">
        <v>8911</v>
      </c>
      <c r="G2355" s="116" t="str">
        <f>HYPERLINK("http://nsgreg.nga.mil/genc/view?v=201956&amp;end_month=3&amp;end_day=31&amp;end_year=2014","Ventspils")</f>
        <v>Ventspils</v>
      </c>
      <c r="H2355" s="87" t="str">
        <f>HYPERLINK("http://api.nsgreg.nga.mil/geo-division/GENC/6/ed2/LV-VEN","LV-VEN")</f>
        <v>LV-VEN</v>
      </c>
    </row>
    <row r="2356" spans="1:8" x14ac:dyDescent="0.2">
      <c r="A2356" s="157"/>
      <c r="B2356" s="31" t="s">
        <v>8912</v>
      </c>
      <c r="C2356" s="31" t="s">
        <v>8913</v>
      </c>
      <c r="D2356" s="31" t="s">
        <v>3254</v>
      </c>
      <c r="E2356" s="61" t="b">
        <v>1</v>
      </c>
      <c r="F2356" s="107" t="s">
        <v>8914</v>
      </c>
      <c r="G2356" s="116" t="str">
        <f>HYPERLINK("http://nsgreg.nga.mil/genc/view?v=201944&amp;end_month=3&amp;end_day=31&amp;end_year=2014","Ventspils Novads")</f>
        <v>Ventspils Novads</v>
      </c>
      <c r="H2356" s="87" t="str">
        <f>HYPERLINK("http://api.nsgreg.nga.mil/geo-division/GENC/6/ed2/LV-106","LV-106")</f>
        <v>LV-106</v>
      </c>
    </row>
    <row r="2357" spans="1:8" x14ac:dyDescent="0.2">
      <c r="A2357" s="157"/>
      <c r="B2357" s="31" t="s">
        <v>8915</v>
      </c>
      <c r="C2357" s="31" t="s">
        <v>8916</v>
      </c>
      <c r="D2357" s="31" t="s">
        <v>3254</v>
      </c>
      <c r="E2357" s="61" t="b">
        <v>1</v>
      </c>
      <c r="F2357" s="107" t="s">
        <v>8917</v>
      </c>
      <c r="G2357" s="116" t="str">
        <f>HYPERLINK("http://nsgreg.nga.mil/genc/view?v=201945&amp;end_month=3&amp;end_day=31&amp;end_year=2014","Viesītes Novads")</f>
        <v>Viesītes Novads</v>
      </c>
      <c r="H2357" s="87" t="str">
        <f>HYPERLINK("http://api.nsgreg.nga.mil/geo-division/GENC/6/ed2/LV-107","LV-107")</f>
        <v>LV-107</v>
      </c>
    </row>
    <row r="2358" spans="1:8" x14ac:dyDescent="0.2">
      <c r="A2358" s="157"/>
      <c r="B2358" s="31" t="s">
        <v>8918</v>
      </c>
      <c r="C2358" s="31" t="s">
        <v>8919</v>
      </c>
      <c r="D2358" s="31" t="s">
        <v>3254</v>
      </c>
      <c r="E2358" s="61" t="b">
        <v>1</v>
      </c>
      <c r="F2358" s="107" t="s">
        <v>8920</v>
      </c>
      <c r="G2358" s="116" t="str">
        <f>HYPERLINK("http://nsgreg.nga.mil/genc/view?v=201946&amp;end_month=3&amp;end_day=31&amp;end_year=2014","Viļakas Novads")</f>
        <v>Viļakas Novads</v>
      </c>
      <c r="H2358" s="87" t="str">
        <f>HYPERLINK("http://api.nsgreg.nga.mil/geo-division/GENC/6/ed2/LV-108","LV-108")</f>
        <v>LV-108</v>
      </c>
    </row>
    <row r="2359" spans="1:8" x14ac:dyDescent="0.2">
      <c r="A2359" s="157"/>
      <c r="B2359" s="31" t="s">
        <v>8921</v>
      </c>
      <c r="C2359" s="31" t="s">
        <v>8922</v>
      </c>
      <c r="D2359" s="31" t="s">
        <v>3254</v>
      </c>
      <c r="E2359" s="61" t="b">
        <v>1</v>
      </c>
      <c r="F2359" s="107" t="s">
        <v>8923</v>
      </c>
      <c r="G2359" s="116" t="str">
        <f>HYPERLINK("http://nsgreg.nga.mil/genc/view?v=201947&amp;end_month=3&amp;end_day=31&amp;end_year=2014","Viļānu Novads")</f>
        <v>Viļānu Novads</v>
      </c>
      <c r="H2359" s="87" t="str">
        <f>HYPERLINK("http://api.nsgreg.nga.mil/geo-division/GENC/6/ed2/LV-109","LV-109")</f>
        <v>LV-109</v>
      </c>
    </row>
    <row r="2360" spans="1:8" x14ac:dyDescent="0.2">
      <c r="A2360" s="158"/>
      <c r="B2360" s="58" t="s">
        <v>8924</v>
      </c>
      <c r="C2360" s="58" t="s">
        <v>8925</v>
      </c>
      <c r="D2360" s="58" t="s">
        <v>3254</v>
      </c>
      <c r="E2360" s="62" t="b">
        <v>1</v>
      </c>
      <c r="F2360" s="111" t="s">
        <v>8926</v>
      </c>
      <c r="G2360" s="117" t="str">
        <f>HYPERLINK("http://nsgreg.nga.mil/genc/view?v=201948&amp;end_month=3&amp;end_day=31&amp;end_year=2014","Zilupes Novads")</f>
        <v>Zilupes Novads</v>
      </c>
      <c r="H2360" s="89" t="str">
        <f>HYPERLINK("http://api.nsgreg.nga.mil/geo-division/GENC/6/ed2/LV-110","LV-110")</f>
        <v>LV-110</v>
      </c>
    </row>
    <row r="2361" spans="1:8" x14ac:dyDescent="0.2">
      <c r="A2361" s="156" t="str">
        <f>HYPERLINK("[#]Geopolitical_Entities!A151:I151","LEBANON")</f>
        <v>LEBANON</v>
      </c>
      <c r="B2361" s="52" t="s">
        <v>8927</v>
      </c>
      <c r="C2361" s="52" t="s">
        <v>8928</v>
      </c>
      <c r="D2361" s="52" t="s">
        <v>2885</v>
      </c>
      <c r="E2361" s="60" t="b">
        <v>1</v>
      </c>
      <c r="F2361" s="110" t="s">
        <v>8929</v>
      </c>
      <c r="G2361" s="118" t="str">
        <f>HYPERLINK("http://nsgreg.nga.mil/genc/view?v=201770&amp;end_month=3&amp;end_day=31&amp;end_year=2014","Aakkâr")</f>
        <v>Aakkâr</v>
      </c>
      <c r="H2361" s="91" t="str">
        <f>HYPERLINK("http://api.nsgreg.nga.mil/geo-division/GENC/6/ed2/LB-AK","LB-AK")</f>
        <v>LB-AK</v>
      </c>
    </row>
    <row r="2362" spans="1:8" x14ac:dyDescent="0.2">
      <c r="A2362" s="157"/>
      <c r="B2362" s="31" t="s">
        <v>8930</v>
      </c>
      <c r="C2362" s="31" t="s">
        <v>8931</v>
      </c>
      <c r="D2362" s="31" t="s">
        <v>2885</v>
      </c>
      <c r="E2362" s="61" t="b">
        <v>1</v>
      </c>
      <c r="F2362" s="107" t="s">
        <v>8932</v>
      </c>
      <c r="G2362" s="116" t="str">
        <f>HYPERLINK("http://nsgreg.nga.mil/genc/view?v=201773&amp;end_month=3&amp;end_day=31&amp;end_year=2014","Baalbek-Hermel")</f>
        <v>Baalbek-Hermel</v>
      </c>
      <c r="H2362" s="87" t="str">
        <f>HYPERLINK("http://api.nsgreg.nga.mil/geo-division/GENC/6/ed2/LB-BH","LB-BH")</f>
        <v>LB-BH</v>
      </c>
    </row>
    <row r="2363" spans="1:8" x14ac:dyDescent="0.2">
      <c r="A2363" s="157"/>
      <c r="B2363" s="31" t="s">
        <v>8933</v>
      </c>
      <c r="C2363" s="31" t="s">
        <v>8934</v>
      </c>
      <c r="D2363" s="31" t="s">
        <v>2885</v>
      </c>
      <c r="E2363" s="61" t="b">
        <v>1</v>
      </c>
      <c r="F2363" s="107" t="s">
        <v>8935</v>
      </c>
      <c r="G2363" s="116" t="str">
        <f>HYPERLINK("http://nsgreg.nga.mil/genc/view?v=201774&amp;end_month=3&amp;end_day=31&amp;end_year=2014","Béqaa")</f>
        <v>Béqaa</v>
      </c>
      <c r="H2363" s="87" t="str">
        <f>HYPERLINK("http://api.nsgreg.nga.mil/geo-division/GENC/6/ed2/LB-BI","LB-BI")</f>
        <v>LB-BI</v>
      </c>
    </row>
    <row r="2364" spans="1:8" x14ac:dyDescent="0.2">
      <c r="A2364" s="157"/>
      <c r="B2364" s="31" t="s">
        <v>8936</v>
      </c>
      <c r="C2364" s="31" t="s">
        <v>8937</v>
      </c>
      <c r="D2364" s="31" t="s">
        <v>2885</v>
      </c>
      <c r="E2364" s="61" t="b">
        <v>1</v>
      </c>
      <c r="F2364" s="107" t="s">
        <v>8938</v>
      </c>
      <c r="G2364" s="116" t="str">
        <f>HYPERLINK("http://nsgreg.nga.mil/genc/view?v=201772&amp;end_month=3&amp;end_day=31&amp;end_year=2014","Beyrouth")</f>
        <v>Beyrouth</v>
      </c>
      <c r="H2364" s="87" t="str">
        <f>HYPERLINK("http://api.nsgreg.nga.mil/geo-division/GENC/6/ed2/LB-BA","LB-BA")</f>
        <v>LB-BA</v>
      </c>
    </row>
    <row r="2365" spans="1:8" x14ac:dyDescent="0.2">
      <c r="A2365" s="157"/>
      <c r="B2365" s="31" t="s">
        <v>8939</v>
      </c>
      <c r="C2365" s="31" t="s">
        <v>8940</v>
      </c>
      <c r="D2365" s="31" t="s">
        <v>2885</v>
      </c>
      <c r="E2365" s="61" t="b">
        <v>1</v>
      </c>
      <c r="F2365" s="107" t="s">
        <v>8941</v>
      </c>
      <c r="G2365" s="116" t="str">
        <f>HYPERLINK("http://nsgreg.nga.mil/genc/view?v=201771&amp;end_month=3&amp;end_day=31&amp;end_year=2014","Liban-Nord")</f>
        <v>Liban-Nord</v>
      </c>
      <c r="H2365" s="87" t="str">
        <f>HYPERLINK("http://api.nsgreg.nga.mil/geo-division/GENC/6/ed2/LB-AS","LB-AS")</f>
        <v>LB-AS</v>
      </c>
    </row>
    <row r="2366" spans="1:8" x14ac:dyDescent="0.2">
      <c r="A2366" s="157"/>
      <c r="B2366" s="31" t="s">
        <v>8942</v>
      </c>
      <c r="C2366" s="31" t="s">
        <v>8943</v>
      </c>
      <c r="D2366" s="31" t="s">
        <v>2885</v>
      </c>
      <c r="E2366" s="61" t="b">
        <v>1</v>
      </c>
      <c r="F2366" s="107" t="s">
        <v>8944</v>
      </c>
      <c r="G2366" s="116" t="str">
        <f>HYPERLINK("http://nsgreg.nga.mil/genc/view?v=201775&amp;end_month=3&amp;end_day=31&amp;end_year=2014","Liban-Sud")</f>
        <v>Liban-Sud</v>
      </c>
      <c r="H2366" s="87" t="str">
        <f>HYPERLINK("http://api.nsgreg.nga.mil/geo-division/GENC/6/ed2/LB-JA","LB-JA")</f>
        <v>LB-JA</v>
      </c>
    </row>
    <row r="2367" spans="1:8" x14ac:dyDescent="0.2">
      <c r="A2367" s="157"/>
      <c r="B2367" s="31" t="s">
        <v>8945</v>
      </c>
      <c r="C2367" s="31" t="s">
        <v>8946</v>
      </c>
      <c r="D2367" s="31" t="s">
        <v>2885</v>
      </c>
      <c r="E2367" s="61" t="b">
        <v>1</v>
      </c>
      <c r="F2367" s="107" t="s">
        <v>8947</v>
      </c>
      <c r="G2367" s="116" t="str">
        <f>HYPERLINK("http://nsgreg.nga.mil/genc/view?v=201776&amp;end_month=3&amp;end_day=31&amp;end_year=2014","Mont-Liban")</f>
        <v>Mont-Liban</v>
      </c>
      <c r="H2367" s="87" t="str">
        <f>HYPERLINK("http://api.nsgreg.nga.mil/geo-division/GENC/6/ed2/LB-JL","LB-JL")</f>
        <v>LB-JL</v>
      </c>
    </row>
    <row r="2368" spans="1:8" x14ac:dyDescent="0.2">
      <c r="A2368" s="158"/>
      <c r="B2368" s="58" t="s">
        <v>8948</v>
      </c>
      <c r="C2368" s="58" t="s">
        <v>8949</v>
      </c>
      <c r="D2368" s="58" t="s">
        <v>2885</v>
      </c>
      <c r="E2368" s="62" t="b">
        <v>1</v>
      </c>
      <c r="F2368" s="111" t="s">
        <v>8950</v>
      </c>
      <c r="G2368" s="117" t="str">
        <f>HYPERLINK("http://nsgreg.nga.mil/genc/view?v=201777&amp;end_month=3&amp;end_day=31&amp;end_year=2014","Nabatîyé")</f>
        <v>Nabatîyé</v>
      </c>
      <c r="H2368" s="89" t="str">
        <f>HYPERLINK("http://api.nsgreg.nga.mil/geo-division/GENC/6/ed2/LB-NA","LB-NA")</f>
        <v>LB-NA</v>
      </c>
    </row>
    <row r="2369" spans="1:8" x14ac:dyDescent="0.2">
      <c r="A2369" s="156" t="str">
        <f>HYPERLINK("[#]Geopolitical_Entities!A152:I152","LESOTHO")</f>
        <v>LESOTHO</v>
      </c>
      <c r="B2369" s="52" t="s">
        <v>8951</v>
      </c>
      <c r="C2369" s="52" t="s">
        <v>8952</v>
      </c>
      <c r="D2369" s="52" t="s">
        <v>2026</v>
      </c>
      <c r="E2369" s="60" t="b">
        <v>1</v>
      </c>
      <c r="F2369" s="110" t="s">
        <v>8953</v>
      </c>
      <c r="G2369" s="118" t="str">
        <f>HYPERLINK("http://nsgreg.nga.mil/genc/view?v=201829&amp;end_month=3&amp;end_day=31&amp;end_year=2014","Berea")</f>
        <v>Berea</v>
      </c>
      <c r="H2369" s="91" t="str">
        <f>HYPERLINK("http://api.nsgreg.nga.mil/geo-division/GENC/6/ed2/LS-D","LS-D")</f>
        <v>LS-D</v>
      </c>
    </row>
    <row r="2370" spans="1:8" x14ac:dyDescent="0.2">
      <c r="A2370" s="157"/>
      <c r="B2370" s="31" t="s">
        <v>8954</v>
      </c>
      <c r="C2370" s="31" t="s">
        <v>8955</v>
      </c>
      <c r="D2370" s="31" t="s">
        <v>2026</v>
      </c>
      <c r="E2370" s="61" t="b">
        <v>1</v>
      </c>
      <c r="F2370" s="107" t="s">
        <v>8956</v>
      </c>
      <c r="G2370" s="116" t="str">
        <f>HYPERLINK("http://nsgreg.nga.mil/genc/view?v=201827&amp;end_month=3&amp;end_day=31&amp;end_year=2014","Butha-Buthe")</f>
        <v>Butha-Buthe</v>
      </c>
      <c r="H2370" s="87" t="str">
        <f>HYPERLINK("http://api.nsgreg.nga.mil/geo-division/GENC/6/ed2/LS-B","LS-B")</f>
        <v>LS-B</v>
      </c>
    </row>
    <row r="2371" spans="1:8" x14ac:dyDescent="0.2">
      <c r="A2371" s="157"/>
      <c r="B2371" s="31" t="s">
        <v>8957</v>
      </c>
      <c r="C2371" s="31" t="s">
        <v>8958</v>
      </c>
      <c r="D2371" s="31" t="s">
        <v>2026</v>
      </c>
      <c r="E2371" s="61" t="b">
        <v>1</v>
      </c>
      <c r="F2371" s="107" t="s">
        <v>8959</v>
      </c>
      <c r="G2371" s="116" t="str">
        <f>HYPERLINK("http://nsgreg.nga.mil/genc/view?v=201828&amp;end_month=3&amp;end_day=31&amp;end_year=2014","Leribe")</f>
        <v>Leribe</v>
      </c>
      <c r="H2371" s="87" t="str">
        <f>HYPERLINK("http://api.nsgreg.nga.mil/geo-division/GENC/6/ed2/LS-C","LS-C")</f>
        <v>LS-C</v>
      </c>
    </row>
    <row r="2372" spans="1:8" x14ac:dyDescent="0.2">
      <c r="A2372" s="157"/>
      <c r="B2372" s="31" t="s">
        <v>8960</v>
      </c>
      <c r="C2372" s="31" t="s">
        <v>8961</v>
      </c>
      <c r="D2372" s="31" t="s">
        <v>2026</v>
      </c>
      <c r="E2372" s="61" t="b">
        <v>1</v>
      </c>
      <c r="F2372" s="107" t="s">
        <v>8962</v>
      </c>
      <c r="G2372" s="116" t="str">
        <f>HYPERLINK("http://nsgreg.nga.mil/genc/view?v=201830&amp;end_month=3&amp;end_day=31&amp;end_year=2014","Mafeteng")</f>
        <v>Mafeteng</v>
      </c>
      <c r="H2372" s="87" t="str">
        <f>HYPERLINK("http://api.nsgreg.nga.mil/geo-division/GENC/6/ed2/LS-E","LS-E")</f>
        <v>LS-E</v>
      </c>
    </row>
    <row r="2373" spans="1:8" x14ac:dyDescent="0.2">
      <c r="A2373" s="157"/>
      <c r="B2373" s="31" t="s">
        <v>8963</v>
      </c>
      <c r="C2373" s="31" t="s">
        <v>8964</v>
      </c>
      <c r="D2373" s="31" t="s">
        <v>2026</v>
      </c>
      <c r="E2373" s="61" t="b">
        <v>1</v>
      </c>
      <c r="F2373" s="107" t="s">
        <v>8965</v>
      </c>
      <c r="G2373" s="116" t="str">
        <f>HYPERLINK("http://nsgreg.nga.mil/genc/view?v=201826&amp;end_month=3&amp;end_day=31&amp;end_year=2014","Maseru")</f>
        <v>Maseru</v>
      </c>
      <c r="H2373" s="87" t="str">
        <f>HYPERLINK("http://api.nsgreg.nga.mil/geo-division/GENC/6/ed2/LS-A","LS-A")</f>
        <v>LS-A</v>
      </c>
    </row>
    <row r="2374" spans="1:8" x14ac:dyDescent="0.2">
      <c r="A2374" s="157"/>
      <c r="B2374" s="31" t="s">
        <v>8966</v>
      </c>
      <c r="C2374" s="31" t="s">
        <v>8967</v>
      </c>
      <c r="D2374" s="31" t="s">
        <v>2026</v>
      </c>
      <c r="E2374" s="61" t="b">
        <v>1</v>
      </c>
      <c r="F2374" s="107" t="s">
        <v>8968</v>
      </c>
      <c r="G2374" s="116" t="str">
        <f>HYPERLINK("http://nsgreg.nga.mil/genc/view?v=201831&amp;end_month=3&amp;end_day=31&amp;end_year=2014","Mohale’s Hoek")</f>
        <v>Mohale’s Hoek</v>
      </c>
      <c r="H2374" s="87" t="str">
        <f>HYPERLINK("http://api.nsgreg.nga.mil/geo-division/GENC/6/ed2/LS-F","LS-F")</f>
        <v>LS-F</v>
      </c>
    </row>
    <row r="2375" spans="1:8" x14ac:dyDescent="0.2">
      <c r="A2375" s="157"/>
      <c r="B2375" s="31" t="s">
        <v>8969</v>
      </c>
      <c r="C2375" s="31" t="s">
        <v>8970</v>
      </c>
      <c r="D2375" s="31" t="s">
        <v>2026</v>
      </c>
      <c r="E2375" s="61" t="b">
        <v>1</v>
      </c>
      <c r="F2375" s="107" t="s">
        <v>8971</v>
      </c>
      <c r="G2375" s="116" t="str">
        <f>HYPERLINK("http://nsgreg.nga.mil/genc/view?v=201834&amp;end_month=3&amp;end_day=31&amp;end_year=2014","Mokhotlong")</f>
        <v>Mokhotlong</v>
      </c>
      <c r="H2375" s="87" t="str">
        <f>HYPERLINK("http://api.nsgreg.nga.mil/geo-division/GENC/6/ed2/LS-J","LS-J")</f>
        <v>LS-J</v>
      </c>
    </row>
    <row r="2376" spans="1:8" x14ac:dyDescent="0.2">
      <c r="A2376" s="157"/>
      <c r="B2376" s="31" t="s">
        <v>8972</v>
      </c>
      <c r="C2376" s="31" t="s">
        <v>8973</v>
      </c>
      <c r="D2376" s="31" t="s">
        <v>2026</v>
      </c>
      <c r="E2376" s="61" t="b">
        <v>1</v>
      </c>
      <c r="F2376" s="107" t="s">
        <v>8974</v>
      </c>
      <c r="G2376" s="116" t="str">
        <f>HYPERLINK("http://nsgreg.nga.mil/genc/view?v=201833&amp;end_month=3&amp;end_day=31&amp;end_year=2014","Qacha’s Nek")</f>
        <v>Qacha’s Nek</v>
      </c>
      <c r="H2376" s="87" t="str">
        <f>HYPERLINK("http://api.nsgreg.nga.mil/geo-division/GENC/6/ed2/LS-H","LS-H")</f>
        <v>LS-H</v>
      </c>
    </row>
    <row r="2377" spans="1:8" x14ac:dyDescent="0.2">
      <c r="A2377" s="157"/>
      <c r="B2377" s="31" t="s">
        <v>8975</v>
      </c>
      <c r="C2377" s="31" t="s">
        <v>8976</v>
      </c>
      <c r="D2377" s="31" t="s">
        <v>2026</v>
      </c>
      <c r="E2377" s="61" t="b">
        <v>1</v>
      </c>
      <c r="F2377" s="107" t="s">
        <v>8977</v>
      </c>
      <c r="G2377" s="116" t="str">
        <f>HYPERLINK("http://nsgreg.nga.mil/genc/view?v=201832&amp;end_month=3&amp;end_day=31&amp;end_year=2014","Quthing")</f>
        <v>Quthing</v>
      </c>
      <c r="H2377" s="87" t="str">
        <f>HYPERLINK("http://api.nsgreg.nga.mil/geo-division/GENC/6/ed2/LS-G","LS-G")</f>
        <v>LS-G</v>
      </c>
    </row>
    <row r="2378" spans="1:8" x14ac:dyDescent="0.2">
      <c r="A2378" s="158"/>
      <c r="B2378" s="58" t="s">
        <v>8978</v>
      </c>
      <c r="C2378" s="58" t="s">
        <v>8979</v>
      </c>
      <c r="D2378" s="58" t="s">
        <v>2026</v>
      </c>
      <c r="E2378" s="62" t="b">
        <v>1</v>
      </c>
      <c r="F2378" s="111" t="s">
        <v>8980</v>
      </c>
      <c r="G2378" s="117" t="str">
        <f>HYPERLINK("http://nsgreg.nga.mil/genc/view?v=201835&amp;end_month=3&amp;end_day=31&amp;end_year=2014","Thaba-Tseka")</f>
        <v>Thaba-Tseka</v>
      </c>
      <c r="H2378" s="89" t="str">
        <f>HYPERLINK("http://api.nsgreg.nga.mil/geo-division/GENC/6/ed2/LS-K","LS-K")</f>
        <v>LS-K</v>
      </c>
    </row>
    <row r="2379" spans="1:8" x14ac:dyDescent="0.2">
      <c r="A2379" s="156" t="str">
        <f>HYPERLINK("[#]Geopolitical_Entities!A153:I153","LIBERIA")</f>
        <v>LIBERIA</v>
      </c>
      <c r="B2379" s="52" t="s">
        <v>8981</v>
      </c>
      <c r="C2379" s="52" t="s">
        <v>8982</v>
      </c>
      <c r="D2379" s="52" t="s">
        <v>2023</v>
      </c>
      <c r="E2379" s="60" t="b">
        <v>1</v>
      </c>
      <c r="F2379" s="109" t="s">
        <v>8983</v>
      </c>
      <c r="G2379" s="118" t="str">
        <f>HYPERLINK("http://nsgreg.nga.mil/genc/view?v=114430&amp;gencs=T&amp;end_month=3&amp;end_day=31&amp;end_year=2014","Bomi")</f>
        <v>Bomi</v>
      </c>
      <c r="H2379" s="91" t="str">
        <f>HYPERLINK("http://api.nsgreg.nga.mil/geo-division/ISO3166-2/6/ed3/LR-BM","LR-BM")</f>
        <v>LR-BM</v>
      </c>
    </row>
    <row r="2380" spans="1:8" x14ac:dyDescent="0.2">
      <c r="A2380" s="157"/>
      <c r="B2380" s="31" t="s">
        <v>8984</v>
      </c>
      <c r="C2380" s="31" t="s">
        <v>8985</v>
      </c>
      <c r="D2380" s="31" t="s">
        <v>2023</v>
      </c>
      <c r="E2380" s="61" t="b">
        <v>1</v>
      </c>
      <c r="F2380" s="106" t="s">
        <v>8986</v>
      </c>
      <c r="G2380" s="116" t="str">
        <f>HYPERLINK("http://nsgreg.nga.mil/genc/view?v=114429&amp;gencs=T&amp;end_month=3&amp;end_day=31&amp;end_year=2014","Bong")</f>
        <v>Bong</v>
      </c>
      <c r="H2380" s="87" t="str">
        <f>HYPERLINK("http://api.nsgreg.nga.mil/geo-division/ISO3166-2/6/ed3/LR-BG","LR-BG")</f>
        <v>LR-BG</v>
      </c>
    </row>
    <row r="2381" spans="1:8" x14ac:dyDescent="0.2">
      <c r="A2381" s="157"/>
      <c r="B2381" s="31" t="s">
        <v>8987</v>
      </c>
      <c r="C2381" s="31" t="s">
        <v>8988</v>
      </c>
      <c r="D2381" s="31" t="s">
        <v>2023</v>
      </c>
      <c r="E2381" s="61" t="b">
        <v>1</v>
      </c>
      <c r="F2381" s="106" t="s">
        <v>8989</v>
      </c>
      <c r="G2381" s="116" t="str">
        <f>HYPERLINK("http://nsgreg.nga.mil/genc/view?v=114435&amp;gencs=T&amp;end_month=3&amp;end_day=31&amp;end_year=2014","Gbarpolu")</f>
        <v>Gbarpolu</v>
      </c>
      <c r="H2381" s="87" t="str">
        <f>HYPERLINK("http://api.nsgreg.nga.mil/geo-division/ISO3166-2/6/ed3/LR-GP","LR-GP")</f>
        <v>LR-GP</v>
      </c>
    </row>
    <row r="2382" spans="1:8" x14ac:dyDescent="0.2">
      <c r="A2382" s="157"/>
      <c r="B2382" s="31" t="s">
        <v>8990</v>
      </c>
      <c r="C2382" s="31" t="s">
        <v>8991</v>
      </c>
      <c r="D2382" s="31" t="s">
        <v>2023</v>
      </c>
      <c r="E2382" s="61" t="b">
        <v>1</v>
      </c>
      <c r="F2382" s="106" t="s">
        <v>8992</v>
      </c>
      <c r="G2382" s="116" t="str">
        <f>HYPERLINK("http://nsgreg.nga.mil/genc/view?v=114432&amp;gencs=T&amp;end_month=3&amp;end_day=31&amp;end_year=2014","Grand Bassa")</f>
        <v>Grand Bassa</v>
      </c>
      <c r="H2382" s="87" t="str">
        <f>HYPERLINK("http://api.nsgreg.nga.mil/geo-division/ISO3166-2/6/ed3/LR-GB","LR-GB")</f>
        <v>LR-GB</v>
      </c>
    </row>
    <row r="2383" spans="1:8" x14ac:dyDescent="0.2">
      <c r="A2383" s="157"/>
      <c r="B2383" s="31" t="s">
        <v>8993</v>
      </c>
      <c r="C2383" s="31" t="s">
        <v>8994</v>
      </c>
      <c r="D2383" s="31" t="s">
        <v>2023</v>
      </c>
      <c r="E2383" s="61" t="b">
        <v>1</v>
      </c>
      <c r="F2383" s="106" t="s">
        <v>8995</v>
      </c>
      <c r="G2383" s="116" t="str">
        <f>HYPERLINK("http://nsgreg.nga.mil/genc/view?v=114431&amp;gencs=T&amp;end_month=3&amp;end_day=31&amp;end_year=2014","Grand Cape Mount")</f>
        <v>Grand Cape Mount</v>
      </c>
      <c r="H2383" s="87" t="str">
        <f>HYPERLINK("http://api.nsgreg.nga.mil/geo-division/ISO3166-2/6/ed3/LR-CM","LR-CM")</f>
        <v>LR-CM</v>
      </c>
    </row>
    <row r="2384" spans="1:8" x14ac:dyDescent="0.2">
      <c r="A2384" s="157"/>
      <c r="B2384" s="31" t="s">
        <v>8996</v>
      </c>
      <c r="C2384" s="31" t="s">
        <v>8997</v>
      </c>
      <c r="D2384" s="31" t="s">
        <v>2023</v>
      </c>
      <c r="E2384" s="61" t="b">
        <v>1</v>
      </c>
      <c r="F2384" s="106" t="s">
        <v>8998</v>
      </c>
      <c r="G2384" s="116" t="str">
        <f>HYPERLINK("http://nsgreg.nga.mil/genc/view?v=114433&amp;gencs=T&amp;end_month=3&amp;end_day=31&amp;end_year=2014","Grand Gedeh")</f>
        <v>Grand Gedeh</v>
      </c>
      <c r="H2384" s="87" t="str">
        <f>HYPERLINK("http://api.nsgreg.nga.mil/geo-division/ISO3166-2/6/ed3/LR-GG","LR-GG")</f>
        <v>LR-GG</v>
      </c>
    </row>
    <row r="2385" spans="1:8" x14ac:dyDescent="0.2">
      <c r="A2385" s="157"/>
      <c r="B2385" s="31" t="s">
        <v>8999</v>
      </c>
      <c r="C2385" s="31" t="s">
        <v>9000</v>
      </c>
      <c r="D2385" s="31" t="s">
        <v>2023</v>
      </c>
      <c r="E2385" s="61" t="b">
        <v>1</v>
      </c>
      <c r="F2385" s="106" t="s">
        <v>9001</v>
      </c>
      <c r="G2385" s="116" t="str">
        <f>HYPERLINK("http://nsgreg.nga.mil/genc/view?v=114434&amp;gencs=T&amp;end_month=3&amp;end_day=31&amp;end_year=2014","Grand Kru")</f>
        <v>Grand Kru</v>
      </c>
      <c r="H2385" s="87" t="str">
        <f>HYPERLINK("http://api.nsgreg.nga.mil/geo-division/ISO3166-2/6/ed3/LR-GK","LR-GK")</f>
        <v>LR-GK</v>
      </c>
    </row>
    <row r="2386" spans="1:8" x14ac:dyDescent="0.2">
      <c r="A2386" s="157"/>
      <c r="B2386" s="31" t="s">
        <v>9002</v>
      </c>
      <c r="C2386" s="31" t="s">
        <v>9003</v>
      </c>
      <c r="D2386" s="31" t="s">
        <v>2023</v>
      </c>
      <c r="E2386" s="61" t="b">
        <v>1</v>
      </c>
      <c r="F2386" s="106" t="s">
        <v>9004</v>
      </c>
      <c r="G2386" s="116" t="str">
        <f>HYPERLINK("http://nsgreg.nga.mil/genc/view?v=114436&amp;gencs=T&amp;end_month=3&amp;end_day=31&amp;end_year=2014","Lofa")</f>
        <v>Lofa</v>
      </c>
      <c r="H2386" s="87" t="str">
        <f>HYPERLINK("http://api.nsgreg.nga.mil/geo-division/ISO3166-2/6/ed3/LR-LO","LR-LO")</f>
        <v>LR-LO</v>
      </c>
    </row>
    <row r="2387" spans="1:8" x14ac:dyDescent="0.2">
      <c r="A2387" s="157"/>
      <c r="B2387" s="31" t="s">
        <v>9005</v>
      </c>
      <c r="C2387" s="31" t="s">
        <v>9006</v>
      </c>
      <c r="D2387" s="31" t="s">
        <v>2023</v>
      </c>
      <c r="E2387" s="61" t="b">
        <v>1</v>
      </c>
      <c r="F2387" s="106" t="s">
        <v>9007</v>
      </c>
      <c r="G2387" s="116" t="str">
        <f>HYPERLINK("http://nsgreg.nga.mil/genc/view?v=114437&amp;gencs=T&amp;end_month=3&amp;end_day=31&amp;end_year=2014","Margibi")</f>
        <v>Margibi</v>
      </c>
      <c r="H2387" s="87" t="str">
        <f>HYPERLINK("http://api.nsgreg.nga.mil/geo-division/ISO3166-2/6/ed3/LR-MG","LR-MG")</f>
        <v>LR-MG</v>
      </c>
    </row>
    <row r="2388" spans="1:8" x14ac:dyDescent="0.2">
      <c r="A2388" s="157"/>
      <c r="B2388" s="31" t="s">
        <v>9008</v>
      </c>
      <c r="C2388" s="31" t="s">
        <v>9009</v>
      </c>
      <c r="D2388" s="31" t="s">
        <v>2023</v>
      </c>
      <c r="E2388" s="61" t="b">
        <v>1</v>
      </c>
      <c r="F2388" s="106" t="s">
        <v>9010</v>
      </c>
      <c r="G2388" s="116" t="str">
        <f>HYPERLINK("http://nsgreg.nga.mil/genc/view?v=114439&amp;gencs=T&amp;end_month=3&amp;end_day=31&amp;end_year=2014","Maryland")</f>
        <v>Maryland</v>
      </c>
      <c r="H2388" s="87" t="str">
        <f>HYPERLINK("http://api.nsgreg.nga.mil/geo-division/ISO3166-2/6/ed3/LR-MY","LR-MY")</f>
        <v>LR-MY</v>
      </c>
    </row>
    <row r="2389" spans="1:8" x14ac:dyDescent="0.2">
      <c r="A2389" s="157"/>
      <c r="B2389" s="31" t="s">
        <v>9011</v>
      </c>
      <c r="C2389" s="31" t="s">
        <v>9012</v>
      </c>
      <c r="D2389" s="31" t="s">
        <v>2023</v>
      </c>
      <c r="E2389" s="61" t="b">
        <v>1</v>
      </c>
      <c r="F2389" s="106" t="s">
        <v>9013</v>
      </c>
      <c r="G2389" s="116" t="str">
        <f>HYPERLINK("http://nsgreg.nga.mil/genc/view?v=114438&amp;gencs=T&amp;end_month=3&amp;end_day=31&amp;end_year=2014","Montserrado")</f>
        <v>Montserrado</v>
      </c>
      <c r="H2389" s="87" t="str">
        <f>HYPERLINK("http://api.nsgreg.nga.mil/geo-division/ISO3166-2/6/ed3/LR-MO","LR-MO")</f>
        <v>LR-MO</v>
      </c>
    </row>
    <row r="2390" spans="1:8" x14ac:dyDescent="0.2">
      <c r="A2390" s="157"/>
      <c r="B2390" s="31" t="s">
        <v>9014</v>
      </c>
      <c r="C2390" s="31" t="s">
        <v>9015</v>
      </c>
      <c r="D2390" s="31" t="s">
        <v>2023</v>
      </c>
      <c r="E2390" s="61" t="b">
        <v>1</v>
      </c>
      <c r="F2390" s="106" t="s">
        <v>9016</v>
      </c>
      <c r="G2390" s="116" t="str">
        <f>HYPERLINK("http://nsgreg.nga.mil/genc/view?v=114440&amp;gencs=T&amp;end_month=3&amp;end_day=31&amp;end_year=2014","Nimba")</f>
        <v>Nimba</v>
      </c>
      <c r="H2390" s="87" t="str">
        <f>HYPERLINK("http://api.nsgreg.nga.mil/geo-division/ISO3166-2/6/ed3/LR-NI","LR-NI")</f>
        <v>LR-NI</v>
      </c>
    </row>
    <row r="2391" spans="1:8" x14ac:dyDescent="0.2">
      <c r="A2391" s="157"/>
      <c r="B2391" s="31" t="s">
        <v>9017</v>
      </c>
      <c r="C2391" s="31" t="s">
        <v>9018</v>
      </c>
      <c r="D2391" s="31" t="s">
        <v>2023</v>
      </c>
      <c r="E2391" s="61" t="b">
        <v>1</v>
      </c>
      <c r="F2391" s="107" t="s">
        <v>9019</v>
      </c>
      <c r="G2391" s="116" t="str">
        <f>HYPERLINK("http://nsgreg.nga.mil/genc/view?v=203406&amp;end_month=3&amp;end_day=31&amp;end_year=2014","River Cess")</f>
        <v>River Cess</v>
      </c>
      <c r="H2391" s="87" t="str">
        <f>HYPERLINK("http://api.nsgreg.nga.mil/geo-division/GENC/6/ed2/LR-RI","LR-RI")</f>
        <v>LR-RI</v>
      </c>
    </row>
    <row r="2392" spans="1:8" x14ac:dyDescent="0.2">
      <c r="A2392" s="157"/>
      <c r="B2392" s="31" t="s">
        <v>9020</v>
      </c>
      <c r="C2392" s="31" t="s">
        <v>9021</v>
      </c>
      <c r="D2392" s="31" t="s">
        <v>2023</v>
      </c>
      <c r="E2392" s="61" t="b">
        <v>1</v>
      </c>
      <c r="F2392" s="106" t="s">
        <v>9022</v>
      </c>
      <c r="G2392" s="116" t="str">
        <f>HYPERLINK("http://nsgreg.nga.mil/genc/view?v=114441&amp;gencs=T&amp;end_month=3&amp;end_day=31&amp;end_year=2014","River Gee")</f>
        <v>River Gee</v>
      </c>
      <c r="H2392" s="87" t="str">
        <f>HYPERLINK("http://api.nsgreg.nga.mil/geo-division/ISO3166-2/6/ed3/LR-RG","LR-RG")</f>
        <v>LR-RG</v>
      </c>
    </row>
    <row r="2393" spans="1:8" x14ac:dyDescent="0.2">
      <c r="A2393" s="158"/>
      <c r="B2393" s="58" t="s">
        <v>9023</v>
      </c>
      <c r="C2393" s="58" t="s">
        <v>9024</v>
      </c>
      <c r="D2393" s="58" t="s">
        <v>2023</v>
      </c>
      <c r="E2393" s="62" t="b">
        <v>1</v>
      </c>
      <c r="F2393" s="108" t="s">
        <v>9025</v>
      </c>
      <c r="G2393" s="117" t="str">
        <f>HYPERLINK("http://nsgreg.nga.mil/genc/view?v=114443&amp;gencs=T&amp;end_month=3&amp;end_day=31&amp;end_year=2014","Sinoe")</f>
        <v>Sinoe</v>
      </c>
      <c r="H2393" s="89" t="str">
        <f>HYPERLINK("http://api.nsgreg.nga.mil/geo-division/ISO3166-2/6/ed3/LR-SI","LR-SI")</f>
        <v>LR-SI</v>
      </c>
    </row>
    <row r="2394" spans="1:8" x14ac:dyDescent="0.2">
      <c r="A2394" s="156" t="str">
        <f>HYPERLINK("[#]Geopolitical_Entities!A154:I154","LIBYA")</f>
        <v>LIBYA</v>
      </c>
      <c r="B2394" s="52" t="s">
        <v>9026</v>
      </c>
      <c r="C2394" s="52" t="s">
        <v>9027</v>
      </c>
      <c r="D2394" s="52" t="s">
        <v>9028</v>
      </c>
      <c r="E2394" s="60" t="b">
        <v>1</v>
      </c>
      <c r="F2394" s="109" t="s">
        <v>9029</v>
      </c>
      <c r="G2394" s="118" t="str">
        <f>HYPERLINK("http://nsgreg.nga.mil/genc/view?v=114587&amp;gencs=T&amp;end_month=3&amp;end_day=31&amp;end_year=2014","Al Buţnān")</f>
        <v>Al Buţnān</v>
      </c>
      <c r="H2394" s="91" t="str">
        <f>HYPERLINK("http://api.nsgreg.nga.mil/geo-division/ISO3166-2/6/ed3/LY-BU","LY-BU")</f>
        <v>LY-BU</v>
      </c>
    </row>
    <row r="2395" spans="1:8" x14ac:dyDescent="0.2">
      <c r="A2395" s="157"/>
      <c r="B2395" s="31" t="s">
        <v>9030</v>
      </c>
      <c r="C2395" s="31" t="s">
        <v>9031</v>
      </c>
      <c r="D2395" s="31" t="s">
        <v>9028</v>
      </c>
      <c r="E2395" s="61" t="b">
        <v>1</v>
      </c>
      <c r="F2395" s="106" t="s">
        <v>9032</v>
      </c>
      <c r="G2395" s="116" t="str">
        <f>HYPERLINK("http://nsgreg.nga.mil/genc/view?v=114590&amp;gencs=T&amp;end_month=3&amp;end_day=31&amp;end_year=2014","Al Jabal al Akhḑar")</f>
        <v>Al Jabal al Akhḑar</v>
      </c>
      <c r="H2395" s="87" t="str">
        <f>HYPERLINK("http://api.nsgreg.nga.mil/geo-division/ISO3166-2/6/ed3/LY-JA","LY-JA")</f>
        <v>LY-JA</v>
      </c>
    </row>
    <row r="2396" spans="1:8" x14ac:dyDescent="0.2">
      <c r="A2396" s="157"/>
      <c r="B2396" s="31" t="s">
        <v>9033</v>
      </c>
      <c r="C2396" s="31" t="s">
        <v>9034</v>
      </c>
      <c r="D2396" s="31" t="s">
        <v>9028</v>
      </c>
      <c r="E2396" s="61" t="b">
        <v>1</v>
      </c>
      <c r="F2396" s="106" t="s">
        <v>9035</v>
      </c>
      <c r="G2396" s="116" t="str">
        <f>HYPERLINK("http://nsgreg.nga.mil/genc/view?v=114591&amp;gencs=T&amp;end_month=3&amp;end_day=31&amp;end_year=2014","Al Jabal al Gharbī")</f>
        <v>Al Jabal al Gharbī</v>
      </c>
      <c r="H2396" s="87" t="str">
        <f>HYPERLINK("http://api.nsgreg.nga.mil/geo-division/ISO3166-2/6/ed3/LY-JG","LY-JG")</f>
        <v>LY-JG</v>
      </c>
    </row>
    <row r="2397" spans="1:8" x14ac:dyDescent="0.2">
      <c r="A2397" s="157"/>
      <c r="B2397" s="31" t="s">
        <v>9036</v>
      </c>
      <c r="C2397" s="31" t="s">
        <v>9037</v>
      </c>
      <c r="D2397" s="31" t="s">
        <v>9028</v>
      </c>
      <c r="E2397" s="61" t="b">
        <v>1</v>
      </c>
      <c r="F2397" s="107" t="s">
        <v>9038</v>
      </c>
      <c r="G2397" s="116" t="str">
        <f>HYPERLINK("http://nsgreg.nga.mil/genc/view?v=201958&amp;end_month=3&amp;end_day=31&amp;end_year=2014","Al Jafārah")</f>
        <v>Al Jafārah</v>
      </c>
      <c r="H2397" s="87" t="str">
        <f>HYPERLINK("http://api.nsgreg.nga.mil/geo-division/GENC/6/ed2/LY-JI","LY-JI")</f>
        <v>LY-JI</v>
      </c>
    </row>
    <row r="2398" spans="1:8" x14ac:dyDescent="0.2">
      <c r="A2398" s="157"/>
      <c r="B2398" s="31" t="s">
        <v>9039</v>
      </c>
      <c r="C2398" s="31" t="s">
        <v>9040</v>
      </c>
      <c r="D2398" s="31" t="s">
        <v>9028</v>
      </c>
      <c r="E2398" s="61" t="b">
        <v>1</v>
      </c>
      <c r="F2398" s="106" t="s">
        <v>9041</v>
      </c>
      <c r="G2398" s="116" t="str">
        <f>HYPERLINK("http://nsgreg.nga.mil/genc/view?v=114593&amp;gencs=T&amp;end_month=3&amp;end_day=31&amp;end_year=2014","Al Jufrah")</f>
        <v>Al Jufrah</v>
      </c>
      <c r="H2398" s="87" t="str">
        <f>HYPERLINK("http://api.nsgreg.nga.mil/geo-division/ISO3166-2/6/ed3/LY-JU","LY-JU")</f>
        <v>LY-JU</v>
      </c>
    </row>
    <row r="2399" spans="1:8" x14ac:dyDescent="0.2">
      <c r="A2399" s="157"/>
      <c r="B2399" s="31" t="s">
        <v>9042</v>
      </c>
      <c r="C2399" s="31" t="s">
        <v>9043</v>
      </c>
      <c r="D2399" s="31" t="s">
        <v>9028</v>
      </c>
      <c r="E2399" s="61" t="b">
        <v>1</v>
      </c>
      <c r="F2399" s="106" t="s">
        <v>9044</v>
      </c>
      <c r="G2399" s="116" t="str">
        <f>HYPERLINK("http://nsgreg.nga.mil/genc/view?v=114594&amp;gencs=T&amp;end_month=3&amp;end_day=31&amp;end_year=2014","Al Kufrah")</f>
        <v>Al Kufrah</v>
      </c>
      <c r="H2399" s="87" t="str">
        <f>HYPERLINK("http://api.nsgreg.nga.mil/geo-division/ISO3166-2/6/ed3/LY-KF","LY-KF")</f>
        <v>LY-KF</v>
      </c>
    </row>
    <row r="2400" spans="1:8" x14ac:dyDescent="0.2">
      <c r="A2400" s="157"/>
      <c r="B2400" s="31" t="s">
        <v>9045</v>
      </c>
      <c r="C2400" s="31" t="s">
        <v>9046</v>
      </c>
      <c r="D2400" s="31" t="s">
        <v>9028</v>
      </c>
      <c r="E2400" s="61" t="b">
        <v>1</v>
      </c>
      <c r="F2400" s="106" t="s">
        <v>9047</v>
      </c>
      <c r="G2400" s="116" t="str">
        <f>HYPERLINK("http://nsgreg.nga.mil/genc/view?v=114597&amp;gencs=T&amp;end_month=3&amp;end_day=31&amp;end_year=2014","Al Marj")</f>
        <v>Al Marj</v>
      </c>
      <c r="H2400" s="87" t="str">
        <f>HYPERLINK("http://api.nsgreg.nga.mil/geo-division/ISO3166-2/6/ed3/LY-MJ","LY-MJ")</f>
        <v>LY-MJ</v>
      </c>
    </row>
    <row r="2401" spans="1:8" x14ac:dyDescent="0.2">
      <c r="A2401" s="157"/>
      <c r="B2401" s="31" t="s">
        <v>9048</v>
      </c>
      <c r="C2401" s="31" t="s">
        <v>9049</v>
      </c>
      <c r="D2401" s="31" t="s">
        <v>9028</v>
      </c>
      <c r="E2401" s="61" t="b">
        <v>1</v>
      </c>
      <c r="F2401" s="106" t="s">
        <v>9050</v>
      </c>
      <c r="G2401" s="116" t="str">
        <f>HYPERLINK("http://nsgreg.nga.mil/genc/view?v=114595&amp;gencs=T&amp;end_month=3&amp;end_day=31&amp;end_year=2014","Al Marqab")</f>
        <v>Al Marqab</v>
      </c>
      <c r="H2401" s="87" t="str">
        <f>HYPERLINK("http://api.nsgreg.nga.mil/geo-division/ISO3166-2/6/ed3/LY-MB","LY-MB")</f>
        <v>LY-MB</v>
      </c>
    </row>
    <row r="2402" spans="1:8" x14ac:dyDescent="0.2">
      <c r="A2402" s="157"/>
      <c r="B2402" s="31" t="s">
        <v>9051</v>
      </c>
      <c r="C2402" s="31" t="s">
        <v>9052</v>
      </c>
      <c r="D2402" s="31" t="s">
        <v>9028</v>
      </c>
      <c r="E2402" s="61" t="b">
        <v>1</v>
      </c>
      <c r="F2402" s="107" t="s">
        <v>9053</v>
      </c>
      <c r="G2402" s="116" t="str">
        <f>HYPERLINK("http://nsgreg.nga.mil/genc/view?v=201737&amp;end_month=3&amp;end_day=31&amp;end_year=2014","Al Wāḩāt")</f>
        <v>Al Wāḩāt</v>
      </c>
      <c r="H2402" s="87" t="str">
        <f>HYPERLINK("http://api.nsgreg.nga.mil/geo-division/GENC/6/ed2/LY-WA","LY-WA")</f>
        <v>LY-WA</v>
      </c>
    </row>
    <row r="2403" spans="1:8" x14ac:dyDescent="0.2">
      <c r="A2403" s="157"/>
      <c r="B2403" s="31" t="s">
        <v>9054</v>
      </c>
      <c r="C2403" s="31" t="s">
        <v>9055</v>
      </c>
      <c r="D2403" s="31" t="s">
        <v>9028</v>
      </c>
      <c r="E2403" s="61" t="b">
        <v>1</v>
      </c>
      <c r="F2403" s="106" t="s">
        <v>9056</v>
      </c>
      <c r="G2403" s="116" t="str">
        <f>HYPERLINK("http://nsgreg.nga.mil/genc/view?v=114600&amp;gencs=T&amp;end_month=3&amp;end_day=31&amp;end_year=2014","An Nuqāţ al Khams")</f>
        <v>An Nuqāţ al Khams</v>
      </c>
      <c r="H2403" s="87" t="str">
        <f>HYPERLINK("http://api.nsgreg.nga.mil/geo-division/ISO3166-2/6/ed3/LY-NQ","LY-NQ")</f>
        <v>LY-NQ</v>
      </c>
    </row>
    <row r="2404" spans="1:8" x14ac:dyDescent="0.2">
      <c r="A2404" s="157"/>
      <c r="B2404" s="31" t="s">
        <v>9057</v>
      </c>
      <c r="C2404" s="31" t="s">
        <v>9058</v>
      </c>
      <c r="D2404" s="31" t="s">
        <v>9028</v>
      </c>
      <c r="E2404" s="61" t="b">
        <v>1</v>
      </c>
      <c r="F2404" s="106" t="s">
        <v>9059</v>
      </c>
      <c r="G2404" s="116" t="str">
        <f>HYPERLINK("http://nsgreg.nga.mil/genc/view?v=114607&amp;gencs=T&amp;end_month=3&amp;end_day=31&amp;end_year=2014","Az Zāwiyah")</f>
        <v>Az Zāwiyah</v>
      </c>
      <c r="H2404" s="87" t="str">
        <f>HYPERLINK("http://api.nsgreg.nga.mil/geo-division/ISO3166-2/6/ed3/LY-ZA","LY-ZA")</f>
        <v>LY-ZA</v>
      </c>
    </row>
    <row r="2405" spans="1:8" x14ac:dyDescent="0.2">
      <c r="A2405" s="157"/>
      <c r="B2405" s="31" t="s">
        <v>9060</v>
      </c>
      <c r="C2405" s="31" t="s">
        <v>9061</v>
      </c>
      <c r="D2405" s="31" t="s">
        <v>9028</v>
      </c>
      <c r="E2405" s="61" t="b">
        <v>1</v>
      </c>
      <c r="F2405" s="106" t="s">
        <v>9062</v>
      </c>
      <c r="G2405" s="116" t="str">
        <f>HYPERLINK("http://nsgreg.nga.mil/genc/view?v=114586&amp;gencs=T&amp;end_month=3&amp;end_day=31&amp;end_year=2014","Banghāzī")</f>
        <v>Banghāzī</v>
      </c>
      <c r="H2405" s="87" t="str">
        <f>HYPERLINK("http://api.nsgreg.nga.mil/geo-division/ISO3166-2/6/ed3/LY-BA","LY-BA")</f>
        <v>LY-BA</v>
      </c>
    </row>
    <row r="2406" spans="1:8" x14ac:dyDescent="0.2">
      <c r="A2406" s="157"/>
      <c r="B2406" s="31" t="s">
        <v>9063</v>
      </c>
      <c r="C2406" s="31" t="s">
        <v>9064</v>
      </c>
      <c r="D2406" s="31" t="s">
        <v>9028</v>
      </c>
      <c r="E2406" s="61" t="b">
        <v>1</v>
      </c>
      <c r="F2406" s="106" t="s">
        <v>9065</v>
      </c>
      <c r="G2406" s="116" t="str">
        <f>HYPERLINK("http://nsgreg.nga.mil/genc/view?v=114588&amp;gencs=T&amp;end_month=3&amp;end_day=31&amp;end_year=2014","Darnah")</f>
        <v>Darnah</v>
      </c>
      <c r="H2406" s="87" t="str">
        <f>HYPERLINK("http://api.nsgreg.nga.mil/geo-division/ISO3166-2/6/ed3/LY-DR","LY-DR")</f>
        <v>LY-DR</v>
      </c>
    </row>
    <row r="2407" spans="1:8" x14ac:dyDescent="0.2">
      <c r="A2407" s="157"/>
      <c r="B2407" s="31" t="s">
        <v>9066</v>
      </c>
      <c r="C2407" s="31" t="s">
        <v>9067</v>
      </c>
      <c r="D2407" s="31" t="s">
        <v>9028</v>
      </c>
      <c r="E2407" s="61" t="b">
        <v>1</v>
      </c>
      <c r="F2407" s="106" t="s">
        <v>9068</v>
      </c>
      <c r="G2407" s="116" t="str">
        <f>HYPERLINK("http://nsgreg.nga.mil/genc/view?v=114589&amp;gencs=T&amp;end_month=3&amp;end_day=31&amp;end_year=2014","Ghāt")</f>
        <v>Ghāt</v>
      </c>
      <c r="H2407" s="87" t="str">
        <f>HYPERLINK("http://api.nsgreg.nga.mil/geo-division/ISO3166-2/6/ed3/LY-GT","LY-GT")</f>
        <v>LY-GT</v>
      </c>
    </row>
    <row r="2408" spans="1:8" x14ac:dyDescent="0.2">
      <c r="A2408" s="157"/>
      <c r="B2408" s="31" t="s">
        <v>9069</v>
      </c>
      <c r="C2408" s="31" t="s">
        <v>9070</v>
      </c>
      <c r="D2408" s="31" t="s">
        <v>9028</v>
      </c>
      <c r="E2408" s="61" t="b">
        <v>1</v>
      </c>
      <c r="F2408" s="106" t="s">
        <v>9071</v>
      </c>
      <c r="G2408" s="116" t="str">
        <f>HYPERLINK("http://nsgreg.nga.mil/genc/view?v=114596&amp;gencs=T&amp;end_month=3&amp;end_day=31&amp;end_year=2014","Mişrātah")</f>
        <v>Mişrātah</v>
      </c>
      <c r="H2408" s="87" t="str">
        <f>HYPERLINK("http://api.nsgreg.nga.mil/geo-division/ISO3166-2/6/ed3/LY-MI","LY-MI")</f>
        <v>LY-MI</v>
      </c>
    </row>
    <row r="2409" spans="1:8" x14ac:dyDescent="0.2">
      <c r="A2409" s="157"/>
      <c r="B2409" s="31" t="s">
        <v>9072</v>
      </c>
      <c r="C2409" s="31" t="s">
        <v>9073</v>
      </c>
      <c r="D2409" s="31" t="s">
        <v>9028</v>
      </c>
      <c r="E2409" s="61" t="b">
        <v>1</v>
      </c>
      <c r="F2409" s="106" t="s">
        <v>9074</v>
      </c>
      <c r="G2409" s="116" t="str">
        <f>HYPERLINK("http://nsgreg.nga.mil/genc/view?v=114598&amp;gencs=T&amp;end_month=3&amp;end_day=31&amp;end_year=2014","Murzuq")</f>
        <v>Murzuq</v>
      </c>
      <c r="H2409" s="87" t="str">
        <f>HYPERLINK("http://api.nsgreg.nga.mil/geo-division/ISO3166-2/6/ed3/LY-MQ","LY-MQ")</f>
        <v>LY-MQ</v>
      </c>
    </row>
    <row r="2410" spans="1:8" x14ac:dyDescent="0.2">
      <c r="A2410" s="157"/>
      <c r="B2410" s="31" t="s">
        <v>9075</v>
      </c>
      <c r="C2410" s="31" t="s">
        <v>9076</v>
      </c>
      <c r="D2410" s="31" t="s">
        <v>9028</v>
      </c>
      <c r="E2410" s="61" t="b">
        <v>1</v>
      </c>
      <c r="F2410" s="106" t="s">
        <v>9077</v>
      </c>
      <c r="G2410" s="116" t="str">
        <f>HYPERLINK("http://nsgreg.nga.mil/genc/view?v=114599&amp;gencs=T&amp;end_month=3&amp;end_day=31&amp;end_year=2014","Nālūt")</f>
        <v>Nālūt</v>
      </c>
      <c r="H2410" s="87" t="str">
        <f>HYPERLINK("http://api.nsgreg.nga.mil/geo-division/ISO3166-2/6/ed3/LY-NL","LY-NL")</f>
        <v>LY-NL</v>
      </c>
    </row>
    <row r="2411" spans="1:8" x14ac:dyDescent="0.2">
      <c r="A2411" s="157"/>
      <c r="B2411" s="31" t="s">
        <v>9078</v>
      </c>
      <c r="C2411" s="31" t="s">
        <v>9079</v>
      </c>
      <c r="D2411" s="31" t="s">
        <v>9028</v>
      </c>
      <c r="E2411" s="61" t="b">
        <v>1</v>
      </c>
      <c r="F2411" s="106" t="s">
        <v>9080</v>
      </c>
      <c r="G2411" s="116" t="str">
        <f>HYPERLINK("http://nsgreg.nga.mil/genc/view?v=114601&amp;gencs=T&amp;end_month=3&amp;end_day=31&amp;end_year=2014","Sabhā")</f>
        <v>Sabhā</v>
      </c>
      <c r="H2411" s="87" t="str">
        <f>HYPERLINK("http://api.nsgreg.nga.mil/geo-division/ISO3166-2/6/ed3/LY-SB","LY-SB")</f>
        <v>LY-SB</v>
      </c>
    </row>
    <row r="2412" spans="1:8" x14ac:dyDescent="0.2">
      <c r="A2412" s="157"/>
      <c r="B2412" s="31" t="s">
        <v>9081</v>
      </c>
      <c r="C2412" s="31" t="s">
        <v>9082</v>
      </c>
      <c r="D2412" s="31" t="s">
        <v>9028</v>
      </c>
      <c r="E2412" s="61" t="b">
        <v>1</v>
      </c>
      <c r="F2412" s="106" t="s">
        <v>9083</v>
      </c>
      <c r="G2412" s="116" t="str">
        <f>HYPERLINK("http://nsgreg.nga.mil/genc/view?v=114602&amp;gencs=T&amp;end_month=3&amp;end_day=31&amp;end_year=2014","Surt")</f>
        <v>Surt</v>
      </c>
      <c r="H2412" s="87" t="str">
        <f>HYPERLINK("http://api.nsgreg.nga.mil/geo-division/ISO3166-2/6/ed3/LY-SR","LY-SR")</f>
        <v>LY-SR</v>
      </c>
    </row>
    <row r="2413" spans="1:8" x14ac:dyDescent="0.2">
      <c r="A2413" s="157"/>
      <c r="B2413" s="31" t="s">
        <v>9084</v>
      </c>
      <c r="C2413" s="31" t="s">
        <v>9085</v>
      </c>
      <c r="D2413" s="31" t="s">
        <v>9028</v>
      </c>
      <c r="E2413" s="61" t="b">
        <v>1</v>
      </c>
      <c r="F2413" s="106" t="s">
        <v>9086</v>
      </c>
      <c r="G2413" s="116" t="str">
        <f>HYPERLINK("http://nsgreg.nga.mil/genc/view?v=114603&amp;gencs=T&amp;end_month=3&amp;end_day=31&amp;end_year=2014","Ţarābulus")</f>
        <v>Ţarābulus</v>
      </c>
      <c r="H2413" s="87" t="str">
        <f>HYPERLINK("http://api.nsgreg.nga.mil/geo-division/ISO3166-2/6/ed3/LY-TB","LY-TB")</f>
        <v>LY-TB</v>
      </c>
    </row>
    <row r="2414" spans="1:8" x14ac:dyDescent="0.2">
      <c r="A2414" s="157"/>
      <c r="B2414" s="31" t="s">
        <v>9087</v>
      </c>
      <c r="C2414" s="31" t="s">
        <v>9088</v>
      </c>
      <c r="D2414" s="31" t="s">
        <v>9028</v>
      </c>
      <c r="E2414" s="61" t="b">
        <v>1</v>
      </c>
      <c r="F2414" s="106" t="s">
        <v>9089</v>
      </c>
      <c r="G2414" s="116" t="str">
        <f>HYPERLINK("http://nsgreg.nga.mil/genc/view?v=114605&amp;gencs=T&amp;end_month=3&amp;end_day=31&amp;end_year=2014","Wādī al Ḩayāt")</f>
        <v>Wādī al Ḩayāt</v>
      </c>
      <c r="H2414" s="87" t="str">
        <f>HYPERLINK("http://api.nsgreg.nga.mil/geo-division/ISO3166-2/6/ed3/LY-WD","LY-WD")</f>
        <v>LY-WD</v>
      </c>
    </row>
    <row r="2415" spans="1:8" x14ac:dyDescent="0.2">
      <c r="A2415" s="158"/>
      <c r="B2415" s="58" t="s">
        <v>9090</v>
      </c>
      <c r="C2415" s="58" t="s">
        <v>9091</v>
      </c>
      <c r="D2415" s="58" t="s">
        <v>9028</v>
      </c>
      <c r="E2415" s="62" t="b">
        <v>1</v>
      </c>
      <c r="F2415" s="108" t="s">
        <v>9092</v>
      </c>
      <c r="G2415" s="117" t="str">
        <f>HYPERLINK("http://nsgreg.nga.mil/genc/view?v=114606&amp;gencs=T&amp;end_month=3&amp;end_day=31&amp;end_year=2014","Wādī ash Shāţi’")</f>
        <v>Wādī ash Shāţi’</v>
      </c>
      <c r="H2415" s="89" t="str">
        <f>HYPERLINK("http://api.nsgreg.nga.mil/geo-division/ISO3166-2/6/ed3/LY-WS","LY-WS")</f>
        <v>LY-WS</v>
      </c>
    </row>
    <row r="2416" spans="1:8" x14ac:dyDescent="0.2">
      <c r="A2416" s="156" t="str">
        <f>HYPERLINK("[#]Geopolitical_Entities!A155:I155","LIECHTENSTEIN")</f>
        <v>LIECHTENSTEIN</v>
      </c>
      <c r="B2416" s="52" t="s">
        <v>9093</v>
      </c>
      <c r="C2416" s="52" t="s">
        <v>9094</v>
      </c>
      <c r="D2416" s="52" t="s">
        <v>4131</v>
      </c>
      <c r="E2416" s="60" t="b">
        <v>1</v>
      </c>
      <c r="F2416" s="110" t="s">
        <v>9095</v>
      </c>
      <c r="G2416" s="118" t="str">
        <f>HYPERLINK("http://nsgreg.nga.mil/genc/view?v=201781&amp;end_month=3&amp;end_day=31&amp;end_year=2014","Balzers")</f>
        <v>Balzers</v>
      </c>
      <c r="H2416" s="91" t="str">
        <f>HYPERLINK("http://api.nsgreg.nga.mil/geo-division/GENC/6/ed2/LI-01","LI-01")</f>
        <v>LI-01</v>
      </c>
    </row>
    <row r="2417" spans="1:8" x14ac:dyDescent="0.2">
      <c r="A2417" s="157"/>
      <c r="B2417" s="31" t="s">
        <v>9096</v>
      </c>
      <c r="C2417" s="31" t="s">
        <v>9097</v>
      </c>
      <c r="D2417" s="31" t="s">
        <v>4131</v>
      </c>
      <c r="E2417" s="61" t="b">
        <v>1</v>
      </c>
      <c r="F2417" s="107" t="s">
        <v>9098</v>
      </c>
      <c r="G2417" s="116" t="str">
        <f>HYPERLINK("http://nsgreg.nga.mil/genc/view?v=201782&amp;end_month=3&amp;end_day=31&amp;end_year=2014","Eschen")</f>
        <v>Eschen</v>
      </c>
      <c r="H2417" s="87" t="str">
        <f>HYPERLINK("http://api.nsgreg.nga.mil/geo-division/GENC/6/ed2/LI-02","LI-02")</f>
        <v>LI-02</v>
      </c>
    </row>
    <row r="2418" spans="1:8" x14ac:dyDescent="0.2">
      <c r="A2418" s="157"/>
      <c r="B2418" s="31" t="s">
        <v>9099</v>
      </c>
      <c r="C2418" s="31" t="s">
        <v>9100</v>
      </c>
      <c r="D2418" s="31" t="s">
        <v>4131</v>
      </c>
      <c r="E2418" s="61" t="b">
        <v>1</v>
      </c>
      <c r="F2418" s="107" t="s">
        <v>9101</v>
      </c>
      <c r="G2418" s="116" t="str">
        <f>HYPERLINK("http://nsgreg.nga.mil/genc/view?v=201783&amp;end_month=3&amp;end_day=31&amp;end_year=2014","Gamprin")</f>
        <v>Gamprin</v>
      </c>
      <c r="H2418" s="87" t="str">
        <f>HYPERLINK("http://api.nsgreg.nga.mil/geo-division/GENC/6/ed2/LI-03","LI-03")</f>
        <v>LI-03</v>
      </c>
    </row>
    <row r="2419" spans="1:8" x14ac:dyDescent="0.2">
      <c r="A2419" s="157"/>
      <c r="B2419" s="31" t="s">
        <v>9102</v>
      </c>
      <c r="C2419" s="31" t="s">
        <v>9103</v>
      </c>
      <c r="D2419" s="31" t="s">
        <v>4131</v>
      </c>
      <c r="E2419" s="61" t="b">
        <v>1</v>
      </c>
      <c r="F2419" s="107" t="s">
        <v>9104</v>
      </c>
      <c r="G2419" s="116" t="str">
        <f>HYPERLINK("http://nsgreg.nga.mil/genc/view?v=201784&amp;end_month=3&amp;end_day=31&amp;end_year=2014","Mauren")</f>
        <v>Mauren</v>
      </c>
      <c r="H2419" s="87" t="str">
        <f>HYPERLINK("http://api.nsgreg.nga.mil/geo-division/GENC/6/ed2/LI-04","LI-04")</f>
        <v>LI-04</v>
      </c>
    </row>
    <row r="2420" spans="1:8" x14ac:dyDescent="0.2">
      <c r="A2420" s="157"/>
      <c r="B2420" s="31" t="s">
        <v>9105</v>
      </c>
      <c r="C2420" s="31" t="s">
        <v>9106</v>
      </c>
      <c r="D2420" s="31" t="s">
        <v>4131</v>
      </c>
      <c r="E2420" s="61" t="b">
        <v>1</v>
      </c>
      <c r="F2420" s="107" t="s">
        <v>9107</v>
      </c>
      <c r="G2420" s="116" t="str">
        <f>HYPERLINK("http://nsgreg.nga.mil/genc/view?v=201785&amp;end_month=3&amp;end_day=31&amp;end_year=2014","Planken")</f>
        <v>Planken</v>
      </c>
      <c r="H2420" s="87" t="str">
        <f>HYPERLINK("http://api.nsgreg.nga.mil/geo-division/GENC/6/ed2/LI-05","LI-05")</f>
        <v>LI-05</v>
      </c>
    </row>
    <row r="2421" spans="1:8" x14ac:dyDescent="0.2">
      <c r="A2421" s="157"/>
      <c r="B2421" s="31" t="s">
        <v>9108</v>
      </c>
      <c r="C2421" s="31" t="s">
        <v>9109</v>
      </c>
      <c r="D2421" s="31" t="s">
        <v>4131</v>
      </c>
      <c r="E2421" s="61" t="b">
        <v>1</v>
      </c>
      <c r="F2421" s="107" t="s">
        <v>9110</v>
      </c>
      <c r="G2421" s="116" t="str">
        <f>HYPERLINK("http://nsgreg.nga.mil/genc/view?v=201786&amp;end_month=3&amp;end_day=31&amp;end_year=2014","Ruggell")</f>
        <v>Ruggell</v>
      </c>
      <c r="H2421" s="87" t="str">
        <f>HYPERLINK("http://api.nsgreg.nga.mil/geo-division/GENC/6/ed2/LI-06","LI-06")</f>
        <v>LI-06</v>
      </c>
    </row>
    <row r="2422" spans="1:8" x14ac:dyDescent="0.2">
      <c r="A2422" s="157"/>
      <c r="B2422" s="31" t="s">
        <v>9111</v>
      </c>
      <c r="C2422" s="31" t="s">
        <v>9112</v>
      </c>
      <c r="D2422" s="31" t="s">
        <v>4131</v>
      </c>
      <c r="E2422" s="61" t="b">
        <v>1</v>
      </c>
      <c r="F2422" s="107" t="s">
        <v>9113</v>
      </c>
      <c r="G2422" s="116" t="str">
        <f>HYPERLINK("http://nsgreg.nga.mil/genc/view?v=201787&amp;end_month=3&amp;end_day=31&amp;end_year=2014","Schaan")</f>
        <v>Schaan</v>
      </c>
      <c r="H2422" s="87" t="str">
        <f>HYPERLINK("http://api.nsgreg.nga.mil/geo-division/GENC/6/ed2/LI-07","LI-07")</f>
        <v>LI-07</v>
      </c>
    </row>
    <row r="2423" spans="1:8" x14ac:dyDescent="0.2">
      <c r="A2423" s="157"/>
      <c r="B2423" s="31" t="s">
        <v>9114</v>
      </c>
      <c r="C2423" s="31" t="s">
        <v>9115</v>
      </c>
      <c r="D2423" s="31" t="s">
        <v>4131</v>
      </c>
      <c r="E2423" s="61" t="b">
        <v>1</v>
      </c>
      <c r="F2423" s="107" t="s">
        <v>9116</v>
      </c>
      <c r="G2423" s="116" t="str">
        <f>HYPERLINK("http://nsgreg.nga.mil/genc/view?v=201788&amp;end_month=3&amp;end_day=31&amp;end_year=2014","Schellenberg")</f>
        <v>Schellenberg</v>
      </c>
      <c r="H2423" s="87" t="str">
        <f>HYPERLINK("http://api.nsgreg.nga.mil/geo-division/GENC/6/ed2/LI-08","LI-08")</f>
        <v>LI-08</v>
      </c>
    </row>
    <row r="2424" spans="1:8" x14ac:dyDescent="0.2">
      <c r="A2424" s="157"/>
      <c r="B2424" s="31" t="s">
        <v>9117</v>
      </c>
      <c r="C2424" s="31" t="s">
        <v>9118</v>
      </c>
      <c r="D2424" s="31" t="s">
        <v>4131</v>
      </c>
      <c r="E2424" s="61" t="b">
        <v>1</v>
      </c>
      <c r="F2424" s="107" t="s">
        <v>9119</v>
      </c>
      <c r="G2424" s="116" t="str">
        <f>HYPERLINK("http://nsgreg.nga.mil/genc/view?v=201789&amp;end_month=3&amp;end_day=31&amp;end_year=2014","Triesen")</f>
        <v>Triesen</v>
      </c>
      <c r="H2424" s="87" t="str">
        <f>HYPERLINK("http://api.nsgreg.nga.mil/geo-division/GENC/6/ed2/LI-09","LI-09")</f>
        <v>LI-09</v>
      </c>
    </row>
    <row r="2425" spans="1:8" x14ac:dyDescent="0.2">
      <c r="A2425" s="157"/>
      <c r="B2425" s="31" t="s">
        <v>9120</v>
      </c>
      <c r="C2425" s="31" t="s">
        <v>9121</v>
      </c>
      <c r="D2425" s="31" t="s">
        <v>4131</v>
      </c>
      <c r="E2425" s="61" t="b">
        <v>1</v>
      </c>
      <c r="F2425" s="107" t="s">
        <v>9122</v>
      </c>
      <c r="G2425" s="116" t="str">
        <f>HYPERLINK("http://nsgreg.nga.mil/genc/view?v=201790&amp;end_month=3&amp;end_day=31&amp;end_year=2014","Triesenberg")</f>
        <v>Triesenberg</v>
      </c>
      <c r="H2425" s="87" t="str">
        <f>HYPERLINK("http://api.nsgreg.nga.mil/geo-division/GENC/6/ed2/LI-10","LI-10")</f>
        <v>LI-10</v>
      </c>
    </row>
    <row r="2426" spans="1:8" x14ac:dyDescent="0.2">
      <c r="A2426" s="158"/>
      <c r="B2426" s="58" t="s">
        <v>9123</v>
      </c>
      <c r="C2426" s="58" t="s">
        <v>9124</v>
      </c>
      <c r="D2426" s="58" t="s">
        <v>4131</v>
      </c>
      <c r="E2426" s="62" t="b">
        <v>1</v>
      </c>
      <c r="F2426" s="111" t="s">
        <v>9125</v>
      </c>
      <c r="G2426" s="117" t="str">
        <f>HYPERLINK("http://nsgreg.nga.mil/genc/view?v=201791&amp;end_month=3&amp;end_day=31&amp;end_year=2014","Vaduz")</f>
        <v>Vaduz</v>
      </c>
      <c r="H2426" s="89" t="str">
        <f>HYPERLINK("http://api.nsgreg.nga.mil/geo-division/GENC/6/ed2/LI-11","LI-11")</f>
        <v>LI-11</v>
      </c>
    </row>
    <row r="2427" spans="1:8" x14ac:dyDescent="0.2">
      <c r="A2427" s="156" t="str">
        <f>HYPERLINK("[#]Geopolitical_Entities!A156:I156","LITHUANIA")</f>
        <v>LITHUANIA</v>
      </c>
      <c r="B2427" s="52" t="s">
        <v>9126</v>
      </c>
      <c r="C2427" s="52" t="s">
        <v>9127</v>
      </c>
      <c r="D2427" s="52" t="s">
        <v>2023</v>
      </c>
      <c r="E2427" s="60" t="b">
        <v>1</v>
      </c>
      <c r="F2427" s="110" t="s">
        <v>9128</v>
      </c>
      <c r="G2427" s="118" t="str">
        <f>HYPERLINK("http://nsgreg.nga.mil/genc/view?v=201738&amp;end_month=3&amp;end_day=31&amp;end_year=2014","Alytaus Apskritis")</f>
        <v>Alytaus Apskritis</v>
      </c>
      <c r="H2427" s="91" t="str">
        <f>HYPERLINK("http://api.nsgreg.nga.mil/geo-division/GENC/6/ed2/LT-AL","LT-AL")</f>
        <v>LT-AL</v>
      </c>
    </row>
    <row r="2428" spans="1:8" x14ac:dyDescent="0.2">
      <c r="A2428" s="157"/>
      <c r="B2428" s="31" t="s">
        <v>9129</v>
      </c>
      <c r="C2428" s="31" t="s">
        <v>9130</v>
      </c>
      <c r="D2428" s="31" t="s">
        <v>2023</v>
      </c>
      <c r="E2428" s="61" t="b">
        <v>1</v>
      </c>
      <c r="F2428" s="107" t="s">
        <v>9131</v>
      </c>
      <c r="G2428" s="116" t="str">
        <f>HYPERLINK("http://nsgreg.nga.mil/genc/view?v=201739&amp;end_month=3&amp;end_day=31&amp;end_year=2014","Kauno Apskritis")</f>
        <v>Kauno Apskritis</v>
      </c>
      <c r="H2428" s="87" t="str">
        <f>HYPERLINK("http://api.nsgreg.nga.mil/geo-division/GENC/6/ed2/LT-KU","LT-KU")</f>
        <v>LT-KU</v>
      </c>
    </row>
    <row r="2429" spans="1:8" x14ac:dyDescent="0.2">
      <c r="A2429" s="157"/>
      <c r="B2429" s="31" t="s">
        <v>9132</v>
      </c>
      <c r="C2429" s="31" t="s">
        <v>9133</v>
      </c>
      <c r="D2429" s="31" t="s">
        <v>2023</v>
      </c>
      <c r="E2429" s="61" t="b">
        <v>1</v>
      </c>
      <c r="F2429" s="107" t="s">
        <v>9134</v>
      </c>
      <c r="G2429" s="116" t="str">
        <f>HYPERLINK("http://nsgreg.nga.mil/genc/view?v=202291&amp;end_month=3&amp;end_day=31&amp;end_year=2014","Klaipėdos Apskritis")</f>
        <v>Klaipėdos Apskritis</v>
      </c>
      <c r="H2429" s="87" t="str">
        <f>HYPERLINK("http://api.nsgreg.nga.mil/geo-division/GENC/6/ed2/LT-KL","LT-KL")</f>
        <v>LT-KL</v>
      </c>
    </row>
    <row r="2430" spans="1:8" x14ac:dyDescent="0.2">
      <c r="A2430" s="157"/>
      <c r="B2430" s="31" t="s">
        <v>9135</v>
      </c>
      <c r="C2430" s="31" t="s">
        <v>9136</v>
      </c>
      <c r="D2430" s="31" t="s">
        <v>2023</v>
      </c>
      <c r="E2430" s="61" t="b">
        <v>1</v>
      </c>
      <c r="F2430" s="107" t="s">
        <v>9137</v>
      </c>
      <c r="G2430" s="116" t="str">
        <f>HYPERLINK("http://nsgreg.nga.mil/genc/view?v=202292&amp;end_month=3&amp;end_day=31&amp;end_year=2014","Marijampolės Apskritis")</f>
        <v>Marijampolės Apskritis</v>
      </c>
      <c r="H2430" s="87" t="str">
        <f>HYPERLINK("http://api.nsgreg.nga.mil/geo-division/GENC/6/ed2/LT-MR","LT-MR")</f>
        <v>LT-MR</v>
      </c>
    </row>
    <row r="2431" spans="1:8" x14ac:dyDescent="0.2">
      <c r="A2431" s="157"/>
      <c r="B2431" s="31" t="s">
        <v>9138</v>
      </c>
      <c r="C2431" s="31" t="s">
        <v>9139</v>
      </c>
      <c r="D2431" s="31" t="s">
        <v>2023</v>
      </c>
      <c r="E2431" s="61" t="b">
        <v>1</v>
      </c>
      <c r="F2431" s="107" t="s">
        <v>9140</v>
      </c>
      <c r="G2431" s="116" t="str">
        <f>HYPERLINK("http://nsgreg.nga.mil/genc/view?v=202294&amp;end_month=3&amp;end_day=31&amp;end_year=2014","Panevėžio Apskritis")</f>
        <v>Panevėžio Apskritis</v>
      </c>
      <c r="H2431" s="87" t="str">
        <f>HYPERLINK("http://api.nsgreg.nga.mil/geo-division/GENC/6/ed2/LT-PN","LT-PN")</f>
        <v>LT-PN</v>
      </c>
    </row>
    <row r="2432" spans="1:8" x14ac:dyDescent="0.2">
      <c r="A2432" s="157"/>
      <c r="B2432" s="31" t="s">
        <v>9141</v>
      </c>
      <c r="C2432" s="31" t="s">
        <v>9142</v>
      </c>
      <c r="D2432" s="31" t="s">
        <v>2023</v>
      </c>
      <c r="E2432" s="61" t="b">
        <v>1</v>
      </c>
      <c r="F2432" s="107" t="s">
        <v>9143</v>
      </c>
      <c r="G2432" s="116" t="str">
        <f>HYPERLINK("http://nsgreg.nga.mil/genc/view?v=202295&amp;end_month=3&amp;end_day=31&amp;end_year=2014","Šiaulių Apskritis")</f>
        <v>Šiaulių Apskritis</v>
      </c>
      <c r="H2432" s="87" t="str">
        <f>HYPERLINK("http://api.nsgreg.nga.mil/geo-division/GENC/6/ed2/LT-SA","LT-SA")</f>
        <v>LT-SA</v>
      </c>
    </row>
    <row r="2433" spans="1:8" x14ac:dyDescent="0.2">
      <c r="A2433" s="157"/>
      <c r="B2433" s="31" t="s">
        <v>9144</v>
      </c>
      <c r="C2433" s="31" t="s">
        <v>9145</v>
      </c>
      <c r="D2433" s="31" t="s">
        <v>2023</v>
      </c>
      <c r="E2433" s="61" t="b">
        <v>1</v>
      </c>
      <c r="F2433" s="107" t="s">
        <v>9146</v>
      </c>
      <c r="G2433" s="116" t="str">
        <f>HYPERLINK("http://nsgreg.nga.mil/genc/view?v=202296&amp;end_month=3&amp;end_day=31&amp;end_year=2014","Tauragės Apskritis")</f>
        <v>Tauragės Apskritis</v>
      </c>
      <c r="H2433" s="87" t="str">
        <f>HYPERLINK("http://api.nsgreg.nga.mil/geo-division/GENC/6/ed2/LT-TA","LT-TA")</f>
        <v>LT-TA</v>
      </c>
    </row>
    <row r="2434" spans="1:8" x14ac:dyDescent="0.2">
      <c r="A2434" s="157"/>
      <c r="B2434" s="31" t="s">
        <v>9147</v>
      </c>
      <c r="C2434" s="31" t="s">
        <v>9148</v>
      </c>
      <c r="D2434" s="31" t="s">
        <v>2023</v>
      </c>
      <c r="E2434" s="61" t="b">
        <v>1</v>
      </c>
      <c r="F2434" s="107" t="s">
        <v>9149</v>
      </c>
      <c r="G2434" s="116" t="str">
        <f>HYPERLINK("http://nsgreg.nga.mil/genc/view?v=202297&amp;end_month=3&amp;end_day=31&amp;end_year=2014","Telšių Apskritis")</f>
        <v>Telšių Apskritis</v>
      </c>
      <c r="H2434" s="87" t="str">
        <f>HYPERLINK("http://api.nsgreg.nga.mil/geo-division/GENC/6/ed2/LT-TE","LT-TE")</f>
        <v>LT-TE</v>
      </c>
    </row>
    <row r="2435" spans="1:8" x14ac:dyDescent="0.2">
      <c r="A2435" s="157"/>
      <c r="B2435" s="31" t="s">
        <v>9150</v>
      </c>
      <c r="C2435" s="31" t="s">
        <v>9151</v>
      </c>
      <c r="D2435" s="31" t="s">
        <v>2023</v>
      </c>
      <c r="E2435" s="61" t="b">
        <v>1</v>
      </c>
      <c r="F2435" s="107" t="s">
        <v>9152</v>
      </c>
      <c r="G2435" s="116" t="str">
        <f>HYPERLINK("http://nsgreg.nga.mil/genc/view?v=202299&amp;end_month=3&amp;end_day=31&amp;end_year=2014","Utenos Apskritis")</f>
        <v>Utenos Apskritis</v>
      </c>
      <c r="H2435" s="87" t="str">
        <f>HYPERLINK("http://api.nsgreg.nga.mil/geo-division/GENC/6/ed2/LT-UT","LT-UT")</f>
        <v>LT-UT</v>
      </c>
    </row>
    <row r="2436" spans="1:8" x14ac:dyDescent="0.2">
      <c r="A2436" s="158"/>
      <c r="B2436" s="58" t="s">
        <v>9153</v>
      </c>
      <c r="C2436" s="58" t="s">
        <v>9154</v>
      </c>
      <c r="D2436" s="58" t="s">
        <v>2023</v>
      </c>
      <c r="E2436" s="62" t="b">
        <v>1</v>
      </c>
      <c r="F2436" s="111" t="s">
        <v>9155</v>
      </c>
      <c r="G2436" s="117" t="str">
        <f>HYPERLINK("http://nsgreg.nga.mil/genc/view?v=202300&amp;end_month=3&amp;end_day=31&amp;end_year=2014","Vilniaus Apskritis")</f>
        <v>Vilniaus Apskritis</v>
      </c>
      <c r="H2436" s="89" t="str">
        <f>HYPERLINK("http://api.nsgreg.nga.mil/geo-division/GENC/6/ed2/LT-VL","LT-VL")</f>
        <v>LT-VL</v>
      </c>
    </row>
    <row r="2437" spans="1:8" x14ac:dyDescent="0.2">
      <c r="A2437" s="156" t="str">
        <f>HYPERLINK("[#]Geopolitical_Entities!A157:I157","LUXEMBOURG")</f>
        <v>LUXEMBOURG</v>
      </c>
      <c r="B2437" s="52" t="s">
        <v>9156</v>
      </c>
      <c r="C2437" s="52" t="s">
        <v>9157</v>
      </c>
      <c r="D2437" s="52" t="s">
        <v>2026</v>
      </c>
      <c r="E2437" s="60" t="b">
        <v>1</v>
      </c>
      <c r="F2437" s="110" t="s">
        <v>9158</v>
      </c>
      <c r="G2437" s="118" t="str">
        <f>HYPERLINK("http://nsgreg.nga.mil/genc/view?v=201836&amp;end_month=3&amp;end_day=31&amp;end_year=2014","Diekirch")</f>
        <v>Diekirch</v>
      </c>
      <c r="H2437" s="91" t="str">
        <f>HYPERLINK("http://api.nsgreg.nga.mil/geo-division/GENC/6/ed2/LU-D","LU-D")</f>
        <v>LU-D</v>
      </c>
    </row>
    <row r="2438" spans="1:8" x14ac:dyDescent="0.2">
      <c r="A2438" s="157"/>
      <c r="B2438" s="31" t="s">
        <v>9159</v>
      </c>
      <c r="C2438" s="31" t="s">
        <v>9160</v>
      </c>
      <c r="D2438" s="31" t="s">
        <v>2026</v>
      </c>
      <c r="E2438" s="61" t="b">
        <v>1</v>
      </c>
      <c r="F2438" s="107" t="s">
        <v>9161</v>
      </c>
      <c r="G2438" s="116" t="str">
        <f>HYPERLINK("http://nsgreg.nga.mil/genc/view?v=201837&amp;end_month=3&amp;end_day=31&amp;end_year=2014","Grevenmacher")</f>
        <v>Grevenmacher</v>
      </c>
      <c r="H2438" s="87" t="str">
        <f>HYPERLINK("http://api.nsgreg.nga.mil/geo-division/GENC/6/ed2/LU-G","LU-G")</f>
        <v>LU-G</v>
      </c>
    </row>
    <row r="2439" spans="1:8" x14ac:dyDescent="0.2">
      <c r="A2439" s="158"/>
      <c r="B2439" s="58" t="s">
        <v>9162</v>
      </c>
      <c r="C2439" s="58" t="s">
        <v>1075</v>
      </c>
      <c r="D2439" s="58" t="s">
        <v>2026</v>
      </c>
      <c r="E2439" s="62" t="b">
        <v>1</v>
      </c>
      <c r="F2439" s="111" t="s">
        <v>9163</v>
      </c>
      <c r="G2439" s="117" t="str">
        <f>HYPERLINK("http://nsgreg.nga.mil/genc/view?v=201838&amp;end_month=3&amp;end_day=31&amp;end_year=2014","Luxembourg")</f>
        <v>Luxembourg</v>
      </c>
      <c r="H2439" s="89" t="str">
        <f>HYPERLINK("http://api.nsgreg.nga.mil/geo-division/GENC/6/ed2/LU-L","LU-L")</f>
        <v>LU-L</v>
      </c>
    </row>
    <row r="2440" spans="1:8" x14ac:dyDescent="0.2">
      <c r="A2440" s="156" t="str">
        <f>HYPERLINK("[#]Geopolitical_Entities!A159:I159","MACEDONIA")</f>
        <v>MACEDONIA</v>
      </c>
      <c r="B2440" s="52" t="s">
        <v>9164</v>
      </c>
      <c r="C2440" s="52" t="s">
        <v>9165</v>
      </c>
      <c r="D2440" s="102" t="s">
        <v>3254</v>
      </c>
      <c r="E2440" s="103" t="b">
        <v>0</v>
      </c>
      <c r="F2440" s="110" t="s">
        <v>9166</v>
      </c>
      <c r="G2440" s="118" t="str">
        <f>HYPERLINK("http://nsgreg.nga.mil/genc/view?v=204519&amp;end_month=3&amp;end_day=31&amp;end_year=2014","Aerodrom")</f>
        <v>Aerodrom</v>
      </c>
      <c r="H2440" s="91" t="str">
        <f>HYPERLINK("http://api.nsgreg.nga.mil/geo-division/GENC/6/ed2/MK-01","MK-01")</f>
        <v>MK-01</v>
      </c>
    </row>
    <row r="2441" spans="1:8" x14ac:dyDescent="0.2">
      <c r="A2441" s="157"/>
      <c r="B2441" s="31" t="s">
        <v>9167</v>
      </c>
      <c r="C2441" s="31" t="s">
        <v>9168</v>
      </c>
      <c r="D2441" s="31" t="s">
        <v>3254</v>
      </c>
      <c r="E2441" s="61" t="b">
        <v>1</v>
      </c>
      <c r="F2441" s="106" t="s">
        <v>9169</v>
      </c>
      <c r="G2441" s="116" t="str">
        <f>HYPERLINK("http://nsgreg.nga.mil/genc/view?v=114795&amp;gencs=T&amp;end_month=3&amp;end_day=31&amp;end_year=2014","Aračinovo")</f>
        <v>Aračinovo</v>
      </c>
      <c r="H2441" s="87" t="str">
        <f>HYPERLINK("http://api.nsgreg.nga.mil/geo-division/ISO3166-2/6/ed3/MK-02","MK-02")</f>
        <v>MK-02</v>
      </c>
    </row>
    <row r="2442" spans="1:8" x14ac:dyDescent="0.2">
      <c r="A2442" s="157"/>
      <c r="B2442" s="31" t="s">
        <v>9170</v>
      </c>
      <c r="C2442" s="31" t="s">
        <v>9171</v>
      </c>
      <c r="D2442" s="31" t="s">
        <v>3254</v>
      </c>
      <c r="E2442" s="61" t="b">
        <v>1</v>
      </c>
      <c r="F2442" s="106" t="s">
        <v>9172</v>
      </c>
      <c r="G2442" s="116" t="str">
        <f>HYPERLINK("http://nsgreg.nga.mil/genc/view?v=114796&amp;gencs=T&amp;end_month=3&amp;end_day=31&amp;end_year=2014","Berovo")</f>
        <v>Berovo</v>
      </c>
      <c r="H2442" s="87" t="str">
        <f>HYPERLINK("http://api.nsgreg.nga.mil/geo-division/ISO3166-2/6/ed3/MK-03","MK-03")</f>
        <v>MK-03</v>
      </c>
    </row>
    <row r="2443" spans="1:8" x14ac:dyDescent="0.2">
      <c r="A2443" s="157"/>
      <c r="B2443" s="31" t="s">
        <v>9173</v>
      </c>
      <c r="C2443" s="31" t="s">
        <v>9174</v>
      </c>
      <c r="D2443" s="31" t="s">
        <v>3254</v>
      </c>
      <c r="E2443" s="61" t="b">
        <v>1</v>
      </c>
      <c r="F2443" s="106" t="s">
        <v>9175</v>
      </c>
      <c r="G2443" s="116" t="str">
        <f>HYPERLINK("http://nsgreg.nga.mil/genc/view?v=114797&amp;gencs=T&amp;end_month=3&amp;end_day=31&amp;end_year=2014","Bitola")</f>
        <v>Bitola</v>
      </c>
      <c r="H2443" s="87" t="str">
        <f>HYPERLINK("http://api.nsgreg.nga.mil/geo-division/ISO3166-2/6/ed3/MK-04","MK-04")</f>
        <v>MK-04</v>
      </c>
    </row>
    <row r="2444" spans="1:8" x14ac:dyDescent="0.2">
      <c r="A2444" s="157"/>
      <c r="B2444" s="31" t="s">
        <v>9176</v>
      </c>
      <c r="C2444" s="31" t="s">
        <v>9177</v>
      </c>
      <c r="D2444" s="31" t="s">
        <v>3254</v>
      </c>
      <c r="E2444" s="61" t="b">
        <v>1</v>
      </c>
      <c r="F2444" s="106" t="s">
        <v>9178</v>
      </c>
      <c r="G2444" s="116" t="str">
        <f>HYPERLINK("http://nsgreg.nga.mil/genc/view?v=114798&amp;gencs=T&amp;end_month=3&amp;end_day=31&amp;end_year=2014","Bogdanci")</f>
        <v>Bogdanci</v>
      </c>
      <c r="H2444" s="87" t="str">
        <f>HYPERLINK("http://api.nsgreg.nga.mil/geo-division/ISO3166-2/6/ed3/MK-05","MK-05")</f>
        <v>MK-05</v>
      </c>
    </row>
    <row r="2445" spans="1:8" x14ac:dyDescent="0.2">
      <c r="A2445" s="157"/>
      <c r="B2445" s="31" t="s">
        <v>9179</v>
      </c>
      <c r="C2445" s="31" t="s">
        <v>9180</v>
      </c>
      <c r="D2445" s="31" t="s">
        <v>3254</v>
      </c>
      <c r="E2445" s="61" t="b">
        <v>1</v>
      </c>
      <c r="F2445" s="106" t="s">
        <v>9181</v>
      </c>
      <c r="G2445" s="116" t="str">
        <f>HYPERLINK("http://nsgreg.nga.mil/genc/view?v=114799&amp;gencs=T&amp;end_month=3&amp;end_day=31&amp;end_year=2014","Bogovinje")</f>
        <v>Bogovinje</v>
      </c>
      <c r="H2445" s="87" t="str">
        <f>HYPERLINK("http://api.nsgreg.nga.mil/geo-division/ISO3166-2/6/ed3/MK-06","MK-06")</f>
        <v>MK-06</v>
      </c>
    </row>
    <row r="2446" spans="1:8" x14ac:dyDescent="0.2">
      <c r="A2446" s="157"/>
      <c r="B2446" s="31" t="s">
        <v>9182</v>
      </c>
      <c r="C2446" s="31" t="s">
        <v>9183</v>
      </c>
      <c r="D2446" s="31" t="s">
        <v>3254</v>
      </c>
      <c r="E2446" s="61" t="b">
        <v>1</v>
      </c>
      <c r="F2446" s="106" t="s">
        <v>9184</v>
      </c>
      <c r="G2446" s="116" t="str">
        <f>HYPERLINK("http://nsgreg.nga.mil/genc/view?v=114800&amp;gencs=T&amp;end_month=3&amp;end_day=31&amp;end_year=2014","Bosilovo")</f>
        <v>Bosilovo</v>
      </c>
      <c r="H2446" s="87" t="str">
        <f>HYPERLINK("http://api.nsgreg.nga.mil/geo-division/ISO3166-2/6/ed3/MK-07","MK-07")</f>
        <v>MK-07</v>
      </c>
    </row>
    <row r="2447" spans="1:8" x14ac:dyDescent="0.2">
      <c r="A2447" s="157"/>
      <c r="B2447" s="31" t="s">
        <v>9185</v>
      </c>
      <c r="C2447" s="31" t="s">
        <v>9186</v>
      </c>
      <c r="D2447" s="31" t="s">
        <v>3254</v>
      </c>
      <c r="E2447" s="61" t="b">
        <v>1</v>
      </c>
      <c r="F2447" s="106" t="s">
        <v>9187</v>
      </c>
      <c r="G2447" s="116" t="str">
        <f>HYPERLINK("http://nsgreg.nga.mil/genc/view?v=114801&amp;gencs=T&amp;end_month=3&amp;end_day=31&amp;end_year=2014","Brvenica")</f>
        <v>Brvenica</v>
      </c>
      <c r="H2447" s="87" t="str">
        <f>HYPERLINK("http://api.nsgreg.nga.mil/geo-division/ISO3166-2/6/ed3/MK-08","MK-08")</f>
        <v>MK-08</v>
      </c>
    </row>
    <row r="2448" spans="1:8" x14ac:dyDescent="0.2">
      <c r="A2448" s="157"/>
      <c r="B2448" s="31" t="s">
        <v>9188</v>
      </c>
      <c r="C2448" s="31" t="s">
        <v>9189</v>
      </c>
      <c r="D2448" s="98" t="s">
        <v>3254</v>
      </c>
      <c r="E2448" s="99" t="b">
        <v>0</v>
      </c>
      <c r="F2448" s="107" t="s">
        <v>9190</v>
      </c>
      <c r="G2448" s="116" t="str">
        <f>HYPERLINK("http://nsgreg.nga.mil/genc/view?v=204520&amp;end_month=3&amp;end_day=31&amp;end_year=2014","Butel")</f>
        <v>Butel</v>
      </c>
      <c r="H2448" s="87" t="str">
        <f>HYPERLINK("http://api.nsgreg.nga.mil/geo-division/GENC/6/ed2/MK-09","MK-09")</f>
        <v>MK-09</v>
      </c>
    </row>
    <row r="2449" spans="1:8" x14ac:dyDescent="0.2">
      <c r="A2449" s="157"/>
      <c r="B2449" s="31" t="s">
        <v>9191</v>
      </c>
      <c r="C2449" s="31" t="s">
        <v>9192</v>
      </c>
      <c r="D2449" s="98" t="s">
        <v>3254</v>
      </c>
      <c r="E2449" s="99" t="b">
        <v>0</v>
      </c>
      <c r="F2449" s="107" t="s">
        <v>9193</v>
      </c>
      <c r="G2449" s="116" t="str">
        <f>HYPERLINK("http://nsgreg.nga.mil/genc/view?v=204521&amp;end_month=3&amp;end_day=31&amp;end_year=2014","Čair")</f>
        <v>Čair</v>
      </c>
      <c r="H2449" s="87" t="str">
        <f>HYPERLINK("http://api.nsgreg.nga.mil/geo-division/GENC/6/ed2/MK-79","MK-79")</f>
        <v>MK-79</v>
      </c>
    </row>
    <row r="2450" spans="1:8" x14ac:dyDescent="0.2">
      <c r="A2450" s="157"/>
      <c r="B2450" s="31" t="s">
        <v>9194</v>
      </c>
      <c r="C2450" s="31" t="s">
        <v>9195</v>
      </c>
      <c r="D2450" s="31" t="s">
        <v>3254</v>
      </c>
      <c r="E2450" s="61" t="b">
        <v>1</v>
      </c>
      <c r="F2450" s="106" t="s">
        <v>9196</v>
      </c>
      <c r="G2450" s="116" t="str">
        <f>HYPERLINK("http://nsgreg.nga.mil/genc/view?v=114873&amp;gencs=T&amp;end_month=3&amp;end_day=31&amp;end_year=2014","Čaška")</f>
        <v>Čaška</v>
      </c>
      <c r="H2450" s="87" t="str">
        <f>HYPERLINK("http://api.nsgreg.nga.mil/geo-division/ISO3166-2/6/ed3/MK-80","MK-80")</f>
        <v>MK-80</v>
      </c>
    </row>
    <row r="2451" spans="1:8" x14ac:dyDescent="0.2">
      <c r="A2451" s="157"/>
      <c r="B2451" s="31" t="s">
        <v>9197</v>
      </c>
      <c r="C2451" s="31" t="s">
        <v>9198</v>
      </c>
      <c r="D2451" s="98" t="s">
        <v>3254</v>
      </c>
      <c r="E2451" s="99" t="b">
        <v>0</v>
      </c>
      <c r="F2451" s="107" t="s">
        <v>9199</v>
      </c>
      <c r="G2451" s="116" t="str">
        <f>HYPERLINK("http://nsgreg.nga.mil/genc/view?v=204522&amp;end_month=3&amp;end_day=31&amp;end_year=2014","Centar")</f>
        <v>Centar</v>
      </c>
      <c r="H2451" s="87" t="str">
        <f>HYPERLINK("http://api.nsgreg.nga.mil/geo-division/GENC/6/ed2/MK-77","MK-77")</f>
        <v>MK-77</v>
      </c>
    </row>
    <row r="2452" spans="1:8" x14ac:dyDescent="0.2">
      <c r="A2452" s="157"/>
      <c r="B2452" s="31" t="s">
        <v>9200</v>
      </c>
      <c r="C2452" s="31" t="s">
        <v>9201</v>
      </c>
      <c r="D2452" s="31" t="s">
        <v>3254</v>
      </c>
      <c r="E2452" s="61" t="b">
        <v>1</v>
      </c>
      <c r="F2452" s="106" t="s">
        <v>9202</v>
      </c>
      <c r="G2452" s="116" t="str">
        <f>HYPERLINK("http://nsgreg.nga.mil/genc/view?v=114871&amp;gencs=T&amp;end_month=3&amp;end_day=31&amp;end_year=2014","Centar Župa")</f>
        <v>Centar Župa</v>
      </c>
      <c r="H2452" s="87" t="str">
        <f>HYPERLINK("http://api.nsgreg.nga.mil/geo-division/ISO3166-2/6/ed3/MK-78","MK-78")</f>
        <v>MK-78</v>
      </c>
    </row>
    <row r="2453" spans="1:8" x14ac:dyDescent="0.2">
      <c r="A2453" s="157"/>
      <c r="B2453" s="31" t="s">
        <v>9203</v>
      </c>
      <c r="C2453" s="31" t="s">
        <v>9204</v>
      </c>
      <c r="D2453" s="31" t="s">
        <v>3254</v>
      </c>
      <c r="E2453" s="61" t="b">
        <v>1</v>
      </c>
      <c r="F2453" s="106" t="s">
        <v>9205</v>
      </c>
      <c r="G2453" s="116" t="str">
        <f>HYPERLINK("http://nsgreg.nga.mil/genc/view?v=114874&amp;gencs=T&amp;end_month=3&amp;end_day=31&amp;end_year=2014","Češinovo-Obleševo")</f>
        <v>Češinovo-Obleševo</v>
      </c>
      <c r="H2453" s="87" t="str">
        <f>HYPERLINK("http://api.nsgreg.nga.mil/geo-division/ISO3166-2/6/ed3/MK-81","MK-81")</f>
        <v>MK-81</v>
      </c>
    </row>
    <row r="2454" spans="1:8" x14ac:dyDescent="0.2">
      <c r="A2454" s="157"/>
      <c r="B2454" s="31" t="s">
        <v>9206</v>
      </c>
      <c r="C2454" s="31" t="s">
        <v>9207</v>
      </c>
      <c r="D2454" s="31" t="s">
        <v>3254</v>
      </c>
      <c r="E2454" s="61" t="b">
        <v>1</v>
      </c>
      <c r="F2454" s="107" t="s">
        <v>9208</v>
      </c>
      <c r="G2454" s="116" t="str">
        <f>HYPERLINK("http://nsgreg.nga.mil/genc/view?v=202130&amp;end_month=3&amp;end_day=31&amp;end_year=2014","Čučer-Sandevo")</f>
        <v>Čučer-Sandevo</v>
      </c>
      <c r="H2454" s="87" t="str">
        <f>HYPERLINK("http://api.nsgreg.nga.mil/geo-division/GENC/6/ed2/MK-82","MK-82")</f>
        <v>MK-82</v>
      </c>
    </row>
    <row r="2455" spans="1:8" x14ac:dyDescent="0.2">
      <c r="A2455" s="157"/>
      <c r="B2455" s="31" t="s">
        <v>9209</v>
      </c>
      <c r="C2455" s="31" t="s">
        <v>9210</v>
      </c>
      <c r="D2455" s="31" t="s">
        <v>3254</v>
      </c>
      <c r="E2455" s="61" t="b">
        <v>1</v>
      </c>
      <c r="F2455" s="106" t="s">
        <v>9211</v>
      </c>
      <c r="G2455" s="116" t="str">
        <f>HYPERLINK("http://nsgreg.nga.mil/genc/view?v=114814&amp;gencs=T&amp;end_month=3&amp;end_day=31&amp;end_year=2014","Debar")</f>
        <v>Debar</v>
      </c>
      <c r="H2455" s="87" t="str">
        <f>HYPERLINK("http://api.nsgreg.nga.mil/geo-division/ISO3166-2/6/ed3/MK-21","MK-21")</f>
        <v>MK-21</v>
      </c>
    </row>
    <row r="2456" spans="1:8" x14ac:dyDescent="0.2">
      <c r="A2456" s="157"/>
      <c r="B2456" s="31" t="s">
        <v>9212</v>
      </c>
      <c r="C2456" s="31" t="s">
        <v>9213</v>
      </c>
      <c r="D2456" s="31" t="s">
        <v>3254</v>
      </c>
      <c r="E2456" s="61" t="b">
        <v>1</v>
      </c>
      <c r="F2456" s="106" t="s">
        <v>9214</v>
      </c>
      <c r="G2456" s="116" t="str">
        <f>HYPERLINK("http://nsgreg.nga.mil/genc/view?v=114815&amp;gencs=T&amp;end_month=3&amp;end_day=31&amp;end_year=2014","Debarca")</f>
        <v>Debarca</v>
      </c>
      <c r="H2456" s="87" t="str">
        <f>HYPERLINK("http://api.nsgreg.nga.mil/geo-division/ISO3166-2/6/ed3/MK-22","MK-22")</f>
        <v>MK-22</v>
      </c>
    </row>
    <row r="2457" spans="1:8" x14ac:dyDescent="0.2">
      <c r="A2457" s="157"/>
      <c r="B2457" s="31" t="s">
        <v>9215</v>
      </c>
      <c r="C2457" s="31" t="s">
        <v>9216</v>
      </c>
      <c r="D2457" s="31" t="s">
        <v>3254</v>
      </c>
      <c r="E2457" s="61" t="b">
        <v>1</v>
      </c>
      <c r="F2457" s="106" t="s">
        <v>9217</v>
      </c>
      <c r="G2457" s="116" t="str">
        <f>HYPERLINK("http://nsgreg.nga.mil/genc/view?v=114816&amp;gencs=T&amp;end_month=3&amp;end_day=31&amp;end_year=2014","Delčevo")</f>
        <v>Delčevo</v>
      </c>
      <c r="H2457" s="87" t="str">
        <f>HYPERLINK("http://api.nsgreg.nga.mil/geo-division/ISO3166-2/6/ed3/MK-23","MK-23")</f>
        <v>MK-23</v>
      </c>
    </row>
    <row r="2458" spans="1:8" x14ac:dyDescent="0.2">
      <c r="A2458" s="157"/>
      <c r="B2458" s="31" t="s">
        <v>9218</v>
      </c>
      <c r="C2458" s="31" t="s">
        <v>9219</v>
      </c>
      <c r="D2458" s="31" t="s">
        <v>3254</v>
      </c>
      <c r="E2458" s="61" t="b">
        <v>1</v>
      </c>
      <c r="F2458" s="106" t="s">
        <v>9220</v>
      </c>
      <c r="G2458" s="116" t="str">
        <f>HYPERLINK("http://nsgreg.nga.mil/genc/view?v=114818&amp;gencs=T&amp;end_month=3&amp;end_day=31&amp;end_year=2014","Demir Hisar")</f>
        <v>Demir Hisar</v>
      </c>
      <c r="H2458" s="87" t="str">
        <f>HYPERLINK("http://api.nsgreg.nga.mil/geo-division/ISO3166-2/6/ed3/MK-25","MK-25")</f>
        <v>MK-25</v>
      </c>
    </row>
    <row r="2459" spans="1:8" x14ac:dyDescent="0.2">
      <c r="A2459" s="157"/>
      <c r="B2459" s="31" t="s">
        <v>9221</v>
      </c>
      <c r="C2459" s="31" t="s">
        <v>9222</v>
      </c>
      <c r="D2459" s="31" t="s">
        <v>3254</v>
      </c>
      <c r="E2459" s="61" t="b">
        <v>1</v>
      </c>
      <c r="F2459" s="106" t="s">
        <v>9223</v>
      </c>
      <c r="G2459" s="116" t="str">
        <f>HYPERLINK("http://nsgreg.nga.mil/genc/view?v=114817&amp;gencs=T&amp;end_month=3&amp;end_day=31&amp;end_year=2014","Demir Kapija")</f>
        <v>Demir Kapija</v>
      </c>
      <c r="H2459" s="87" t="str">
        <f>HYPERLINK("http://api.nsgreg.nga.mil/geo-division/ISO3166-2/6/ed3/MK-24","MK-24")</f>
        <v>MK-24</v>
      </c>
    </row>
    <row r="2460" spans="1:8" x14ac:dyDescent="0.2">
      <c r="A2460" s="157"/>
      <c r="B2460" s="31" t="s">
        <v>9224</v>
      </c>
      <c r="C2460" s="31" t="s">
        <v>9225</v>
      </c>
      <c r="D2460" s="31" t="s">
        <v>3254</v>
      </c>
      <c r="E2460" s="61" t="b">
        <v>1</v>
      </c>
      <c r="F2460" s="106" t="s">
        <v>9226</v>
      </c>
      <c r="G2460" s="116" t="str">
        <f>HYPERLINK("http://nsgreg.nga.mil/genc/view?v=114819&amp;gencs=T&amp;end_month=3&amp;end_day=31&amp;end_year=2014","Dojran")</f>
        <v>Dojran</v>
      </c>
      <c r="H2460" s="87" t="str">
        <f>HYPERLINK("http://api.nsgreg.nga.mil/geo-division/ISO3166-2/6/ed3/MK-26","MK-26")</f>
        <v>MK-26</v>
      </c>
    </row>
    <row r="2461" spans="1:8" x14ac:dyDescent="0.2">
      <c r="A2461" s="157"/>
      <c r="B2461" s="31" t="s">
        <v>9227</v>
      </c>
      <c r="C2461" s="31" t="s">
        <v>9228</v>
      </c>
      <c r="D2461" s="31" t="s">
        <v>3254</v>
      </c>
      <c r="E2461" s="61" t="b">
        <v>1</v>
      </c>
      <c r="F2461" s="106" t="s">
        <v>9229</v>
      </c>
      <c r="G2461" s="116" t="str">
        <f>HYPERLINK("http://nsgreg.nga.mil/genc/view?v=114820&amp;gencs=T&amp;end_month=3&amp;end_day=31&amp;end_year=2014","Dolneni")</f>
        <v>Dolneni</v>
      </c>
      <c r="H2461" s="87" t="str">
        <f>HYPERLINK("http://api.nsgreg.nga.mil/geo-division/ISO3166-2/6/ed3/MK-27","MK-27")</f>
        <v>MK-27</v>
      </c>
    </row>
    <row r="2462" spans="1:8" x14ac:dyDescent="0.2">
      <c r="A2462" s="157"/>
      <c r="B2462" s="31" t="s">
        <v>9230</v>
      </c>
      <c r="C2462" s="31" t="s">
        <v>9231</v>
      </c>
      <c r="D2462" s="98" t="s">
        <v>3254</v>
      </c>
      <c r="E2462" s="99" t="b">
        <v>0</v>
      </c>
      <c r="F2462" s="107" t="s">
        <v>9232</v>
      </c>
      <c r="G2462" s="116" t="str">
        <f>HYPERLINK("http://nsgreg.nga.mil/genc/view?v=204523&amp;end_month=3&amp;end_day=31&amp;end_year=2014","Drugovo")</f>
        <v>Drugovo</v>
      </c>
      <c r="H2462" s="87" t="str">
        <f>HYPERLINK("http://api.nsgreg.nga.mil/geo-division/GENC/6/ed2/MK-28","MK-28")</f>
        <v>MK-28</v>
      </c>
    </row>
    <row r="2463" spans="1:8" x14ac:dyDescent="0.2">
      <c r="A2463" s="157"/>
      <c r="B2463" s="31" t="s">
        <v>9233</v>
      </c>
      <c r="C2463" s="31" t="s">
        <v>9234</v>
      </c>
      <c r="D2463" s="98" t="s">
        <v>3254</v>
      </c>
      <c r="E2463" s="99" t="b">
        <v>0</v>
      </c>
      <c r="F2463" s="107" t="s">
        <v>9235</v>
      </c>
      <c r="G2463" s="116" t="str">
        <f>HYPERLINK("http://nsgreg.nga.mil/genc/view?v=204524&amp;end_month=3&amp;end_day=31&amp;end_year=2014","Gazi Baba")</f>
        <v>Gazi Baba</v>
      </c>
      <c r="H2463" s="87" t="str">
        <f>HYPERLINK("http://api.nsgreg.nga.mil/geo-division/GENC/6/ed2/MK-17","MK-17")</f>
        <v>MK-17</v>
      </c>
    </row>
    <row r="2464" spans="1:8" x14ac:dyDescent="0.2">
      <c r="A2464" s="157"/>
      <c r="B2464" s="31" t="s">
        <v>9236</v>
      </c>
      <c r="C2464" s="31" t="s">
        <v>9237</v>
      </c>
      <c r="D2464" s="31" t="s">
        <v>3254</v>
      </c>
      <c r="E2464" s="61" t="b">
        <v>1</v>
      </c>
      <c r="F2464" s="106" t="s">
        <v>9238</v>
      </c>
      <c r="G2464" s="116" t="str">
        <f>HYPERLINK("http://nsgreg.nga.mil/genc/view?v=114811&amp;gencs=T&amp;end_month=3&amp;end_day=31&amp;end_year=2014","Gevgelija")</f>
        <v>Gevgelija</v>
      </c>
      <c r="H2464" s="87" t="str">
        <f>HYPERLINK("http://api.nsgreg.nga.mil/geo-division/ISO3166-2/6/ed3/MK-18","MK-18")</f>
        <v>MK-18</v>
      </c>
    </row>
    <row r="2465" spans="1:8" x14ac:dyDescent="0.2">
      <c r="A2465" s="157"/>
      <c r="B2465" s="31" t="s">
        <v>9239</v>
      </c>
      <c r="C2465" s="31" t="s">
        <v>9240</v>
      </c>
      <c r="D2465" s="98" t="s">
        <v>3254</v>
      </c>
      <c r="E2465" s="99" t="b">
        <v>0</v>
      </c>
      <c r="F2465" s="107" t="s">
        <v>9241</v>
      </c>
      <c r="G2465" s="116" t="str">
        <f>HYPERLINK("http://nsgreg.nga.mil/genc/view?v=202128&amp;end_month=3&amp;end_day=31&amp;end_year=2014","Gjorče Petrov")</f>
        <v>Gjorče Petrov</v>
      </c>
      <c r="H2465" s="87" t="str">
        <f>HYPERLINK("http://api.nsgreg.nga.mil/geo-division/GENC/6/ed2/MK-29","MK-29")</f>
        <v>MK-29</v>
      </c>
    </row>
    <row r="2466" spans="1:8" x14ac:dyDescent="0.2">
      <c r="A2466" s="157"/>
      <c r="B2466" s="31" t="s">
        <v>9242</v>
      </c>
      <c r="C2466" s="31" t="s">
        <v>9243</v>
      </c>
      <c r="D2466" s="31" t="s">
        <v>3254</v>
      </c>
      <c r="E2466" s="61" t="b">
        <v>1</v>
      </c>
      <c r="F2466" s="106" t="s">
        <v>9244</v>
      </c>
      <c r="G2466" s="116" t="str">
        <f>HYPERLINK("http://nsgreg.nga.mil/genc/view?v=114812&amp;gencs=T&amp;end_month=3&amp;end_day=31&amp;end_year=2014","Gostivar")</f>
        <v>Gostivar</v>
      </c>
      <c r="H2466" s="87" t="str">
        <f>HYPERLINK("http://api.nsgreg.nga.mil/geo-division/ISO3166-2/6/ed3/MK-19","MK-19")</f>
        <v>MK-19</v>
      </c>
    </row>
    <row r="2467" spans="1:8" x14ac:dyDescent="0.2">
      <c r="A2467" s="157"/>
      <c r="B2467" s="31" t="s">
        <v>9245</v>
      </c>
      <c r="C2467" s="31" t="s">
        <v>9246</v>
      </c>
      <c r="D2467" s="31" t="s">
        <v>3254</v>
      </c>
      <c r="E2467" s="61" t="b">
        <v>1</v>
      </c>
      <c r="F2467" s="106" t="s">
        <v>9247</v>
      </c>
      <c r="G2467" s="116" t="str">
        <f>HYPERLINK("http://nsgreg.nga.mil/genc/view?v=114813&amp;gencs=T&amp;end_month=3&amp;end_day=31&amp;end_year=2014","Gradsko")</f>
        <v>Gradsko</v>
      </c>
      <c r="H2467" s="87" t="str">
        <f>HYPERLINK("http://api.nsgreg.nga.mil/geo-division/ISO3166-2/6/ed3/MK-20","MK-20")</f>
        <v>MK-20</v>
      </c>
    </row>
    <row r="2468" spans="1:8" x14ac:dyDescent="0.2">
      <c r="A2468" s="157"/>
      <c r="B2468" s="31" t="s">
        <v>9248</v>
      </c>
      <c r="C2468" s="31" t="s">
        <v>9249</v>
      </c>
      <c r="D2468" s="31" t="s">
        <v>3254</v>
      </c>
      <c r="E2468" s="61" t="b">
        <v>1</v>
      </c>
      <c r="F2468" s="106" t="s">
        <v>9250</v>
      </c>
      <c r="G2468" s="116" t="str">
        <f>HYPERLINK("http://nsgreg.nga.mil/genc/view?v=114827&amp;gencs=T&amp;end_month=3&amp;end_day=31&amp;end_year=2014","Ilinden")</f>
        <v>Ilinden</v>
      </c>
      <c r="H2468" s="87" t="str">
        <f>HYPERLINK("http://api.nsgreg.nga.mil/geo-division/ISO3166-2/6/ed3/MK-34","MK-34")</f>
        <v>MK-34</v>
      </c>
    </row>
    <row r="2469" spans="1:8" x14ac:dyDescent="0.2">
      <c r="A2469" s="157"/>
      <c r="B2469" s="31" t="s">
        <v>9251</v>
      </c>
      <c r="C2469" s="31" t="s">
        <v>9252</v>
      </c>
      <c r="D2469" s="31" t="s">
        <v>3254</v>
      </c>
      <c r="E2469" s="61" t="b">
        <v>1</v>
      </c>
      <c r="F2469" s="106" t="s">
        <v>9253</v>
      </c>
      <c r="G2469" s="116" t="str">
        <f>HYPERLINK("http://nsgreg.nga.mil/genc/view?v=114828&amp;gencs=T&amp;end_month=3&amp;end_day=31&amp;end_year=2014","Jegunovce")</f>
        <v>Jegunovce</v>
      </c>
      <c r="H2469" s="87" t="str">
        <f>HYPERLINK("http://api.nsgreg.nga.mil/geo-division/ISO3166-2/6/ed3/MK-35","MK-35")</f>
        <v>MK-35</v>
      </c>
    </row>
    <row r="2470" spans="1:8" x14ac:dyDescent="0.2">
      <c r="A2470" s="157"/>
      <c r="B2470" s="31" t="s">
        <v>9254</v>
      </c>
      <c r="C2470" s="31" t="s">
        <v>9255</v>
      </c>
      <c r="D2470" s="31" t="s">
        <v>3254</v>
      </c>
      <c r="E2470" s="61" t="b">
        <v>1</v>
      </c>
      <c r="F2470" s="106" t="s">
        <v>9256</v>
      </c>
      <c r="G2470" s="116" t="str">
        <f>HYPERLINK("http://nsgreg.nga.mil/genc/view?v=114830&amp;gencs=T&amp;end_month=3&amp;end_day=31&amp;end_year=2014","Karbinci")</f>
        <v>Karbinci</v>
      </c>
      <c r="H2470" s="87" t="str">
        <f>HYPERLINK("http://api.nsgreg.nga.mil/geo-division/ISO3166-2/6/ed3/MK-37","MK-37")</f>
        <v>MK-37</v>
      </c>
    </row>
    <row r="2471" spans="1:8" x14ac:dyDescent="0.2">
      <c r="A2471" s="157"/>
      <c r="B2471" s="31" t="s">
        <v>9257</v>
      </c>
      <c r="C2471" s="31" t="s">
        <v>9258</v>
      </c>
      <c r="D2471" s="98" t="s">
        <v>3254</v>
      </c>
      <c r="E2471" s="99" t="b">
        <v>0</v>
      </c>
      <c r="F2471" s="107" t="s">
        <v>9259</v>
      </c>
      <c r="G2471" s="116" t="str">
        <f>HYPERLINK("http://nsgreg.nga.mil/genc/view?v=204525&amp;end_month=3&amp;end_day=31&amp;end_year=2014","Karpoš")</f>
        <v>Karpoš</v>
      </c>
      <c r="H2471" s="87" t="str">
        <f>HYPERLINK("http://api.nsgreg.nga.mil/geo-division/GENC/6/ed2/MK-38","MK-38")</f>
        <v>MK-38</v>
      </c>
    </row>
    <row r="2472" spans="1:8" x14ac:dyDescent="0.2">
      <c r="A2472" s="157"/>
      <c r="B2472" s="31" t="s">
        <v>9260</v>
      </c>
      <c r="C2472" s="31" t="s">
        <v>9261</v>
      </c>
      <c r="D2472" s="31" t="s">
        <v>3254</v>
      </c>
      <c r="E2472" s="61" t="b">
        <v>1</v>
      </c>
      <c r="F2472" s="106" t="s">
        <v>9262</v>
      </c>
      <c r="G2472" s="116" t="str">
        <f>HYPERLINK("http://nsgreg.nga.mil/genc/view?v=114829&amp;gencs=T&amp;end_month=3&amp;end_day=31&amp;end_year=2014","Kavadarci")</f>
        <v>Kavadarci</v>
      </c>
      <c r="H2472" s="87" t="str">
        <f>HYPERLINK("http://api.nsgreg.nga.mil/geo-division/ISO3166-2/6/ed3/MK-36","MK-36")</f>
        <v>MK-36</v>
      </c>
    </row>
    <row r="2473" spans="1:8" x14ac:dyDescent="0.2">
      <c r="A2473" s="157"/>
      <c r="B2473" s="31" t="s">
        <v>9263</v>
      </c>
      <c r="C2473" s="31" t="s">
        <v>9264</v>
      </c>
      <c r="D2473" s="31" t="s">
        <v>3254</v>
      </c>
      <c r="E2473" s="61" t="b">
        <v>1</v>
      </c>
      <c r="F2473" s="106" t="s">
        <v>9265</v>
      </c>
      <c r="G2473" s="116" t="str">
        <f>HYPERLINK("http://nsgreg.nga.mil/genc/view?v=114833&amp;gencs=T&amp;end_month=3&amp;end_day=31&amp;end_year=2014","Kičevo")</f>
        <v>Kičevo</v>
      </c>
      <c r="H2473" s="87" t="str">
        <f>HYPERLINK("http://api.nsgreg.nga.mil/geo-division/ISO3166-2/6/ed3/MK-40","MK-40")</f>
        <v>MK-40</v>
      </c>
    </row>
    <row r="2474" spans="1:8" x14ac:dyDescent="0.2">
      <c r="A2474" s="157"/>
      <c r="B2474" s="31" t="s">
        <v>9266</v>
      </c>
      <c r="C2474" s="31" t="s">
        <v>9267</v>
      </c>
      <c r="D2474" s="98" t="s">
        <v>3254</v>
      </c>
      <c r="E2474" s="99" t="b">
        <v>0</v>
      </c>
      <c r="F2474" s="107" t="s">
        <v>9268</v>
      </c>
      <c r="G2474" s="116" t="str">
        <f>HYPERLINK("http://nsgreg.nga.mil/genc/view?v=204526&amp;end_month=3&amp;end_day=31&amp;end_year=2014","Kisela Voda")</f>
        <v>Kisela Voda</v>
      </c>
      <c r="H2474" s="87" t="str">
        <f>HYPERLINK("http://api.nsgreg.nga.mil/geo-division/GENC/6/ed2/MK-39","MK-39")</f>
        <v>MK-39</v>
      </c>
    </row>
    <row r="2475" spans="1:8" x14ac:dyDescent="0.2">
      <c r="A2475" s="157"/>
      <c r="B2475" s="31" t="s">
        <v>9269</v>
      </c>
      <c r="C2475" s="31" t="s">
        <v>9270</v>
      </c>
      <c r="D2475" s="31" t="s">
        <v>3254</v>
      </c>
      <c r="E2475" s="61" t="b">
        <v>1</v>
      </c>
      <c r="F2475" s="106" t="s">
        <v>9271</v>
      </c>
      <c r="G2475" s="116" t="str">
        <f>HYPERLINK("http://nsgreg.nga.mil/genc/view?v=114835&amp;gencs=T&amp;end_month=3&amp;end_day=31&amp;end_year=2014","Kočani")</f>
        <v>Kočani</v>
      </c>
      <c r="H2475" s="87" t="str">
        <f>HYPERLINK("http://api.nsgreg.nga.mil/geo-division/ISO3166-2/6/ed3/MK-42","MK-42")</f>
        <v>MK-42</v>
      </c>
    </row>
    <row r="2476" spans="1:8" x14ac:dyDescent="0.2">
      <c r="A2476" s="157"/>
      <c r="B2476" s="31" t="s">
        <v>9272</v>
      </c>
      <c r="C2476" s="31" t="s">
        <v>9273</v>
      </c>
      <c r="D2476" s="31" t="s">
        <v>3254</v>
      </c>
      <c r="E2476" s="61" t="b">
        <v>1</v>
      </c>
      <c r="F2476" s="106" t="s">
        <v>9274</v>
      </c>
      <c r="G2476" s="116" t="str">
        <f>HYPERLINK("http://nsgreg.nga.mil/genc/view?v=114834&amp;gencs=T&amp;end_month=3&amp;end_day=31&amp;end_year=2014","Konče")</f>
        <v>Konče</v>
      </c>
      <c r="H2476" s="87" t="str">
        <f>HYPERLINK("http://api.nsgreg.nga.mil/geo-division/ISO3166-2/6/ed3/MK-41","MK-41")</f>
        <v>MK-41</v>
      </c>
    </row>
    <row r="2477" spans="1:8" x14ac:dyDescent="0.2">
      <c r="A2477" s="157"/>
      <c r="B2477" s="31" t="s">
        <v>9275</v>
      </c>
      <c r="C2477" s="31" t="s">
        <v>9276</v>
      </c>
      <c r="D2477" s="31" t="s">
        <v>3254</v>
      </c>
      <c r="E2477" s="61" t="b">
        <v>1</v>
      </c>
      <c r="F2477" s="106" t="s">
        <v>9277</v>
      </c>
      <c r="G2477" s="116" t="str">
        <f>HYPERLINK("http://nsgreg.nga.mil/genc/view?v=114836&amp;gencs=T&amp;end_month=3&amp;end_day=31&amp;end_year=2014","Kratovo")</f>
        <v>Kratovo</v>
      </c>
      <c r="H2477" s="87" t="str">
        <f>HYPERLINK("http://api.nsgreg.nga.mil/geo-division/ISO3166-2/6/ed3/MK-43","MK-43")</f>
        <v>MK-43</v>
      </c>
    </row>
    <row r="2478" spans="1:8" x14ac:dyDescent="0.2">
      <c r="A2478" s="157"/>
      <c r="B2478" s="31" t="s">
        <v>9278</v>
      </c>
      <c r="C2478" s="31" t="s">
        <v>9279</v>
      </c>
      <c r="D2478" s="31" t="s">
        <v>3254</v>
      </c>
      <c r="E2478" s="61" t="b">
        <v>1</v>
      </c>
      <c r="F2478" s="106" t="s">
        <v>9280</v>
      </c>
      <c r="G2478" s="116" t="str">
        <f>HYPERLINK("http://nsgreg.nga.mil/genc/view?v=114837&amp;gencs=T&amp;end_month=3&amp;end_day=31&amp;end_year=2014","Kriva Palanka")</f>
        <v>Kriva Palanka</v>
      </c>
      <c r="H2478" s="87" t="str">
        <f>HYPERLINK("http://api.nsgreg.nga.mil/geo-division/ISO3166-2/6/ed3/MK-44","MK-44")</f>
        <v>MK-44</v>
      </c>
    </row>
    <row r="2479" spans="1:8" x14ac:dyDescent="0.2">
      <c r="A2479" s="157"/>
      <c r="B2479" s="31" t="s">
        <v>9281</v>
      </c>
      <c r="C2479" s="31" t="s">
        <v>9282</v>
      </c>
      <c r="D2479" s="31" t="s">
        <v>3254</v>
      </c>
      <c r="E2479" s="61" t="b">
        <v>1</v>
      </c>
      <c r="F2479" s="106" t="s">
        <v>9283</v>
      </c>
      <c r="G2479" s="116" t="str">
        <f>HYPERLINK("http://nsgreg.nga.mil/genc/view?v=114838&amp;gencs=T&amp;end_month=3&amp;end_day=31&amp;end_year=2014","Krivogaštani")</f>
        <v>Krivogaštani</v>
      </c>
      <c r="H2479" s="87" t="str">
        <f>HYPERLINK("http://api.nsgreg.nga.mil/geo-division/ISO3166-2/6/ed3/MK-45","MK-45")</f>
        <v>MK-45</v>
      </c>
    </row>
    <row r="2480" spans="1:8" x14ac:dyDescent="0.2">
      <c r="A2480" s="157"/>
      <c r="B2480" s="31" t="s">
        <v>9284</v>
      </c>
      <c r="C2480" s="31" t="s">
        <v>9285</v>
      </c>
      <c r="D2480" s="31" t="s">
        <v>3254</v>
      </c>
      <c r="E2480" s="61" t="b">
        <v>1</v>
      </c>
      <c r="F2480" s="106" t="s">
        <v>9286</v>
      </c>
      <c r="G2480" s="116" t="str">
        <f>HYPERLINK("http://nsgreg.nga.mil/genc/view?v=114839&amp;gencs=T&amp;end_month=3&amp;end_day=31&amp;end_year=2014","Kruševo")</f>
        <v>Kruševo</v>
      </c>
      <c r="H2480" s="87" t="str">
        <f>HYPERLINK("http://api.nsgreg.nga.mil/geo-division/ISO3166-2/6/ed3/MK-46","MK-46")</f>
        <v>MK-46</v>
      </c>
    </row>
    <row r="2481" spans="1:8" x14ac:dyDescent="0.2">
      <c r="A2481" s="157"/>
      <c r="B2481" s="31" t="s">
        <v>9287</v>
      </c>
      <c r="C2481" s="31" t="s">
        <v>9288</v>
      </c>
      <c r="D2481" s="31" t="s">
        <v>3254</v>
      </c>
      <c r="E2481" s="61" t="b">
        <v>1</v>
      </c>
      <c r="F2481" s="106" t="s">
        <v>9289</v>
      </c>
      <c r="G2481" s="116" t="str">
        <f>HYPERLINK("http://nsgreg.nga.mil/genc/view?v=114840&amp;gencs=T&amp;end_month=3&amp;end_day=31&amp;end_year=2014","Kumanovo")</f>
        <v>Kumanovo</v>
      </c>
      <c r="H2481" s="87" t="str">
        <f>HYPERLINK("http://api.nsgreg.nga.mil/geo-division/ISO3166-2/6/ed3/MK-47","MK-47")</f>
        <v>MK-47</v>
      </c>
    </row>
    <row r="2482" spans="1:8" x14ac:dyDescent="0.2">
      <c r="A2482" s="157"/>
      <c r="B2482" s="31" t="s">
        <v>9290</v>
      </c>
      <c r="C2482" s="31" t="s">
        <v>9291</v>
      </c>
      <c r="D2482" s="31" t="s">
        <v>3254</v>
      </c>
      <c r="E2482" s="61" t="b">
        <v>1</v>
      </c>
      <c r="F2482" s="106" t="s">
        <v>9292</v>
      </c>
      <c r="G2482" s="116" t="str">
        <f>HYPERLINK("http://nsgreg.nga.mil/genc/view?v=114841&amp;gencs=T&amp;end_month=3&amp;end_day=31&amp;end_year=2014","Lipkovo")</f>
        <v>Lipkovo</v>
      </c>
      <c r="H2482" s="87" t="str">
        <f>HYPERLINK("http://api.nsgreg.nga.mil/geo-division/ISO3166-2/6/ed3/MK-48","MK-48")</f>
        <v>MK-48</v>
      </c>
    </row>
    <row r="2483" spans="1:8" x14ac:dyDescent="0.2">
      <c r="A2483" s="157"/>
      <c r="B2483" s="31" t="s">
        <v>9293</v>
      </c>
      <c r="C2483" s="31" t="s">
        <v>9294</v>
      </c>
      <c r="D2483" s="31" t="s">
        <v>3254</v>
      </c>
      <c r="E2483" s="61" t="b">
        <v>1</v>
      </c>
      <c r="F2483" s="106" t="s">
        <v>9295</v>
      </c>
      <c r="G2483" s="116" t="str">
        <f>HYPERLINK("http://nsgreg.nga.mil/genc/view?v=114842&amp;gencs=T&amp;end_month=3&amp;end_day=31&amp;end_year=2014","Lozovo")</f>
        <v>Lozovo</v>
      </c>
      <c r="H2483" s="87" t="str">
        <f>HYPERLINK("http://api.nsgreg.nga.mil/geo-division/ISO3166-2/6/ed3/MK-49","MK-49")</f>
        <v>MK-49</v>
      </c>
    </row>
    <row r="2484" spans="1:8" x14ac:dyDescent="0.2">
      <c r="A2484" s="157"/>
      <c r="B2484" s="31" t="s">
        <v>9296</v>
      </c>
      <c r="C2484" s="31" t="s">
        <v>9297</v>
      </c>
      <c r="D2484" s="31" t="s">
        <v>3254</v>
      </c>
      <c r="E2484" s="61" t="b">
        <v>1</v>
      </c>
      <c r="F2484" s="106" t="s">
        <v>9298</v>
      </c>
      <c r="G2484" s="116" t="str">
        <f>HYPERLINK("http://nsgreg.nga.mil/genc/view?v=114844&amp;gencs=T&amp;end_month=3&amp;end_day=31&amp;end_year=2014","Makedonska Kamenica")</f>
        <v>Makedonska Kamenica</v>
      </c>
      <c r="H2484" s="87" t="str">
        <f>HYPERLINK("http://api.nsgreg.nga.mil/geo-division/ISO3166-2/6/ed3/MK-51","MK-51")</f>
        <v>MK-51</v>
      </c>
    </row>
    <row r="2485" spans="1:8" x14ac:dyDescent="0.2">
      <c r="A2485" s="157"/>
      <c r="B2485" s="31" t="s">
        <v>9299</v>
      </c>
      <c r="C2485" s="31" t="s">
        <v>9300</v>
      </c>
      <c r="D2485" s="31" t="s">
        <v>3254</v>
      </c>
      <c r="E2485" s="61" t="b">
        <v>1</v>
      </c>
      <c r="F2485" s="106" t="s">
        <v>9301</v>
      </c>
      <c r="G2485" s="116" t="str">
        <f>HYPERLINK("http://nsgreg.nga.mil/genc/view?v=114845&amp;gencs=T&amp;end_month=3&amp;end_day=31&amp;end_year=2014","Makedonski Brod")</f>
        <v>Makedonski Brod</v>
      </c>
      <c r="H2485" s="87" t="str">
        <f>HYPERLINK("http://api.nsgreg.nga.mil/geo-division/ISO3166-2/6/ed3/MK-52","MK-52")</f>
        <v>MK-52</v>
      </c>
    </row>
    <row r="2486" spans="1:8" x14ac:dyDescent="0.2">
      <c r="A2486" s="157"/>
      <c r="B2486" s="31" t="s">
        <v>9302</v>
      </c>
      <c r="C2486" s="31" t="s">
        <v>9303</v>
      </c>
      <c r="D2486" s="31" t="s">
        <v>3254</v>
      </c>
      <c r="E2486" s="61" t="b">
        <v>1</v>
      </c>
      <c r="F2486" s="107" t="s">
        <v>9304</v>
      </c>
      <c r="G2486" s="116" t="str">
        <f>HYPERLINK("http://nsgreg.nga.mil/genc/view?v=202129&amp;end_month=3&amp;end_day=31&amp;end_year=2014","Mavrovo i Rostuša")</f>
        <v>Mavrovo i Rostuša</v>
      </c>
      <c r="H2486" s="87" t="str">
        <f>HYPERLINK("http://api.nsgreg.nga.mil/geo-division/GENC/6/ed2/MK-50","MK-50")</f>
        <v>MK-50</v>
      </c>
    </row>
    <row r="2487" spans="1:8" x14ac:dyDescent="0.2">
      <c r="A2487" s="157"/>
      <c r="B2487" s="31" t="s">
        <v>9305</v>
      </c>
      <c r="C2487" s="31" t="s">
        <v>9306</v>
      </c>
      <c r="D2487" s="31" t="s">
        <v>3254</v>
      </c>
      <c r="E2487" s="61" t="b">
        <v>1</v>
      </c>
      <c r="F2487" s="106" t="s">
        <v>9307</v>
      </c>
      <c r="G2487" s="116" t="str">
        <f>HYPERLINK("http://nsgreg.nga.mil/genc/view?v=114846&amp;gencs=T&amp;end_month=3&amp;end_day=31&amp;end_year=2014","Mogila")</f>
        <v>Mogila</v>
      </c>
      <c r="H2487" s="87" t="str">
        <f>HYPERLINK("http://api.nsgreg.nga.mil/geo-division/ISO3166-2/6/ed3/MK-53","MK-53")</f>
        <v>MK-53</v>
      </c>
    </row>
    <row r="2488" spans="1:8" x14ac:dyDescent="0.2">
      <c r="A2488" s="157"/>
      <c r="B2488" s="31" t="s">
        <v>9308</v>
      </c>
      <c r="C2488" s="31" t="s">
        <v>9309</v>
      </c>
      <c r="D2488" s="31" t="s">
        <v>3254</v>
      </c>
      <c r="E2488" s="61" t="b">
        <v>1</v>
      </c>
      <c r="F2488" s="106" t="s">
        <v>9310</v>
      </c>
      <c r="G2488" s="116" t="str">
        <f>HYPERLINK("http://nsgreg.nga.mil/genc/view?v=114847&amp;gencs=T&amp;end_month=3&amp;end_day=31&amp;end_year=2014","Negotino")</f>
        <v>Negotino</v>
      </c>
      <c r="H2488" s="87" t="str">
        <f>HYPERLINK("http://api.nsgreg.nga.mil/geo-division/ISO3166-2/6/ed3/MK-54","MK-54")</f>
        <v>MK-54</v>
      </c>
    </row>
    <row r="2489" spans="1:8" x14ac:dyDescent="0.2">
      <c r="A2489" s="157"/>
      <c r="B2489" s="31" t="s">
        <v>9311</v>
      </c>
      <c r="C2489" s="31" t="s">
        <v>9312</v>
      </c>
      <c r="D2489" s="31" t="s">
        <v>3254</v>
      </c>
      <c r="E2489" s="61" t="b">
        <v>1</v>
      </c>
      <c r="F2489" s="106" t="s">
        <v>9313</v>
      </c>
      <c r="G2489" s="116" t="str">
        <f>HYPERLINK("http://nsgreg.nga.mil/genc/view?v=114848&amp;gencs=T&amp;end_month=3&amp;end_day=31&amp;end_year=2014","Novaci")</f>
        <v>Novaci</v>
      </c>
      <c r="H2489" s="87" t="str">
        <f>HYPERLINK("http://api.nsgreg.nga.mil/geo-division/ISO3166-2/6/ed3/MK-55","MK-55")</f>
        <v>MK-55</v>
      </c>
    </row>
    <row r="2490" spans="1:8" x14ac:dyDescent="0.2">
      <c r="A2490" s="157"/>
      <c r="B2490" s="31" t="s">
        <v>9314</v>
      </c>
      <c r="C2490" s="31" t="s">
        <v>9315</v>
      </c>
      <c r="D2490" s="31" t="s">
        <v>3254</v>
      </c>
      <c r="E2490" s="61" t="b">
        <v>1</v>
      </c>
      <c r="F2490" s="106" t="s">
        <v>9316</v>
      </c>
      <c r="G2490" s="116" t="str">
        <f>HYPERLINK("http://nsgreg.nga.mil/genc/view?v=114849&amp;gencs=T&amp;end_month=3&amp;end_day=31&amp;end_year=2014","Novo Selo")</f>
        <v>Novo Selo</v>
      </c>
      <c r="H2490" s="87" t="str">
        <f>HYPERLINK("http://api.nsgreg.nga.mil/geo-division/ISO3166-2/6/ed3/MK-56","MK-56")</f>
        <v>MK-56</v>
      </c>
    </row>
    <row r="2491" spans="1:8" x14ac:dyDescent="0.2">
      <c r="A2491" s="157"/>
      <c r="B2491" s="31" t="s">
        <v>9317</v>
      </c>
      <c r="C2491" s="31" t="s">
        <v>9318</v>
      </c>
      <c r="D2491" s="31" t="s">
        <v>3254</v>
      </c>
      <c r="E2491" s="61" t="b">
        <v>1</v>
      </c>
      <c r="F2491" s="106" t="s">
        <v>9319</v>
      </c>
      <c r="G2491" s="116" t="str">
        <f>HYPERLINK("http://nsgreg.nga.mil/genc/view?v=114851&amp;gencs=T&amp;end_month=3&amp;end_day=31&amp;end_year=2014","Ohrid")</f>
        <v>Ohrid</v>
      </c>
      <c r="H2491" s="87" t="str">
        <f>HYPERLINK("http://api.nsgreg.nga.mil/geo-division/ISO3166-2/6/ed3/MK-58","MK-58")</f>
        <v>MK-58</v>
      </c>
    </row>
    <row r="2492" spans="1:8" x14ac:dyDescent="0.2">
      <c r="A2492" s="157"/>
      <c r="B2492" s="31" t="s">
        <v>9320</v>
      </c>
      <c r="C2492" s="31" t="s">
        <v>9321</v>
      </c>
      <c r="D2492" s="98" t="s">
        <v>3254</v>
      </c>
      <c r="E2492" s="99" t="b">
        <v>0</v>
      </c>
      <c r="F2492" s="107" t="s">
        <v>9322</v>
      </c>
      <c r="G2492" s="116" t="str">
        <f>HYPERLINK("http://nsgreg.nga.mil/genc/view?v=204527&amp;end_month=3&amp;end_day=31&amp;end_year=2014","Oslomej")</f>
        <v>Oslomej</v>
      </c>
      <c r="H2492" s="87" t="str">
        <f>HYPERLINK("http://api.nsgreg.nga.mil/geo-division/GENC/6/ed2/MK-57","MK-57")</f>
        <v>MK-57</v>
      </c>
    </row>
    <row r="2493" spans="1:8" x14ac:dyDescent="0.2">
      <c r="A2493" s="157"/>
      <c r="B2493" s="31" t="s">
        <v>9323</v>
      </c>
      <c r="C2493" s="31" t="s">
        <v>9324</v>
      </c>
      <c r="D2493" s="31" t="s">
        <v>3254</v>
      </c>
      <c r="E2493" s="61" t="b">
        <v>1</v>
      </c>
      <c r="F2493" s="106" t="s">
        <v>9325</v>
      </c>
      <c r="G2493" s="116" t="str">
        <f>HYPERLINK("http://nsgreg.nga.mil/genc/view?v=114853&amp;gencs=T&amp;end_month=3&amp;end_day=31&amp;end_year=2014","Pehčevo")</f>
        <v>Pehčevo</v>
      </c>
      <c r="H2493" s="87" t="str">
        <f>HYPERLINK("http://api.nsgreg.nga.mil/geo-division/ISO3166-2/6/ed3/MK-60","MK-60")</f>
        <v>MK-60</v>
      </c>
    </row>
    <row r="2494" spans="1:8" x14ac:dyDescent="0.2">
      <c r="A2494" s="157"/>
      <c r="B2494" s="31" t="s">
        <v>9326</v>
      </c>
      <c r="C2494" s="31" t="s">
        <v>9327</v>
      </c>
      <c r="D2494" s="31" t="s">
        <v>3254</v>
      </c>
      <c r="E2494" s="61" t="b">
        <v>1</v>
      </c>
      <c r="F2494" s="106" t="s">
        <v>9328</v>
      </c>
      <c r="G2494" s="116" t="str">
        <f>HYPERLINK("http://nsgreg.nga.mil/genc/view?v=114852&amp;gencs=T&amp;end_month=3&amp;end_day=31&amp;end_year=2014","Petrovec")</f>
        <v>Petrovec</v>
      </c>
      <c r="H2494" s="87" t="str">
        <f>HYPERLINK("http://api.nsgreg.nga.mil/geo-division/ISO3166-2/6/ed3/MK-59","MK-59")</f>
        <v>MK-59</v>
      </c>
    </row>
    <row r="2495" spans="1:8" x14ac:dyDescent="0.2">
      <c r="A2495" s="157"/>
      <c r="B2495" s="31" t="s">
        <v>9329</v>
      </c>
      <c r="C2495" s="31" t="s">
        <v>9330</v>
      </c>
      <c r="D2495" s="31" t="s">
        <v>3254</v>
      </c>
      <c r="E2495" s="61" t="b">
        <v>1</v>
      </c>
      <c r="F2495" s="106" t="s">
        <v>9331</v>
      </c>
      <c r="G2495" s="116" t="str">
        <f>HYPERLINK("http://nsgreg.nga.mil/genc/view?v=114854&amp;gencs=T&amp;end_month=3&amp;end_day=31&amp;end_year=2014","Plasnica")</f>
        <v>Plasnica</v>
      </c>
      <c r="H2495" s="87" t="str">
        <f>HYPERLINK("http://api.nsgreg.nga.mil/geo-division/ISO3166-2/6/ed3/MK-61","MK-61")</f>
        <v>MK-61</v>
      </c>
    </row>
    <row r="2496" spans="1:8" x14ac:dyDescent="0.2">
      <c r="A2496" s="157"/>
      <c r="B2496" s="31" t="s">
        <v>9332</v>
      </c>
      <c r="C2496" s="31" t="s">
        <v>9333</v>
      </c>
      <c r="D2496" s="31" t="s">
        <v>3254</v>
      </c>
      <c r="E2496" s="61" t="b">
        <v>1</v>
      </c>
      <c r="F2496" s="106" t="s">
        <v>9334</v>
      </c>
      <c r="G2496" s="116" t="str">
        <f>HYPERLINK("http://nsgreg.nga.mil/genc/view?v=114855&amp;gencs=T&amp;end_month=3&amp;end_day=31&amp;end_year=2014","Prilep")</f>
        <v>Prilep</v>
      </c>
      <c r="H2496" s="87" t="str">
        <f>HYPERLINK("http://api.nsgreg.nga.mil/geo-division/ISO3166-2/6/ed3/MK-62","MK-62")</f>
        <v>MK-62</v>
      </c>
    </row>
    <row r="2497" spans="1:8" x14ac:dyDescent="0.2">
      <c r="A2497" s="157"/>
      <c r="B2497" s="31" t="s">
        <v>9335</v>
      </c>
      <c r="C2497" s="31" t="s">
        <v>9336</v>
      </c>
      <c r="D2497" s="31" t="s">
        <v>3254</v>
      </c>
      <c r="E2497" s="61" t="b">
        <v>1</v>
      </c>
      <c r="F2497" s="106" t="s">
        <v>9337</v>
      </c>
      <c r="G2497" s="116" t="str">
        <f>HYPERLINK("http://nsgreg.nga.mil/genc/view?v=114856&amp;gencs=T&amp;end_month=3&amp;end_day=31&amp;end_year=2014","Probištip")</f>
        <v>Probištip</v>
      </c>
      <c r="H2497" s="87" t="str">
        <f>HYPERLINK("http://api.nsgreg.nga.mil/geo-division/ISO3166-2/6/ed3/MK-63","MK-63")</f>
        <v>MK-63</v>
      </c>
    </row>
    <row r="2498" spans="1:8" x14ac:dyDescent="0.2">
      <c r="A2498" s="157"/>
      <c r="B2498" s="31" t="s">
        <v>9338</v>
      </c>
      <c r="C2498" s="31" t="s">
        <v>9339</v>
      </c>
      <c r="D2498" s="31" t="s">
        <v>3254</v>
      </c>
      <c r="E2498" s="61" t="b">
        <v>1</v>
      </c>
      <c r="F2498" s="106" t="s">
        <v>9340</v>
      </c>
      <c r="G2498" s="116" t="str">
        <f>HYPERLINK("http://nsgreg.nga.mil/genc/view?v=114857&amp;gencs=T&amp;end_month=3&amp;end_day=31&amp;end_year=2014","Radoviš")</f>
        <v>Radoviš</v>
      </c>
      <c r="H2498" s="87" t="str">
        <f>HYPERLINK("http://api.nsgreg.nga.mil/geo-division/ISO3166-2/6/ed3/MK-64","MK-64")</f>
        <v>MK-64</v>
      </c>
    </row>
    <row r="2499" spans="1:8" x14ac:dyDescent="0.2">
      <c r="A2499" s="157"/>
      <c r="B2499" s="31" t="s">
        <v>9341</v>
      </c>
      <c r="C2499" s="31" t="s">
        <v>9342</v>
      </c>
      <c r="D2499" s="31" t="s">
        <v>3254</v>
      </c>
      <c r="E2499" s="61" t="b">
        <v>1</v>
      </c>
      <c r="F2499" s="106" t="s">
        <v>9343</v>
      </c>
      <c r="G2499" s="116" t="str">
        <f>HYPERLINK("http://nsgreg.nga.mil/genc/view?v=114858&amp;gencs=T&amp;end_month=3&amp;end_day=31&amp;end_year=2014","Rankovce")</f>
        <v>Rankovce</v>
      </c>
      <c r="H2499" s="87" t="str">
        <f>HYPERLINK("http://api.nsgreg.nga.mil/geo-division/ISO3166-2/6/ed3/MK-65","MK-65")</f>
        <v>MK-65</v>
      </c>
    </row>
    <row r="2500" spans="1:8" x14ac:dyDescent="0.2">
      <c r="A2500" s="157"/>
      <c r="B2500" s="31" t="s">
        <v>9344</v>
      </c>
      <c r="C2500" s="31" t="s">
        <v>9345</v>
      </c>
      <c r="D2500" s="31" t="s">
        <v>3254</v>
      </c>
      <c r="E2500" s="61" t="b">
        <v>1</v>
      </c>
      <c r="F2500" s="106" t="s">
        <v>9346</v>
      </c>
      <c r="G2500" s="116" t="str">
        <f>HYPERLINK("http://nsgreg.nga.mil/genc/view?v=114859&amp;gencs=T&amp;end_month=3&amp;end_day=31&amp;end_year=2014","Resen")</f>
        <v>Resen</v>
      </c>
      <c r="H2500" s="87" t="str">
        <f>HYPERLINK("http://api.nsgreg.nga.mil/geo-division/ISO3166-2/6/ed3/MK-66","MK-66")</f>
        <v>MK-66</v>
      </c>
    </row>
    <row r="2501" spans="1:8" x14ac:dyDescent="0.2">
      <c r="A2501" s="157"/>
      <c r="B2501" s="31" t="s">
        <v>9347</v>
      </c>
      <c r="C2501" s="31" t="s">
        <v>9348</v>
      </c>
      <c r="D2501" s="31" t="s">
        <v>3254</v>
      </c>
      <c r="E2501" s="61" t="b">
        <v>1</v>
      </c>
      <c r="F2501" s="106" t="s">
        <v>9349</v>
      </c>
      <c r="G2501" s="116" t="str">
        <f>HYPERLINK("http://nsgreg.nga.mil/genc/view?v=114860&amp;gencs=T&amp;end_month=3&amp;end_day=31&amp;end_year=2014","Rosoman")</f>
        <v>Rosoman</v>
      </c>
      <c r="H2501" s="87" t="str">
        <f>HYPERLINK("http://api.nsgreg.nga.mil/geo-division/ISO3166-2/6/ed3/MK-67","MK-67")</f>
        <v>MK-67</v>
      </c>
    </row>
    <row r="2502" spans="1:8" x14ac:dyDescent="0.2">
      <c r="A2502" s="157"/>
      <c r="B2502" s="31" t="s">
        <v>9350</v>
      </c>
      <c r="C2502" s="31" t="s">
        <v>9351</v>
      </c>
      <c r="D2502" s="98" t="s">
        <v>3254</v>
      </c>
      <c r="E2502" s="99" t="b">
        <v>0</v>
      </c>
      <c r="F2502" s="107" t="s">
        <v>9352</v>
      </c>
      <c r="G2502" s="116" t="str">
        <f>HYPERLINK("http://nsgreg.nga.mil/genc/view?v=204528&amp;end_month=3&amp;end_day=31&amp;end_year=2014","Saraj")</f>
        <v>Saraj</v>
      </c>
      <c r="H2502" s="87" t="str">
        <f>HYPERLINK("http://api.nsgreg.nga.mil/geo-division/GENC/6/ed2/MK-68","MK-68")</f>
        <v>MK-68</v>
      </c>
    </row>
    <row r="2503" spans="1:8" x14ac:dyDescent="0.2">
      <c r="A2503" s="157"/>
      <c r="B2503" s="31" t="s">
        <v>9353</v>
      </c>
      <c r="C2503" s="31" t="s">
        <v>9354</v>
      </c>
      <c r="D2503" s="31" t="s">
        <v>2405</v>
      </c>
      <c r="E2503" s="61" t="b">
        <v>1</v>
      </c>
      <c r="F2503" s="107" t="s">
        <v>9355</v>
      </c>
      <c r="G2503" s="116" t="str">
        <f>HYPERLINK("http://nsgreg.nga.mil/genc/view?v=202131&amp;end_month=3&amp;end_day=31&amp;end_year=2014","Skopje")</f>
        <v>Skopje</v>
      </c>
      <c r="H2503" s="87" t="str">
        <f>HYPERLINK("http://api.nsgreg.nga.mil/geo-division/GENC/6/ed2/MK-85","MK-85")</f>
        <v>MK-85</v>
      </c>
    </row>
    <row r="2504" spans="1:8" x14ac:dyDescent="0.2">
      <c r="A2504" s="157"/>
      <c r="B2504" s="31" t="s">
        <v>9356</v>
      </c>
      <c r="C2504" s="31" t="s">
        <v>9357</v>
      </c>
      <c r="D2504" s="31" t="s">
        <v>3254</v>
      </c>
      <c r="E2504" s="61" t="b">
        <v>1</v>
      </c>
      <c r="F2504" s="106" t="s">
        <v>9358</v>
      </c>
      <c r="G2504" s="116" t="str">
        <f>HYPERLINK("http://nsgreg.nga.mil/genc/view?v=114863&amp;gencs=T&amp;end_month=3&amp;end_day=31&amp;end_year=2014","Sopište")</f>
        <v>Sopište</v>
      </c>
      <c r="H2504" s="87" t="str">
        <f>HYPERLINK("http://api.nsgreg.nga.mil/geo-division/ISO3166-2/6/ed3/MK-70","MK-70")</f>
        <v>MK-70</v>
      </c>
    </row>
    <row r="2505" spans="1:8" x14ac:dyDescent="0.2">
      <c r="A2505" s="157"/>
      <c r="B2505" s="31" t="s">
        <v>9359</v>
      </c>
      <c r="C2505" s="31" t="s">
        <v>9360</v>
      </c>
      <c r="D2505" s="31" t="s">
        <v>3254</v>
      </c>
      <c r="E2505" s="61" t="b">
        <v>1</v>
      </c>
      <c r="F2505" s="106" t="s">
        <v>9361</v>
      </c>
      <c r="G2505" s="116" t="str">
        <f>HYPERLINK("http://nsgreg.nga.mil/genc/view?v=114864&amp;gencs=T&amp;end_month=3&amp;end_day=31&amp;end_year=2014","Staro Nagoričane")</f>
        <v>Staro Nagoričane</v>
      </c>
      <c r="H2505" s="87" t="str">
        <f>HYPERLINK("http://api.nsgreg.nga.mil/geo-division/ISO3166-2/6/ed3/MK-71","MK-71")</f>
        <v>MK-71</v>
      </c>
    </row>
    <row r="2506" spans="1:8" x14ac:dyDescent="0.2">
      <c r="A2506" s="157"/>
      <c r="B2506" s="31" t="s">
        <v>9362</v>
      </c>
      <c r="C2506" s="31" t="s">
        <v>9363</v>
      </c>
      <c r="D2506" s="31" t="s">
        <v>3254</v>
      </c>
      <c r="E2506" s="61" t="b">
        <v>1</v>
      </c>
      <c r="F2506" s="106" t="s">
        <v>9364</v>
      </c>
      <c r="G2506" s="116" t="str">
        <f>HYPERLINK("http://nsgreg.nga.mil/genc/view?v=114876&amp;gencs=T&amp;end_month=3&amp;end_day=31&amp;end_year=2014","Štip")</f>
        <v>Štip</v>
      </c>
      <c r="H2506" s="87" t="str">
        <f>HYPERLINK("http://api.nsgreg.nga.mil/geo-division/ISO3166-2/6/ed3/MK-83","MK-83")</f>
        <v>MK-83</v>
      </c>
    </row>
    <row r="2507" spans="1:8" x14ac:dyDescent="0.2">
      <c r="A2507" s="157"/>
      <c r="B2507" s="31" t="s">
        <v>9365</v>
      </c>
      <c r="C2507" s="31" t="s">
        <v>9366</v>
      </c>
      <c r="D2507" s="31" t="s">
        <v>3254</v>
      </c>
      <c r="E2507" s="61" t="b">
        <v>1</v>
      </c>
      <c r="F2507" s="106" t="s">
        <v>9367</v>
      </c>
      <c r="G2507" s="116" t="str">
        <f>HYPERLINK("http://nsgreg.nga.mil/genc/view?v=114865&amp;gencs=T&amp;end_month=3&amp;end_day=31&amp;end_year=2014","Struga")</f>
        <v>Struga</v>
      </c>
      <c r="H2507" s="87" t="str">
        <f>HYPERLINK("http://api.nsgreg.nga.mil/geo-division/ISO3166-2/6/ed3/MK-72","MK-72")</f>
        <v>MK-72</v>
      </c>
    </row>
    <row r="2508" spans="1:8" x14ac:dyDescent="0.2">
      <c r="A2508" s="157"/>
      <c r="B2508" s="31" t="s">
        <v>9368</v>
      </c>
      <c r="C2508" s="31" t="s">
        <v>9369</v>
      </c>
      <c r="D2508" s="31" t="s">
        <v>3254</v>
      </c>
      <c r="E2508" s="61" t="b">
        <v>1</v>
      </c>
      <c r="F2508" s="106" t="s">
        <v>9370</v>
      </c>
      <c r="G2508" s="116" t="str">
        <f>HYPERLINK("http://nsgreg.nga.mil/genc/view?v=114866&amp;gencs=T&amp;end_month=3&amp;end_day=31&amp;end_year=2014","Strumica")</f>
        <v>Strumica</v>
      </c>
      <c r="H2508" s="87" t="str">
        <f>HYPERLINK("http://api.nsgreg.nga.mil/geo-division/ISO3166-2/6/ed3/MK-73","MK-73")</f>
        <v>MK-73</v>
      </c>
    </row>
    <row r="2509" spans="1:8" x14ac:dyDescent="0.2">
      <c r="A2509" s="157"/>
      <c r="B2509" s="31" t="s">
        <v>9371</v>
      </c>
      <c r="C2509" s="31" t="s">
        <v>9372</v>
      </c>
      <c r="D2509" s="31" t="s">
        <v>3254</v>
      </c>
      <c r="E2509" s="61" t="b">
        <v>1</v>
      </c>
      <c r="F2509" s="106" t="s">
        <v>9373</v>
      </c>
      <c r="G2509" s="116" t="str">
        <f>HYPERLINK("http://nsgreg.nga.mil/genc/view?v=114867&amp;gencs=T&amp;end_month=3&amp;end_day=31&amp;end_year=2014","Studeničani")</f>
        <v>Studeničani</v>
      </c>
      <c r="H2509" s="87" t="str">
        <f>HYPERLINK("http://api.nsgreg.nga.mil/geo-division/ISO3166-2/6/ed3/MK-74","MK-74")</f>
        <v>MK-74</v>
      </c>
    </row>
    <row r="2510" spans="1:8" x14ac:dyDescent="0.2">
      <c r="A2510" s="157"/>
      <c r="B2510" s="31" t="s">
        <v>9374</v>
      </c>
      <c r="C2510" s="31" t="s">
        <v>9375</v>
      </c>
      <c r="D2510" s="98" t="s">
        <v>3254</v>
      </c>
      <c r="E2510" s="99" t="b">
        <v>0</v>
      </c>
      <c r="F2510" s="107" t="s">
        <v>9376</v>
      </c>
      <c r="G2510" s="116" t="str">
        <f>HYPERLINK("http://nsgreg.nga.mil/genc/view?v=204529&amp;end_month=3&amp;end_day=31&amp;end_year=2014","Šuto Orizari")</f>
        <v>Šuto Orizari</v>
      </c>
      <c r="H2510" s="87" t="str">
        <f>HYPERLINK("http://api.nsgreg.nga.mil/geo-division/GENC/6/ed2/MK-84","MK-84")</f>
        <v>MK-84</v>
      </c>
    </row>
    <row r="2511" spans="1:8" x14ac:dyDescent="0.2">
      <c r="A2511" s="157"/>
      <c r="B2511" s="31" t="s">
        <v>9377</v>
      </c>
      <c r="C2511" s="31" t="s">
        <v>9378</v>
      </c>
      <c r="D2511" s="31" t="s">
        <v>3254</v>
      </c>
      <c r="E2511" s="61" t="b">
        <v>1</v>
      </c>
      <c r="F2511" s="106" t="s">
        <v>9379</v>
      </c>
      <c r="G2511" s="116" t="str">
        <f>HYPERLINK("http://nsgreg.nga.mil/genc/view?v=114862&amp;gencs=T&amp;end_month=3&amp;end_day=31&amp;end_year=2014","Sveti Nikole")</f>
        <v>Sveti Nikole</v>
      </c>
      <c r="H2511" s="87" t="str">
        <f>HYPERLINK("http://api.nsgreg.nga.mil/geo-division/ISO3166-2/6/ed3/MK-69","MK-69")</f>
        <v>MK-69</v>
      </c>
    </row>
    <row r="2512" spans="1:8" x14ac:dyDescent="0.2">
      <c r="A2512" s="157"/>
      <c r="B2512" s="31" t="s">
        <v>9380</v>
      </c>
      <c r="C2512" s="31" t="s">
        <v>9381</v>
      </c>
      <c r="D2512" s="31" t="s">
        <v>3254</v>
      </c>
      <c r="E2512" s="61" t="b">
        <v>1</v>
      </c>
      <c r="F2512" s="106" t="s">
        <v>9382</v>
      </c>
      <c r="G2512" s="116" t="str">
        <f>HYPERLINK("http://nsgreg.nga.mil/genc/view?v=114868&amp;gencs=T&amp;end_month=3&amp;end_day=31&amp;end_year=2014","Tearce")</f>
        <v>Tearce</v>
      </c>
      <c r="H2512" s="87" t="str">
        <f>HYPERLINK("http://api.nsgreg.nga.mil/geo-division/ISO3166-2/6/ed3/MK-75","MK-75")</f>
        <v>MK-75</v>
      </c>
    </row>
    <row r="2513" spans="1:8" x14ac:dyDescent="0.2">
      <c r="A2513" s="157"/>
      <c r="B2513" s="31" t="s">
        <v>9383</v>
      </c>
      <c r="C2513" s="31" t="s">
        <v>9384</v>
      </c>
      <c r="D2513" s="31" t="s">
        <v>3254</v>
      </c>
      <c r="E2513" s="61" t="b">
        <v>1</v>
      </c>
      <c r="F2513" s="106" t="s">
        <v>9385</v>
      </c>
      <c r="G2513" s="116" t="str">
        <f>HYPERLINK("http://nsgreg.nga.mil/genc/view?v=114869&amp;gencs=T&amp;end_month=3&amp;end_day=31&amp;end_year=2014","Tetovo")</f>
        <v>Tetovo</v>
      </c>
      <c r="H2513" s="87" t="str">
        <f>HYPERLINK("http://api.nsgreg.nga.mil/geo-division/ISO3166-2/6/ed3/MK-76","MK-76")</f>
        <v>MK-76</v>
      </c>
    </row>
    <row r="2514" spans="1:8" x14ac:dyDescent="0.2">
      <c r="A2514" s="157"/>
      <c r="B2514" s="31" t="s">
        <v>9386</v>
      </c>
      <c r="C2514" s="31" t="s">
        <v>9387</v>
      </c>
      <c r="D2514" s="31" t="s">
        <v>3254</v>
      </c>
      <c r="E2514" s="61" t="b">
        <v>1</v>
      </c>
      <c r="F2514" s="106" t="s">
        <v>9388</v>
      </c>
      <c r="G2514" s="116" t="str">
        <f>HYPERLINK("http://nsgreg.nga.mil/genc/view?v=114803&amp;gencs=T&amp;end_month=3&amp;end_day=31&amp;end_year=2014","Valandovo")</f>
        <v>Valandovo</v>
      </c>
      <c r="H2514" s="87" t="str">
        <f>HYPERLINK("http://api.nsgreg.nga.mil/geo-division/ISO3166-2/6/ed3/MK-10","MK-10")</f>
        <v>MK-10</v>
      </c>
    </row>
    <row r="2515" spans="1:8" x14ac:dyDescent="0.2">
      <c r="A2515" s="157"/>
      <c r="B2515" s="31" t="s">
        <v>9389</v>
      </c>
      <c r="C2515" s="31" t="s">
        <v>9390</v>
      </c>
      <c r="D2515" s="31" t="s">
        <v>3254</v>
      </c>
      <c r="E2515" s="61" t="b">
        <v>1</v>
      </c>
      <c r="F2515" s="106" t="s">
        <v>9391</v>
      </c>
      <c r="G2515" s="116" t="str">
        <f>HYPERLINK("http://nsgreg.nga.mil/genc/view?v=114804&amp;gencs=T&amp;end_month=3&amp;end_day=31&amp;end_year=2014","Vasilevo")</f>
        <v>Vasilevo</v>
      </c>
      <c r="H2515" s="87" t="str">
        <f>HYPERLINK("http://api.nsgreg.nga.mil/geo-division/ISO3166-2/6/ed3/MK-11","MK-11")</f>
        <v>MK-11</v>
      </c>
    </row>
    <row r="2516" spans="1:8" x14ac:dyDescent="0.2">
      <c r="A2516" s="157"/>
      <c r="B2516" s="31" t="s">
        <v>9392</v>
      </c>
      <c r="C2516" s="31" t="s">
        <v>9393</v>
      </c>
      <c r="D2516" s="31" t="s">
        <v>3254</v>
      </c>
      <c r="E2516" s="61" t="b">
        <v>1</v>
      </c>
      <c r="F2516" s="106" t="s">
        <v>9394</v>
      </c>
      <c r="G2516" s="116" t="str">
        <f>HYPERLINK("http://nsgreg.nga.mil/genc/view?v=114806&amp;gencs=T&amp;end_month=3&amp;end_day=31&amp;end_year=2014","Veles")</f>
        <v>Veles</v>
      </c>
      <c r="H2516" s="87" t="str">
        <f>HYPERLINK("http://api.nsgreg.nga.mil/geo-division/ISO3166-2/6/ed3/MK-13","MK-13")</f>
        <v>MK-13</v>
      </c>
    </row>
    <row r="2517" spans="1:8" x14ac:dyDescent="0.2">
      <c r="A2517" s="157"/>
      <c r="B2517" s="31" t="s">
        <v>9395</v>
      </c>
      <c r="C2517" s="31" t="s">
        <v>9396</v>
      </c>
      <c r="D2517" s="31" t="s">
        <v>3254</v>
      </c>
      <c r="E2517" s="61" t="b">
        <v>1</v>
      </c>
      <c r="F2517" s="106" t="s">
        <v>9397</v>
      </c>
      <c r="G2517" s="116" t="str">
        <f>HYPERLINK("http://nsgreg.nga.mil/genc/view?v=114805&amp;gencs=T&amp;end_month=3&amp;end_day=31&amp;end_year=2014","Vevčani")</f>
        <v>Vevčani</v>
      </c>
      <c r="H2517" s="87" t="str">
        <f>HYPERLINK("http://api.nsgreg.nga.mil/geo-division/ISO3166-2/6/ed3/MK-12","MK-12")</f>
        <v>MK-12</v>
      </c>
    </row>
    <row r="2518" spans="1:8" x14ac:dyDescent="0.2">
      <c r="A2518" s="157"/>
      <c r="B2518" s="31" t="s">
        <v>9398</v>
      </c>
      <c r="C2518" s="31" t="s">
        <v>9399</v>
      </c>
      <c r="D2518" s="31" t="s">
        <v>3254</v>
      </c>
      <c r="E2518" s="61" t="b">
        <v>1</v>
      </c>
      <c r="F2518" s="106" t="s">
        <v>9400</v>
      </c>
      <c r="G2518" s="116" t="str">
        <f>HYPERLINK("http://nsgreg.nga.mil/genc/view?v=114807&amp;gencs=T&amp;end_month=3&amp;end_day=31&amp;end_year=2014","Vinica")</f>
        <v>Vinica</v>
      </c>
      <c r="H2518" s="87" t="str">
        <f>HYPERLINK("http://api.nsgreg.nga.mil/geo-division/ISO3166-2/6/ed3/MK-14","MK-14")</f>
        <v>MK-14</v>
      </c>
    </row>
    <row r="2519" spans="1:8" x14ac:dyDescent="0.2">
      <c r="A2519" s="157"/>
      <c r="B2519" s="31" t="s">
        <v>9401</v>
      </c>
      <c r="C2519" s="31" t="s">
        <v>9402</v>
      </c>
      <c r="D2519" s="98" t="s">
        <v>3254</v>
      </c>
      <c r="E2519" s="99" t="b">
        <v>0</v>
      </c>
      <c r="F2519" s="107" t="s">
        <v>9403</v>
      </c>
      <c r="G2519" s="116" t="str">
        <f>HYPERLINK("http://nsgreg.nga.mil/genc/view?v=204530&amp;end_month=3&amp;end_day=31&amp;end_year=2014","Vraneštica")</f>
        <v>Vraneštica</v>
      </c>
      <c r="H2519" s="87" t="str">
        <f>HYPERLINK("http://api.nsgreg.nga.mil/geo-division/GENC/6/ed2/MK-15","MK-15")</f>
        <v>MK-15</v>
      </c>
    </row>
    <row r="2520" spans="1:8" x14ac:dyDescent="0.2">
      <c r="A2520" s="157"/>
      <c r="B2520" s="31" t="s">
        <v>9404</v>
      </c>
      <c r="C2520" s="31" t="s">
        <v>9405</v>
      </c>
      <c r="D2520" s="31" t="s">
        <v>3254</v>
      </c>
      <c r="E2520" s="61" t="b">
        <v>1</v>
      </c>
      <c r="F2520" s="106" t="s">
        <v>9406</v>
      </c>
      <c r="G2520" s="116" t="str">
        <f>HYPERLINK("http://nsgreg.nga.mil/genc/view?v=114809&amp;gencs=T&amp;end_month=3&amp;end_day=31&amp;end_year=2014","Vrapčište")</f>
        <v>Vrapčište</v>
      </c>
      <c r="H2520" s="87" t="str">
        <f>HYPERLINK("http://api.nsgreg.nga.mil/geo-division/ISO3166-2/6/ed3/MK-16","MK-16")</f>
        <v>MK-16</v>
      </c>
    </row>
    <row r="2521" spans="1:8" x14ac:dyDescent="0.2">
      <c r="A2521" s="157"/>
      <c r="B2521" s="31" t="s">
        <v>9407</v>
      </c>
      <c r="C2521" s="31" t="s">
        <v>9408</v>
      </c>
      <c r="D2521" s="98" t="s">
        <v>3254</v>
      </c>
      <c r="E2521" s="99" t="b">
        <v>0</v>
      </c>
      <c r="F2521" s="107" t="s">
        <v>9409</v>
      </c>
      <c r="G2521" s="116" t="str">
        <f>HYPERLINK("http://nsgreg.nga.mil/genc/view?v=204531&amp;end_month=3&amp;end_day=31&amp;end_year=2014","Zajas")</f>
        <v>Zajas</v>
      </c>
      <c r="H2521" s="87" t="str">
        <f>HYPERLINK("http://api.nsgreg.nga.mil/geo-division/GENC/6/ed2/MK-31","MK-31")</f>
        <v>MK-31</v>
      </c>
    </row>
    <row r="2522" spans="1:8" x14ac:dyDescent="0.2">
      <c r="A2522" s="157"/>
      <c r="B2522" s="31" t="s">
        <v>9410</v>
      </c>
      <c r="C2522" s="31" t="s">
        <v>9411</v>
      </c>
      <c r="D2522" s="31" t="s">
        <v>3254</v>
      </c>
      <c r="E2522" s="61" t="b">
        <v>1</v>
      </c>
      <c r="F2522" s="106" t="s">
        <v>9412</v>
      </c>
      <c r="G2522" s="116" t="str">
        <f>HYPERLINK("http://nsgreg.nga.mil/genc/view?v=114825&amp;gencs=T&amp;end_month=3&amp;end_day=31&amp;end_year=2014","Zelenikovo")</f>
        <v>Zelenikovo</v>
      </c>
      <c r="H2522" s="87" t="str">
        <f>HYPERLINK("http://api.nsgreg.nga.mil/geo-division/ISO3166-2/6/ed3/MK-32","MK-32")</f>
        <v>MK-32</v>
      </c>
    </row>
    <row r="2523" spans="1:8" x14ac:dyDescent="0.2">
      <c r="A2523" s="157"/>
      <c r="B2523" s="31" t="s">
        <v>9413</v>
      </c>
      <c r="C2523" s="31" t="s">
        <v>9414</v>
      </c>
      <c r="D2523" s="31" t="s">
        <v>3254</v>
      </c>
      <c r="E2523" s="61" t="b">
        <v>1</v>
      </c>
      <c r="F2523" s="106" t="s">
        <v>9415</v>
      </c>
      <c r="G2523" s="116" t="str">
        <f>HYPERLINK("http://nsgreg.nga.mil/genc/view?v=114823&amp;gencs=T&amp;end_month=3&amp;end_day=31&amp;end_year=2014","Želino")</f>
        <v>Želino</v>
      </c>
      <c r="H2523" s="87" t="str">
        <f>HYPERLINK("http://api.nsgreg.nga.mil/geo-division/ISO3166-2/6/ed3/MK-30","MK-30")</f>
        <v>MK-30</v>
      </c>
    </row>
    <row r="2524" spans="1:8" x14ac:dyDescent="0.2">
      <c r="A2524" s="158"/>
      <c r="B2524" s="58" t="s">
        <v>9416</v>
      </c>
      <c r="C2524" s="58" t="s">
        <v>9417</v>
      </c>
      <c r="D2524" s="58" t="s">
        <v>3254</v>
      </c>
      <c r="E2524" s="62" t="b">
        <v>1</v>
      </c>
      <c r="F2524" s="108" t="s">
        <v>9418</v>
      </c>
      <c r="G2524" s="117" t="str">
        <f>HYPERLINK("http://nsgreg.nga.mil/genc/view?v=114826&amp;gencs=T&amp;end_month=3&amp;end_day=31&amp;end_year=2014","Zrnovci")</f>
        <v>Zrnovci</v>
      </c>
      <c r="H2524" s="89" t="str">
        <f>HYPERLINK("http://api.nsgreg.nga.mil/geo-division/ISO3166-2/6/ed3/MK-33","MK-33")</f>
        <v>MK-33</v>
      </c>
    </row>
    <row r="2525" spans="1:8" x14ac:dyDescent="0.2">
      <c r="A2525" s="156" t="str">
        <f>HYPERLINK("[#]Geopolitical_Entities!A160:I160","MADAGASCAR")</f>
        <v>MADAGASCAR</v>
      </c>
      <c r="B2525" s="52" t="s">
        <v>9419</v>
      </c>
      <c r="C2525" s="52" t="s">
        <v>9420</v>
      </c>
      <c r="D2525" s="52" t="s">
        <v>1920</v>
      </c>
      <c r="E2525" s="60" t="b">
        <v>1</v>
      </c>
      <c r="F2525" s="110" t="s">
        <v>9421</v>
      </c>
      <c r="G2525" s="118" t="str">
        <f>HYPERLINK("http://nsgreg.nga.mil/genc/view?v=202100&amp;end_month=3&amp;end_day=31&amp;end_year=2014","Antananarivo")</f>
        <v>Antananarivo</v>
      </c>
      <c r="H2525" s="91" t="str">
        <f>HYPERLINK("http://api.nsgreg.nga.mil/geo-division/GENC/6/ed2/MG-T","MG-T")</f>
        <v>MG-T</v>
      </c>
    </row>
    <row r="2526" spans="1:8" x14ac:dyDescent="0.2">
      <c r="A2526" s="157"/>
      <c r="B2526" s="31" t="s">
        <v>9422</v>
      </c>
      <c r="C2526" s="31" t="s">
        <v>9423</v>
      </c>
      <c r="D2526" s="31" t="s">
        <v>1920</v>
      </c>
      <c r="E2526" s="61" t="b">
        <v>1</v>
      </c>
      <c r="F2526" s="107" t="s">
        <v>9424</v>
      </c>
      <c r="G2526" s="116" t="str">
        <f>HYPERLINK("http://nsgreg.nga.mil/genc/view?v=202097&amp;end_month=3&amp;end_day=31&amp;end_year=2014","Antsiranana")</f>
        <v>Antsiranana</v>
      </c>
      <c r="H2526" s="87" t="str">
        <f>HYPERLINK("http://api.nsgreg.nga.mil/geo-division/GENC/6/ed2/MG-D","MG-D")</f>
        <v>MG-D</v>
      </c>
    </row>
    <row r="2527" spans="1:8" x14ac:dyDescent="0.2">
      <c r="A2527" s="157"/>
      <c r="B2527" s="31" t="s">
        <v>9425</v>
      </c>
      <c r="C2527" s="31" t="s">
        <v>9426</v>
      </c>
      <c r="D2527" s="31" t="s">
        <v>1920</v>
      </c>
      <c r="E2527" s="61" t="b">
        <v>1</v>
      </c>
      <c r="F2527" s="107" t="s">
        <v>9427</v>
      </c>
      <c r="G2527" s="116" t="str">
        <f>HYPERLINK("http://nsgreg.nga.mil/genc/view?v=202098&amp;end_month=3&amp;end_day=31&amp;end_year=2014","Fianarantsoa")</f>
        <v>Fianarantsoa</v>
      </c>
      <c r="H2527" s="87" t="str">
        <f>HYPERLINK("http://api.nsgreg.nga.mil/geo-division/GENC/6/ed2/MG-F","MG-F")</f>
        <v>MG-F</v>
      </c>
    </row>
    <row r="2528" spans="1:8" x14ac:dyDescent="0.2">
      <c r="A2528" s="157"/>
      <c r="B2528" s="31" t="s">
        <v>9428</v>
      </c>
      <c r="C2528" s="31" t="s">
        <v>9429</v>
      </c>
      <c r="D2528" s="31" t="s">
        <v>1920</v>
      </c>
      <c r="E2528" s="61" t="b">
        <v>1</v>
      </c>
      <c r="F2528" s="107" t="s">
        <v>9430</v>
      </c>
      <c r="G2528" s="116" t="str">
        <f>HYPERLINK("http://nsgreg.nga.mil/genc/view?v=202099&amp;end_month=3&amp;end_day=31&amp;end_year=2014","Mahajanga")</f>
        <v>Mahajanga</v>
      </c>
      <c r="H2528" s="87" t="str">
        <f>HYPERLINK("http://api.nsgreg.nga.mil/geo-division/GENC/6/ed2/MG-M","MG-M")</f>
        <v>MG-M</v>
      </c>
    </row>
    <row r="2529" spans="1:8" x14ac:dyDescent="0.2">
      <c r="A2529" s="157"/>
      <c r="B2529" s="31" t="s">
        <v>9431</v>
      </c>
      <c r="C2529" s="31" t="s">
        <v>9432</v>
      </c>
      <c r="D2529" s="31" t="s">
        <v>1920</v>
      </c>
      <c r="E2529" s="61" t="b">
        <v>1</v>
      </c>
      <c r="F2529" s="107" t="s">
        <v>9433</v>
      </c>
      <c r="G2529" s="116" t="str">
        <f>HYPERLINK("http://nsgreg.nga.mil/genc/view?v=202096&amp;end_month=3&amp;end_day=31&amp;end_year=2014","Toamasina")</f>
        <v>Toamasina</v>
      </c>
      <c r="H2529" s="87" t="str">
        <f>HYPERLINK("http://api.nsgreg.nga.mil/geo-division/GENC/6/ed2/MG-A","MG-A")</f>
        <v>MG-A</v>
      </c>
    </row>
    <row r="2530" spans="1:8" x14ac:dyDescent="0.2">
      <c r="A2530" s="158"/>
      <c r="B2530" s="58" t="s">
        <v>9434</v>
      </c>
      <c r="C2530" s="58" t="s">
        <v>9435</v>
      </c>
      <c r="D2530" s="58" t="s">
        <v>1920</v>
      </c>
      <c r="E2530" s="62" t="b">
        <v>1</v>
      </c>
      <c r="F2530" s="111" t="s">
        <v>9436</v>
      </c>
      <c r="G2530" s="117" t="str">
        <f>HYPERLINK("http://nsgreg.nga.mil/genc/view?v=202101&amp;end_month=3&amp;end_day=31&amp;end_year=2014","Toliara")</f>
        <v>Toliara</v>
      </c>
      <c r="H2530" s="89" t="str">
        <f>HYPERLINK("http://api.nsgreg.nga.mil/geo-division/GENC/6/ed2/MG-U","MG-U")</f>
        <v>MG-U</v>
      </c>
    </row>
    <row r="2531" spans="1:8" x14ac:dyDescent="0.2">
      <c r="A2531" s="156" t="str">
        <f>HYPERLINK("[#]Geopolitical_Entities!A161:I161","MALAWI")</f>
        <v>MALAWI</v>
      </c>
      <c r="B2531" s="52" t="s">
        <v>9437</v>
      </c>
      <c r="C2531" s="52" t="s">
        <v>9438</v>
      </c>
      <c r="D2531" s="52" t="s">
        <v>2026</v>
      </c>
      <c r="E2531" s="60" t="b">
        <v>1</v>
      </c>
      <c r="F2531" s="110" t="s">
        <v>9439</v>
      </c>
      <c r="G2531" s="118" t="str">
        <f>HYPERLINK("http://nsgreg.nga.mil/genc/view?v=202253&amp;end_month=3&amp;end_day=31&amp;end_year=2014","Balaka")</f>
        <v>Balaka</v>
      </c>
      <c r="H2531" s="91" t="str">
        <f>HYPERLINK("http://api.nsgreg.nga.mil/geo-division/GENC/6/ed2/MW-BA","MW-BA")</f>
        <v>MW-BA</v>
      </c>
    </row>
    <row r="2532" spans="1:8" x14ac:dyDescent="0.2">
      <c r="A2532" s="157"/>
      <c r="B2532" s="31" t="s">
        <v>9440</v>
      </c>
      <c r="C2532" s="31" t="s">
        <v>9441</v>
      </c>
      <c r="D2532" s="31" t="s">
        <v>2026</v>
      </c>
      <c r="E2532" s="61" t="b">
        <v>1</v>
      </c>
      <c r="F2532" s="107" t="s">
        <v>9442</v>
      </c>
      <c r="G2532" s="116" t="str">
        <f>HYPERLINK("http://nsgreg.nga.mil/genc/view?v=202254&amp;end_month=3&amp;end_day=31&amp;end_year=2014","Blantyre")</f>
        <v>Blantyre</v>
      </c>
      <c r="H2532" s="87" t="str">
        <f>HYPERLINK("http://api.nsgreg.nga.mil/geo-division/GENC/6/ed2/MW-BL","MW-BL")</f>
        <v>MW-BL</v>
      </c>
    </row>
    <row r="2533" spans="1:8" x14ac:dyDescent="0.2">
      <c r="A2533" s="157"/>
      <c r="B2533" s="31" t="s">
        <v>9443</v>
      </c>
      <c r="C2533" s="31" t="s">
        <v>9444</v>
      </c>
      <c r="D2533" s="98" t="s">
        <v>3137</v>
      </c>
      <c r="E2533" s="99" t="b">
        <v>0</v>
      </c>
      <c r="F2533" s="107" t="s">
        <v>9445</v>
      </c>
      <c r="G2533" s="116" t="str">
        <f>HYPERLINK("http://nsgreg.nga.mil/genc/view?v=202255&amp;end_month=3&amp;end_day=31&amp;end_year=2014","Central Region")</f>
        <v>Central Region</v>
      </c>
      <c r="H2533" s="87" t="str">
        <f>HYPERLINK("http://api.nsgreg.nga.mil/geo-division/GENC/6/ed2/MW-C","MW-C")</f>
        <v>MW-C</v>
      </c>
    </row>
    <row r="2534" spans="1:8" x14ac:dyDescent="0.2">
      <c r="A2534" s="157"/>
      <c r="B2534" s="31" t="s">
        <v>9446</v>
      </c>
      <c r="C2534" s="31" t="s">
        <v>9447</v>
      </c>
      <c r="D2534" s="31" t="s">
        <v>2026</v>
      </c>
      <c r="E2534" s="61" t="b">
        <v>1</v>
      </c>
      <c r="F2534" s="107" t="s">
        <v>9448</v>
      </c>
      <c r="G2534" s="116" t="str">
        <f>HYPERLINK("http://nsgreg.nga.mil/genc/view?v=202256&amp;end_month=3&amp;end_day=31&amp;end_year=2014","Chikwawa")</f>
        <v>Chikwawa</v>
      </c>
      <c r="H2534" s="87" t="str">
        <f>HYPERLINK("http://api.nsgreg.nga.mil/geo-division/GENC/6/ed2/MW-CK","MW-CK")</f>
        <v>MW-CK</v>
      </c>
    </row>
    <row r="2535" spans="1:8" x14ac:dyDescent="0.2">
      <c r="A2535" s="157"/>
      <c r="B2535" s="31" t="s">
        <v>9449</v>
      </c>
      <c r="C2535" s="31" t="s">
        <v>9450</v>
      </c>
      <c r="D2535" s="31" t="s">
        <v>2026</v>
      </c>
      <c r="E2535" s="61" t="b">
        <v>1</v>
      </c>
      <c r="F2535" s="107" t="s">
        <v>9451</v>
      </c>
      <c r="G2535" s="116" t="str">
        <f>HYPERLINK("http://nsgreg.nga.mil/genc/view?v=202257&amp;end_month=3&amp;end_day=31&amp;end_year=2014","Chiradzulu")</f>
        <v>Chiradzulu</v>
      </c>
      <c r="H2535" s="87" t="str">
        <f>HYPERLINK("http://api.nsgreg.nga.mil/geo-division/GENC/6/ed2/MW-CR","MW-CR")</f>
        <v>MW-CR</v>
      </c>
    </row>
    <row r="2536" spans="1:8" x14ac:dyDescent="0.2">
      <c r="A2536" s="157"/>
      <c r="B2536" s="31" t="s">
        <v>9452</v>
      </c>
      <c r="C2536" s="31" t="s">
        <v>9453</v>
      </c>
      <c r="D2536" s="31" t="s">
        <v>2026</v>
      </c>
      <c r="E2536" s="61" t="b">
        <v>1</v>
      </c>
      <c r="F2536" s="107" t="s">
        <v>9454</v>
      </c>
      <c r="G2536" s="116" t="str">
        <f>HYPERLINK("http://nsgreg.nga.mil/genc/view?v=202258&amp;end_month=3&amp;end_day=31&amp;end_year=2014","Chitipa")</f>
        <v>Chitipa</v>
      </c>
      <c r="H2536" s="87" t="str">
        <f>HYPERLINK("http://api.nsgreg.nga.mil/geo-division/GENC/6/ed2/MW-CT","MW-CT")</f>
        <v>MW-CT</v>
      </c>
    </row>
    <row r="2537" spans="1:8" x14ac:dyDescent="0.2">
      <c r="A2537" s="157"/>
      <c r="B2537" s="31" t="s">
        <v>9455</v>
      </c>
      <c r="C2537" s="31" t="s">
        <v>9456</v>
      </c>
      <c r="D2537" s="31" t="s">
        <v>2026</v>
      </c>
      <c r="E2537" s="61" t="b">
        <v>1</v>
      </c>
      <c r="F2537" s="107" t="s">
        <v>9457</v>
      </c>
      <c r="G2537" s="116" t="str">
        <f>HYPERLINK("http://nsgreg.nga.mil/genc/view?v=202259&amp;end_month=3&amp;end_day=31&amp;end_year=2014","Dedza")</f>
        <v>Dedza</v>
      </c>
      <c r="H2537" s="87" t="str">
        <f>HYPERLINK("http://api.nsgreg.nga.mil/geo-division/GENC/6/ed2/MW-DE","MW-DE")</f>
        <v>MW-DE</v>
      </c>
    </row>
    <row r="2538" spans="1:8" x14ac:dyDescent="0.2">
      <c r="A2538" s="157"/>
      <c r="B2538" s="31" t="s">
        <v>9458</v>
      </c>
      <c r="C2538" s="31" t="s">
        <v>9459</v>
      </c>
      <c r="D2538" s="31" t="s">
        <v>2026</v>
      </c>
      <c r="E2538" s="61" t="b">
        <v>1</v>
      </c>
      <c r="F2538" s="107" t="s">
        <v>9460</v>
      </c>
      <c r="G2538" s="116" t="str">
        <f>HYPERLINK("http://nsgreg.nga.mil/genc/view?v=202260&amp;end_month=3&amp;end_day=31&amp;end_year=2014","Dowa")</f>
        <v>Dowa</v>
      </c>
      <c r="H2538" s="87" t="str">
        <f>HYPERLINK("http://api.nsgreg.nga.mil/geo-division/GENC/6/ed2/MW-DO","MW-DO")</f>
        <v>MW-DO</v>
      </c>
    </row>
    <row r="2539" spans="1:8" x14ac:dyDescent="0.2">
      <c r="A2539" s="157"/>
      <c r="B2539" s="31" t="s">
        <v>9461</v>
      </c>
      <c r="C2539" s="31" t="s">
        <v>9462</v>
      </c>
      <c r="D2539" s="31" t="s">
        <v>2026</v>
      </c>
      <c r="E2539" s="61" t="b">
        <v>1</v>
      </c>
      <c r="F2539" s="107" t="s">
        <v>9463</v>
      </c>
      <c r="G2539" s="116" t="str">
        <f>HYPERLINK("http://nsgreg.nga.mil/genc/view?v=202261&amp;end_month=3&amp;end_day=31&amp;end_year=2014","Karonga")</f>
        <v>Karonga</v>
      </c>
      <c r="H2539" s="87" t="str">
        <f>HYPERLINK("http://api.nsgreg.nga.mil/geo-division/GENC/6/ed2/MW-KR","MW-KR")</f>
        <v>MW-KR</v>
      </c>
    </row>
    <row r="2540" spans="1:8" x14ac:dyDescent="0.2">
      <c r="A2540" s="157"/>
      <c r="B2540" s="31" t="s">
        <v>9464</v>
      </c>
      <c r="C2540" s="31" t="s">
        <v>9465</v>
      </c>
      <c r="D2540" s="31" t="s">
        <v>2026</v>
      </c>
      <c r="E2540" s="61" t="b">
        <v>1</v>
      </c>
      <c r="F2540" s="107" t="s">
        <v>9466</v>
      </c>
      <c r="G2540" s="116" t="str">
        <f>HYPERLINK("http://nsgreg.nga.mil/genc/view?v=202262&amp;end_month=3&amp;end_day=31&amp;end_year=2014","Kasungu")</f>
        <v>Kasungu</v>
      </c>
      <c r="H2540" s="87" t="str">
        <f>HYPERLINK("http://api.nsgreg.nga.mil/geo-division/GENC/6/ed2/MW-KS","MW-KS")</f>
        <v>MW-KS</v>
      </c>
    </row>
    <row r="2541" spans="1:8" x14ac:dyDescent="0.2">
      <c r="A2541" s="157"/>
      <c r="B2541" s="31" t="s">
        <v>9467</v>
      </c>
      <c r="C2541" s="31" t="s">
        <v>9468</v>
      </c>
      <c r="D2541" s="31" t="s">
        <v>2026</v>
      </c>
      <c r="E2541" s="61" t="b">
        <v>1</v>
      </c>
      <c r="F2541" s="107" t="s">
        <v>9469</v>
      </c>
      <c r="G2541" s="116" t="str">
        <f>HYPERLINK("http://nsgreg.nga.mil/genc/view?v=202264&amp;end_month=3&amp;end_day=31&amp;end_year=2014","Likoma")</f>
        <v>Likoma</v>
      </c>
      <c r="H2541" s="87" t="str">
        <f>HYPERLINK("http://api.nsgreg.nga.mil/geo-division/GENC/6/ed2/MW-LK","MW-LK")</f>
        <v>MW-LK</v>
      </c>
    </row>
    <row r="2542" spans="1:8" x14ac:dyDescent="0.2">
      <c r="A2542" s="157"/>
      <c r="B2542" s="31" t="s">
        <v>9470</v>
      </c>
      <c r="C2542" s="31" t="s">
        <v>9471</v>
      </c>
      <c r="D2542" s="31" t="s">
        <v>2026</v>
      </c>
      <c r="E2542" s="61" t="b">
        <v>1</v>
      </c>
      <c r="F2542" s="107" t="s">
        <v>9472</v>
      </c>
      <c r="G2542" s="116" t="str">
        <f>HYPERLINK("http://nsgreg.nga.mil/genc/view?v=202263&amp;end_month=3&amp;end_day=31&amp;end_year=2014","Lilongwe")</f>
        <v>Lilongwe</v>
      </c>
      <c r="H2542" s="87" t="str">
        <f>HYPERLINK("http://api.nsgreg.nga.mil/geo-division/GENC/6/ed2/MW-LI","MW-LI")</f>
        <v>MW-LI</v>
      </c>
    </row>
    <row r="2543" spans="1:8" x14ac:dyDescent="0.2">
      <c r="A2543" s="157"/>
      <c r="B2543" s="31" t="s">
        <v>9473</v>
      </c>
      <c r="C2543" s="31" t="s">
        <v>9474</v>
      </c>
      <c r="D2543" s="31" t="s">
        <v>2026</v>
      </c>
      <c r="E2543" s="61" t="b">
        <v>1</v>
      </c>
      <c r="F2543" s="107" t="s">
        <v>9475</v>
      </c>
      <c r="G2543" s="116" t="str">
        <f>HYPERLINK("http://nsgreg.nga.mil/genc/view?v=202267&amp;end_month=3&amp;end_day=31&amp;end_year=2014","Machinga")</f>
        <v>Machinga</v>
      </c>
      <c r="H2543" s="87" t="str">
        <f>HYPERLINK("http://api.nsgreg.nga.mil/geo-division/GENC/6/ed2/MW-MH","MW-MH")</f>
        <v>MW-MH</v>
      </c>
    </row>
    <row r="2544" spans="1:8" x14ac:dyDescent="0.2">
      <c r="A2544" s="157"/>
      <c r="B2544" s="31" t="s">
        <v>9476</v>
      </c>
      <c r="C2544" s="31" t="s">
        <v>9477</v>
      </c>
      <c r="D2544" s="31" t="s">
        <v>2026</v>
      </c>
      <c r="E2544" s="61" t="b">
        <v>1</v>
      </c>
      <c r="F2544" s="107" t="s">
        <v>9478</v>
      </c>
      <c r="G2544" s="116" t="str">
        <f>HYPERLINK("http://nsgreg.nga.mil/genc/view?v=202266&amp;end_month=3&amp;end_day=31&amp;end_year=2014","Mangochi")</f>
        <v>Mangochi</v>
      </c>
      <c r="H2544" s="87" t="str">
        <f>HYPERLINK("http://api.nsgreg.nga.mil/geo-division/GENC/6/ed2/MW-MG","MW-MG")</f>
        <v>MW-MG</v>
      </c>
    </row>
    <row r="2545" spans="1:8" x14ac:dyDescent="0.2">
      <c r="A2545" s="157"/>
      <c r="B2545" s="31" t="s">
        <v>9479</v>
      </c>
      <c r="C2545" s="31" t="s">
        <v>9480</v>
      </c>
      <c r="D2545" s="31" t="s">
        <v>2026</v>
      </c>
      <c r="E2545" s="61" t="b">
        <v>1</v>
      </c>
      <c r="F2545" s="107" t="s">
        <v>9481</v>
      </c>
      <c r="G2545" s="116" t="str">
        <f>HYPERLINK("http://nsgreg.nga.mil/genc/view?v=202265&amp;end_month=3&amp;end_day=31&amp;end_year=2014","Mchinji")</f>
        <v>Mchinji</v>
      </c>
      <c r="H2545" s="87" t="str">
        <f>HYPERLINK("http://api.nsgreg.nga.mil/geo-division/GENC/6/ed2/MW-MC","MW-MC")</f>
        <v>MW-MC</v>
      </c>
    </row>
    <row r="2546" spans="1:8" x14ac:dyDescent="0.2">
      <c r="A2546" s="157"/>
      <c r="B2546" s="31" t="s">
        <v>9482</v>
      </c>
      <c r="C2546" s="31" t="s">
        <v>9483</v>
      </c>
      <c r="D2546" s="31" t="s">
        <v>2026</v>
      </c>
      <c r="E2546" s="61" t="b">
        <v>1</v>
      </c>
      <c r="F2546" s="107" t="s">
        <v>9484</v>
      </c>
      <c r="G2546" s="116" t="str">
        <f>HYPERLINK("http://nsgreg.nga.mil/genc/view?v=202268&amp;end_month=3&amp;end_day=31&amp;end_year=2014","Mulanje")</f>
        <v>Mulanje</v>
      </c>
      <c r="H2546" s="87" t="str">
        <f>HYPERLINK("http://api.nsgreg.nga.mil/geo-division/GENC/6/ed2/MW-MU","MW-MU")</f>
        <v>MW-MU</v>
      </c>
    </row>
    <row r="2547" spans="1:8" x14ac:dyDescent="0.2">
      <c r="A2547" s="157"/>
      <c r="B2547" s="31" t="s">
        <v>9485</v>
      </c>
      <c r="C2547" s="31" t="s">
        <v>9486</v>
      </c>
      <c r="D2547" s="31" t="s">
        <v>2026</v>
      </c>
      <c r="E2547" s="61" t="b">
        <v>1</v>
      </c>
      <c r="F2547" s="107" t="s">
        <v>9487</v>
      </c>
      <c r="G2547" s="116" t="str">
        <f>HYPERLINK("http://nsgreg.nga.mil/genc/view?v=202269&amp;end_month=3&amp;end_day=31&amp;end_year=2014","Mwanza")</f>
        <v>Mwanza</v>
      </c>
      <c r="H2547" s="87" t="str">
        <f>HYPERLINK("http://api.nsgreg.nga.mil/geo-division/GENC/6/ed2/MW-MW","MW-MW")</f>
        <v>MW-MW</v>
      </c>
    </row>
    <row r="2548" spans="1:8" x14ac:dyDescent="0.2">
      <c r="A2548" s="157"/>
      <c r="B2548" s="31" t="s">
        <v>9488</v>
      </c>
      <c r="C2548" s="31" t="s">
        <v>9489</v>
      </c>
      <c r="D2548" s="31" t="s">
        <v>2026</v>
      </c>
      <c r="E2548" s="61" t="b">
        <v>1</v>
      </c>
      <c r="F2548" s="107" t="s">
        <v>9490</v>
      </c>
      <c r="G2548" s="116" t="str">
        <f>HYPERLINK("http://nsgreg.nga.mil/genc/view?v=202270&amp;end_month=3&amp;end_day=31&amp;end_year=2014","Mzimba")</f>
        <v>Mzimba</v>
      </c>
      <c r="H2548" s="87" t="str">
        <f>HYPERLINK("http://api.nsgreg.nga.mil/geo-division/GENC/6/ed2/MW-MZ","MW-MZ")</f>
        <v>MW-MZ</v>
      </c>
    </row>
    <row r="2549" spans="1:8" x14ac:dyDescent="0.2">
      <c r="A2549" s="157"/>
      <c r="B2549" s="31" t="s">
        <v>9491</v>
      </c>
      <c r="C2549" s="31" t="s">
        <v>9492</v>
      </c>
      <c r="D2549" s="31" t="s">
        <v>2026</v>
      </c>
      <c r="E2549" s="61" t="b">
        <v>1</v>
      </c>
      <c r="F2549" s="107" t="s">
        <v>9493</v>
      </c>
      <c r="G2549" s="116" t="str">
        <f>HYPERLINK("http://nsgreg.nga.mil/genc/view?v=202273&amp;end_month=3&amp;end_day=31&amp;end_year=2014","Neno")</f>
        <v>Neno</v>
      </c>
      <c r="H2549" s="87" t="str">
        <f>HYPERLINK("http://api.nsgreg.nga.mil/geo-division/GENC/6/ed2/MW-NE","MW-NE")</f>
        <v>MW-NE</v>
      </c>
    </row>
    <row r="2550" spans="1:8" x14ac:dyDescent="0.2">
      <c r="A2550" s="157"/>
      <c r="B2550" s="31" t="s">
        <v>9494</v>
      </c>
      <c r="C2550" s="31" t="s">
        <v>9495</v>
      </c>
      <c r="D2550" s="31" t="s">
        <v>2026</v>
      </c>
      <c r="E2550" s="61" t="b">
        <v>1</v>
      </c>
      <c r="F2550" s="107" t="s">
        <v>9496</v>
      </c>
      <c r="G2550" s="116" t="str">
        <f>HYPERLINK("http://nsgreg.nga.mil/genc/view?v=202272&amp;end_month=3&amp;end_day=31&amp;end_year=2014","Nkhata Bay")</f>
        <v>Nkhata Bay</v>
      </c>
      <c r="H2550" s="87" t="str">
        <f>HYPERLINK("http://api.nsgreg.nga.mil/geo-division/GENC/6/ed2/MW-NB","MW-NB")</f>
        <v>MW-NB</v>
      </c>
    </row>
    <row r="2551" spans="1:8" x14ac:dyDescent="0.2">
      <c r="A2551" s="157"/>
      <c r="B2551" s="31" t="s">
        <v>9497</v>
      </c>
      <c r="C2551" s="31" t="s">
        <v>9498</v>
      </c>
      <c r="D2551" s="31" t="s">
        <v>2026</v>
      </c>
      <c r="E2551" s="61" t="b">
        <v>1</v>
      </c>
      <c r="F2551" s="107" t="s">
        <v>9499</v>
      </c>
      <c r="G2551" s="116" t="str">
        <f>HYPERLINK("http://nsgreg.nga.mil/genc/view?v=202275&amp;end_month=3&amp;end_day=31&amp;end_year=2014","Nkhotakota")</f>
        <v>Nkhotakota</v>
      </c>
      <c r="H2551" s="87" t="str">
        <f>HYPERLINK("http://api.nsgreg.nga.mil/geo-division/GENC/6/ed2/MW-NK","MW-NK")</f>
        <v>MW-NK</v>
      </c>
    </row>
    <row r="2552" spans="1:8" x14ac:dyDescent="0.2">
      <c r="A2552" s="157"/>
      <c r="B2552" s="31" t="s">
        <v>9500</v>
      </c>
      <c r="C2552" s="31" t="s">
        <v>9501</v>
      </c>
      <c r="D2552" s="98" t="s">
        <v>3137</v>
      </c>
      <c r="E2552" s="99" t="b">
        <v>0</v>
      </c>
      <c r="F2552" s="107" t="s">
        <v>9502</v>
      </c>
      <c r="G2552" s="116" t="str">
        <f>HYPERLINK("http://nsgreg.nga.mil/genc/view?v=202271&amp;end_month=3&amp;end_day=31&amp;end_year=2014","Northern Region")</f>
        <v>Northern Region</v>
      </c>
      <c r="H2552" s="87" t="str">
        <f>HYPERLINK("http://api.nsgreg.nga.mil/geo-division/GENC/6/ed2/MW-N","MW-N")</f>
        <v>MW-N</v>
      </c>
    </row>
    <row r="2553" spans="1:8" x14ac:dyDescent="0.2">
      <c r="A2553" s="157"/>
      <c r="B2553" s="31" t="s">
        <v>9503</v>
      </c>
      <c r="C2553" s="31" t="s">
        <v>9504</v>
      </c>
      <c r="D2553" s="31" t="s">
        <v>2026</v>
      </c>
      <c r="E2553" s="61" t="b">
        <v>1</v>
      </c>
      <c r="F2553" s="107" t="s">
        <v>9505</v>
      </c>
      <c r="G2553" s="116" t="str">
        <f>HYPERLINK("http://nsgreg.nga.mil/genc/view?v=202276&amp;end_month=3&amp;end_day=31&amp;end_year=2014","Nsanje")</f>
        <v>Nsanje</v>
      </c>
      <c r="H2553" s="87" t="str">
        <f>HYPERLINK("http://api.nsgreg.nga.mil/geo-division/GENC/6/ed2/MW-NS","MW-NS")</f>
        <v>MW-NS</v>
      </c>
    </row>
    <row r="2554" spans="1:8" x14ac:dyDescent="0.2">
      <c r="A2554" s="157"/>
      <c r="B2554" s="31" t="s">
        <v>9506</v>
      </c>
      <c r="C2554" s="31" t="s">
        <v>9507</v>
      </c>
      <c r="D2554" s="31" t="s">
        <v>2026</v>
      </c>
      <c r="E2554" s="61" t="b">
        <v>1</v>
      </c>
      <c r="F2554" s="107" t="s">
        <v>9508</v>
      </c>
      <c r="G2554" s="116" t="str">
        <f>HYPERLINK("http://nsgreg.nga.mil/genc/view?v=202277&amp;end_month=3&amp;end_day=31&amp;end_year=2014","Ntcheu")</f>
        <v>Ntcheu</v>
      </c>
      <c r="H2554" s="87" t="str">
        <f>HYPERLINK("http://api.nsgreg.nga.mil/geo-division/GENC/6/ed2/MW-NU","MW-NU")</f>
        <v>MW-NU</v>
      </c>
    </row>
    <row r="2555" spans="1:8" x14ac:dyDescent="0.2">
      <c r="A2555" s="157"/>
      <c r="B2555" s="31" t="s">
        <v>9509</v>
      </c>
      <c r="C2555" s="31" t="s">
        <v>9510</v>
      </c>
      <c r="D2555" s="31" t="s">
        <v>2026</v>
      </c>
      <c r="E2555" s="61" t="b">
        <v>1</v>
      </c>
      <c r="F2555" s="107" t="s">
        <v>9511</v>
      </c>
      <c r="G2555" s="116" t="str">
        <f>HYPERLINK("http://nsgreg.nga.mil/genc/view?v=202274&amp;end_month=3&amp;end_day=31&amp;end_year=2014","Ntchisi")</f>
        <v>Ntchisi</v>
      </c>
      <c r="H2555" s="87" t="str">
        <f>HYPERLINK("http://api.nsgreg.nga.mil/geo-division/GENC/6/ed2/MW-NI","MW-NI")</f>
        <v>MW-NI</v>
      </c>
    </row>
    <row r="2556" spans="1:8" x14ac:dyDescent="0.2">
      <c r="A2556" s="157"/>
      <c r="B2556" s="31" t="s">
        <v>9512</v>
      </c>
      <c r="C2556" s="31" t="s">
        <v>9513</v>
      </c>
      <c r="D2556" s="31" t="s">
        <v>2026</v>
      </c>
      <c r="E2556" s="61" t="b">
        <v>1</v>
      </c>
      <c r="F2556" s="107" t="s">
        <v>9514</v>
      </c>
      <c r="G2556" s="116" t="str">
        <f>HYPERLINK("http://nsgreg.nga.mil/genc/view?v=202278&amp;end_month=3&amp;end_day=31&amp;end_year=2014","Phalombe")</f>
        <v>Phalombe</v>
      </c>
      <c r="H2556" s="87" t="str">
        <f>HYPERLINK("http://api.nsgreg.nga.mil/geo-division/GENC/6/ed2/MW-PH","MW-PH")</f>
        <v>MW-PH</v>
      </c>
    </row>
    <row r="2557" spans="1:8" x14ac:dyDescent="0.2">
      <c r="A2557" s="157"/>
      <c r="B2557" s="31" t="s">
        <v>9515</v>
      </c>
      <c r="C2557" s="31" t="s">
        <v>9516</v>
      </c>
      <c r="D2557" s="31" t="s">
        <v>2026</v>
      </c>
      <c r="E2557" s="61" t="b">
        <v>1</v>
      </c>
      <c r="F2557" s="107" t="s">
        <v>9517</v>
      </c>
      <c r="G2557" s="116" t="str">
        <f>HYPERLINK("http://nsgreg.nga.mil/genc/view?v=202279&amp;end_month=3&amp;end_day=31&amp;end_year=2014","Rumphi")</f>
        <v>Rumphi</v>
      </c>
      <c r="H2557" s="87" t="str">
        <f>HYPERLINK("http://api.nsgreg.nga.mil/geo-division/GENC/6/ed2/MW-RU","MW-RU")</f>
        <v>MW-RU</v>
      </c>
    </row>
    <row r="2558" spans="1:8" x14ac:dyDescent="0.2">
      <c r="A2558" s="157"/>
      <c r="B2558" s="31" t="s">
        <v>9518</v>
      </c>
      <c r="C2558" s="31" t="s">
        <v>9519</v>
      </c>
      <c r="D2558" s="31" t="s">
        <v>2026</v>
      </c>
      <c r="E2558" s="61" t="b">
        <v>1</v>
      </c>
      <c r="F2558" s="107" t="s">
        <v>9520</v>
      </c>
      <c r="G2558" s="116" t="str">
        <f>HYPERLINK("http://nsgreg.nga.mil/genc/view?v=202281&amp;end_month=3&amp;end_day=31&amp;end_year=2014","Salima")</f>
        <v>Salima</v>
      </c>
      <c r="H2558" s="87" t="str">
        <f>HYPERLINK("http://api.nsgreg.nga.mil/geo-division/GENC/6/ed2/MW-SA","MW-SA")</f>
        <v>MW-SA</v>
      </c>
    </row>
    <row r="2559" spans="1:8" x14ac:dyDescent="0.2">
      <c r="A2559" s="157"/>
      <c r="B2559" s="31" t="s">
        <v>9521</v>
      </c>
      <c r="C2559" s="31" t="s">
        <v>9522</v>
      </c>
      <c r="D2559" s="98" t="s">
        <v>3137</v>
      </c>
      <c r="E2559" s="99" t="b">
        <v>0</v>
      </c>
      <c r="F2559" s="107" t="s">
        <v>9523</v>
      </c>
      <c r="G2559" s="116" t="str">
        <f>HYPERLINK("http://nsgreg.nga.mil/genc/view?v=202280&amp;end_month=3&amp;end_day=31&amp;end_year=2014","Southern Region")</f>
        <v>Southern Region</v>
      </c>
      <c r="H2559" s="87" t="str">
        <f>HYPERLINK("http://api.nsgreg.nga.mil/geo-division/GENC/6/ed2/MW-S","MW-S")</f>
        <v>MW-S</v>
      </c>
    </row>
    <row r="2560" spans="1:8" x14ac:dyDescent="0.2">
      <c r="A2560" s="157"/>
      <c r="B2560" s="31" t="s">
        <v>9524</v>
      </c>
      <c r="C2560" s="31" t="s">
        <v>9525</v>
      </c>
      <c r="D2560" s="31" t="s">
        <v>2026</v>
      </c>
      <c r="E2560" s="61" t="b">
        <v>1</v>
      </c>
      <c r="F2560" s="107" t="s">
        <v>9526</v>
      </c>
      <c r="G2560" s="116" t="str">
        <f>HYPERLINK("http://nsgreg.nga.mil/genc/view?v=202282&amp;end_month=3&amp;end_day=31&amp;end_year=2014","Thyolo")</f>
        <v>Thyolo</v>
      </c>
      <c r="H2560" s="87" t="str">
        <f>HYPERLINK("http://api.nsgreg.nga.mil/geo-division/GENC/6/ed2/MW-TH","MW-TH")</f>
        <v>MW-TH</v>
      </c>
    </row>
    <row r="2561" spans="1:8" x14ac:dyDescent="0.2">
      <c r="A2561" s="158"/>
      <c r="B2561" s="58" t="s">
        <v>9527</v>
      </c>
      <c r="C2561" s="58" t="s">
        <v>9528</v>
      </c>
      <c r="D2561" s="58" t="s">
        <v>2026</v>
      </c>
      <c r="E2561" s="62" t="b">
        <v>1</v>
      </c>
      <c r="F2561" s="111" t="s">
        <v>9529</v>
      </c>
      <c r="G2561" s="117" t="str">
        <f>HYPERLINK("http://nsgreg.nga.mil/genc/view?v=202283&amp;end_month=3&amp;end_day=31&amp;end_year=2014","Zomba")</f>
        <v>Zomba</v>
      </c>
      <c r="H2561" s="89" t="str">
        <f>HYPERLINK("http://api.nsgreg.nga.mil/geo-division/GENC/6/ed2/MW-ZO","MW-ZO")</f>
        <v>MW-ZO</v>
      </c>
    </row>
    <row r="2562" spans="1:8" x14ac:dyDescent="0.2">
      <c r="A2562" s="156" t="str">
        <f>HYPERLINK("[#]Geopolitical_Entities!A162:I162","MALAYSIA")</f>
        <v>MALAYSIA</v>
      </c>
      <c r="B2562" s="52" t="s">
        <v>9530</v>
      </c>
      <c r="C2562" s="52" t="s">
        <v>9531</v>
      </c>
      <c r="D2562" s="52" t="s">
        <v>2512</v>
      </c>
      <c r="E2562" s="60" t="b">
        <v>1</v>
      </c>
      <c r="F2562" s="109" t="s">
        <v>9532</v>
      </c>
      <c r="G2562" s="118" t="str">
        <f>HYPERLINK("http://nsgreg.nga.mil/genc/view?v=115112&amp;gencs=T&amp;end_month=3&amp;end_day=31&amp;end_year=2014","Johor")</f>
        <v>Johor</v>
      </c>
      <c r="H2562" s="91" t="str">
        <f>HYPERLINK("http://api.nsgreg.nga.mil/geo-division/ISO3166-2/6/ed3/MY-01","MY-01")</f>
        <v>MY-01</v>
      </c>
    </row>
    <row r="2563" spans="1:8" x14ac:dyDescent="0.2">
      <c r="A2563" s="157"/>
      <c r="B2563" s="31" t="s">
        <v>9533</v>
      </c>
      <c r="C2563" s="31" t="s">
        <v>9534</v>
      </c>
      <c r="D2563" s="31" t="s">
        <v>2512</v>
      </c>
      <c r="E2563" s="61" t="b">
        <v>1</v>
      </c>
      <c r="F2563" s="106" t="s">
        <v>9535</v>
      </c>
      <c r="G2563" s="116" t="str">
        <f>HYPERLINK("http://nsgreg.nga.mil/genc/view?v=115113&amp;gencs=T&amp;end_month=3&amp;end_day=31&amp;end_year=2014","Kedah")</f>
        <v>Kedah</v>
      </c>
      <c r="H2563" s="87" t="str">
        <f>HYPERLINK("http://api.nsgreg.nga.mil/geo-division/ISO3166-2/6/ed3/MY-02","MY-02")</f>
        <v>MY-02</v>
      </c>
    </row>
    <row r="2564" spans="1:8" x14ac:dyDescent="0.2">
      <c r="A2564" s="157"/>
      <c r="B2564" s="31" t="s">
        <v>9536</v>
      </c>
      <c r="C2564" s="31" t="s">
        <v>9537</v>
      </c>
      <c r="D2564" s="31" t="s">
        <v>2512</v>
      </c>
      <c r="E2564" s="61" t="b">
        <v>1</v>
      </c>
      <c r="F2564" s="106" t="s">
        <v>9538</v>
      </c>
      <c r="G2564" s="116" t="str">
        <f>HYPERLINK("http://nsgreg.nga.mil/genc/view?v=115114&amp;gencs=T&amp;end_month=3&amp;end_day=31&amp;end_year=2014","Kelantan")</f>
        <v>Kelantan</v>
      </c>
      <c r="H2564" s="87" t="str">
        <f>HYPERLINK("http://api.nsgreg.nga.mil/geo-division/ISO3166-2/6/ed3/MY-03","MY-03")</f>
        <v>MY-03</v>
      </c>
    </row>
    <row r="2565" spans="1:8" x14ac:dyDescent="0.2">
      <c r="A2565" s="157"/>
      <c r="B2565" s="31" t="s">
        <v>9539</v>
      </c>
      <c r="C2565" s="31" t="s">
        <v>9540</v>
      </c>
      <c r="D2565" s="31" t="s">
        <v>9541</v>
      </c>
      <c r="E2565" s="61" t="b">
        <v>1</v>
      </c>
      <c r="F2565" s="107" t="s">
        <v>9542</v>
      </c>
      <c r="G2565" s="116" t="str">
        <f>HYPERLINK("http://nsgreg.nga.mil/genc/view?v=202287&amp;end_month=3&amp;end_day=31&amp;end_year=2014","Kuala Lumpur ")</f>
        <v xml:space="preserve">Kuala Lumpur </v>
      </c>
      <c r="H2565" s="87" t="str">
        <f>HYPERLINK("http://api.nsgreg.nga.mil/geo-division/GENC/6/ed2/MY-14","MY-14")</f>
        <v>MY-14</v>
      </c>
    </row>
    <row r="2566" spans="1:8" x14ac:dyDescent="0.2">
      <c r="A2566" s="157"/>
      <c r="B2566" s="31" t="s">
        <v>9543</v>
      </c>
      <c r="C2566" s="31" t="s">
        <v>9544</v>
      </c>
      <c r="D2566" s="31" t="s">
        <v>9541</v>
      </c>
      <c r="E2566" s="61" t="b">
        <v>1</v>
      </c>
      <c r="F2566" s="107" t="s">
        <v>9545</v>
      </c>
      <c r="G2566" s="116" t="str">
        <f>HYPERLINK("http://nsgreg.nga.mil/genc/view?v=202288&amp;end_month=3&amp;end_day=31&amp;end_year=2014","Labuan")</f>
        <v>Labuan</v>
      </c>
      <c r="H2566" s="87" t="str">
        <f>HYPERLINK("http://api.nsgreg.nga.mil/geo-division/GENC/6/ed2/MY-15","MY-15")</f>
        <v>MY-15</v>
      </c>
    </row>
    <row r="2567" spans="1:8" x14ac:dyDescent="0.2">
      <c r="A2567" s="157"/>
      <c r="B2567" s="31" t="s">
        <v>9546</v>
      </c>
      <c r="C2567" s="31" t="s">
        <v>9547</v>
      </c>
      <c r="D2567" s="31" t="s">
        <v>2512</v>
      </c>
      <c r="E2567" s="61" t="b">
        <v>1</v>
      </c>
      <c r="F2567" s="106" t="s">
        <v>9548</v>
      </c>
      <c r="G2567" s="116" t="str">
        <f>HYPERLINK("http://nsgreg.nga.mil/genc/view?v=115115&amp;gencs=T&amp;end_month=3&amp;end_day=31&amp;end_year=2014","Melaka")</f>
        <v>Melaka</v>
      </c>
      <c r="H2567" s="87" t="str">
        <f>HYPERLINK("http://api.nsgreg.nga.mil/geo-division/ISO3166-2/6/ed3/MY-04","MY-04")</f>
        <v>MY-04</v>
      </c>
    </row>
    <row r="2568" spans="1:8" x14ac:dyDescent="0.2">
      <c r="A2568" s="157"/>
      <c r="B2568" s="31" t="s">
        <v>9549</v>
      </c>
      <c r="C2568" s="31" t="s">
        <v>9550</v>
      </c>
      <c r="D2568" s="31" t="s">
        <v>2512</v>
      </c>
      <c r="E2568" s="61" t="b">
        <v>1</v>
      </c>
      <c r="F2568" s="106" t="s">
        <v>9551</v>
      </c>
      <c r="G2568" s="116" t="str">
        <f>HYPERLINK("http://nsgreg.nga.mil/genc/view?v=115116&amp;gencs=T&amp;end_month=3&amp;end_day=31&amp;end_year=2014","Negeri Sembilan")</f>
        <v>Negeri Sembilan</v>
      </c>
      <c r="H2568" s="87" t="str">
        <f>HYPERLINK("http://api.nsgreg.nga.mil/geo-division/ISO3166-2/6/ed3/MY-05","MY-05")</f>
        <v>MY-05</v>
      </c>
    </row>
    <row r="2569" spans="1:8" x14ac:dyDescent="0.2">
      <c r="A2569" s="157"/>
      <c r="B2569" s="31" t="s">
        <v>9552</v>
      </c>
      <c r="C2569" s="31" t="s">
        <v>9553</v>
      </c>
      <c r="D2569" s="31" t="s">
        <v>2512</v>
      </c>
      <c r="E2569" s="61" t="b">
        <v>1</v>
      </c>
      <c r="F2569" s="106" t="s">
        <v>9554</v>
      </c>
      <c r="G2569" s="116" t="str">
        <f>HYPERLINK("http://nsgreg.nga.mil/genc/view?v=115117&amp;gencs=T&amp;end_month=3&amp;end_day=31&amp;end_year=2014","Pahang")</f>
        <v>Pahang</v>
      </c>
      <c r="H2569" s="87" t="str">
        <f>HYPERLINK("http://api.nsgreg.nga.mil/geo-division/ISO3166-2/6/ed3/MY-06","MY-06")</f>
        <v>MY-06</v>
      </c>
    </row>
    <row r="2570" spans="1:8" x14ac:dyDescent="0.2">
      <c r="A2570" s="157"/>
      <c r="B2570" s="31" t="s">
        <v>9555</v>
      </c>
      <c r="C2570" s="31" t="s">
        <v>9556</v>
      </c>
      <c r="D2570" s="31" t="s">
        <v>2512</v>
      </c>
      <c r="E2570" s="61" t="b">
        <v>1</v>
      </c>
      <c r="F2570" s="106" t="s">
        <v>9557</v>
      </c>
      <c r="G2570" s="116" t="str">
        <f>HYPERLINK("http://nsgreg.nga.mil/genc/view?v=115119&amp;gencs=T&amp;end_month=3&amp;end_day=31&amp;end_year=2014","Perak")</f>
        <v>Perak</v>
      </c>
      <c r="H2570" s="87" t="str">
        <f>HYPERLINK("http://api.nsgreg.nga.mil/geo-division/ISO3166-2/6/ed3/MY-08","MY-08")</f>
        <v>MY-08</v>
      </c>
    </row>
    <row r="2571" spans="1:8" x14ac:dyDescent="0.2">
      <c r="A2571" s="157"/>
      <c r="B2571" s="31" t="s">
        <v>9558</v>
      </c>
      <c r="C2571" s="31" t="s">
        <v>9559</v>
      </c>
      <c r="D2571" s="31" t="s">
        <v>2512</v>
      </c>
      <c r="E2571" s="61" t="b">
        <v>1</v>
      </c>
      <c r="F2571" s="106" t="s">
        <v>9560</v>
      </c>
      <c r="G2571" s="116" t="str">
        <f>HYPERLINK("http://nsgreg.nga.mil/genc/view?v=115120&amp;gencs=T&amp;end_month=3&amp;end_day=31&amp;end_year=2014","Perlis")</f>
        <v>Perlis</v>
      </c>
      <c r="H2571" s="87" t="str">
        <f>HYPERLINK("http://api.nsgreg.nga.mil/geo-division/ISO3166-2/6/ed3/MY-09","MY-09")</f>
        <v>MY-09</v>
      </c>
    </row>
    <row r="2572" spans="1:8" x14ac:dyDescent="0.2">
      <c r="A2572" s="157"/>
      <c r="B2572" s="31" t="s">
        <v>9561</v>
      </c>
      <c r="C2572" s="31" t="s">
        <v>9562</v>
      </c>
      <c r="D2572" s="31" t="s">
        <v>2512</v>
      </c>
      <c r="E2572" s="61" t="b">
        <v>1</v>
      </c>
      <c r="F2572" s="106" t="s">
        <v>9563</v>
      </c>
      <c r="G2572" s="116" t="str">
        <f>HYPERLINK("http://nsgreg.nga.mil/genc/view?v=115118&amp;gencs=T&amp;end_month=3&amp;end_day=31&amp;end_year=2014","Pulau Pinang")</f>
        <v>Pulau Pinang</v>
      </c>
      <c r="H2572" s="87" t="str">
        <f>HYPERLINK("http://api.nsgreg.nga.mil/geo-division/ISO3166-2/6/ed3/MY-07","MY-07")</f>
        <v>MY-07</v>
      </c>
    </row>
    <row r="2573" spans="1:8" x14ac:dyDescent="0.2">
      <c r="A2573" s="157"/>
      <c r="B2573" s="31" t="s">
        <v>9564</v>
      </c>
      <c r="C2573" s="31" t="s">
        <v>9565</v>
      </c>
      <c r="D2573" s="31" t="s">
        <v>9541</v>
      </c>
      <c r="E2573" s="61" t="b">
        <v>1</v>
      </c>
      <c r="F2573" s="107" t="s">
        <v>9566</v>
      </c>
      <c r="G2573" s="116" t="str">
        <f>HYPERLINK("http://nsgreg.nga.mil/genc/view?v=202289&amp;end_month=3&amp;end_day=31&amp;end_year=2014","Putrajaya")</f>
        <v>Putrajaya</v>
      </c>
      <c r="H2573" s="87" t="str">
        <f>HYPERLINK("http://api.nsgreg.nga.mil/geo-division/GENC/6/ed2/MY-16","MY-16")</f>
        <v>MY-16</v>
      </c>
    </row>
    <row r="2574" spans="1:8" x14ac:dyDescent="0.2">
      <c r="A2574" s="157"/>
      <c r="B2574" s="31" t="s">
        <v>9567</v>
      </c>
      <c r="C2574" s="31" t="s">
        <v>9568</v>
      </c>
      <c r="D2574" s="31" t="s">
        <v>2512</v>
      </c>
      <c r="E2574" s="61" t="b">
        <v>1</v>
      </c>
      <c r="F2574" s="106" t="s">
        <v>9569</v>
      </c>
      <c r="G2574" s="116" t="str">
        <f>HYPERLINK("http://nsgreg.nga.mil/genc/view?v=115123&amp;gencs=T&amp;end_month=3&amp;end_day=31&amp;end_year=2014","Sabah")</f>
        <v>Sabah</v>
      </c>
      <c r="H2574" s="87" t="str">
        <f>HYPERLINK("http://api.nsgreg.nga.mil/geo-division/ISO3166-2/6/ed3/MY-12","MY-12")</f>
        <v>MY-12</v>
      </c>
    </row>
    <row r="2575" spans="1:8" x14ac:dyDescent="0.2">
      <c r="A2575" s="157"/>
      <c r="B2575" s="31" t="s">
        <v>9570</v>
      </c>
      <c r="C2575" s="31" t="s">
        <v>9571</v>
      </c>
      <c r="D2575" s="31" t="s">
        <v>2512</v>
      </c>
      <c r="E2575" s="61" t="b">
        <v>1</v>
      </c>
      <c r="F2575" s="106" t="s">
        <v>9572</v>
      </c>
      <c r="G2575" s="116" t="str">
        <f>HYPERLINK("http://nsgreg.nga.mil/genc/view?v=115124&amp;gencs=T&amp;end_month=3&amp;end_day=31&amp;end_year=2014","Sarawak")</f>
        <v>Sarawak</v>
      </c>
      <c r="H2575" s="87" t="str">
        <f>HYPERLINK("http://api.nsgreg.nga.mil/geo-division/ISO3166-2/6/ed3/MY-13","MY-13")</f>
        <v>MY-13</v>
      </c>
    </row>
    <row r="2576" spans="1:8" x14ac:dyDescent="0.2">
      <c r="A2576" s="157"/>
      <c r="B2576" s="31" t="s">
        <v>9573</v>
      </c>
      <c r="C2576" s="31" t="s">
        <v>9574</v>
      </c>
      <c r="D2576" s="31" t="s">
        <v>2512</v>
      </c>
      <c r="E2576" s="61" t="b">
        <v>1</v>
      </c>
      <c r="F2576" s="106" t="s">
        <v>9575</v>
      </c>
      <c r="G2576" s="116" t="str">
        <f>HYPERLINK("http://nsgreg.nga.mil/genc/view?v=115121&amp;gencs=T&amp;end_month=3&amp;end_day=31&amp;end_year=2014","Selangor")</f>
        <v>Selangor</v>
      </c>
      <c r="H2576" s="87" t="str">
        <f>HYPERLINK("http://api.nsgreg.nga.mil/geo-division/ISO3166-2/6/ed3/MY-10","MY-10")</f>
        <v>MY-10</v>
      </c>
    </row>
    <row r="2577" spans="1:8" x14ac:dyDescent="0.2">
      <c r="A2577" s="158"/>
      <c r="B2577" s="58" t="s">
        <v>9576</v>
      </c>
      <c r="C2577" s="58" t="s">
        <v>9577</v>
      </c>
      <c r="D2577" s="58" t="s">
        <v>2512</v>
      </c>
      <c r="E2577" s="62" t="b">
        <v>1</v>
      </c>
      <c r="F2577" s="108" t="s">
        <v>9578</v>
      </c>
      <c r="G2577" s="117" t="str">
        <f>HYPERLINK("http://nsgreg.nga.mil/genc/view?v=115122&amp;gencs=T&amp;end_month=3&amp;end_day=31&amp;end_year=2014","Terengganu")</f>
        <v>Terengganu</v>
      </c>
      <c r="H2577" s="89" t="str">
        <f>HYPERLINK("http://api.nsgreg.nga.mil/geo-division/ISO3166-2/6/ed3/MY-11","MY-11")</f>
        <v>MY-11</v>
      </c>
    </row>
    <row r="2578" spans="1:8" x14ac:dyDescent="0.2">
      <c r="A2578" s="156" t="str">
        <f>HYPERLINK("[#]Geopolitical_Entities!A163:I163","MALDIVES")</f>
        <v>MALDIVES</v>
      </c>
      <c r="B2578" s="52" t="s">
        <v>9579</v>
      </c>
      <c r="C2578" s="52" t="s">
        <v>9580</v>
      </c>
      <c r="D2578" s="102" t="s">
        <v>9581</v>
      </c>
      <c r="E2578" s="103" t="b">
        <v>0</v>
      </c>
      <c r="F2578" s="110" t="s">
        <v>9582</v>
      </c>
      <c r="G2578" s="118" t="str">
        <f>HYPERLINK("http://nsgreg.nga.mil/genc/view?v=202226&amp;end_month=3&amp;end_day=31&amp;end_year=2014","Addu Atholhu")</f>
        <v>Addu Atholhu</v>
      </c>
      <c r="H2578" s="91" t="str">
        <f>HYPERLINK("http://api.nsgreg.nga.mil/geo-division/GENC/6/ed2/MV-01","MV-01")</f>
        <v>MV-01</v>
      </c>
    </row>
    <row r="2579" spans="1:8" x14ac:dyDescent="0.2">
      <c r="A2579" s="157"/>
      <c r="B2579" s="31" t="s">
        <v>9583</v>
      </c>
      <c r="C2579" s="31" t="s">
        <v>9584</v>
      </c>
      <c r="D2579" s="98" t="s">
        <v>9581</v>
      </c>
      <c r="E2579" s="99" t="b">
        <v>0</v>
      </c>
      <c r="F2579" s="107" t="s">
        <v>9585</v>
      </c>
      <c r="G2579" s="116" t="str">
        <f>HYPERLINK("http://nsgreg.nga.mil/genc/view?v=202225&amp;end_month=3&amp;end_day=31&amp;end_year=2014","Ari Atholhu Dhekunuburi")</f>
        <v>Ari Atholhu Dhekunuburi</v>
      </c>
      <c r="H2579" s="87" t="str">
        <f>HYPERLINK("http://api.nsgreg.nga.mil/geo-division/GENC/6/ed2/MV-00","MV-00")</f>
        <v>MV-00</v>
      </c>
    </row>
    <row r="2580" spans="1:8" x14ac:dyDescent="0.2">
      <c r="A2580" s="157"/>
      <c r="B2580" s="31" t="s">
        <v>9586</v>
      </c>
      <c r="C2580" s="31" t="s">
        <v>9587</v>
      </c>
      <c r="D2580" s="98" t="s">
        <v>9581</v>
      </c>
      <c r="E2580" s="99" t="b">
        <v>0</v>
      </c>
      <c r="F2580" s="107" t="s">
        <v>9588</v>
      </c>
      <c r="G2580" s="116" t="str">
        <f>HYPERLINK("http://nsgreg.nga.mil/genc/view?v=202227&amp;end_month=3&amp;end_day=31&amp;end_year=2014","Ari Atholhu Uthuruburi")</f>
        <v>Ari Atholhu Uthuruburi</v>
      </c>
      <c r="H2580" s="87" t="str">
        <f>HYPERLINK("http://api.nsgreg.nga.mil/geo-division/GENC/6/ed2/MV-02","MV-02")</f>
        <v>MV-02</v>
      </c>
    </row>
    <row r="2581" spans="1:8" x14ac:dyDescent="0.2">
      <c r="A2581" s="157"/>
      <c r="B2581" s="31" t="s">
        <v>9589</v>
      </c>
      <c r="C2581" s="31" t="s">
        <v>9590</v>
      </c>
      <c r="D2581" s="31" t="s">
        <v>1920</v>
      </c>
      <c r="E2581" s="61" t="b">
        <v>1</v>
      </c>
      <c r="F2581" s="107" t="s">
        <v>9591</v>
      </c>
      <c r="G2581" s="116" t="str">
        <f>HYPERLINK("http://nsgreg.nga.mil/genc/view?v=202250&amp;end_month=3&amp;end_day=31&amp;end_year=2014","Dhekunu")</f>
        <v>Dhekunu</v>
      </c>
      <c r="H2581" s="87" t="str">
        <f>HYPERLINK("http://api.nsgreg.nga.mil/geo-division/GENC/6/ed2/MV-SU","MV-SU")</f>
        <v>MV-SU</v>
      </c>
    </row>
    <row r="2582" spans="1:8" x14ac:dyDescent="0.2">
      <c r="A2582" s="157"/>
      <c r="B2582" s="31" t="s">
        <v>9592</v>
      </c>
      <c r="C2582" s="31" t="s">
        <v>9593</v>
      </c>
      <c r="D2582" s="98" t="s">
        <v>9581</v>
      </c>
      <c r="E2582" s="99" t="b">
        <v>0</v>
      </c>
      <c r="F2582" s="107" t="s">
        <v>9594</v>
      </c>
      <c r="G2582" s="116" t="str">
        <f>HYPERLINK("http://nsgreg.nga.mil/genc/view?v=202228&amp;end_month=3&amp;end_day=31&amp;end_year=2014","Faadhippolhu")</f>
        <v>Faadhippolhu</v>
      </c>
      <c r="H2582" s="87" t="str">
        <f>HYPERLINK("http://api.nsgreg.nga.mil/geo-division/GENC/6/ed2/MV-03","MV-03")</f>
        <v>MV-03</v>
      </c>
    </row>
    <row r="2583" spans="1:8" x14ac:dyDescent="0.2">
      <c r="A2583" s="157"/>
      <c r="B2583" s="31" t="s">
        <v>9595</v>
      </c>
      <c r="C2583" s="31" t="s">
        <v>9596</v>
      </c>
      <c r="D2583" s="98" t="s">
        <v>9581</v>
      </c>
      <c r="E2583" s="99" t="b">
        <v>0</v>
      </c>
      <c r="F2583" s="107" t="s">
        <v>9597</v>
      </c>
      <c r="G2583" s="116" t="str">
        <f>HYPERLINK("http://nsgreg.nga.mil/genc/view?v=202229&amp;end_month=3&amp;end_day=31&amp;end_year=2014","Felidhu Atholhu")</f>
        <v>Felidhu Atholhu</v>
      </c>
      <c r="H2583" s="87" t="str">
        <f>HYPERLINK("http://api.nsgreg.nga.mil/geo-division/GENC/6/ed2/MV-04","MV-04")</f>
        <v>MV-04</v>
      </c>
    </row>
    <row r="2584" spans="1:8" x14ac:dyDescent="0.2">
      <c r="A2584" s="157"/>
      <c r="B2584" s="31" t="s">
        <v>9598</v>
      </c>
      <c r="C2584" s="31" t="s">
        <v>9599</v>
      </c>
      <c r="D2584" s="98" t="s">
        <v>9581</v>
      </c>
      <c r="E2584" s="99" t="b">
        <v>0</v>
      </c>
      <c r="F2584" s="107" t="s">
        <v>9600</v>
      </c>
      <c r="G2584" s="116" t="str">
        <f>HYPERLINK("http://nsgreg.nga.mil/genc/view?v=202244&amp;end_month=3&amp;end_day=31&amp;end_year=2014","Fuvammulah")</f>
        <v>Fuvammulah</v>
      </c>
      <c r="H2584" s="87" t="str">
        <f>HYPERLINK("http://api.nsgreg.nga.mil/geo-division/GENC/6/ed2/MV-29","MV-29")</f>
        <v>MV-29</v>
      </c>
    </row>
    <row r="2585" spans="1:8" x14ac:dyDescent="0.2">
      <c r="A2585" s="157"/>
      <c r="B2585" s="31" t="s">
        <v>9601</v>
      </c>
      <c r="C2585" s="31" t="s">
        <v>9602</v>
      </c>
      <c r="D2585" s="98" t="s">
        <v>9581</v>
      </c>
      <c r="E2585" s="99" t="b">
        <v>0</v>
      </c>
      <c r="F2585" s="107" t="s">
        <v>9603</v>
      </c>
      <c r="G2585" s="116" t="str">
        <f>HYPERLINK("http://nsgreg.nga.mil/genc/view?v=202230&amp;end_month=3&amp;end_day=31&amp;end_year=2014","Hadhdhunmathi")</f>
        <v>Hadhdhunmathi</v>
      </c>
      <c r="H2585" s="87" t="str">
        <f>HYPERLINK("http://api.nsgreg.nga.mil/geo-division/GENC/6/ed2/MV-05","MV-05")</f>
        <v>MV-05</v>
      </c>
    </row>
    <row r="2586" spans="1:8" x14ac:dyDescent="0.2">
      <c r="A2586" s="157"/>
      <c r="B2586" s="31" t="s">
        <v>9604</v>
      </c>
      <c r="C2586" s="31" t="s">
        <v>9605</v>
      </c>
      <c r="D2586" s="98" t="s">
        <v>9581</v>
      </c>
      <c r="E2586" s="99" t="b">
        <v>0</v>
      </c>
      <c r="F2586" s="107" t="s">
        <v>9606</v>
      </c>
      <c r="G2586" s="116" t="str">
        <f>HYPERLINK("http://nsgreg.nga.mil/genc/view?v=202243&amp;end_month=3&amp;end_day=31&amp;end_year=2014","Huvadhu Atholhu Dhekunuburi")</f>
        <v>Huvadhu Atholhu Dhekunuburi</v>
      </c>
      <c r="H2586" s="87" t="str">
        <f>HYPERLINK("http://api.nsgreg.nga.mil/geo-division/GENC/6/ed2/MV-28","MV-28")</f>
        <v>MV-28</v>
      </c>
    </row>
    <row r="2587" spans="1:8" x14ac:dyDescent="0.2">
      <c r="A2587" s="157"/>
      <c r="B2587" s="31" t="s">
        <v>9607</v>
      </c>
      <c r="C2587" s="31" t="s">
        <v>9608</v>
      </c>
      <c r="D2587" s="98" t="s">
        <v>9581</v>
      </c>
      <c r="E2587" s="99" t="b">
        <v>0</v>
      </c>
      <c r="F2587" s="107" t="s">
        <v>9609</v>
      </c>
      <c r="G2587" s="116" t="str">
        <f>HYPERLINK("http://nsgreg.nga.mil/genc/view?v=202242&amp;end_month=3&amp;end_day=31&amp;end_year=2014","Huvadhu Atholhu Uthuruburi")</f>
        <v>Huvadhu Atholhu Uthuruburi</v>
      </c>
      <c r="H2587" s="87" t="str">
        <f>HYPERLINK("http://api.nsgreg.nga.mil/geo-division/GENC/6/ed2/MV-27","MV-27")</f>
        <v>MV-27</v>
      </c>
    </row>
    <row r="2588" spans="1:8" x14ac:dyDescent="0.2">
      <c r="A2588" s="157"/>
      <c r="B2588" s="31" t="s">
        <v>9610</v>
      </c>
      <c r="C2588" s="31" t="s">
        <v>9611</v>
      </c>
      <c r="D2588" s="98" t="s">
        <v>9581</v>
      </c>
      <c r="E2588" s="99" t="b">
        <v>0</v>
      </c>
      <c r="F2588" s="107" t="s">
        <v>9612</v>
      </c>
      <c r="G2588" s="116" t="str">
        <f>HYPERLINK("http://nsgreg.nga.mil/genc/view?v=202232&amp;end_month=3&amp;end_day=31&amp;end_year=2014","Kolhumadulu")</f>
        <v>Kolhumadulu</v>
      </c>
      <c r="H2588" s="87" t="str">
        <f>HYPERLINK("http://api.nsgreg.nga.mil/geo-division/GENC/6/ed2/MV-08","MV-08")</f>
        <v>MV-08</v>
      </c>
    </row>
    <row r="2589" spans="1:8" x14ac:dyDescent="0.2">
      <c r="A2589" s="157"/>
      <c r="B2589" s="31" t="s">
        <v>9613</v>
      </c>
      <c r="C2589" s="31" t="s">
        <v>9614</v>
      </c>
      <c r="D2589" s="31" t="s">
        <v>3254</v>
      </c>
      <c r="E2589" s="61" t="b">
        <v>1</v>
      </c>
      <c r="F2589" s="107" t="s">
        <v>9615</v>
      </c>
      <c r="G2589" s="116" t="str">
        <f>HYPERLINK("http://nsgreg.nga.mil/genc/view?v=202246&amp;end_month=3&amp;end_day=31&amp;end_year=2014","Maale")</f>
        <v>Maale</v>
      </c>
      <c r="H2589" s="87" t="str">
        <f>HYPERLINK("http://api.nsgreg.nga.mil/geo-division/GENC/6/ed2/MV-MLE","MV-MLE")</f>
        <v>MV-MLE</v>
      </c>
    </row>
    <row r="2590" spans="1:8" x14ac:dyDescent="0.2">
      <c r="A2590" s="157"/>
      <c r="B2590" s="31" t="s">
        <v>9616</v>
      </c>
      <c r="C2590" s="31" t="s">
        <v>9617</v>
      </c>
      <c r="D2590" s="98" t="s">
        <v>9581</v>
      </c>
      <c r="E2590" s="99" t="b">
        <v>0</v>
      </c>
      <c r="F2590" s="107" t="s">
        <v>9618</v>
      </c>
      <c r="G2590" s="116" t="str">
        <f>HYPERLINK("http://nsgreg.nga.mil/genc/view?v=202241&amp;end_month=3&amp;end_day=31&amp;end_year=2014","Maale Atholhu")</f>
        <v>Maale Atholhu</v>
      </c>
      <c r="H2590" s="87" t="str">
        <f>HYPERLINK("http://api.nsgreg.nga.mil/geo-division/GENC/6/ed2/MV-26","MV-26")</f>
        <v>MV-26</v>
      </c>
    </row>
    <row r="2591" spans="1:8" x14ac:dyDescent="0.2">
      <c r="A2591" s="157"/>
      <c r="B2591" s="31" t="s">
        <v>9619</v>
      </c>
      <c r="C2591" s="31" t="s">
        <v>9620</v>
      </c>
      <c r="D2591" s="98" t="s">
        <v>9581</v>
      </c>
      <c r="E2591" s="99" t="b">
        <v>0</v>
      </c>
      <c r="F2591" s="107" t="s">
        <v>9621</v>
      </c>
      <c r="G2591" s="116" t="str">
        <f>HYPERLINK("http://nsgreg.nga.mil/genc/view?v=202237&amp;end_month=3&amp;end_day=31&amp;end_year=2014","Maalhosmadulu Dhekunuburi")</f>
        <v>Maalhosmadulu Dhekunuburi</v>
      </c>
      <c r="H2591" s="87" t="str">
        <f>HYPERLINK("http://api.nsgreg.nga.mil/geo-division/GENC/6/ed2/MV-20","MV-20")</f>
        <v>MV-20</v>
      </c>
    </row>
    <row r="2592" spans="1:8" x14ac:dyDescent="0.2">
      <c r="A2592" s="157"/>
      <c r="B2592" s="31" t="s">
        <v>9622</v>
      </c>
      <c r="C2592" s="31" t="s">
        <v>9623</v>
      </c>
      <c r="D2592" s="98" t="s">
        <v>9581</v>
      </c>
      <c r="E2592" s="99" t="b">
        <v>0</v>
      </c>
      <c r="F2592" s="107" t="s">
        <v>9624</v>
      </c>
      <c r="G2592" s="116" t="str">
        <f>HYPERLINK("http://nsgreg.nga.mil/genc/view?v=202234&amp;end_month=3&amp;end_day=31&amp;end_year=2014","Maalhosmadulu Uthuruburi")</f>
        <v>Maalhosmadulu Uthuruburi</v>
      </c>
      <c r="H2592" s="87" t="str">
        <f>HYPERLINK("http://api.nsgreg.nga.mil/geo-division/GENC/6/ed2/MV-13","MV-13")</f>
        <v>MV-13</v>
      </c>
    </row>
    <row r="2593" spans="1:8" x14ac:dyDescent="0.2">
      <c r="A2593" s="157"/>
      <c r="B2593" s="31" t="s">
        <v>9625</v>
      </c>
      <c r="C2593" s="31" t="s">
        <v>9626</v>
      </c>
      <c r="D2593" s="31" t="s">
        <v>1920</v>
      </c>
      <c r="E2593" s="61" t="b">
        <v>1</v>
      </c>
      <c r="F2593" s="107" t="s">
        <v>9627</v>
      </c>
      <c r="G2593" s="116" t="str">
        <f>HYPERLINK("http://nsgreg.nga.mil/genc/view?v=202252&amp;end_month=3&amp;end_day=31&amp;end_year=2014","Mathi Dhekunu")</f>
        <v>Mathi Dhekunu</v>
      </c>
      <c r="H2593" s="87" t="str">
        <f>HYPERLINK("http://api.nsgreg.nga.mil/geo-division/GENC/6/ed2/MV-US","MV-US")</f>
        <v>MV-US</v>
      </c>
    </row>
    <row r="2594" spans="1:8" x14ac:dyDescent="0.2">
      <c r="A2594" s="157"/>
      <c r="B2594" s="31" t="s">
        <v>9628</v>
      </c>
      <c r="C2594" s="31" t="s">
        <v>9629</v>
      </c>
      <c r="D2594" s="31" t="s">
        <v>1920</v>
      </c>
      <c r="E2594" s="61" t="b">
        <v>1</v>
      </c>
      <c r="F2594" s="107" t="s">
        <v>9630</v>
      </c>
      <c r="G2594" s="116" t="str">
        <f>HYPERLINK("http://nsgreg.nga.mil/genc/view?v=202251&amp;end_month=3&amp;end_day=31&amp;end_year=2014","Mathi Uthuru")</f>
        <v>Mathi Uthuru</v>
      </c>
      <c r="H2594" s="87" t="str">
        <f>HYPERLINK("http://api.nsgreg.nga.mil/geo-division/GENC/6/ed2/MV-UN","MV-UN")</f>
        <v>MV-UN</v>
      </c>
    </row>
    <row r="2595" spans="1:8" x14ac:dyDescent="0.2">
      <c r="A2595" s="157"/>
      <c r="B2595" s="31" t="s">
        <v>9631</v>
      </c>
      <c r="C2595" s="31" t="s">
        <v>9632</v>
      </c>
      <c r="D2595" s="31" t="s">
        <v>1920</v>
      </c>
      <c r="E2595" s="61" t="b">
        <v>1</v>
      </c>
      <c r="F2595" s="107" t="s">
        <v>9633</v>
      </c>
      <c r="G2595" s="116" t="str">
        <f>HYPERLINK("http://nsgreg.nga.mil/genc/view?v=202245&amp;end_month=3&amp;end_day=31&amp;end_year=2014","Medhu")</f>
        <v>Medhu</v>
      </c>
      <c r="H2595" s="87" t="str">
        <f>HYPERLINK("http://api.nsgreg.nga.mil/geo-division/GENC/6/ed2/MV-CE","MV-CE")</f>
        <v>MV-CE</v>
      </c>
    </row>
    <row r="2596" spans="1:8" x14ac:dyDescent="0.2">
      <c r="A2596" s="157"/>
      <c r="B2596" s="31" t="s">
        <v>9634</v>
      </c>
      <c r="C2596" s="31" t="s">
        <v>9635</v>
      </c>
      <c r="D2596" s="31" t="s">
        <v>1920</v>
      </c>
      <c r="E2596" s="61" t="b">
        <v>1</v>
      </c>
      <c r="F2596" s="107" t="s">
        <v>9636</v>
      </c>
      <c r="G2596" s="116" t="str">
        <f>HYPERLINK("http://nsgreg.nga.mil/genc/view?v=202249&amp;end_month=3&amp;end_day=31&amp;end_year=2014","Medhu Dhekunu")</f>
        <v>Medhu Dhekunu</v>
      </c>
      <c r="H2596" s="87" t="str">
        <f>HYPERLINK("http://api.nsgreg.nga.mil/geo-division/GENC/6/ed2/MV-SC","MV-SC")</f>
        <v>MV-SC</v>
      </c>
    </row>
    <row r="2597" spans="1:8" x14ac:dyDescent="0.2">
      <c r="A2597" s="157"/>
      <c r="B2597" s="31" t="s">
        <v>9637</v>
      </c>
      <c r="C2597" s="31" t="s">
        <v>9638</v>
      </c>
      <c r="D2597" s="31" t="s">
        <v>1920</v>
      </c>
      <c r="E2597" s="61" t="b">
        <v>1</v>
      </c>
      <c r="F2597" s="107" t="s">
        <v>9639</v>
      </c>
      <c r="G2597" s="116" t="str">
        <f>HYPERLINK("http://nsgreg.nga.mil/genc/view?v=202247&amp;end_month=3&amp;end_day=31&amp;end_year=2014","Medhu Uthuru")</f>
        <v>Medhu Uthuru</v>
      </c>
      <c r="H2597" s="87" t="str">
        <f>HYPERLINK("http://api.nsgreg.nga.mil/geo-division/GENC/6/ed2/MV-NC","MV-NC")</f>
        <v>MV-NC</v>
      </c>
    </row>
    <row r="2598" spans="1:8" x14ac:dyDescent="0.2">
      <c r="A2598" s="157"/>
      <c r="B2598" s="31" t="s">
        <v>9640</v>
      </c>
      <c r="C2598" s="31" t="s">
        <v>9641</v>
      </c>
      <c r="D2598" s="98" t="s">
        <v>9581</v>
      </c>
      <c r="E2598" s="99" t="b">
        <v>0</v>
      </c>
      <c r="F2598" s="107" t="s">
        <v>9642</v>
      </c>
      <c r="G2598" s="116" t="str">
        <f>HYPERLINK("http://nsgreg.nga.mil/genc/view?v=202240&amp;end_month=3&amp;end_day=31&amp;end_year=2014","Miladhunmadulu Dhekunuburi")</f>
        <v>Miladhunmadulu Dhekunuburi</v>
      </c>
      <c r="H2598" s="87" t="str">
        <f>HYPERLINK("http://api.nsgreg.nga.mil/geo-division/GENC/6/ed2/MV-25","MV-25")</f>
        <v>MV-25</v>
      </c>
    </row>
    <row r="2599" spans="1:8" x14ac:dyDescent="0.2">
      <c r="A2599" s="157"/>
      <c r="B2599" s="31" t="s">
        <v>9643</v>
      </c>
      <c r="C2599" s="31" t="s">
        <v>9644</v>
      </c>
      <c r="D2599" s="98" t="s">
        <v>9581</v>
      </c>
      <c r="E2599" s="99" t="b">
        <v>0</v>
      </c>
      <c r="F2599" s="107" t="s">
        <v>9645</v>
      </c>
      <c r="G2599" s="116" t="str">
        <f>HYPERLINK("http://nsgreg.nga.mil/genc/view?v=202239&amp;end_month=3&amp;end_day=31&amp;end_year=2014","Miladhunmadulu Uthuruburi")</f>
        <v>Miladhunmadulu Uthuruburi</v>
      </c>
      <c r="H2599" s="87" t="str">
        <f>HYPERLINK("http://api.nsgreg.nga.mil/geo-division/GENC/6/ed2/MV-24","MV-24")</f>
        <v>MV-24</v>
      </c>
    </row>
    <row r="2600" spans="1:8" x14ac:dyDescent="0.2">
      <c r="A2600" s="157"/>
      <c r="B2600" s="31" t="s">
        <v>9646</v>
      </c>
      <c r="C2600" s="31" t="s">
        <v>9647</v>
      </c>
      <c r="D2600" s="98" t="s">
        <v>9581</v>
      </c>
      <c r="E2600" s="99" t="b">
        <v>0</v>
      </c>
      <c r="F2600" s="107" t="s">
        <v>9648</v>
      </c>
      <c r="G2600" s="116" t="str">
        <f>HYPERLINK("http://nsgreg.nga.mil/genc/view?v=202233&amp;end_month=3&amp;end_day=31&amp;end_year=2014","Mulakatholhu")</f>
        <v>Mulakatholhu</v>
      </c>
      <c r="H2600" s="87" t="str">
        <f>HYPERLINK("http://api.nsgreg.nga.mil/geo-division/GENC/6/ed2/MV-12","MV-12")</f>
        <v>MV-12</v>
      </c>
    </row>
    <row r="2601" spans="1:8" x14ac:dyDescent="0.2">
      <c r="A2601" s="157"/>
      <c r="B2601" s="31" t="s">
        <v>9649</v>
      </c>
      <c r="C2601" s="31" t="s">
        <v>9650</v>
      </c>
      <c r="D2601" s="98" t="s">
        <v>9581</v>
      </c>
      <c r="E2601" s="99" t="b">
        <v>0</v>
      </c>
      <c r="F2601" s="107" t="s">
        <v>9651</v>
      </c>
      <c r="G2601" s="116" t="str">
        <f>HYPERLINK("http://nsgreg.nga.mil/genc/view?v=202236&amp;end_month=3&amp;end_day=31&amp;end_year=2014","Nilandhe Atholhu Dhekunuburi")</f>
        <v>Nilandhe Atholhu Dhekunuburi</v>
      </c>
      <c r="H2601" s="87" t="str">
        <f>HYPERLINK("http://api.nsgreg.nga.mil/geo-division/GENC/6/ed2/MV-17","MV-17")</f>
        <v>MV-17</v>
      </c>
    </row>
    <row r="2602" spans="1:8" x14ac:dyDescent="0.2">
      <c r="A2602" s="157"/>
      <c r="B2602" s="31" t="s">
        <v>9652</v>
      </c>
      <c r="C2602" s="31" t="s">
        <v>9653</v>
      </c>
      <c r="D2602" s="98" t="s">
        <v>9581</v>
      </c>
      <c r="E2602" s="99" t="b">
        <v>0</v>
      </c>
      <c r="F2602" s="107" t="s">
        <v>9654</v>
      </c>
      <c r="G2602" s="116" t="str">
        <f>HYPERLINK("http://nsgreg.nga.mil/genc/view?v=202235&amp;end_month=3&amp;end_day=31&amp;end_year=2014","Nilandhe Atholhu Uthuruburi")</f>
        <v>Nilandhe Atholhu Uthuruburi</v>
      </c>
      <c r="H2602" s="87" t="str">
        <f>HYPERLINK("http://api.nsgreg.nga.mil/geo-division/GENC/6/ed2/MV-14","MV-14")</f>
        <v>MV-14</v>
      </c>
    </row>
    <row r="2603" spans="1:8" x14ac:dyDescent="0.2">
      <c r="A2603" s="157"/>
      <c r="B2603" s="31" t="s">
        <v>9655</v>
      </c>
      <c r="C2603" s="31" t="s">
        <v>9656</v>
      </c>
      <c r="D2603" s="98" t="s">
        <v>9581</v>
      </c>
      <c r="E2603" s="99" t="b">
        <v>0</v>
      </c>
      <c r="F2603" s="107" t="s">
        <v>9657</v>
      </c>
      <c r="G2603" s="116" t="str">
        <f>HYPERLINK("http://nsgreg.nga.mil/genc/view?v=202238&amp;end_month=3&amp;end_day=31&amp;end_year=2014","Thiladhunmathee Dhekunuburi")</f>
        <v>Thiladhunmathee Dhekunuburi</v>
      </c>
      <c r="H2603" s="87" t="str">
        <f>HYPERLINK("http://api.nsgreg.nga.mil/geo-division/GENC/6/ed2/MV-23","MV-23")</f>
        <v>MV-23</v>
      </c>
    </row>
    <row r="2604" spans="1:8" x14ac:dyDescent="0.2">
      <c r="A2604" s="157"/>
      <c r="B2604" s="31" t="s">
        <v>9658</v>
      </c>
      <c r="C2604" s="31" t="s">
        <v>9659</v>
      </c>
      <c r="D2604" s="98" t="s">
        <v>9581</v>
      </c>
      <c r="E2604" s="99" t="b">
        <v>0</v>
      </c>
      <c r="F2604" s="107" t="s">
        <v>9660</v>
      </c>
      <c r="G2604" s="116" t="str">
        <f>HYPERLINK("http://nsgreg.nga.mil/genc/view?v=202231&amp;end_month=3&amp;end_day=31&amp;end_year=2014","Thiladhunmathee Uthuruburi")</f>
        <v>Thiladhunmathee Uthuruburi</v>
      </c>
      <c r="H2604" s="87" t="str">
        <f>HYPERLINK("http://api.nsgreg.nga.mil/geo-division/GENC/6/ed2/MV-07","MV-07")</f>
        <v>MV-07</v>
      </c>
    </row>
    <row r="2605" spans="1:8" x14ac:dyDescent="0.2">
      <c r="A2605" s="158"/>
      <c r="B2605" s="58" t="s">
        <v>9661</v>
      </c>
      <c r="C2605" s="58" t="s">
        <v>9662</v>
      </c>
      <c r="D2605" s="58" t="s">
        <v>1920</v>
      </c>
      <c r="E2605" s="62" t="b">
        <v>1</v>
      </c>
      <c r="F2605" s="111" t="s">
        <v>9663</v>
      </c>
      <c r="G2605" s="117" t="str">
        <f>HYPERLINK("http://nsgreg.nga.mil/genc/view?v=202248&amp;end_month=3&amp;end_day=31&amp;end_year=2014","Uthuru")</f>
        <v>Uthuru</v>
      </c>
      <c r="H2605" s="89" t="str">
        <f>HYPERLINK("http://api.nsgreg.nga.mil/geo-division/GENC/6/ed2/MV-NO","MV-NO")</f>
        <v>MV-NO</v>
      </c>
    </row>
    <row r="2606" spans="1:8" x14ac:dyDescent="0.2">
      <c r="A2606" s="156" t="str">
        <f>HYPERLINK("[#]Geopolitical_Entities!A164:I164","MALI")</f>
        <v>MALI</v>
      </c>
      <c r="B2606" s="52" t="s">
        <v>9664</v>
      </c>
      <c r="C2606" s="52" t="s">
        <v>9665</v>
      </c>
      <c r="D2606" s="52" t="s">
        <v>2026</v>
      </c>
      <c r="E2606" s="60" t="b">
        <v>1</v>
      </c>
      <c r="F2606" s="109" t="s">
        <v>9666</v>
      </c>
      <c r="G2606" s="118" t="str">
        <f>HYPERLINK("http://nsgreg.nga.mil/genc/view?v=114886&amp;gencs=T&amp;end_month=3&amp;end_day=31&amp;end_year=2014","Bamako")</f>
        <v>Bamako</v>
      </c>
      <c r="H2606" s="91" t="str">
        <f>HYPERLINK("http://api.nsgreg.nga.mil/geo-division/ISO3166-2/6/ed3/ML-BKO","ML-BKO")</f>
        <v>ML-BKO</v>
      </c>
    </row>
    <row r="2607" spans="1:8" x14ac:dyDescent="0.2">
      <c r="A2607" s="157"/>
      <c r="B2607" s="31" t="s">
        <v>9667</v>
      </c>
      <c r="C2607" s="31" t="s">
        <v>9668</v>
      </c>
      <c r="D2607" s="31" t="s">
        <v>3137</v>
      </c>
      <c r="E2607" s="61" t="b">
        <v>1</v>
      </c>
      <c r="F2607" s="106" t="s">
        <v>9669</v>
      </c>
      <c r="G2607" s="116" t="str">
        <f>HYPERLINK("http://nsgreg.nga.mil/genc/view?v=114884&amp;gencs=T&amp;end_month=3&amp;end_day=31&amp;end_year=2014","Gao")</f>
        <v>Gao</v>
      </c>
      <c r="H2607" s="87" t="str">
        <f>HYPERLINK("http://api.nsgreg.nga.mil/geo-division/ISO3166-2/6/ed3/ML-7","ML-7")</f>
        <v>ML-7</v>
      </c>
    </row>
    <row r="2608" spans="1:8" x14ac:dyDescent="0.2">
      <c r="A2608" s="157"/>
      <c r="B2608" s="31" t="s">
        <v>9670</v>
      </c>
      <c r="C2608" s="31" t="s">
        <v>9671</v>
      </c>
      <c r="D2608" s="31" t="s">
        <v>3137</v>
      </c>
      <c r="E2608" s="61" t="b">
        <v>1</v>
      </c>
      <c r="F2608" s="106" t="s">
        <v>9672</v>
      </c>
      <c r="G2608" s="116" t="str">
        <f>HYPERLINK("http://nsgreg.nga.mil/genc/view?v=114878&amp;gencs=T&amp;end_month=3&amp;end_day=31&amp;end_year=2014","Kayes")</f>
        <v>Kayes</v>
      </c>
      <c r="H2608" s="87" t="str">
        <f>HYPERLINK("http://api.nsgreg.nga.mil/geo-division/ISO3166-2/6/ed3/ML-1","ML-1")</f>
        <v>ML-1</v>
      </c>
    </row>
    <row r="2609" spans="1:8" x14ac:dyDescent="0.2">
      <c r="A2609" s="157"/>
      <c r="B2609" s="31" t="s">
        <v>9673</v>
      </c>
      <c r="C2609" s="31" t="s">
        <v>9674</v>
      </c>
      <c r="D2609" s="31" t="s">
        <v>3137</v>
      </c>
      <c r="E2609" s="61" t="b">
        <v>1</v>
      </c>
      <c r="F2609" s="106" t="s">
        <v>9675</v>
      </c>
      <c r="G2609" s="116" t="str">
        <f>HYPERLINK("http://nsgreg.nga.mil/genc/view?v=114885&amp;gencs=T&amp;end_month=3&amp;end_day=31&amp;end_year=2014","Kidal")</f>
        <v>Kidal</v>
      </c>
      <c r="H2609" s="87" t="str">
        <f>HYPERLINK("http://api.nsgreg.nga.mil/geo-division/ISO3166-2/6/ed3/ML-8","ML-8")</f>
        <v>ML-8</v>
      </c>
    </row>
    <row r="2610" spans="1:8" x14ac:dyDescent="0.2">
      <c r="A2610" s="157"/>
      <c r="B2610" s="31" t="s">
        <v>9676</v>
      </c>
      <c r="C2610" s="31" t="s">
        <v>9677</v>
      </c>
      <c r="D2610" s="31" t="s">
        <v>3137</v>
      </c>
      <c r="E2610" s="61" t="b">
        <v>1</v>
      </c>
      <c r="F2610" s="106" t="s">
        <v>9678</v>
      </c>
      <c r="G2610" s="116" t="str">
        <f>HYPERLINK("http://nsgreg.nga.mil/genc/view?v=114879&amp;gencs=T&amp;end_month=3&amp;end_day=31&amp;end_year=2014","Koulikoro")</f>
        <v>Koulikoro</v>
      </c>
      <c r="H2610" s="87" t="str">
        <f>HYPERLINK("http://api.nsgreg.nga.mil/geo-division/ISO3166-2/6/ed3/ML-2","ML-2")</f>
        <v>ML-2</v>
      </c>
    </row>
    <row r="2611" spans="1:8" x14ac:dyDescent="0.2">
      <c r="A2611" s="157"/>
      <c r="B2611" s="31" t="s">
        <v>9679</v>
      </c>
      <c r="C2611" s="31" t="s">
        <v>9680</v>
      </c>
      <c r="D2611" s="31" t="s">
        <v>3137</v>
      </c>
      <c r="E2611" s="61" t="b">
        <v>1</v>
      </c>
      <c r="F2611" s="106" t="s">
        <v>9681</v>
      </c>
      <c r="G2611" s="116" t="str">
        <f>HYPERLINK("http://nsgreg.nga.mil/genc/view?v=114882&amp;gencs=T&amp;end_month=3&amp;end_day=31&amp;end_year=2014","Mopti")</f>
        <v>Mopti</v>
      </c>
      <c r="H2611" s="87" t="str">
        <f>HYPERLINK("http://api.nsgreg.nga.mil/geo-division/ISO3166-2/6/ed3/ML-5","ML-5")</f>
        <v>ML-5</v>
      </c>
    </row>
    <row r="2612" spans="1:8" x14ac:dyDescent="0.2">
      <c r="A2612" s="157"/>
      <c r="B2612" s="31" t="s">
        <v>9682</v>
      </c>
      <c r="C2612" s="31" t="s">
        <v>9683</v>
      </c>
      <c r="D2612" s="31" t="s">
        <v>3137</v>
      </c>
      <c r="E2612" s="61" t="b">
        <v>1</v>
      </c>
      <c r="F2612" s="106" t="s">
        <v>9684</v>
      </c>
      <c r="G2612" s="116" t="str">
        <f>HYPERLINK("http://nsgreg.nga.mil/genc/view?v=114881&amp;gencs=T&amp;end_month=3&amp;end_day=31&amp;end_year=2014","Ségou")</f>
        <v>Ségou</v>
      </c>
      <c r="H2612" s="87" t="str">
        <f>HYPERLINK("http://api.nsgreg.nga.mil/geo-division/ISO3166-2/6/ed3/ML-4","ML-4")</f>
        <v>ML-4</v>
      </c>
    </row>
    <row r="2613" spans="1:8" x14ac:dyDescent="0.2">
      <c r="A2613" s="157"/>
      <c r="B2613" s="31" t="s">
        <v>9685</v>
      </c>
      <c r="C2613" s="31" t="s">
        <v>9686</v>
      </c>
      <c r="D2613" s="31" t="s">
        <v>3137</v>
      </c>
      <c r="E2613" s="61" t="b">
        <v>1</v>
      </c>
      <c r="F2613" s="106" t="s">
        <v>9687</v>
      </c>
      <c r="G2613" s="116" t="str">
        <f>HYPERLINK("http://nsgreg.nga.mil/genc/view?v=114880&amp;gencs=T&amp;end_month=3&amp;end_day=31&amp;end_year=2014","Sikasso")</f>
        <v>Sikasso</v>
      </c>
      <c r="H2613" s="87" t="str">
        <f>HYPERLINK("http://api.nsgreg.nga.mil/geo-division/ISO3166-2/6/ed3/ML-3","ML-3")</f>
        <v>ML-3</v>
      </c>
    </row>
    <row r="2614" spans="1:8" x14ac:dyDescent="0.2">
      <c r="A2614" s="158"/>
      <c r="B2614" s="58" t="s">
        <v>9688</v>
      </c>
      <c r="C2614" s="58" t="s">
        <v>9689</v>
      </c>
      <c r="D2614" s="58" t="s">
        <v>3137</v>
      </c>
      <c r="E2614" s="62" t="b">
        <v>1</v>
      </c>
      <c r="F2614" s="108" t="s">
        <v>9690</v>
      </c>
      <c r="G2614" s="117" t="str">
        <f>HYPERLINK("http://nsgreg.nga.mil/genc/view?v=114883&amp;gencs=T&amp;end_month=3&amp;end_day=31&amp;end_year=2014","Tombouctou")</f>
        <v>Tombouctou</v>
      </c>
      <c r="H2614" s="89" t="str">
        <f>HYPERLINK("http://api.nsgreg.nga.mil/geo-division/ISO3166-2/6/ed3/ML-6","ML-6")</f>
        <v>ML-6</v>
      </c>
    </row>
    <row r="2615" spans="1:8" x14ac:dyDescent="0.2">
      <c r="A2615" s="156" t="str">
        <f>HYPERLINK("[#]Geopolitical_Entities!A165:I165","MALTA")</f>
        <v>MALTA</v>
      </c>
      <c r="B2615" s="52" t="s">
        <v>9691</v>
      </c>
      <c r="C2615" s="52" t="s">
        <v>9692</v>
      </c>
      <c r="D2615" s="52" t="s">
        <v>9693</v>
      </c>
      <c r="E2615" s="60" t="b">
        <v>1</v>
      </c>
      <c r="F2615" s="110" t="s">
        <v>9694</v>
      </c>
      <c r="G2615" s="118" t="str">
        <f>HYPERLINK("http://nsgreg.nga.mil/genc/view?v=202155&amp;end_month=3&amp;end_day=31&amp;end_year=2014","Attard")</f>
        <v>Attard</v>
      </c>
      <c r="H2615" s="91" t="str">
        <f>HYPERLINK("http://api.nsgreg.nga.mil/geo-division/GENC/6/ed2/MT-01","MT-01")</f>
        <v>MT-01</v>
      </c>
    </row>
    <row r="2616" spans="1:8" x14ac:dyDescent="0.2">
      <c r="A2616" s="157"/>
      <c r="B2616" s="31" t="s">
        <v>9695</v>
      </c>
      <c r="C2616" s="31" t="s">
        <v>9696</v>
      </c>
      <c r="D2616" s="31" t="s">
        <v>9693</v>
      </c>
      <c r="E2616" s="61" t="b">
        <v>1</v>
      </c>
      <c r="F2616" s="107" t="s">
        <v>9697</v>
      </c>
      <c r="G2616" s="116" t="str">
        <f>HYPERLINK("http://nsgreg.nga.mil/genc/view?v=202156&amp;end_month=3&amp;end_day=31&amp;end_year=2014","Balzan")</f>
        <v>Balzan</v>
      </c>
      <c r="H2616" s="87" t="str">
        <f>HYPERLINK("http://api.nsgreg.nga.mil/geo-division/GENC/6/ed2/MT-02","MT-02")</f>
        <v>MT-02</v>
      </c>
    </row>
    <row r="2617" spans="1:8" x14ac:dyDescent="0.2">
      <c r="A2617" s="157"/>
      <c r="B2617" s="31" t="s">
        <v>9698</v>
      </c>
      <c r="C2617" s="31" t="s">
        <v>9699</v>
      </c>
      <c r="D2617" s="31" t="s">
        <v>9693</v>
      </c>
      <c r="E2617" s="61" t="b">
        <v>1</v>
      </c>
      <c r="F2617" s="107" t="s">
        <v>9700</v>
      </c>
      <c r="G2617" s="116" t="str">
        <f>HYPERLINK("http://nsgreg.nga.mil/genc/view?v=202157&amp;end_month=3&amp;end_day=31&amp;end_year=2014","Birgu")</f>
        <v>Birgu</v>
      </c>
      <c r="H2617" s="87" t="str">
        <f>HYPERLINK("http://api.nsgreg.nga.mil/geo-division/GENC/6/ed2/MT-03","MT-03")</f>
        <v>MT-03</v>
      </c>
    </row>
    <row r="2618" spans="1:8" x14ac:dyDescent="0.2">
      <c r="A2618" s="157"/>
      <c r="B2618" s="31" t="s">
        <v>9701</v>
      </c>
      <c r="C2618" s="31" t="s">
        <v>9702</v>
      </c>
      <c r="D2618" s="31" t="s">
        <v>9693</v>
      </c>
      <c r="E2618" s="61" t="b">
        <v>1</v>
      </c>
      <c r="F2618" s="107" t="s">
        <v>9703</v>
      </c>
      <c r="G2618" s="116" t="str">
        <f>HYPERLINK("http://nsgreg.nga.mil/genc/view?v=202158&amp;end_month=3&amp;end_day=31&amp;end_year=2014","Birkirkara")</f>
        <v>Birkirkara</v>
      </c>
      <c r="H2618" s="87" t="str">
        <f>HYPERLINK("http://api.nsgreg.nga.mil/geo-division/GENC/6/ed2/MT-04","MT-04")</f>
        <v>MT-04</v>
      </c>
    </row>
    <row r="2619" spans="1:8" x14ac:dyDescent="0.2">
      <c r="A2619" s="157"/>
      <c r="B2619" s="31" t="s">
        <v>9704</v>
      </c>
      <c r="C2619" s="31" t="s">
        <v>9705</v>
      </c>
      <c r="D2619" s="31" t="s">
        <v>9693</v>
      </c>
      <c r="E2619" s="61" t="b">
        <v>1</v>
      </c>
      <c r="F2619" s="107" t="s">
        <v>9706</v>
      </c>
      <c r="G2619" s="116" t="str">
        <f>HYPERLINK("http://nsgreg.nga.mil/genc/view?v=202159&amp;end_month=3&amp;end_day=31&amp;end_year=2014","Birżebbuġa")</f>
        <v>Birżebbuġa</v>
      </c>
      <c r="H2619" s="87" t="str">
        <f>HYPERLINK("http://api.nsgreg.nga.mil/geo-division/GENC/6/ed2/MT-05","MT-05")</f>
        <v>MT-05</v>
      </c>
    </row>
    <row r="2620" spans="1:8" x14ac:dyDescent="0.2">
      <c r="A2620" s="157"/>
      <c r="B2620" s="31" t="s">
        <v>9707</v>
      </c>
      <c r="C2620" s="31" t="s">
        <v>9708</v>
      </c>
      <c r="D2620" s="31" t="s">
        <v>9693</v>
      </c>
      <c r="E2620" s="61" t="b">
        <v>1</v>
      </c>
      <c r="F2620" s="107" t="s">
        <v>9709</v>
      </c>
      <c r="G2620" s="116" t="str">
        <f>HYPERLINK("http://nsgreg.nga.mil/genc/view?v=202160&amp;end_month=3&amp;end_day=31&amp;end_year=2014","Bormla")</f>
        <v>Bormla</v>
      </c>
      <c r="H2620" s="87" t="str">
        <f>HYPERLINK("http://api.nsgreg.nga.mil/geo-division/GENC/6/ed2/MT-06","MT-06")</f>
        <v>MT-06</v>
      </c>
    </row>
    <row r="2621" spans="1:8" x14ac:dyDescent="0.2">
      <c r="A2621" s="157"/>
      <c r="B2621" s="31" t="s">
        <v>9710</v>
      </c>
      <c r="C2621" s="31" t="s">
        <v>9711</v>
      </c>
      <c r="D2621" s="31" t="s">
        <v>9693</v>
      </c>
      <c r="E2621" s="61" t="b">
        <v>1</v>
      </c>
      <c r="F2621" s="107" t="s">
        <v>9712</v>
      </c>
      <c r="G2621" s="116" t="str">
        <f>HYPERLINK("http://nsgreg.nga.mil/genc/view?v=202161&amp;end_month=3&amp;end_day=31&amp;end_year=2014","Dingli")</f>
        <v>Dingli</v>
      </c>
      <c r="H2621" s="87" t="str">
        <f>HYPERLINK("http://api.nsgreg.nga.mil/geo-division/GENC/6/ed2/MT-07","MT-07")</f>
        <v>MT-07</v>
      </c>
    </row>
    <row r="2622" spans="1:8" x14ac:dyDescent="0.2">
      <c r="A2622" s="157"/>
      <c r="B2622" s="31" t="s">
        <v>9713</v>
      </c>
      <c r="C2622" s="31" t="s">
        <v>9714</v>
      </c>
      <c r="D2622" s="31" t="s">
        <v>9693</v>
      </c>
      <c r="E2622" s="61" t="b">
        <v>1</v>
      </c>
      <c r="F2622" s="107" t="s">
        <v>9715</v>
      </c>
      <c r="G2622" s="116" t="str">
        <f>HYPERLINK("http://nsgreg.nga.mil/genc/view?v=202162&amp;end_month=3&amp;end_day=31&amp;end_year=2014","Fgura")</f>
        <v>Fgura</v>
      </c>
      <c r="H2622" s="87" t="str">
        <f>HYPERLINK("http://api.nsgreg.nga.mil/geo-division/GENC/6/ed2/MT-08","MT-08")</f>
        <v>MT-08</v>
      </c>
    </row>
    <row r="2623" spans="1:8" x14ac:dyDescent="0.2">
      <c r="A2623" s="157"/>
      <c r="B2623" s="31" t="s">
        <v>9716</v>
      </c>
      <c r="C2623" s="31" t="s">
        <v>9717</v>
      </c>
      <c r="D2623" s="31" t="s">
        <v>9693</v>
      </c>
      <c r="E2623" s="61" t="b">
        <v>1</v>
      </c>
      <c r="F2623" s="107" t="s">
        <v>9718</v>
      </c>
      <c r="G2623" s="116" t="str">
        <f>HYPERLINK("http://nsgreg.nga.mil/genc/view?v=202163&amp;end_month=3&amp;end_day=31&amp;end_year=2014","Floriana")</f>
        <v>Floriana</v>
      </c>
      <c r="H2623" s="87" t="str">
        <f>HYPERLINK("http://api.nsgreg.nga.mil/geo-division/GENC/6/ed2/MT-09","MT-09")</f>
        <v>MT-09</v>
      </c>
    </row>
    <row r="2624" spans="1:8" x14ac:dyDescent="0.2">
      <c r="A2624" s="157"/>
      <c r="B2624" s="31" t="s">
        <v>9719</v>
      </c>
      <c r="C2624" s="31" t="s">
        <v>9720</v>
      </c>
      <c r="D2624" s="31" t="s">
        <v>9693</v>
      </c>
      <c r="E2624" s="61" t="b">
        <v>1</v>
      </c>
      <c r="F2624" s="107" t="s">
        <v>9721</v>
      </c>
      <c r="G2624" s="116" t="str">
        <f>HYPERLINK("http://nsgreg.nga.mil/genc/view?v=202164&amp;end_month=3&amp;end_day=31&amp;end_year=2014","Fontana")</f>
        <v>Fontana</v>
      </c>
      <c r="H2624" s="87" t="str">
        <f>HYPERLINK("http://api.nsgreg.nga.mil/geo-division/GENC/6/ed2/MT-10","MT-10")</f>
        <v>MT-10</v>
      </c>
    </row>
    <row r="2625" spans="1:8" x14ac:dyDescent="0.2">
      <c r="A2625" s="157"/>
      <c r="B2625" s="31" t="s">
        <v>9722</v>
      </c>
      <c r="C2625" s="31" t="s">
        <v>9723</v>
      </c>
      <c r="D2625" s="31" t="s">
        <v>9693</v>
      </c>
      <c r="E2625" s="61" t="b">
        <v>1</v>
      </c>
      <c r="F2625" s="107" t="s">
        <v>9724</v>
      </c>
      <c r="G2625" s="116" t="str">
        <f>HYPERLINK("http://nsgreg.nga.mil/genc/view?v=202167&amp;end_month=3&amp;end_day=31&amp;end_year=2014","Għajnsielem")</f>
        <v>Għajnsielem</v>
      </c>
      <c r="H2625" s="87" t="str">
        <f>HYPERLINK("http://api.nsgreg.nga.mil/geo-division/GENC/6/ed2/MT-13","MT-13")</f>
        <v>MT-13</v>
      </c>
    </row>
    <row r="2626" spans="1:8" x14ac:dyDescent="0.2">
      <c r="A2626" s="157"/>
      <c r="B2626" s="31" t="s">
        <v>9725</v>
      </c>
      <c r="C2626" s="31" t="s">
        <v>9726</v>
      </c>
      <c r="D2626" s="31" t="s">
        <v>9693</v>
      </c>
      <c r="E2626" s="61" t="b">
        <v>1</v>
      </c>
      <c r="F2626" s="107" t="s">
        <v>9727</v>
      </c>
      <c r="G2626" s="116" t="str">
        <f>HYPERLINK("http://nsgreg.nga.mil/genc/view?v=202168&amp;end_month=3&amp;end_day=31&amp;end_year=2014","Għarb")</f>
        <v>Għarb</v>
      </c>
      <c r="H2626" s="87" t="str">
        <f>HYPERLINK("http://api.nsgreg.nga.mil/geo-division/GENC/6/ed2/MT-14","MT-14")</f>
        <v>MT-14</v>
      </c>
    </row>
    <row r="2627" spans="1:8" x14ac:dyDescent="0.2">
      <c r="A2627" s="157"/>
      <c r="B2627" s="31" t="s">
        <v>9728</v>
      </c>
      <c r="C2627" s="31" t="s">
        <v>9729</v>
      </c>
      <c r="D2627" s="31" t="s">
        <v>9693</v>
      </c>
      <c r="E2627" s="61" t="b">
        <v>1</v>
      </c>
      <c r="F2627" s="107" t="s">
        <v>9730</v>
      </c>
      <c r="G2627" s="116" t="str">
        <f>HYPERLINK("http://nsgreg.nga.mil/genc/view?v=202169&amp;end_month=3&amp;end_day=31&amp;end_year=2014","Għargħur")</f>
        <v>Għargħur</v>
      </c>
      <c r="H2627" s="87" t="str">
        <f>HYPERLINK("http://api.nsgreg.nga.mil/geo-division/GENC/6/ed2/MT-15","MT-15")</f>
        <v>MT-15</v>
      </c>
    </row>
    <row r="2628" spans="1:8" x14ac:dyDescent="0.2">
      <c r="A2628" s="157"/>
      <c r="B2628" s="31" t="s">
        <v>9731</v>
      </c>
      <c r="C2628" s="31" t="s">
        <v>9732</v>
      </c>
      <c r="D2628" s="31" t="s">
        <v>9693</v>
      </c>
      <c r="E2628" s="61" t="b">
        <v>1</v>
      </c>
      <c r="F2628" s="107" t="s">
        <v>9733</v>
      </c>
      <c r="G2628" s="116" t="str">
        <f>HYPERLINK("http://nsgreg.nga.mil/genc/view?v=202170&amp;end_month=3&amp;end_day=31&amp;end_year=2014","Għasri")</f>
        <v>Għasri</v>
      </c>
      <c r="H2628" s="87" t="str">
        <f>HYPERLINK("http://api.nsgreg.nga.mil/geo-division/GENC/6/ed2/MT-16","MT-16")</f>
        <v>MT-16</v>
      </c>
    </row>
    <row r="2629" spans="1:8" x14ac:dyDescent="0.2">
      <c r="A2629" s="157"/>
      <c r="B2629" s="31" t="s">
        <v>9734</v>
      </c>
      <c r="C2629" s="31" t="s">
        <v>9735</v>
      </c>
      <c r="D2629" s="31" t="s">
        <v>9693</v>
      </c>
      <c r="E2629" s="61" t="b">
        <v>1</v>
      </c>
      <c r="F2629" s="107" t="s">
        <v>9736</v>
      </c>
      <c r="G2629" s="116" t="str">
        <f>HYPERLINK("http://nsgreg.nga.mil/genc/view?v=202171&amp;end_month=3&amp;end_day=31&amp;end_year=2014","Għaxaq")</f>
        <v>Għaxaq</v>
      </c>
      <c r="H2629" s="87" t="str">
        <f>HYPERLINK("http://api.nsgreg.nga.mil/geo-division/GENC/6/ed2/MT-17","MT-17")</f>
        <v>MT-17</v>
      </c>
    </row>
    <row r="2630" spans="1:8" x14ac:dyDescent="0.2">
      <c r="A2630" s="157"/>
      <c r="B2630" s="31" t="s">
        <v>9737</v>
      </c>
      <c r="C2630" s="31" t="s">
        <v>9738</v>
      </c>
      <c r="D2630" s="31" t="s">
        <v>9693</v>
      </c>
      <c r="E2630" s="61" t="b">
        <v>1</v>
      </c>
      <c r="F2630" s="107" t="s">
        <v>9739</v>
      </c>
      <c r="G2630" s="116" t="str">
        <f>HYPERLINK("http://nsgreg.nga.mil/genc/view?v=202165&amp;end_month=3&amp;end_day=31&amp;end_year=2014","Gudja")</f>
        <v>Gudja</v>
      </c>
      <c r="H2630" s="87" t="str">
        <f>HYPERLINK("http://api.nsgreg.nga.mil/geo-division/GENC/6/ed2/MT-11","MT-11")</f>
        <v>MT-11</v>
      </c>
    </row>
    <row r="2631" spans="1:8" x14ac:dyDescent="0.2">
      <c r="A2631" s="157"/>
      <c r="B2631" s="31" t="s">
        <v>9740</v>
      </c>
      <c r="C2631" s="31" t="s">
        <v>9741</v>
      </c>
      <c r="D2631" s="31" t="s">
        <v>9693</v>
      </c>
      <c r="E2631" s="61" t="b">
        <v>1</v>
      </c>
      <c r="F2631" s="107" t="s">
        <v>9742</v>
      </c>
      <c r="G2631" s="116" t="str">
        <f>HYPERLINK("http://nsgreg.nga.mil/genc/view?v=202166&amp;end_month=3&amp;end_day=31&amp;end_year=2014","Gżira")</f>
        <v>Gżira</v>
      </c>
      <c r="H2631" s="87" t="str">
        <f>HYPERLINK("http://api.nsgreg.nga.mil/geo-division/GENC/6/ed2/MT-12","MT-12")</f>
        <v>MT-12</v>
      </c>
    </row>
    <row r="2632" spans="1:8" x14ac:dyDescent="0.2">
      <c r="A2632" s="157"/>
      <c r="B2632" s="31" t="s">
        <v>9743</v>
      </c>
      <c r="C2632" s="31" t="s">
        <v>9744</v>
      </c>
      <c r="D2632" s="31" t="s">
        <v>9693</v>
      </c>
      <c r="E2632" s="61" t="b">
        <v>1</v>
      </c>
      <c r="F2632" s="107" t="s">
        <v>9745</v>
      </c>
      <c r="G2632" s="116" t="str">
        <f>HYPERLINK("http://nsgreg.nga.mil/genc/view?v=202172&amp;end_month=3&amp;end_day=31&amp;end_year=2014","Ħamrun")</f>
        <v>Ħamrun</v>
      </c>
      <c r="H2632" s="87" t="str">
        <f>HYPERLINK("http://api.nsgreg.nga.mil/geo-division/GENC/6/ed2/MT-18","MT-18")</f>
        <v>MT-18</v>
      </c>
    </row>
    <row r="2633" spans="1:8" x14ac:dyDescent="0.2">
      <c r="A2633" s="157"/>
      <c r="B2633" s="31" t="s">
        <v>9746</v>
      </c>
      <c r="C2633" s="31" t="s">
        <v>9747</v>
      </c>
      <c r="D2633" s="31" t="s">
        <v>9693</v>
      </c>
      <c r="E2633" s="61" t="b">
        <v>1</v>
      </c>
      <c r="F2633" s="107" t="s">
        <v>9748</v>
      </c>
      <c r="G2633" s="116" t="str">
        <f>HYPERLINK("http://nsgreg.nga.mil/genc/view?v=202173&amp;end_month=3&amp;end_day=31&amp;end_year=2014","Iklin")</f>
        <v>Iklin</v>
      </c>
      <c r="H2633" s="87" t="str">
        <f>HYPERLINK("http://api.nsgreg.nga.mil/geo-division/GENC/6/ed2/MT-19","MT-19")</f>
        <v>MT-19</v>
      </c>
    </row>
    <row r="2634" spans="1:8" x14ac:dyDescent="0.2">
      <c r="A2634" s="157"/>
      <c r="B2634" s="31" t="s">
        <v>9749</v>
      </c>
      <c r="C2634" s="31" t="s">
        <v>9750</v>
      </c>
      <c r="D2634" s="31" t="s">
        <v>9693</v>
      </c>
      <c r="E2634" s="61" t="b">
        <v>1</v>
      </c>
      <c r="F2634" s="107" t="s">
        <v>9751</v>
      </c>
      <c r="G2634" s="116" t="str">
        <f>HYPERLINK("http://nsgreg.nga.mil/genc/view?v=202183&amp;end_month=3&amp;end_day=31&amp;end_year=2014","Imdina")</f>
        <v>Imdina</v>
      </c>
      <c r="H2634" s="87" t="str">
        <f>HYPERLINK("http://api.nsgreg.nga.mil/geo-division/GENC/6/ed2/MT-29","MT-29")</f>
        <v>MT-29</v>
      </c>
    </row>
    <row r="2635" spans="1:8" x14ac:dyDescent="0.2">
      <c r="A2635" s="157"/>
      <c r="B2635" s="31" t="s">
        <v>9752</v>
      </c>
      <c r="C2635" s="31" t="s">
        <v>9753</v>
      </c>
      <c r="D2635" s="31" t="s">
        <v>9693</v>
      </c>
      <c r="E2635" s="61" t="b">
        <v>1</v>
      </c>
      <c r="F2635" s="107" t="s">
        <v>9754</v>
      </c>
      <c r="G2635" s="116" t="str">
        <f>HYPERLINK("http://nsgreg.nga.mil/genc/view?v=202185&amp;end_month=3&amp;end_day=31&amp;end_year=2014","Imġarr")</f>
        <v>Imġarr</v>
      </c>
      <c r="H2635" s="87" t="str">
        <f>HYPERLINK("http://api.nsgreg.nga.mil/geo-division/GENC/6/ed2/MT-31","MT-31")</f>
        <v>MT-31</v>
      </c>
    </row>
    <row r="2636" spans="1:8" x14ac:dyDescent="0.2">
      <c r="A2636" s="157"/>
      <c r="B2636" s="31" t="s">
        <v>9755</v>
      </c>
      <c r="C2636" s="31" t="s">
        <v>9756</v>
      </c>
      <c r="D2636" s="31" t="s">
        <v>9693</v>
      </c>
      <c r="E2636" s="61" t="b">
        <v>1</v>
      </c>
      <c r="F2636" s="107" t="s">
        <v>9757</v>
      </c>
      <c r="G2636" s="116" t="str">
        <f>HYPERLINK("http://nsgreg.nga.mil/genc/view?v=202187&amp;end_month=3&amp;end_day=31&amp;end_year=2014","Imqabba")</f>
        <v>Imqabba</v>
      </c>
      <c r="H2636" s="87" t="str">
        <f>HYPERLINK("http://api.nsgreg.nga.mil/geo-division/GENC/6/ed2/MT-33","MT-33")</f>
        <v>MT-33</v>
      </c>
    </row>
    <row r="2637" spans="1:8" x14ac:dyDescent="0.2">
      <c r="A2637" s="157"/>
      <c r="B2637" s="31" t="s">
        <v>9758</v>
      </c>
      <c r="C2637" s="31" t="s">
        <v>9759</v>
      </c>
      <c r="D2637" s="31" t="s">
        <v>9693</v>
      </c>
      <c r="E2637" s="61" t="b">
        <v>1</v>
      </c>
      <c r="F2637" s="107" t="s">
        <v>9760</v>
      </c>
      <c r="G2637" s="116" t="str">
        <f>HYPERLINK("http://nsgreg.nga.mil/genc/view?v=202188&amp;end_month=3&amp;end_day=31&amp;end_year=2014","Imsida")</f>
        <v>Imsida</v>
      </c>
      <c r="H2637" s="87" t="str">
        <f>HYPERLINK("http://api.nsgreg.nga.mil/geo-division/GENC/6/ed2/MT-34","MT-34")</f>
        <v>MT-34</v>
      </c>
    </row>
    <row r="2638" spans="1:8" x14ac:dyDescent="0.2">
      <c r="A2638" s="157"/>
      <c r="B2638" s="31" t="s">
        <v>9761</v>
      </c>
      <c r="C2638" s="31" t="s">
        <v>9762</v>
      </c>
      <c r="D2638" s="31" t="s">
        <v>9693</v>
      </c>
      <c r="E2638" s="61" t="b">
        <v>1</v>
      </c>
      <c r="F2638" s="107" t="s">
        <v>9763</v>
      </c>
      <c r="G2638" s="116" t="str">
        <f>HYPERLINK("http://nsgreg.nga.mil/genc/view?v=202189&amp;end_month=3&amp;end_day=31&amp;end_year=2014","Imtarfa")</f>
        <v>Imtarfa</v>
      </c>
      <c r="H2638" s="87" t="str">
        <f>HYPERLINK("http://api.nsgreg.nga.mil/geo-division/GENC/6/ed2/MT-35","MT-35")</f>
        <v>MT-35</v>
      </c>
    </row>
    <row r="2639" spans="1:8" x14ac:dyDescent="0.2">
      <c r="A2639" s="157"/>
      <c r="B2639" s="31" t="s">
        <v>9764</v>
      </c>
      <c r="C2639" s="31" t="s">
        <v>9765</v>
      </c>
      <c r="D2639" s="31" t="s">
        <v>9693</v>
      </c>
      <c r="E2639" s="61" t="b">
        <v>1</v>
      </c>
      <c r="F2639" s="107" t="s">
        <v>9766</v>
      </c>
      <c r="G2639" s="116" t="str">
        <f>HYPERLINK("http://nsgreg.nga.mil/genc/view?v=202174&amp;end_month=3&amp;end_day=31&amp;end_year=2014","Isla")</f>
        <v>Isla</v>
      </c>
      <c r="H2639" s="87" t="str">
        <f>HYPERLINK("http://api.nsgreg.nga.mil/geo-division/GENC/6/ed2/MT-20","MT-20")</f>
        <v>MT-20</v>
      </c>
    </row>
    <row r="2640" spans="1:8" x14ac:dyDescent="0.2">
      <c r="A2640" s="157"/>
      <c r="B2640" s="31" t="s">
        <v>9767</v>
      </c>
      <c r="C2640" s="31" t="s">
        <v>9768</v>
      </c>
      <c r="D2640" s="31" t="s">
        <v>9693</v>
      </c>
      <c r="E2640" s="61" t="b">
        <v>1</v>
      </c>
      <c r="F2640" s="107" t="s">
        <v>9769</v>
      </c>
      <c r="G2640" s="116" t="str">
        <f>HYPERLINK("http://nsgreg.nga.mil/genc/view?v=202175&amp;end_month=3&amp;end_day=31&amp;end_year=2014","Kalkara")</f>
        <v>Kalkara</v>
      </c>
      <c r="H2640" s="87" t="str">
        <f>HYPERLINK("http://api.nsgreg.nga.mil/geo-division/GENC/6/ed2/MT-21","MT-21")</f>
        <v>MT-21</v>
      </c>
    </row>
    <row r="2641" spans="1:8" x14ac:dyDescent="0.2">
      <c r="A2641" s="157"/>
      <c r="B2641" s="31" t="s">
        <v>9770</v>
      </c>
      <c r="C2641" s="31" t="s">
        <v>9771</v>
      </c>
      <c r="D2641" s="31" t="s">
        <v>9693</v>
      </c>
      <c r="E2641" s="61" t="b">
        <v>1</v>
      </c>
      <c r="F2641" s="107" t="s">
        <v>9772</v>
      </c>
      <c r="G2641" s="116" t="str">
        <f>HYPERLINK("http://nsgreg.nga.mil/genc/view?v=202176&amp;end_month=3&amp;end_day=31&amp;end_year=2014","Kerċem")</f>
        <v>Kerċem</v>
      </c>
      <c r="H2641" s="87" t="str">
        <f>HYPERLINK("http://api.nsgreg.nga.mil/geo-division/GENC/6/ed2/MT-22","MT-22")</f>
        <v>MT-22</v>
      </c>
    </row>
    <row r="2642" spans="1:8" x14ac:dyDescent="0.2">
      <c r="A2642" s="157"/>
      <c r="B2642" s="31" t="s">
        <v>9773</v>
      </c>
      <c r="C2642" s="31" t="s">
        <v>9774</v>
      </c>
      <c r="D2642" s="31" t="s">
        <v>9693</v>
      </c>
      <c r="E2642" s="61" t="b">
        <v>1</v>
      </c>
      <c r="F2642" s="107" t="s">
        <v>9775</v>
      </c>
      <c r="G2642" s="116" t="str">
        <f>HYPERLINK("http://nsgreg.nga.mil/genc/view?v=202177&amp;end_month=3&amp;end_day=31&amp;end_year=2014","Kirkop")</f>
        <v>Kirkop</v>
      </c>
      <c r="H2642" s="87" t="str">
        <f>HYPERLINK("http://api.nsgreg.nga.mil/geo-division/GENC/6/ed2/MT-23","MT-23")</f>
        <v>MT-23</v>
      </c>
    </row>
    <row r="2643" spans="1:8" x14ac:dyDescent="0.2">
      <c r="A2643" s="157"/>
      <c r="B2643" s="31" t="s">
        <v>9776</v>
      </c>
      <c r="C2643" s="31" t="s">
        <v>9777</v>
      </c>
      <c r="D2643" s="31" t="s">
        <v>9693</v>
      </c>
      <c r="E2643" s="61" t="b">
        <v>1</v>
      </c>
      <c r="F2643" s="107" t="s">
        <v>9778</v>
      </c>
      <c r="G2643" s="116" t="str">
        <f>HYPERLINK("http://nsgreg.nga.mil/genc/view?v=202178&amp;end_month=3&amp;end_day=31&amp;end_year=2014","Lija")</f>
        <v>Lija</v>
      </c>
      <c r="H2643" s="87" t="str">
        <f>HYPERLINK("http://api.nsgreg.nga.mil/geo-division/GENC/6/ed2/MT-24","MT-24")</f>
        <v>MT-24</v>
      </c>
    </row>
    <row r="2644" spans="1:8" x14ac:dyDescent="0.2">
      <c r="A2644" s="157"/>
      <c r="B2644" s="31" t="s">
        <v>9779</v>
      </c>
      <c r="C2644" s="31" t="s">
        <v>9780</v>
      </c>
      <c r="D2644" s="31" t="s">
        <v>9693</v>
      </c>
      <c r="E2644" s="61" t="b">
        <v>1</v>
      </c>
      <c r="F2644" s="107" t="s">
        <v>9781</v>
      </c>
      <c r="G2644" s="116" t="str">
        <f>HYPERLINK("http://nsgreg.nga.mil/genc/view?v=202179&amp;end_month=3&amp;end_day=31&amp;end_year=2014","Luqa")</f>
        <v>Luqa</v>
      </c>
      <c r="H2644" s="87" t="str">
        <f>HYPERLINK("http://api.nsgreg.nga.mil/geo-division/GENC/6/ed2/MT-25","MT-25")</f>
        <v>MT-25</v>
      </c>
    </row>
    <row r="2645" spans="1:8" x14ac:dyDescent="0.2">
      <c r="A2645" s="157"/>
      <c r="B2645" s="31" t="s">
        <v>9782</v>
      </c>
      <c r="C2645" s="31" t="s">
        <v>9783</v>
      </c>
      <c r="D2645" s="31" t="s">
        <v>9693</v>
      </c>
      <c r="E2645" s="61" t="b">
        <v>1</v>
      </c>
      <c r="F2645" s="107" t="s">
        <v>9784</v>
      </c>
      <c r="G2645" s="116" t="str">
        <f>HYPERLINK("http://nsgreg.nga.mil/genc/view?v=202180&amp;end_month=3&amp;end_day=31&amp;end_year=2014","Marsa")</f>
        <v>Marsa</v>
      </c>
      <c r="H2645" s="87" t="str">
        <f>HYPERLINK("http://api.nsgreg.nga.mil/geo-division/GENC/6/ed2/MT-26","MT-26")</f>
        <v>MT-26</v>
      </c>
    </row>
    <row r="2646" spans="1:8" x14ac:dyDescent="0.2">
      <c r="A2646" s="157"/>
      <c r="B2646" s="31" t="s">
        <v>9785</v>
      </c>
      <c r="C2646" s="31" t="s">
        <v>9786</v>
      </c>
      <c r="D2646" s="31" t="s">
        <v>9693</v>
      </c>
      <c r="E2646" s="61" t="b">
        <v>1</v>
      </c>
      <c r="F2646" s="107" t="s">
        <v>9787</v>
      </c>
      <c r="G2646" s="116" t="str">
        <f>HYPERLINK("http://nsgreg.nga.mil/genc/view?v=202181&amp;end_month=3&amp;end_day=31&amp;end_year=2014","Marsaskala")</f>
        <v>Marsaskala</v>
      </c>
      <c r="H2646" s="87" t="str">
        <f>HYPERLINK("http://api.nsgreg.nga.mil/geo-division/GENC/6/ed2/MT-27","MT-27")</f>
        <v>MT-27</v>
      </c>
    </row>
    <row r="2647" spans="1:8" x14ac:dyDescent="0.2">
      <c r="A2647" s="157"/>
      <c r="B2647" s="31" t="s">
        <v>9788</v>
      </c>
      <c r="C2647" s="31" t="s">
        <v>9789</v>
      </c>
      <c r="D2647" s="31" t="s">
        <v>9693</v>
      </c>
      <c r="E2647" s="61" t="b">
        <v>1</v>
      </c>
      <c r="F2647" s="107" t="s">
        <v>9790</v>
      </c>
      <c r="G2647" s="116" t="str">
        <f>HYPERLINK("http://nsgreg.nga.mil/genc/view?v=202182&amp;end_month=3&amp;end_day=31&amp;end_year=2014","Marsaxlokk")</f>
        <v>Marsaxlokk</v>
      </c>
      <c r="H2647" s="87" t="str">
        <f>HYPERLINK("http://api.nsgreg.nga.mil/geo-division/GENC/6/ed2/MT-28","MT-28")</f>
        <v>MT-28</v>
      </c>
    </row>
    <row r="2648" spans="1:8" x14ac:dyDescent="0.2">
      <c r="A2648" s="157"/>
      <c r="B2648" s="31" t="s">
        <v>9791</v>
      </c>
      <c r="C2648" s="31" t="s">
        <v>9792</v>
      </c>
      <c r="D2648" s="31" t="s">
        <v>9693</v>
      </c>
      <c r="E2648" s="61" t="b">
        <v>1</v>
      </c>
      <c r="F2648" s="107" t="s">
        <v>9793</v>
      </c>
      <c r="G2648" s="116" t="str">
        <f>HYPERLINK("http://nsgreg.nga.mil/genc/view?v=202184&amp;end_month=3&amp;end_day=31&amp;end_year=2014","Mellieħa")</f>
        <v>Mellieħa</v>
      </c>
      <c r="H2648" s="87" t="str">
        <f>HYPERLINK("http://api.nsgreg.nga.mil/geo-division/GENC/6/ed2/MT-30","MT-30")</f>
        <v>MT-30</v>
      </c>
    </row>
    <row r="2649" spans="1:8" x14ac:dyDescent="0.2">
      <c r="A2649" s="157"/>
      <c r="B2649" s="31" t="s">
        <v>9794</v>
      </c>
      <c r="C2649" s="31" t="s">
        <v>9795</v>
      </c>
      <c r="D2649" s="31" t="s">
        <v>9693</v>
      </c>
      <c r="E2649" s="61" t="b">
        <v>1</v>
      </c>
      <c r="F2649" s="107" t="s">
        <v>9796</v>
      </c>
      <c r="G2649" s="116" t="str">
        <f>HYPERLINK("http://nsgreg.nga.mil/genc/view?v=202186&amp;end_month=3&amp;end_day=31&amp;end_year=2014","Mosta")</f>
        <v>Mosta</v>
      </c>
      <c r="H2649" s="87" t="str">
        <f>HYPERLINK("http://api.nsgreg.nga.mil/geo-division/GENC/6/ed2/MT-32","MT-32")</f>
        <v>MT-32</v>
      </c>
    </row>
    <row r="2650" spans="1:8" x14ac:dyDescent="0.2">
      <c r="A2650" s="157"/>
      <c r="B2650" s="31" t="s">
        <v>9797</v>
      </c>
      <c r="C2650" s="31" t="s">
        <v>9798</v>
      </c>
      <c r="D2650" s="31" t="s">
        <v>9693</v>
      </c>
      <c r="E2650" s="61" t="b">
        <v>1</v>
      </c>
      <c r="F2650" s="107" t="s">
        <v>9799</v>
      </c>
      <c r="G2650" s="116" t="str">
        <f>HYPERLINK("http://nsgreg.nga.mil/genc/view?v=202190&amp;end_month=3&amp;end_day=31&amp;end_year=2014","Munxar")</f>
        <v>Munxar</v>
      </c>
      <c r="H2650" s="87" t="str">
        <f>HYPERLINK("http://api.nsgreg.nga.mil/geo-division/GENC/6/ed2/MT-36","MT-36")</f>
        <v>MT-36</v>
      </c>
    </row>
    <row r="2651" spans="1:8" x14ac:dyDescent="0.2">
      <c r="A2651" s="157"/>
      <c r="B2651" s="31" t="s">
        <v>9800</v>
      </c>
      <c r="C2651" s="31" t="s">
        <v>9801</v>
      </c>
      <c r="D2651" s="31" t="s">
        <v>9693</v>
      </c>
      <c r="E2651" s="61" t="b">
        <v>1</v>
      </c>
      <c r="F2651" s="107" t="s">
        <v>9802</v>
      </c>
      <c r="G2651" s="116" t="str">
        <f>HYPERLINK("http://nsgreg.nga.mil/genc/view?v=202191&amp;end_month=3&amp;end_day=31&amp;end_year=2014","Nadur")</f>
        <v>Nadur</v>
      </c>
      <c r="H2651" s="87" t="str">
        <f>HYPERLINK("http://api.nsgreg.nga.mil/geo-division/GENC/6/ed2/MT-37","MT-37")</f>
        <v>MT-37</v>
      </c>
    </row>
    <row r="2652" spans="1:8" x14ac:dyDescent="0.2">
      <c r="A2652" s="157"/>
      <c r="B2652" s="31" t="s">
        <v>9803</v>
      </c>
      <c r="C2652" s="31" t="s">
        <v>9804</v>
      </c>
      <c r="D2652" s="31" t="s">
        <v>9693</v>
      </c>
      <c r="E2652" s="61" t="b">
        <v>1</v>
      </c>
      <c r="F2652" s="107" t="s">
        <v>9805</v>
      </c>
      <c r="G2652" s="116" t="str">
        <f>HYPERLINK("http://nsgreg.nga.mil/genc/view?v=202192&amp;end_month=3&amp;end_day=31&amp;end_year=2014","Naxxar")</f>
        <v>Naxxar</v>
      </c>
      <c r="H2652" s="87" t="str">
        <f>HYPERLINK("http://api.nsgreg.nga.mil/geo-division/GENC/6/ed2/MT-38","MT-38")</f>
        <v>MT-38</v>
      </c>
    </row>
    <row r="2653" spans="1:8" x14ac:dyDescent="0.2">
      <c r="A2653" s="157"/>
      <c r="B2653" s="31" t="s">
        <v>9806</v>
      </c>
      <c r="C2653" s="31" t="s">
        <v>9807</v>
      </c>
      <c r="D2653" s="31" t="s">
        <v>9693</v>
      </c>
      <c r="E2653" s="61" t="b">
        <v>1</v>
      </c>
      <c r="F2653" s="107" t="s">
        <v>9808</v>
      </c>
      <c r="G2653" s="116" t="str">
        <f>HYPERLINK("http://nsgreg.nga.mil/genc/view?v=202193&amp;end_month=3&amp;end_day=31&amp;end_year=2014","Paola")</f>
        <v>Paola</v>
      </c>
      <c r="H2653" s="87" t="str">
        <f>HYPERLINK("http://api.nsgreg.nga.mil/geo-division/GENC/6/ed2/MT-39","MT-39")</f>
        <v>MT-39</v>
      </c>
    </row>
    <row r="2654" spans="1:8" x14ac:dyDescent="0.2">
      <c r="A2654" s="157"/>
      <c r="B2654" s="31" t="s">
        <v>9809</v>
      </c>
      <c r="C2654" s="31" t="s">
        <v>3262</v>
      </c>
      <c r="D2654" s="31" t="s">
        <v>9693</v>
      </c>
      <c r="E2654" s="61" t="b">
        <v>1</v>
      </c>
      <c r="F2654" s="107" t="s">
        <v>9810</v>
      </c>
      <c r="G2654" s="116" t="str">
        <f>HYPERLINK("http://nsgreg.nga.mil/genc/view?v=202194&amp;end_month=3&amp;end_day=31&amp;end_year=2014","Pembroke")</f>
        <v>Pembroke</v>
      </c>
      <c r="H2654" s="87" t="str">
        <f>HYPERLINK("http://api.nsgreg.nga.mil/geo-division/GENC/6/ed2/MT-40","MT-40")</f>
        <v>MT-40</v>
      </c>
    </row>
    <row r="2655" spans="1:8" x14ac:dyDescent="0.2">
      <c r="A2655" s="157"/>
      <c r="B2655" s="31" t="s">
        <v>9811</v>
      </c>
      <c r="C2655" s="31" t="s">
        <v>9812</v>
      </c>
      <c r="D2655" s="31" t="s">
        <v>9693</v>
      </c>
      <c r="E2655" s="61" t="b">
        <v>1</v>
      </c>
      <c r="F2655" s="107" t="s">
        <v>9813</v>
      </c>
      <c r="G2655" s="116" t="str">
        <f>HYPERLINK("http://nsgreg.nga.mil/genc/view?v=202195&amp;end_month=3&amp;end_day=31&amp;end_year=2014","Pietà")</f>
        <v>Pietà</v>
      </c>
      <c r="H2655" s="87" t="str">
        <f>HYPERLINK("http://api.nsgreg.nga.mil/geo-division/GENC/6/ed2/MT-41","MT-41")</f>
        <v>MT-41</v>
      </c>
    </row>
    <row r="2656" spans="1:8" x14ac:dyDescent="0.2">
      <c r="A2656" s="157"/>
      <c r="B2656" s="31" t="s">
        <v>9814</v>
      </c>
      <c r="C2656" s="31" t="s">
        <v>9815</v>
      </c>
      <c r="D2656" s="31" t="s">
        <v>9693</v>
      </c>
      <c r="E2656" s="61" t="b">
        <v>1</v>
      </c>
      <c r="F2656" s="107" t="s">
        <v>9816</v>
      </c>
      <c r="G2656" s="116" t="str">
        <f>HYPERLINK("http://nsgreg.nga.mil/genc/view?v=202196&amp;end_month=3&amp;end_day=31&amp;end_year=2014","Qala")</f>
        <v>Qala</v>
      </c>
      <c r="H2656" s="87" t="str">
        <f>HYPERLINK("http://api.nsgreg.nga.mil/geo-division/GENC/6/ed2/MT-42","MT-42")</f>
        <v>MT-42</v>
      </c>
    </row>
    <row r="2657" spans="1:8" x14ac:dyDescent="0.2">
      <c r="A2657" s="157"/>
      <c r="B2657" s="31" t="s">
        <v>9817</v>
      </c>
      <c r="C2657" s="31" t="s">
        <v>9818</v>
      </c>
      <c r="D2657" s="31" t="s">
        <v>9693</v>
      </c>
      <c r="E2657" s="61" t="b">
        <v>1</v>
      </c>
      <c r="F2657" s="107" t="s">
        <v>9819</v>
      </c>
      <c r="G2657" s="116" t="str">
        <f>HYPERLINK("http://nsgreg.nga.mil/genc/view?v=202197&amp;end_month=3&amp;end_day=31&amp;end_year=2014","Qormi")</f>
        <v>Qormi</v>
      </c>
      <c r="H2657" s="87" t="str">
        <f>HYPERLINK("http://api.nsgreg.nga.mil/geo-division/GENC/6/ed2/MT-43","MT-43")</f>
        <v>MT-43</v>
      </c>
    </row>
    <row r="2658" spans="1:8" x14ac:dyDescent="0.2">
      <c r="A2658" s="157"/>
      <c r="B2658" s="31" t="s">
        <v>9820</v>
      </c>
      <c r="C2658" s="31" t="s">
        <v>9821</v>
      </c>
      <c r="D2658" s="31" t="s">
        <v>9693</v>
      </c>
      <c r="E2658" s="61" t="b">
        <v>1</v>
      </c>
      <c r="F2658" s="107" t="s">
        <v>9822</v>
      </c>
      <c r="G2658" s="116" t="str">
        <f>HYPERLINK("http://nsgreg.nga.mil/genc/view?v=202198&amp;end_month=3&amp;end_day=31&amp;end_year=2014","Qrendi")</f>
        <v>Qrendi</v>
      </c>
      <c r="H2658" s="87" t="str">
        <f>HYPERLINK("http://api.nsgreg.nga.mil/geo-division/GENC/6/ed2/MT-44","MT-44")</f>
        <v>MT-44</v>
      </c>
    </row>
    <row r="2659" spans="1:8" x14ac:dyDescent="0.2">
      <c r="A2659" s="157"/>
      <c r="B2659" s="31" t="s">
        <v>9823</v>
      </c>
      <c r="C2659" s="31" t="s">
        <v>9824</v>
      </c>
      <c r="D2659" s="31" t="s">
        <v>9693</v>
      </c>
      <c r="E2659" s="61" t="b">
        <v>1</v>
      </c>
      <c r="F2659" s="107" t="s">
        <v>9825</v>
      </c>
      <c r="G2659" s="116" t="str">
        <f>HYPERLINK("http://nsgreg.nga.mil/genc/view?v=202200&amp;end_month=3&amp;end_day=31&amp;end_year=2014","Rabat")</f>
        <v>Rabat</v>
      </c>
      <c r="H2659" s="87" t="str">
        <f>HYPERLINK("http://api.nsgreg.nga.mil/geo-division/GENC/6/ed2/MT-46","MT-46")</f>
        <v>MT-46</v>
      </c>
    </row>
    <row r="2660" spans="1:8" x14ac:dyDescent="0.2">
      <c r="A2660" s="157"/>
      <c r="B2660" s="31" t="s">
        <v>9826</v>
      </c>
      <c r="C2660" s="31" t="s">
        <v>9827</v>
      </c>
      <c r="D2660" s="31" t="s">
        <v>9693</v>
      </c>
      <c r="E2660" s="61" t="b">
        <v>1</v>
      </c>
      <c r="F2660" s="107" t="s">
        <v>9828</v>
      </c>
      <c r="G2660" s="116" t="str">
        <f>HYPERLINK("http://nsgreg.nga.mil/genc/view?v=202199&amp;end_month=3&amp;end_day=31&amp;end_year=2014","Rabat (Ghawdex)")</f>
        <v>Rabat (Ghawdex)</v>
      </c>
      <c r="H2660" s="87" t="str">
        <f>HYPERLINK("http://api.nsgreg.nga.mil/geo-division/GENC/6/ed2/MT-45","MT-45")</f>
        <v>MT-45</v>
      </c>
    </row>
    <row r="2661" spans="1:8" x14ac:dyDescent="0.2">
      <c r="A2661" s="157"/>
      <c r="B2661" s="31" t="s">
        <v>9829</v>
      </c>
      <c r="C2661" s="31" t="s">
        <v>9830</v>
      </c>
      <c r="D2661" s="31" t="s">
        <v>9693</v>
      </c>
      <c r="E2661" s="61" t="b">
        <v>1</v>
      </c>
      <c r="F2661" s="107" t="s">
        <v>9831</v>
      </c>
      <c r="G2661" s="116" t="str">
        <f>HYPERLINK("http://nsgreg.nga.mil/genc/view?v=202201&amp;end_month=3&amp;end_day=31&amp;end_year=2014","Safi")</f>
        <v>Safi</v>
      </c>
      <c r="H2661" s="87" t="str">
        <f>HYPERLINK("http://api.nsgreg.nga.mil/geo-division/GENC/6/ed2/MT-47","MT-47")</f>
        <v>MT-47</v>
      </c>
    </row>
    <row r="2662" spans="1:8" x14ac:dyDescent="0.2">
      <c r="A2662" s="157"/>
      <c r="B2662" s="31" t="s">
        <v>9832</v>
      </c>
      <c r="C2662" s="31" t="s">
        <v>9833</v>
      </c>
      <c r="D2662" s="31" t="s">
        <v>9693</v>
      </c>
      <c r="E2662" s="61" t="b">
        <v>1</v>
      </c>
      <c r="F2662" s="107" t="s">
        <v>9834</v>
      </c>
      <c r="G2662" s="116" t="str">
        <f>HYPERLINK("http://nsgreg.nga.mil/genc/view?v=202202&amp;end_month=3&amp;end_day=31&amp;end_year=2014","San Ġiljan")</f>
        <v>San Ġiljan</v>
      </c>
      <c r="H2662" s="87" t="str">
        <f>HYPERLINK("http://api.nsgreg.nga.mil/geo-division/GENC/6/ed2/MT-48","MT-48")</f>
        <v>MT-48</v>
      </c>
    </row>
    <row r="2663" spans="1:8" x14ac:dyDescent="0.2">
      <c r="A2663" s="157"/>
      <c r="B2663" s="31" t="s">
        <v>9835</v>
      </c>
      <c r="C2663" s="31" t="s">
        <v>9836</v>
      </c>
      <c r="D2663" s="31" t="s">
        <v>9693</v>
      </c>
      <c r="E2663" s="61" t="b">
        <v>1</v>
      </c>
      <c r="F2663" s="107" t="s">
        <v>9837</v>
      </c>
      <c r="G2663" s="116" t="str">
        <f>HYPERLINK("http://nsgreg.nga.mil/genc/view?v=202203&amp;end_month=3&amp;end_day=31&amp;end_year=2014","San Ġwann")</f>
        <v>San Ġwann</v>
      </c>
      <c r="H2663" s="87" t="str">
        <f>HYPERLINK("http://api.nsgreg.nga.mil/geo-division/GENC/6/ed2/MT-49","MT-49")</f>
        <v>MT-49</v>
      </c>
    </row>
    <row r="2664" spans="1:8" x14ac:dyDescent="0.2">
      <c r="A2664" s="157"/>
      <c r="B2664" s="31" t="s">
        <v>9838</v>
      </c>
      <c r="C2664" s="31" t="s">
        <v>9839</v>
      </c>
      <c r="D2664" s="31" t="s">
        <v>9693</v>
      </c>
      <c r="E2664" s="61" t="b">
        <v>1</v>
      </c>
      <c r="F2664" s="107" t="s">
        <v>9840</v>
      </c>
      <c r="G2664" s="116" t="str">
        <f>HYPERLINK("http://nsgreg.nga.mil/genc/view?v=202204&amp;end_month=3&amp;end_day=31&amp;end_year=2014","San Lawrenz")</f>
        <v>San Lawrenz</v>
      </c>
      <c r="H2664" s="87" t="str">
        <f>HYPERLINK("http://api.nsgreg.nga.mil/geo-division/GENC/6/ed2/MT-50","MT-50")</f>
        <v>MT-50</v>
      </c>
    </row>
    <row r="2665" spans="1:8" x14ac:dyDescent="0.2">
      <c r="A2665" s="157"/>
      <c r="B2665" s="31" t="s">
        <v>9841</v>
      </c>
      <c r="C2665" s="31" t="s">
        <v>9842</v>
      </c>
      <c r="D2665" s="31" t="s">
        <v>9693</v>
      </c>
      <c r="E2665" s="61" t="b">
        <v>1</v>
      </c>
      <c r="F2665" s="107" t="s">
        <v>9843</v>
      </c>
      <c r="G2665" s="116" t="str">
        <f>HYPERLINK("http://nsgreg.nga.mil/genc/view?v=202206&amp;end_month=3&amp;end_day=31&amp;end_year=2014","Sannat")</f>
        <v>Sannat</v>
      </c>
      <c r="H2665" s="87" t="str">
        <f>HYPERLINK("http://api.nsgreg.nga.mil/geo-division/GENC/6/ed2/MT-52","MT-52")</f>
        <v>MT-52</v>
      </c>
    </row>
    <row r="2666" spans="1:8" x14ac:dyDescent="0.2">
      <c r="A2666" s="157"/>
      <c r="B2666" s="31" t="s">
        <v>9844</v>
      </c>
      <c r="C2666" s="31" t="s">
        <v>9845</v>
      </c>
      <c r="D2666" s="31" t="s">
        <v>9693</v>
      </c>
      <c r="E2666" s="61" t="b">
        <v>1</v>
      </c>
      <c r="F2666" s="107" t="s">
        <v>9846</v>
      </c>
      <c r="G2666" s="116" t="str">
        <f>HYPERLINK("http://nsgreg.nga.mil/genc/view?v=202205&amp;end_month=3&amp;end_day=31&amp;end_year=2014","San Pawl il-Baħar")</f>
        <v>San Pawl il-Baħar</v>
      </c>
      <c r="H2666" s="87" t="str">
        <f>HYPERLINK("http://api.nsgreg.nga.mil/geo-division/GENC/6/ed2/MT-51","MT-51")</f>
        <v>MT-51</v>
      </c>
    </row>
    <row r="2667" spans="1:8" x14ac:dyDescent="0.2">
      <c r="A2667" s="157"/>
      <c r="B2667" s="31" t="s">
        <v>9847</v>
      </c>
      <c r="C2667" s="31" t="s">
        <v>9848</v>
      </c>
      <c r="D2667" s="31" t="s">
        <v>9693</v>
      </c>
      <c r="E2667" s="61" t="b">
        <v>1</v>
      </c>
      <c r="F2667" s="107" t="s">
        <v>9849</v>
      </c>
      <c r="G2667" s="116" t="str">
        <f>HYPERLINK("http://nsgreg.nga.mil/genc/view?v=202207&amp;end_month=3&amp;end_day=31&amp;end_year=2014","Santa Luċija")</f>
        <v>Santa Luċija</v>
      </c>
      <c r="H2667" s="87" t="str">
        <f>HYPERLINK("http://api.nsgreg.nga.mil/geo-division/GENC/6/ed2/MT-53","MT-53")</f>
        <v>MT-53</v>
      </c>
    </row>
    <row r="2668" spans="1:8" x14ac:dyDescent="0.2">
      <c r="A2668" s="157"/>
      <c r="B2668" s="31" t="s">
        <v>9850</v>
      </c>
      <c r="C2668" s="31" t="s">
        <v>9851</v>
      </c>
      <c r="D2668" s="31" t="s">
        <v>9693</v>
      </c>
      <c r="E2668" s="61" t="b">
        <v>1</v>
      </c>
      <c r="F2668" s="107" t="s">
        <v>9852</v>
      </c>
      <c r="G2668" s="116" t="str">
        <f>HYPERLINK("http://nsgreg.nga.mil/genc/view?v=202208&amp;end_month=3&amp;end_day=31&amp;end_year=2014","Santa Venera")</f>
        <v>Santa Venera</v>
      </c>
      <c r="H2668" s="87" t="str">
        <f>HYPERLINK("http://api.nsgreg.nga.mil/geo-division/GENC/6/ed2/MT-54","MT-54")</f>
        <v>MT-54</v>
      </c>
    </row>
    <row r="2669" spans="1:8" x14ac:dyDescent="0.2">
      <c r="A2669" s="157"/>
      <c r="B2669" s="31" t="s">
        <v>9853</v>
      </c>
      <c r="C2669" s="31" t="s">
        <v>9854</v>
      </c>
      <c r="D2669" s="31" t="s">
        <v>9693</v>
      </c>
      <c r="E2669" s="61" t="b">
        <v>1</v>
      </c>
      <c r="F2669" s="107" t="s">
        <v>9855</v>
      </c>
      <c r="G2669" s="116" t="str">
        <f>HYPERLINK("http://nsgreg.nga.mil/genc/view?v=202209&amp;end_month=3&amp;end_day=31&amp;end_year=2014","Siġġiewi")</f>
        <v>Siġġiewi</v>
      </c>
      <c r="H2669" s="87" t="str">
        <f>HYPERLINK("http://api.nsgreg.nga.mil/geo-division/GENC/6/ed2/MT-55","MT-55")</f>
        <v>MT-55</v>
      </c>
    </row>
    <row r="2670" spans="1:8" x14ac:dyDescent="0.2">
      <c r="A2670" s="157"/>
      <c r="B2670" s="31" t="s">
        <v>9856</v>
      </c>
      <c r="C2670" s="31" t="s">
        <v>9857</v>
      </c>
      <c r="D2670" s="31" t="s">
        <v>9693</v>
      </c>
      <c r="E2670" s="61" t="b">
        <v>1</v>
      </c>
      <c r="F2670" s="107" t="s">
        <v>9858</v>
      </c>
      <c r="G2670" s="116" t="str">
        <f>HYPERLINK("http://nsgreg.nga.mil/genc/view?v=202210&amp;end_month=3&amp;end_day=31&amp;end_year=2014","Sliema")</f>
        <v>Sliema</v>
      </c>
      <c r="H2670" s="87" t="str">
        <f>HYPERLINK("http://api.nsgreg.nga.mil/geo-division/GENC/6/ed2/MT-56","MT-56")</f>
        <v>MT-56</v>
      </c>
    </row>
    <row r="2671" spans="1:8" x14ac:dyDescent="0.2">
      <c r="A2671" s="157"/>
      <c r="B2671" s="31" t="s">
        <v>9859</v>
      </c>
      <c r="C2671" s="31" t="s">
        <v>9860</v>
      </c>
      <c r="D2671" s="31" t="s">
        <v>9693</v>
      </c>
      <c r="E2671" s="61" t="b">
        <v>1</v>
      </c>
      <c r="F2671" s="107" t="s">
        <v>9861</v>
      </c>
      <c r="G2671" s="116" t="str">
        <f>HYPERLINK("http://nsgreg.nga.mil/genc/view?v=202211&amp;end_month=3&amp;end_day=31&amp;end_year=2014","Swieqi")</f>
        <v>Swieqi</v>
      </c>
      <c r="H2671" s="87" t="str">
        <f>HYPERLINK("http://api.nsgreg.nga.mil/geo-division/GENC/6/ed2/MT-57","MT-57")</f>
        <v>MT-57</v>
      </c>
    </row>
    <row r="2672" spans="1:8" x14ac:dyDescent="0.2">
      <c r="A2672" s="157"/>
      <c r="B2672" s="31" t="s">
        <v>9862</v>
      </c>
      <c r="C2672" s="31" t="s">
        <v>9863</v>
      </c>
      <c r="D2672" s="31" t="s">
        <v>9693</v>
      </c>
      <c r="E2672" s="61" t="b">
        <v>1</v>
      </c>
      <c r="F2672" s="107" t="s">
        <v>9864</v>
      </c>
      <c r="G2672" s="116" t="str">
        <f>HYPERLINK("http://nsgreg.nga.mil/genc/view?v=202213&amp;end_month=3&amp;end_day=31&amp;end_year=2014","Tarxien")</f>
        <v>Tarxien</v>
      </c>
      <c r="H2672" s="87" t="str">
        <f>HYPERLINK("http://api.nsgreg.nga.mil/geo-division/GENC/6/ed2/MT-59","MT-59")</f>
        <v>MT-59</v>
      </c>
    </row>
    <row r="2673" spans="1:8" x14ac:dyDescent="0.2">
      <c r="A2673" s="157"/>
      <c r="B2673" s="31" t="s">
        <v>9865</v>
      </c>
      <c r="C2673" s="31" t="s">
        <v>9866</v>
      </c>
      <c r="D2673" s="31" t="s">
        <v>9693</v>
      </c>
      <c r="E2673" s="61" t="b">
        <v>1</v>
      </c>
      <c r="F2673" s="107" t="s">
        <v>9867</v>
      </c>
      <c r="G2673" s="116" t="str">
        <f>HYPERLINK("http://nsgreg.nga.mil/genc/view?v=202212&amp;end_month=3&amp;end_day=31&amp;end_year=2014","Ta’ Xbiex")</f>
        <v>Ta’ Xbiex</v>
      </c>
      <c r="H2673" s="87" t="str">
        <f>HYPERLINK("http://api.nsgreg.nga.mil/geo-division/GENC/6/ed2/MT-58","MT-58")</f>
        <v>MT-58</v>
      </c>
    </row>
    <row r="2674" spans="1:8" x14ac:dyDescent="0.2">
      <c r="A2674" s="157"/>
      <c r="B2674" s="31" t="s">
        <v>9868</v>
      </c>
      <c r="C2674" s="31" t="s">
        <v>9869</v>
      </c>
      <c r="D2674" s="31" t="s">
        <v>9693</v>
      </c>
      <c r="E2674" s="61" t="b">
        <v>1</v>
      </c>
      <c r="F2674" s="107" t="s">
        <v>9870</v>
      </c>
      <c r="G2674" s="116" t="str">
        <f>HYPERLINK("http://nsgreg.nga.mil/genc/view?v=202214&amp;end_month=3&amp;end_day=31&amp;end_year=2014","Valletta")</f>
        <v>Valletta</v>
      </c>
      <c r="H2674" s="87" t="str">
        <f>HYPERLINK("http://api.nsgreg.nga.mil/geo-division/GENC/6/ed2/MT-60","MT-60")</f>
        <v>MT-60</v>
      </c>
    </row>
    <row r="2675" spans="1:8" x14ac:dyDescent="0.2">
      <c r="A2675" s="157"/>
      <c r="B2675" s="31" t="s">
        <v>9871</v>
      </c>
      <c r="C2675" s="31" t="s">
        <v>9872</v>
      </c>
      <c r="D2675" s="31" t="s">
        <v>9693</v>
      </c>
      <c r="E2675" s="61" t="b">
        <v>1</v>
      </c>
      <c r="F2675" s="107" t="s">
        <v>9873</v>
      </c>
      <c r="G2675" s="116" t="str">
        <f>HYPERLINK("http://nsgreg.nga.mil/genc/view?v=202215&amp;end_month=3&amp;end_day=31&amp;end_year=2014","Xagħra")</f>
        <v>Xagħra</v>
      </c>
      <c r="H2675" s="87" t="str">
        <f>HYPERLINK("http://api.nsgreg.nga.mil/geo-division/GENC/6/ed2/MT-61","MT-61")</f>
        <v>MT-61</v>
      </c>
    </row>
    <row r="2676" spans="1:8" x14ac:dyDescent="0.2">
      <c r="A2676" s="157"/>
      <c r="B2676" s="31" t="s">
        <v>9874</v>
      </c>
      <c r="C2676" s="31" t="s">
        <v>9875</v>
      </c>
      <c r="D2676" s="31" t="s">
        <v>9693</v>
      </c>
      <c r="E2676" s="61" t="b">
        <v>1</v>
      </c>
      <c r="F2676" s="107" t="s">
        <v>9876</v>
      </c>
      <c r="G2676" s="116" t="str">
        <f>HYPERLINK("http://nsgreg.nga.mil/genc/view?v=202216&amp;end_month=3&amp;end_day=31&amp;end_year=2014","Xewkija")</f>
        <v>Xewkija</v>
      </c>
      <c r="H2676" s="87" t="str">
        <f>HYPERLINK("http://api.nsgreg.nga.mil/geo-division/GENC/6/ed2/MT-62","MT-62")</f>
        <v>MT-62</v>
      </c>
    </row>
    <row r="2677" spans="1:8" x14ac:dyDescent="0.2">
      <c r="A2677" s="157"/>
      <c r="B2677" s="31" t="s">
        <v>9877</v>
      </c>
      <c r="C2677" s="31" t="s">
        <v>9878</v>
      </c>
      <c r="D2677" s="31" t="s">
        <v>9693</v>
      </c>
      <c r="E2677" s="61" t="b">
        <v>1</v>
      </c>
      <c r="F2677" s="107" t="s">
        <v>9879</v>
      </c>
      <c r="G2677" s="116" t="str">
        <f>HYPERLINK("http://nsgreg.nga.mil/genc/view?v=202217&amp;end_month=3&amp;end_day=31&amp;end_year=2014","Xgħajra")</f>
        <v>Xgħajra</v>
      </c>
      <c r="H2677" s="87" t="str">
        <f>HYPERLINK("http://api.nsgreg.nga.mil/geo-division/GENC/6/ed2/MT-63","MT-63")</f>
        <v>MT-63</v>
      </c>
    </row>
    <row r="2678" spans="1:8" x14ac:dyDescent="0.2">
      <c r="A2678" s="157"/>
      <c r="B2678" s="31" t="s">
        <v>9880</v>
      </c>
      <c r="C2678" s="31" t="s">
        <v>9881</v>
      </c>
      <c r="D2678" s="31" t="s">
        <v>9693</v>
      </c>
      <c r="E2678" s="61" t="b">
        <v>1</v>
      </c>
      <c r="F2678" s="107" t="s">
        <v>9882</v>
      </c>
      <c r="G2678" s="116" t="str">
        <f>HYPERLINK("http://nsgreg.nga.mil/genc/view?v=202218&amp;end_month=3&amp;end_day=31&amp;end_year=2014","Żabbar")</f>
        <v>Żabbar</v>
      </c>
      <c r="H2678" s="87" t="str">
        <f>HYPERLINK("http://api.nsgreg.nga.mil/geo-division/GENC/6/ed2/MT-64","MT-64")</f>
        <v>MT-64</v>
      </c>
    </row>
    <row r="2679" spans="1:8" x14ac:dyDescent="0.2">
      <c r="A2679" s="157"/>
      <c r="B2679" s="31" t="s">
        <v>9883</v>
      </c>
      <c r="C2679" s="31" t="s">
        <v>9884</v>
      </c>
      <c r="D2679" s="31" t="s">
        <v>9693</v>
      </c>
      <c r="E2679" s="61" t="b">
        <v>1</v>
      </c>
      <c r="F2679" s="107" t="s">
        <v>9885</v>
      </c>
      <c r="G2679" s="116" t="str">
        <f>HYPERLINK("http://nsgreg.nga.mil/genc/view?v=202220&amp;end_month=3&amp;end_day=31&amp;end_year=2014","Żebbuġ")</f>
        <v>Żebbuġ</v>
      </c>
      <c r="H2679" s="87" t="str">
        <f>HYPERLINK("http://api.nsgreg.nga.mil/geo-division/GENC/6/ed2/MT-66","MT-66")</f>
        <v>MT-66</v>
      </c>
    </row>
    <row r="2680" spans="1:8" x14ac:dyDescent="0.2">
      <c r="A2680" s="157"/>
      <c r="B2680" s="31" t="s">
        <v>9886</v>
      </c>
      <c r="C2680" s="31" t="s">
        <v>9887</v>
      </c>
      <c r="D2680" s="31" t="s">
        <v>9693</v>
      </c>
      <c r="E2680" s="61" t="b">
        <v>1</v>
      </c>
      <c r="F2680" s="107" t="s">
        <v>9888</v>
      </c>
      <c r="G2680" s="116" t="str">
        <f>HYPERLINK("http://nsgreg.nga.mil/genc/view?v=202219&amp;end_month=3&amp;end_day=31&amp;end_year=2014","Żebbuġ (Ghawdex)")</f>
        <v>Żebbuġ (Ghawdex)</v>
      </c>
      <c r="H2680" s="87" t="str">
        <f>HYPERLINK("http://api.nsgreg.nga.mil/geo-division/GENC/6/ed2/MT-65","MT-65")</f>
        <v>MT-65</v>
      </c>
    </row>
    <row r="2681" spans="1:8" x14ac:dyDescent="0.2">
      <c r="A2681" s="157"/>
      <c r="B2681" s="31" t="s">
        <v>9889</v>
      </c>
      <c r="C2681" s="31" t="s">
        <v>9890</v>
      </c>
      <c r="D2681" s="31" t="s">
        <v>9693</v>
      </c>
      <c r="E2681" s="61" t="b">
        <v>1</v>
      </c>
      <c r="F2681" s="107" t="s">
        <v>9891</v>
      </c>
      <c r="G2681" s="116" t="str">
        <f>HYPERLINK("http://nsgreg.nga.mil/genc/view?v=202221&amp;end_month=3&amp;end_day=31&amp;end_year=2014","Żejtun")</f>
        <v>Żejtun</v>
      </c>
      <c r="H2681" s="87" t="str">
        <f>HYPERLINK("http://api.nsgreg.nga.mil/geo-division/GENC/6/ed2/MT-67","MT-67")</f>
        <v>MT-67</v>
      </c>
    </row>
    <row r="2682" spans="1:8" x14ac:dyDescent="0.2">
      <c r="A2682" s="158"/>
      <c r="B2682" s="58" t="s">
        <v>9892</v>
      </c>
      <c r="C2682" s="58" t="s">
        <v>9893</v>
      </c>
      <c r="D2682" s="58" t="s">
        <v>9693</v>
      </c>
      <c r="E2682" s="62" t="b">
        <v>1</v>
      </c>
      <c r="F2682" s="111" t="s">
        <v>9894</v>
      </c>
      <c r="G2682" s="117" t="str">
        <f>HYPERLINK("http://nsgreg.nga.mil/genc/view?v=202222&amp;end_month=3&amp;end_day=31&amp;end_year=2014","Żurrieq")</f>
        <v>Żurrieq</v>
      </c>
      <c r="H2682" s="89" t="str">
        <f>HYPERLINK("http://api.nsgreg.nga.mil/geo-division/GENC/6/ed2/MT-68","MT-68")</f>
        <v>MT-68</v>
      </c>
    </row>
    <row r="2683" spans="1:8" x14ac:dyDescent="0.2">
      <c r="A2683" s="156" t="str">
        <f>HYPERLINK("[#]Geopolitical_Entities!A166:I166","MARSHALL ISLANDS")</f>
        <v>MARSHALL ISLANDS</v>
      </c>
      <c r="B2683" s="52" t="s">
        <v>9895</v>
      </c>
      <c r="C2683" s="52" t="s">
        <v>9896</v>
      </c>
      <c r="D2683" s="52" t="s">
        <v>3254</v>
      </c>
      <c r="E2683" s="60" t="b">
        <v>1</v>
      </c>
      <c r="F2683" s="110" t="s">
        <v>9897</v>
      </c>
      <c r="G2683" s="118" t="str">
        <f>HYPERLINK("http://nsgreg.nga.mil/genc/view?v=202103&amp;end_month=3&amp;end_day=31&amp;end_year=2014","Ailinglaplap")</f>
        <v>Ailinglaplap</v>
      </c>
      <c r="H2683" s="91" t="str">
        <f>HYPERLINK("http://api.nsgreg.nga.mil/geo-division/GENC/6/ed2/MH-ALL","MH-ALL")</f>
        <v>MH-ALL</v>
      </c>
    </row>
    <row r="2684" spans="1:8" x14ac:dyDescent="0.2">
      <c r="A2684" s="157"/>
      <c r="B2684" s="31" t="s">
        <v>9898</v>
      </c>
      <c r="C2684" s="31" t="s">
        <v>9899</v>
      </c>
      <c r="D2684" s="31" t="s">
        <v>3254</v>
      </c>
      <c r="E2684" s="61" t="b">
        <v>1</v>
      </c>
      <c r="F2684" s="107" t="s">
        <v>9900</v>
      </c>
      <c r="G2684" s="116" t="str">
        <f>HYPERLINK("http://nsgreg.nga.mil/genc/view?v=202102&amp;end_month=3&amp;end_day=31&amp;end_year=2014","Ailuk")</f>
        <v>Ailuk</v>
      </c>
      <c r="H2684" s="87" t="str">
        <f>HYPERLINK("http://api.nsgreg.nga.mil/geo-division/GENC/6/ed2/MH-ALK","MH-ALK")</f>
        <v>MH-ALK</v>
      </c>
    </row>
    <row r="2685" spans="1:8" x14ac:dyDescent="0.2">
      <c r="A2685" s="157"/>
      <c r="B2685" s="31" t="s">
        <v>9901</v>
      </c>
      <c r="C2685" s="31" t="s">
        <v>9902</v>
      </c>
      <c r="D2685" s="31" t="s">
        <v>3254</v>
      </c>
      <c r="E2685" s="61" t="b">
        <v>1</v>
      </c>
      <c r="F2685" s="107" t="s">
        <v>9903</v>
      </c>
      <c r="G2685" s="116" t="str">
        <f>HYPERLINK("http://nsgreg.nga.mil/genc/view?v=202104&amp;end_month=3&amp;end_day=31&amp;end_year=2014","Arno")</f>
        <v>Arno</v>
      </c>
      <c r="H2685" s="87" t="str">
        <f>HYPERLINK("http://api.nsgreg.nga.mil/geo-division/GENC/6/ed2/MH-ARN","MH-ARN")</f>
        <v>MH-ARN</v>
      </c>
    </row>
    <row r="2686" spans="1:8" x14ac:dyDescent="0.2">
      <c r="A2686" s="157"/>
      <c r="B2686" s="31" t="s">
        <v>9904</v>
      </c>
      <c r="C2686" s="31" t="s">
        <v>9905</v>
      </c>
      <c r="D2686" s="31" t="s">
        <v>3254</v>
      </c>
      <c r="E2686" s="61" t="b">
        <v>1</v>
      </c>
      <c r="F2686" s="107" t="s">
        <v>9906</v>
      </c>
      <c r="G2686" s="116" t="str">
        <f>HYPERLINK("http://nsgreg.nga.mil/genc/view?v=202105&amp;end_month=3&amp;end_day=31&amp;end_year=2014","Aur")</f>
        <v>Aur</v>
      </c>
      <c r="H2686" s="87" t="str">
        <f>HYPERLINK("http://api.nsgreg.nga.mil/geo-division/GENC/6/ed2/MH-AUR","MH-AUR")</f>
        <v>MH-AUR</v>
      </c>
    </row>
    <row r="2687" spans="1:8" x14ac:dyDescent="0.2">
      <c r="A2687" s="157"/>
      <c r="B2687" s="31" t="s">
        <v>9907</v>
      </c>
      <c r="C2687" s="31" t="s">
        <v>9908</v>
      </c>
      <c r="D2687" s="31" t="s">
        <v>3254</v>
      </c>
      <c r="E2687" s="61" t="b">
        <v>1</v>
      </c>
      <c r="F2687" s="107" t="s">
        <v>9909</v>
      </c>
      <c r="G2687" s="116" t="str">
        <f>HYPERLINK("http://nsgreg.nga.mil/genc/view?v=202110&amp;end_month=3&amp;end_day=31&amp;end_year=2014","Bikini &amp; Kili")</f>
        <v>Bikini &amp; Kili</v>
      </c>
      <c r="H2687" s="87" t="str">
        <f>HYPERLINK("http://api.nsgreg.nga.mil/geo-division/GENC/6/ed2/MH-KIL","MH-KIL")</f>
        <v>MH-KIL</v>
      </c>
    </row>
    <row r="2688" spans="1:8" x14ac:dyDescent="0.2">
      <c r="A2688" s="157"/>
      <c r="B2688" s="31" t="s">
        <v>9910</v>
      </c>
      <c r="C2688" s="31" t="s">
        <v>9911</v>
      </c>
      <c r="D2688" s="31" t="s">
        <v>3254</v>
      </c>
      <c r="E2688" s="61" t="b">
        <v>1</v>
      </c>
      <c r="F2688" s="107" t="s">
        <v>9912</v>
      </c>
      <c r="G2688" s="116" t="str">
        <f>HYPERLINK("http://nsgreg.nga.mil/genc/view?v=202106&amp;end_month=3&amp;end_day=31&amp;end_year=2014","Ebon")</f>
        <v>Ebon</v>
      </c>
      <c r="H2688" s="87" t="str">
        <f>HYPERLINK("http://api.nsgreg.nga.mil/geo-division/GENC/6/ed2/MH-EBO","MH-EBO")</f>
        <v>MH-EBO</v>
      </c>
    </row>
    <row r="2689" spans="1:8" x14ac:dyDescent="0.2">
      <c r="A2689" s="157"/>
      <c r="B2689" s="31" t="s">
        <v>9913</v>
      </c>
      <c r="C2689" s="31" t="s">
        <v>9914</v>
      </c>
      <c r="D2689" s="31" t="s">
        <v>3254</v>
      </c>
      <c r="E2689" s="61" t="b">
        <v>1</v>
      </c>
      <c r="F2689" s="107" t="s">
        <v>9915</v>
      </c>
      <c r="G2689" s="116" t="str">
        <f>HYPERLINK("http://nsgreg.nga.mil/genc/view?v=202107&amp;end_month=3&amp;end_day=31&amp;end_year=2014","Enewtak &amp; Ujelang")</f>
        <v>Enewtak &amp; Ujelang</v>
      </c>
      <c r="H2689" s="87" t="str">
        <f>HYPERLINK("http://api.nsgreg.nga.mil/geo-division/GENC/6/ed2/MH-ENI","MH-ENI")</f>
        <v>MH-ENI</v>
      </c>
    </row>
    <row r="2690" spans="1:8" x14ac:dyDescent="0.2">
      <c r="A2690" s="157"/>
      <c r="B2690" s="31" t="s">
        <v>9916</v>
      </c>
      <c r="C2690" s="31" t="s">
        <v>9917</v>
      </c>
      <c r="D2690" s="31" t="s">
        <v>3254</v>
      </c>
      <c r="E2690" s="61" t="b">
        <v>1</v>
      </c>
      <c r="F2690" s="107" t="s">
        <v>9918</v>
      </c>
      <c r="G2690" s="116" t="str">
        <f>HYPERLINK("http://nsgreg.nga.mil/genc/view?v=202108&amp;end_month=3&amp;end_day=31&amp;end_year=2014","Jabat")</f>
        <v>Jabat</v>
      </c>
      <c r="H2690" s="87" t="str">
        <f>HYPERLINK("http://api.nsgreg.nga.mil/geo-division/GENC/6/ed2/MH-JAB","MH-JAB")</f>
        <v>MH-JAB</v>
      </c>
    </row>
    <row r="2691" spans="1:8" x14ac:dyDescent="0.2">
      <c r="A2691" s="157"/>
      <c r="B2691" s="31" t="s">
        <v>9919</v>
      </c>
      <c r="C2691" s="31" t="s">
        <v>9920</v>
      </c>
      <c r="D2691" s="31" t="s">
        <v>3254</v>
      </c>
      <c r="E2691" s="61" t="b">
        <v>1</v>
      </c>
      <c r="F2691" s="107" t="s">
        <v>9921</v>
      </c>
      <c r="G2691" s="116" t="str">
        <f>HYPERLINK("http://nsgreg.nga.mil/genc/view?v=202109&amp;end_month=3&amp;end_day=31&amp;end_year=2014","Jaluit")</f>
        <v>Jaluit</v>
      </c>
      <c r="H2691" s="87" t="str">
        <f>HYPERLINK("http://api.nsgreg.nga.mil/geo-division/GENC/6/ed2/MH-JAL","MH-JAL")</f>
        <v>MH-JAL</v>
      </c>
    </row>
    <row r="2692" spans="1:8" x14ac:dyDescent="0.2">
      <c r="A2692" s="157"/>
      <c r="B2692" s="31" t="s">
        <v>9922</v>
      </c>
      <c r="C2692" s="31" t="s">
        <v>9923</v>
      </c>
      <c r="D2692" s="31" t="s">
        <v>3254</v>
      </c>
      <c r="E2692" s="61" t="b">
        <v>1</v>
      </c>
      <c r="F2692" s="107" t="s">
        <v>9924</v>
      </c>
      <c r="G2692" s="116" t="str">
        <f>HYPERLINK("http://nsgreg.nga.mil/genc/view?v=202111&amp;end_month=3&amp;end_day=31&amp;end_year=2014","Kwajalein")</f>
        <v>Kwajalein</v>
      </c>
      <c r="H2692" s="87" t="str">
        <f>HYPERLINK("http://api.nsgreg.nga.mil/geo-division/GENC/6/ed2/MH-KWA","MH-KWA")</f>
        <v>MH-KWA</v>
      </c>
    </row>
    <row r="2693" spans="1:8" x14ac:dyDescent="0.2">
      <c r="A2693" s="157"/>
      <c r="B2693" s="31" t="s">
        <v>9925</v>
      </c>
      <c r="C2693" s="31" t="s">
        <v>9926</v>
      </c>
      <c r="D2693" s="31" t="s">
        <v>3254</v>
      </c>
      <c r="E2693" s="61" t="b">
        <v>1</v>
      </c>
      <c r="F2693" s="107" t="s">
        <v>9927</v>
      </c>
      <c r="G2693" s="116" t="str">
        <f>HYPERLINK("http://nsgreg.nga.mil/genc/view?v=202113&amp;end_month=3&amp;end_day=31&amp;end_year=2014","Lae")</f>
        <v>Lae</v>
      </c>
      <c r="H2693" s="87" t="str">
        <f>HYPERLINK("http://api.nsgreg.nga.mil/geo-division/GENC/6/ed2/MH-LAE","MH-LAE")</f>
        <v>MH-LAE</v>
      </c>
    </row>
    <row r="2694" spans="1:8" x14ac:dyDescent="0.2">
      <c r="A2694" s="157"/>
      <c r="B2694" s="31" t="s">
        <v>9928</v>
      </c>
      <c r="C2694" s="31" t="s">
        <v>9929</v>
      </c>
      <c r="D2694" s="31" t="s">
        <v>3254</v>
      </c>
      <c r="E2694" s="61" t="b">
        <v>1</v>
      </c>
      <c r="F2694" s="107" t="s">
        <v>9930</v>
      </c>
      <c r="G2694" s="116" t="str">
        <f>HYPERLINK("http://nsgreg.nga.mil/genc/view?v=202114&amp;end_month=3&amp;end_day=31&amp;end_year=2014","Lib")</f>
        <v>Lib</v>
      </c>
      <c r="H2694" s="87" t="str">
        <f>HYPERLINK("http://api.nsgreg.nga.mil/geo-division/GENC/6/ed2/MH-LIB","MH-LIB")</f>
        <v>MH-LIB</v>
      </c>
    </row>
    <row r="2695" spans="1:8" x14ac:dyDescent="0.2">
      <c r="A2695" s="157"/>
      <c r="B2695" s="31" t="s">
        <v>9931</v>
      </c>
      <c r="C2695" s="31" t="s">
        <v>9932</v>
      </c>
      <c r="D2695" s="31" t="s">
        <v>3254</v>
      </c>
      <c r="E2695" s="61" t="b">
        <v>1</v>
      </c>
      <c r="F2695" s="107" t="s">
        <v>9933</v>
      </c>
      <c r="G2695" s="116" t="str">
        <f>HYPERLINK("http://nsgreg.nga.mil/genc/view?v=202115&amp;end_month=3&amp;end_day=31&amp;end_year=2014","Likiep")</f>
        <v>Likiep</v>
      </c>
      <c r="H2695" s="87" t="str">
        <f>HYPERLINK("http://api.nsgreg.nga.mil/geo-division/GENC/6/ed2/MH-LIK","MH-LIK")</f>
        <v>MH-LIK</v>
      </c>
    </row>
    <row r="2696" spans="1:8" x14ac:dyDescent="0.2">
      <c r="A2696" s="157"/>
      <c r="B2696" s="31" t="s">
        <v>9934</v>
      </c>
      <c r="C2696" s="31" t="s">
        <v>9935</v>
      </c>
      <c r="D2696" s="31" t="s">
        <v>3254</v>
      </c>
      <c r="E2696" s="61" t="b">
        <v>1</v>
      </c>
      <c r="F2696" s="107" t="s">
        <v>9936</v>
      </c>
      <c r="G2696" s="116" t="str">
        <f>HYPERLINK("http://nsgreg.nga.mil/genc/view?v=202116&amp;end_month=3&amp;end_day=31&amp;end_year=2014","Majuro")</f>
        <v>Majuro</v>
      </c>
      <c r="H2696" s="87" t="str">
        <f>HYPERLINK("http://api.nsgreg.nga.mil/geo-division/GENC/6/ed2/MH-MAJ","MH-MAJ")</f>
        <v>MH-MAJ</v>
      </c>
    </row>
    <row r="2697" spans="1:8" x14ac:dyDescent="0.2">
      <c r="A2697" s="157"/>
      <c r="B2697" s="31" t="s">
        <v>9937</v>
      </c>
      <c r="C2697" s="31" t="s">
        <v>9938</v>
      </c>
      <c r="D2697" s="31" t="s">
        <v>3254</v>
      </c>
      <c r="E2697" s="61" t="b">
        <v>1</v>
      </c>
      <c r="F2697" s="107" t="s">
        <v>9939</v>
      </c>
      <c r="G2697" s="116" t="str">
        <f>HYPERLINK("http://nsgreg.nga.mil/genc/view?v=202117&amp;end_month=3&amp;end_day=31&amp;end_year=2014","Maloelap")</f>
        <v>Maloelap</v>
      </c>
      <c r="H2697" s="87" t="str">
        <f>HYPERLINK("http://api.nsgreg.nga.mil/geo-division/GENC/6/ed2/MH-MAL","MH-MAL")</f>
        <v>MH-MAL</v>
      </c>
    </row>
    <row r="2698" spans="1:8" x14ac:dyDescent="0.2">
      <c r="A2698" s="157"/>
      <c r="B2698" s="31" t="s">
        <v>9940</v>
      </c>
      <c r="C2698" s="31" t="s">
        <v>9941</v>
      </c>
      <c r="D2698" s="31" t="s">
        <v>3254</v>
      </c>
      <c r="E2698" s="61" t="b">
        <v>1</v>
      </c>
      <c r="F2698" s="107" t="s">
        <v>9942</v>
      </c>
      <c r="G2698" s="116" t="str">
        <f>HYPERLINK("http://nsgreg.nga.mil/genc/view?v=202118&amp;end_month=3&amp;end_day=31&amp;end_year=2014","Mejit")</f>
        <v>Mejit</v>
      </c>
      <c r="H2698" s="87" t="str">
        <f>HYPERLINK("http://api.nsgreg.nga.mil/geo-division/GENC/6/ed2/MH-MEJ","MH-MEJ")</f>
        <v>MH-MEJ</v>
      </c>
    </row>
    <row r="2699" spans="1:8" x14ac:dyDescent="0.2">
      <c r="A2699" s="157"/>
      <c r="B2699" s="31" t="s">
        <v>9943</v>
      </c>
      <c r="C2699" s="31" t="s">
        <v>9944</v>
      </c>
      <c r="D2699" s="31" t="s">
        <v>3254</v>
      </c>
      <c r="E2699" s="61" t="b">
        <v>1</v>
      </c>
      <c r="F2699" s="107" t="s">
        <v>9945</v>
      </c>
      <c r="G2699" s="116" t="str">
        <f>HYPERLINK("http://nsgreg.nga.mil/genc/view?v=202119&amp;end_month=3&amp;end_day=31&amp;end_year=2014","Mili")</f>
        <v>Mili</v>
      </c>
      <c r="H2699" s="87" t="str">
        <f>HYPERLINK("http://api.nsgreg.nga.mil/geo-division/GENC/6/ed2/MH-MIL","MH-MIL")</f>
        <v>MH-MIL</v>
      </c>
    </row>
    <row r="2700" spans="1:8" x14ac:dyDescent="0.2">
      <c r="A2700" s="157"/>
      <c r="B2700" s="31" t="s">
        <v>9946</v>
      </c>
      <c r="C2700" s="31" t="s">
        <v>9947</v>
      </c>
      <c r="D2700" s="31" t="s">
        <v>3254</v>
      </c>
      <c r="E2700" s="61" t="b">
        <v>1</v>
      </c>
      <c r="F2700" s="107" t="s">
        <v>9948</v>
      </c>
      <c r="G2700" s="116" t="str">
        <f>HYPERLINK("http://nsgreg.nga.mil/genc/view?v=202120&amp;end_month=3&amp;end_day=31&amp;end_year=2014","Namdrik")</f>
        <v>Namdrik</v>
      </c>
      <c r="H2700" s="87" t="str">
        <f>HYPERLINK("http://api.nsgreg.nga.mil/geo-division/GENC/6/ed2/MH-NMK","MH-NMK")</f>
        <v>MH-NMK</v>
      </c>
    </row>
    <row r="2701" spans="1:8" x14ac:dyDescent="0.2">
      <c r="A2701" s="157"/>
      <c r="B2701" s="31" t="s">
        <v>9949</v>
      </c>
      <c r="C2701" s="31" t="s">
        <v>9950</v>
      </c>
      <c r="D2701" s="31" t="s">
        <v>3254</v>
      </c>
      <c r="E2701" s="61" t="b">
        <v>1</v>
      </c>
      <c r="F2701" s="107" t="s">
        <v>9951</v>
      </c>
      <c r="G2701" s="116" t="str">
        <f>HYPERLINK("http://nsgreg.nga.mil/genc/view?v=202121&amp;end_month=3&amp;end_day=31&amp;end_year=2014","Namu")</f>
        <v>Namu</v>
      </c>
      <c r="H2701" s="87" t="str">
        <f>HYPERLINK("http://api.nsgreg.nga.mil/geo-division/GENC/6/ed2/MH-NMU","MH-NMU")</f>
        <v>MH-NMU</v>
      </c>
    </row>
    <row r="2702" spans="1:8" x14ac:dyDescent="0.2">
      <c r="A2702" s="157"/>
      <c r="B2702" s="31" t="s">
        <v>9952</v>
      </c>
      <c r="C2702" s="31" t="s">
        <v>9953</v>
      </c>
      <c r="D2702" s="98" t="s">
        <v>9954</v>
      </c>
      <c r="E2702" s="99" t="b">
        <v>0</v>
      </c>
      <c r="F2702" s="107" t="s">
        <v>9955</v>
      </c>
      <c r="G2702" s="116" t="str">
        <f>HYPERLINK("http://nsgreg.nga.mil/genc/view?v=202112&amp;end_month=3&amp;end_day=31&amp;end_year=2014","Ralik Chain")</f>
        <v>Ralik Chain</v>
      </c>
      <c r="H2702" s="87" t="str">
        <f>HYPERLINK("http://api.nsgreg.nga.mil/geo-division/GENC/6/ed2/MH-L","MH-L")</f>
        <v>MH-L</v>
      </c>
    </row>
    <row r="2703" spans="1:8" x14ac:dyDescent="0.2">
      <c r="A2703" s="157"/>
      <c r="B2703" s="31" t="s">
        <v>9956</v>
      </c>
      <c r="C2703" s="31" t="s">
        <v>9957</v>
      </c>
      <c r="D2703" s="98" t="s">
        <v>9954</v>
      </c>
      <c r="E2703" s="99" t="b">
        <v>0</v>
      </c>
      <c r="F2703" s="107" t="s">
        <v>9958</v>
      </c>
      <c r="G2703" s="116" t="str">
        <f>HYPERLINK("http://nsgreg.nga.mil/genc/view?v=202123&amp;end_month=3&amp;end_day=31&amp;end_year=2014","Ratak Chain")</f>
        <v>Ratak Chain</v>
      </c>
      <c r="H2703" s="87" t="str">
        <f>HYPERLINK("http://api.nsgreg.nga.mil/geo-division/GENC/6/ed2/MH-T","MH-T")</f>
        <v>MH-T</v>
      </c>
    </row>
    <row r="2704" spans="1:8" x14ac:dyDescent="0.2">
      <c r="A2704" s="157"/>
      <c r="B2704" s="31" t="s">
        <v>9959</v>
      </c>
      <c r="C2704" s="31" t="s">
        <v>9960</v>
      </c>
      <c r="D2704" s="31" t="s">
        <v>3254</v>
      </c>
      <c r="E2704" s="61" t="b">
        <v>1</v>
      </c>
      <c r="F2704" s="107" t="s">
        <v>9961</v>
      </c>
      <c r="G2704" s="116" t="str">
        <f>HYPERLINK("http://nsgreg.nga.mil/genc/view?v=202122&amp;end_month=3&amp;end_day=31&amp;end_year=2014","Rongelap")</f>
        <v>Rongelap</v>
      </c>
      <c r="H2704" s="87" t="str">
        <f>HYPERLINK("http://api.nsgreg.nga.mil/geo-division/GENC/6/ed2/MH-RON","MH-RON")</f>
        <v>MH-RON</v>
      </c>
    </row>
    <row r="2705" spans="1:8" x14ac:dyDescent="0.2">
      <c r="A2705" s="157"/>
      <c r="B2705" s="31" t="s">
        <v>9962</v>
      </c>
      <c r="C2705" s="31" t="s">
        <v>9963</v>
      </c>
      <c r="D2705" s="31" t="s">
        <v>3254</v>
      </c>
      <c r="E2705" s="61" t="b">
        <v>1</v>
      </c>
      <c r="F2705" s="107" t="s">
        <v>9964</v>
      </c>
      <c r="G2705" s="116" t="str">
        <f>HYPERLINK("http://nsgreg.nga.mil/genc/view?v=202124&amp;end_month=3&amp;end_day=31&amp;end_year=2014","Ujae")</f>
        <v>Ujae</v>
      </c>
      <c r="H2705" s="87" t="str">
        <f>HYPERLINK("http://api.nsgreg.nga.mil/geo-division/GENC/6/ed2/MH-UJA","MH-UJA")</f>
        <v>MH-UJA</v>
      </c>
    </row>
    <row r="2706" spans="1:8" x14ac:dyDescent="0.2">
      <c r="A2706" s="157"/>
      <c r="B2706" s="31" t="s">
        <v>9965</v>
      </c>
      <c r="C2706" s="31" t="s">
        <v>9966</v>
      </c>
      <c r="D2706" s="31" t="s">
        <v>3254</v>
      </c>
      <c r="E2706" s="61" t="b">
        <v>1</v>
      </c>
      <c r="F2706" s="107" t="s">
        <v>9967</v>
      </c>
      <c r="G2706" s="116" t="str">
        <f>HYPERLINK("http://nsgreg.nga.mil/genc/view?v=202125&amp;end_month=3&amp;end_day=31&amp;end_year=2014","Utrik")</f>
        <v>Utrik</v>
      </c>
      <c r="H2706" s="87" t="str">
        <f>HYPERLINK("http://api.nsgreg.nga.mil/geo-division/GENC/6/ed2/MH-UTI","MH-UTI")</f>
        <v>MH-UTI</v>
      </c>
    </row>
    <row r="2707" spans="1:8" x14ac:dyDescent="0.2">
      <c r="A2707" s="157"/>
      <c r="B2707" s="31" t="s">
        <v>9968</v>
      </c>
      <c r="C2707" s="31" t="s">
        <v>9969</v>
      </c>
      <c r="D2707" s="31" t="s">
        <v>3254</v>
      </c>
      <c r="E2707" s="61" t="b">
        <v>1</v>
      </c>
      <c r="F2707" s="107" t="s">
        <v>9970</v>
      </c>
      <c r="G2707" s="116" t="str">
        <f>HYPERLINK("http://nsgreg.nga.mil/genc/view?v=202126&amp;end_month=3&amp;end_day=31&amp;end_year=2014","Wotho")</f>
        <v>Wotho</v>
      </c>
      <c r="H2707" s="87" t="str">
        <f>HYPERLINK("http://api.nsgreg.nga.mil/geo-division/GENC/6/ed2/MH-WTH","MH-WTH")</f>
        <v>MH-WTH</v>
      </c>
    </row>
    <row r="2708" spans="1:8" x14ac:dyDescent="0.2">
      <c r="A2708" s="158"/>
      <c r="B2708" s="58" t="s">
        <v>9971</v>
      </c>
      <c r="C2708" s="58" t="s">
        <v>9972</v>
      </c>
      <c r="D2708" s="58" t="s">
        <v>3254</v>
      </c>
      <c r="E2708" s="62" t="b">
        <v>1</v>
      </c>
      <c r="F2708" s="111" t="s">
        <v>9973</v>
      </c>
      <c r="G2708" s="117" t="str">
        <f>HYPERLINK("http://nsgreg.nga.mil/genc/view?v=202127&amp;end_month=3&amp;end_day=31&amp;end_year=2014","Wotje")</f>
        <v>Wotje</v>
      </c>
      <c r="H2708" s="89" t="str">
        <f>HYPERLINK("http://api.nsgreg.nga.mil/geo-division/GENC/6/ed2/MH-WTJ","MH-WTJ")</f>
        <v>MH-WTJ</v>
      </c>
    </row>
    <row r="2709" spans="1:8" x14ac:dyDescent="0.2">
      <c r="A2709" s="156" t="str">
        <f>HYPERLINK("[#]Geopolitical_Entities!A168:I168","MAURITANIA")</f>
        <v>MAURITANIA</v>
      </c>
      <c r="B2709" s="52" t="s">
        <v>9974</v>
      </c>
      <c r="C2709" s="52" t="s">
        <v>2156</v>
      </c>
      <c r="D2709" s="52" t="s">
        <v>3137</v>
      </c>
      <c r="E2709" s="60" t="b">
        <v>1</v>
      </c>
      <c r="F2709" s="109" t="s">
        <v>9975</v>
      </c>
      <c r="G2709" s="118" t="str">
        <f>HYPERLINK("http://nsgreg.nga.mil/genc/view?v=114929&amp;gencs=T&amp;end_month=3&amp;end_day=31&amp;end_year=2014","Adrar")</f>
        <v>Adrar</v>
      </c>
      <c r="H2709" s="91" t="str">
        <f>HYPERLINK("http://api.nsgreg.nga.mil/geo-division/ISO3166-2/6/ed3/MR-07","MR-07")</f>
        <v>MR-07</v>
      </c>
    </row>
    <row r="2710" spans="1:8" x14ac:dyDescent="0.2">
      <c r="A2710" s="157"/>
      <c r="B2710" s="31" t="s">
        <v>9976</v>
      </c>
      <c r="C2710" s="31" t="s">
        <v>9977</v>
      </c>
      <c r="D2710" s="31" t="s">
        <v>3137</v>
      </c>
      <c r="E2710" s="61" t="b">
        <v>1</v>
      </c>
      <c r="F2710" s="106" t="s">
        <v>9978</v>
      </c>
      <c r="G2710" s="116" t="str">
        <f>HYPERLINK("http://nsgreg.nga.mil/genc/view?v=114925&amp;gencs=T&amp;end_month=3&amp;end_day=31&amp;end_year=2014","Assaba")</f>
        <v>Assaba</v>
      </c>
      <c r="H2710" s="87" t="str">
        <f>HYPERLINK("http://api.nsgreg.nga.mil/geo-division/ISO3166-2/6/ed3/MR-03","MR-03")</f>
        <v>MR-03</v>
      </c>
    </row>
    <row r="2711" spans="1:8" x14ac:dyDescent="0.2">
      <c r="A2711" s="157"/>
      <c r="B2711" s="31" t="s">
        <v>9979</v>
      </c>
      <c r="C2711" s="31" t="s">
        <v>9980</v>
      </c>
      <c r="D2711" s="31" t="s">
        <v>3137</v>
      </c>
      <c r="E2711" s="61" t="b">
        <v>1</v>
      </c>
      <c r="F2711" s="106" t="s">
        <v>9981</v>
      </c>
      <c r="G2711" s="116" t="str">
        <f>HYPERLINK("http://nsgreg.nga.mil/genc/view?v=114927&amp;gencs=T&amp;end_month=3&amp;end_day=31&amp;end_year=2014","Brakna")</f>
        <v>Brakna</v>
      </c>
      <c r="H2711" s="87" t="str">
        <f>HYPERLINK("http://api.nsgreg.nga.mil/geo-division/ISO3166-2/6/ed3/MR-05","MR-05")</f>
        <v>MR-05</v>
      </c>
    </row>
    <row r="2712" spans="1:8" x14ac:dyDescent="0.2">
      <c r="A2712" s="157"/>
      <c r="B2712" s="31" t="s">
        <v>9982</v>
      </c>
      <c r="C2712" s="31" t="s">
        <v>9983</v>
      </c>
      <c r="D2712" s="31" t="s">
        <v>3137</v>
      </c>
      <c r="E2712" s="61" t="b">
        <v>1</v>
      </c>
      <c r="F2712" s="107" t="s">
        <v>9984</v>
      </c>
      <c r="G2712" s="116" t="str">
        <f>HYPERLINK("http://nsgreg.nga.mil/genc/view?v=202150&amp;end_month=3&amp;end_day=31&amp;end_year=2014","Dakhlet Nouadhibou")</f>
        <v>Dakhlet Nouadhibou</v>
      </c>
      <c r="H2712" s="87" t="str">
        <f>HYPERLINK("http://api.nsgreg.nga.mil/geo-division/GENC/6/ed2/MR-08","MR-08")</f>
        <v>MR-08</v>
      </c>
    </row>
    <row r="2713" spans="1:8" x14ac:dyDescent="0.2">
      <c r="A2713" s="157"/>
      <c r="B2713" s="31" t="s">
        <v>9985</v>
      </c>
      <c r="C2713" s="31" t="s">
        <v>9986</v>
      </c>
      <c r="D2713" s="31" t="s">
        <v>3137</v>
      </c>
      <c r="E2713" s="61" t="b">
        <v>1</v>
      </c>
      <c r="F2713" s="106" t="s">
        <v>9987</v>
      </c>
      <c r="G2713" s="116" t="str">
        <f>HYPERLINK("http://nsgreg.nga.mil/genc/view?v=114926&amp;gencs=T&amp;end_month=3&amp;end_day=31&amp;end_year=2014","Gorgol")</f>
        <v>Gorgol</v>
      </c>
      <c r="H2713" s="87" t="str">
        <f>HYPERLINK("http://api.nsgreg.nga.mil/geo-division/ISO3166-2/6/ed3/MR-04","MR-04")</f>
        <v>MR-04</v>
      </c>
    </row>
    <row r="2714" spans="1:8" x14ac:dyDescent="0.2">
      <c r="A2714" s="157"/>
      <c r="B2714" s="31" t="s">
        <v>9988</v>
      </c>
      <c r="C2714" s="31" t="s">
        <v>9989</v>
      </c>
      <c r="D2714" s="31" t="s">
        <v>3137</v>
      </c>
      <c r="E2714" s="61" t="b">
        <v>1</v>
      </c>
      <c r="F2714" s="106" t="s">
        <v>9990</v>
      </c>
      <c r="G2714" s="116" t="str">
        <f>HYPERLINK("http://nsgreg.nga.mil/genc/view?v=114932&amp;gencs=T&amp;end_month=3&amp;end_day=31&amp;end_year=2014","Guidimaka")</f>
        <v>Guidimaka</v>
      </c>
      <c r="H2714" s="87" t="str">
        <f>HYPERLINK("http://api.nsgreg.nga.mil/geo-division/ISO3166-2/6/ed3/MR-10","MR-10")</f>
        <v>MR-10</v>
      </c>
    </row>
    <row r="2715" spans="1:8" x14ac:dyDescent="0.2">
      <c r="A2715" s="157"/>
      <c r="B2715" s="31" t="s">
        <v>9991</v>
      </c>
      <c r="C2715" s="31" t="s">
        <v>9992</v>
      </c>
      <c r="D2715" s="31" t="s">
        <v>3137</v>
      </c>
      <c r="E2715" s="61" t="b">
        <v>1</v>
      </c>
      <c r="F2715" s="106" t="s">
        <v>9993</v>
      </c>
      <c r="G2715" s="116" t="str">
        <f>HYPERLINK("http://nsgreg.nga.mil/genc/view?v=114923&amp;gencs=T&amp;end_month=3&amp;end_day=31&amp;end_year=2014","Hodh ech Chargui")</f>
        <v>Hodh ech Chargui</v>
      </c>
      <c r="H2715" s="87" t="str">
        <f>HYPERLINK("http://api.nsgreg.nga.mil/geo-division/ISO3166-2/6/ed3/MR-01","MR-01")</f>
        <v>MR-01</v>
      </c>
    </row>
    <row r="2716" spans="1:8" x14ac:dyDescent="0.2">
      <c r="A2716" s="157"/>
      <c r="B2716" s="31" t="s">
        <v>9994</v>
      </c>
      <c r="C2716" s="31" t="s">
        <v>9995</v>
      </c>
      <c r="D2716" s="31" t="s">
        <v>3137</v>
      </c>
      <c r="E2716" s="61" t="b">
        <v>1</v>
      </c>
      <c r="F2716" s="106" t="s">
        <v>9996</v>
      </c>
      <c r="G2716" s="116" t="str">
        <f>HYPERLINK("http://nsgreg.nga.mil/genc/view?v=114924&amp;gencs=T&amp;end_month=3&amp;end_day=31&amp;end_year=2014","Hodh el Gharbi")</f>
        <v>Hodh el Gharbi</v>
      </c>
      <c r="H2716" s="87" t="str">
        <f>HYPERLINK("http://api.nsgreg.nga.mil/geo-division/ISO3166-2/6/ed3/MR-02","MR-02")</f>
        <v>MR-02</v>
      </c>
    </row>
    <row r="2717" spans="1:8" x14ac:dyDescent="0.2">
      <c r="A2717" s="157"/>
      <c r="B2717" s="31" t="s">
        <v>9997</v>
      </c>
      <c r="C2717" s="31" t="s">
        <v>9998</v>
      </c>
      <c r="D2717" s="31" t="s">
        <v>3137</v>
      </c>
      <c r="E2717" s="61" t="b">
        <v>1</v>
      </c>
      <c r="F2717" s="106" t="s">
        <v>9999</v>
      </c>
      <c r="G2717" s="116" t="str">
        <f>HYPERLINK("http://nsgreg.nga.mil/genc/view?v=114934&amp;gencs=T&amp;end_month=3&amp;end_day=31&amp;end_year=2014","Inchiri")</f>
        <v>Inchiri</v>
      </c>
      <c r="H2717" s="87" t="str">
        <f>HYPERLINK("http://api.nsgreg.nga.mil/geo-division/ISO3166-2/6/ed3/MR-12","MR-12")</f>
        <v>MR-12</v>
      </c>
    </row>
    <row r="2718" spans="1:8" x14ac:dyDescent="0.2">
      <c r="A2718" s="157"/>
      <c r="B2718" s="31" t="s">
        <v>10000</v>
      </c>
      <c r="C2718" s="31" t="s">
        <v>10001</v>
      </c>
      <c r="D2718" s="31" t="s">
        <v>3137</v>
      </c>
      <c r="E2718" s="61" t="b">
        <v>1</v>
      </c>
      <c r="F2718" s="107" t="s">
        <v>10002</v>
      </c>
      <c r="G2718" s="116" t="str">
        <f>HYPERLINK("http://nsgreg.nga.mil/genc/view?v=202151&amp;end_month=3&amp;end_day=31&amp;end_year=2014","Nouakchott")</f>
        <v>Nouakchott</v>
      </c>
      <c r="H2718" s="87" t="str">
        <f>HYPERLINK("http://api.nsgreg.nga.mil/geo-division/GENC/6/ed2/MR-NKC","MR-NKC")</f>
        <v>MR-NKC</v>
      </c>
    </row>
    <row r="2719" spans="1:8" x14ac:dyDescent="0.2">
      <c r="A2719" s="157"/>
      <c r="B2719" s="31" t="s">
        <v>10003</v>
      </c>
      <c r="C2719" s="31" t="s">
        <v>10004</v>
      </c>
      <c r="D2719" s="31" t="s">
        <v>3137</v>
      </c>
      <c r="E2719" s="61" t="b">
        <v>1</v>
      </c>
      <c r="F2719" s="106" t="s">
        <v>10005</v>
      </c>
      <c r="G2719" s="116" t="str">
        <f>HYPERLINK("http://nsgreg.nga.mil/genc/view?v=114931&amp;gencs=T&amp;end_month=3&amp;end_day=31&amp;end_year=2014","Tagant")</f>
        <v>Tagant</v>
      </c>
      <c r="H2719" s="87" t="str">
        <f>HYPERLINK("http://api.nsgreg.nga.mil/geo-division/ISO3166-2/6/ed3/MR-09","MR-09")</f>
        <v>MR-09</v>
      </c>
    </row>
    <row r="2720" spans="1:8" x14ac:dyDescent="0.2">
      <c r="A2720" s="157"/>
      <c r="B2720" s="31" t="s">
        <v>10006</v>
      </c>
      <c r="C2720" s="31" t="s">
        <v>10007</v>
      </c>
      <c r="D2720" s="31" t="s">
        <v>3137</v>
      </c>
      <c r="E2720" s="61" t="b">
        <v>1</v>
      </c>
      <c r="F2720" s="106" t="s">
        <v>10008</v>
      </c>
      <c r="G2720" s="116" t="str">
        <f>HYPERLINK("http://nsgreg.nga.mil/genc/view?v=114933&amp;gencs=T&amp;end_month=3&amp;end_day=31&amp;end_year=2014","Tiris Zemmour")</f>
        <v>Tiris Zemmour</v>
      </c>
      <c r="H2720" s="87" t="str">
        <f>HYPERLINK("http://api.nsgreg.nga.mil/geo-division/ISO3166-2/6/ed3/MR-11","MR-11")</f>
        <v>MR-11</v>
      </c>
    </row>
    <row r="2721" spans="1:8" x14ac:dyDescent="0.2">
      <c r="A2721" s="158"/>
      <c r="B2721" s="58" t="s">
        <v>10009</v>
      </c>
      <c r="C2721" s="58" t="s">
        <v>10010</v>
      </c>
      <c r="D2721" s="58" t="s">
        <v>3137</v>
      </c>
      <c r="E2721" s="62" t="b">
        <v>1</v>
      </c>
      <c r="F2721" s="108" t="s">
        <v>10011</v>
      </c>
      <c r="G2721" s="117" t="str">
        <f>HYPERLINK("http://nsgreg.nga.mil/genc/view?v=114928&amp;gencs=T&amp;end_month=3&amp;end_day=31&amp;end_year=2014","Trarza")</f>
        <v>Trarza</v>
      </c>
      <c r="H2721" s="89" t="str">
        <f>HYPERLINK("http://api.nsgreg.nga.mil/geo-division/ISO3166-2/6/ed3/MR-06","MR-06")</f>
        <v>MR-06</v>
      </c>
    </row>
    <row r="2722" spans="1:8" x14ac:dyDescent="0.2">
      <c r="A2722" s="156" t="str">
        <f>HYPERLINK("[#]Geopolitical_Entities!A169:I169","MAURITIUS")</f>
        <v>MAURITIUS</v>
      </c>
      <c r="B2722" s="52" t="s">
        <v>10012</v>
      </c>
      <c r="C2722" s="52" t="s">
        <v>10013</v>
      </c>
      <c r="D2722" s="52" t="s">
        <v>2377</v>
      </c>
      <c r="E2722" s="60" t="b">
        <v>1</v>
      </c>
      <c r="F2722" s="109" t="s">
        <v>10014</v>
      </c>
      <c r="G2722" s="118" t="str">
        <f>HYPERLINK("http://nsgreg.nga.mil/genc/view?v=115004&amp;gencs=T&amp;end_month=3&amp;end_day=31&amp;end_year=2014","Agalega Islands")</f>
        <v>Agalega Islands</v>
      </c>
      <c r="H2722" s="91" t="str">
        <f>HYPERLINK("http://api.nsgreg.nga.mil/geo-division/ISO3166-2/6/ed3/MU-AG","MU-AG")</f>
        <v>MU-AG</v>
      </c>
    </row>
    <row r="2723" spans="1:8" x14ac:dyDescent="0.2">
      <c r="A2723" s="157"/>
      <c r="B2723" s="31" t="s">
        <v>10015</v>
      </c>
      <c r="C2723" s="31" t="s">
        <v>10016</v>
      </c>
      <c r="D2723" s="98" t="s">
        <v>2405</v>
      </c>
      <c r="E2723" s="99" t="b">
        <v>0</v>
      </c>
      <c r="F2723" s="106" t="s">
        <v>10017</v>
      </c>
      <c r="G2723" s="116" t="str">
        <f>HYPERLINK("http://nsgreg.nga.mil/genc/view?v=115006&amp;gencs=T&amp;end_month=3&amp;end_day=31&amp;end_year=2014","Beau Bassin-Rose Hill")</f>
        <v>Beau Bassin-Rose Hill</v>
      </c>
      <c r="H2723" s="87" t="str">
        <f>HYPERLINK("http://api.nsgreg.nga.mil/geo-division/ISO3166-2/6/ed3/MU-BR","MU-BR")</f>
        <v>MU-BR</v>
      </c>
    </row>
    <row r="2724" spans="1:8" x14ac:dyDescent="0.2">
      <c r="A2724" s="157"/>
      <c r="B2724" s="31" t="s">
        <v>10018</v>
      </c>
      <c r="C2724" s="31" t="s">
        <v>10019</v>
      </c>
      <c r="D2724" s="31" t="s">
        <v>2026</v>
      </c>
      <c r="E2724" s="61" t="b">
        <v>1</v>
      </c>
      <c r="F2724" s="106" t="s">
        <v>10020</v>
      </c>
      <c r="G2724" s="116" t="str">
        <f>HYPERLINK("http://nsgreg.nga.mil/genc/view?v=115005&amp;gencs=T&amp;end_month=3&amp;end_day=31&amp;end_year=2014","Black River")</f>
        <v>Black River</v>
      </c>
      <c r="H2724" s="87" t="str">
        <f>HYPERLINK("http://api.nsgreg.nga.mil/geo-division/ISO3166-2/6/ed3/MU-BL","MU-BL")</f>
        <v>MU-BL</v>
      </c>
    </row>
    <row r="2725" spans="1:8" x14ac:dyDescent="0.2">
      <c r="A2725" s="157"/>
      <c r="B2725" s="31" t="s">
        <v>10021</v>
      </c>
      <c r="C2725" s="31" t="s">
        <v>10022</v>
      </c>
      <c r="D2725" s="31" t="s">
        <v>2377</v>
      </c>
      <c r="E2725" s="61" t="b">
        <v>1</v>
      </c>
      <c r="F2725" s="107" t="s">
        <v>10023</v>
      </c>
      <c r="G2725" s="116" t="str">
        <f>HYPERLINK("http://nsgreg.nga.mil/genc/view?v=202223&amp;end_month=3&amp;end_day=31&amp;end_year=2014","Cargados Carajos")</f>
        <v>Cargados Carajos</v>
      </c>
      <c r="H2725" s="87" t="str">
        <f>HYPERLINK("http://api.nsgreg.nga.mil/geo-division/GENC/6/ed2/MU-CC","MU-CC")</f>
        <v>MU-CC</v>
      </c>
    </row>
    <row r="2726" spans="1:8" x14ac:dyDescent="0.2">
      <c r="A2726" s="157"/>
      <c r="B2726" s="31" t="s">
        <v>10024</v>
      </c>
      <c r="C2726" s="31" t="s">
        <v>10025</v>
      </c>
      <c r="D2726" s="98" t="s">
        <v>2405</v>
      </c>
      <c r="E2726" s="99" t="b">
        <v>0</v>
      </c>
      <c r="F2726" s="106" t="s">
        <v>10026</v>
      </c>
      <c r="G2726" s="116" t="str">
        <f>HYPERLINK("http://nsgreg.nga.mil/genc/view?v=115008&amp;gencs=T&amp;end_month=3&amp;end_day=31&amp;end_year=2014","Curepipe")</f>
        <v>Curepipe</v>
      </c>
      <c r="H2726" s="87" t="str">
        <f>HYPERLINK("http://api.nsgreg.nga.mil/geo-division/ISO3166-2/6/ed3/MU-CU","MU-CU")</f>
        <v>MU-CU</v>
      </c>
    </row>
    <row r="2727" spans="1:8" x14ac:dyDescent="0.2">
      <c r="A2727" s="157"/>
      <c r="B2727" s="31" t="s">
        <v>10027</v>
      </c>
      <c r="C2727" s="31" t="s">
        <v>10028</v>
      </c>
      <c r="D2727" s="31" t="s">
        <v>2026</v>
      </c>
      <c r="E2727" s="61" t="b">
        <v>1</v>
      </c>
      <c r="F2727" s="106" t="s">
        <v>10029</v>
      </c>
      <c r="G2727" s="116" t="str">
        <f>HYPERLINK("http://nsgreg.nga.mil/genc/view?v=115009&amp;gencs=T&amp;end_month=3&amp;end_day=31&amp;end_year=2014","Flacq")</f>
        <v>Flacq</v>
      </c>
      <c r="H2727" s="87" t="str">
        <f>HYPERLINK("http://api.nsgreg.nga.mil/geo-division/ISO3166-2/6/ed3/MU-FL","MU-FL")</f>
        <v>MU-FL</v>
      </c>
    </row>
    <row r="2728" spans="1:8" x14ac:dyDescent="0.2">
      <c r="A2728" s="157"/>
      <c r="B2728" s="31" t="s">
        <v>10030</v>
      </c>
      <c r="C2728" s="31" t="s">
        <v>10031</v>
      </c>
      <c r="D2728" s="31" t="s">
        <v>2026</v>
      </c>
      <c r="E2728" s="61" t="b">
        <v>1</v>
      </c>
      <c r="F2728" s="106" t="s">
        <v>10032</v>
      </c>
      <c r="G2728" s="116" t="str">
        <f>HYPERLINK("http://nsgreg.nga.mil/genc/view?v=115010&amp;gencs=T&amp;end_month=3&amp;end_day=31&amp;end_year=2014","Grand Port")</f>
        <v>Grand Port</v>
      </c>
      <c r="H2728" s="87" t="str">
        <f>HYPERLINK("http://api.nsgreg.nga.mil/geo-division/ISO3166-2/6/ed3/MU-GP","MU-GP")</f>
        <v>MU-GP</v>
      </c>
    </row>
    <row r="2729" spans="1:8" x14ac:dyDescent="0.2">
      <c r="A2729" s="157"/>
      <c r="B2729" s="31" t="s">
        <v>10033</v>
      </c>
      <c r="C2729" s="31" t="s">
        <v>10034</v>
      </c>
      <c r="D2729" s="31" t="s">
        <v>2026</v>
      </c>
      <c r="E2729" s="61" t="b">
        <v>1</v>
      </c>
      <c r="F2729" s="106" t="s">
        <v>10035</v>
      </c>
      <c r="G2729" s="116" t="str">
        <f>HYPERLINK("http://nsgreg.nga.mil/genc/view?v=115011&amp;gencs=T&amp;end_month=3&amp;end_day=31&amp;end_year=2014","Moka")</f>
        <v>Moka</v>
      </c>
      <c r="H2729" s="87" t="str">
        <f>HYPERLINK("http://api.nsgreg.nga.mil/geo-division/ISO3166-2/6/ed3/MU-MO","MU-MO")</f>
        <v>MU-MO</v>
      </c>
    </row>
    <row r="2730" spans="1:8" x14ac:dyDescent="0.2">
      <c r="A2730" s="157"/>
      <c r="B2730" s="31" t="s">
        <v>10036</v>
      </c>
      <c r="C2730" s="31" t="s">
        <v>10037</v>
      </c>
      <c r="D2730" s="31" t="s">
        <v>2026</v>
      </c>
      <c r="E2730" s="61" t="b">
        <v>1</v>
      </c>
      <c r="F2730" s="106" t="s">
        <v>10038</v>
      </c>
      <c r="G2730" s="116" t="str">
        <f>HYPERLINK("http://nsgreg.nga.mil/genc/view?v=115012&amp;gencs=T&amp;end_month=3&amp;end_day=31&amp;end_year=2014","Pamplemousses")</f>
        <v>Pamplemousses</v>
      </c>
      <c r="H2730" s="87" t="str">
        <f>HYPERLINK("http://api.nsgreg.nga.mil/geo-division/ISO3166-2/6/ed3/MU-PA","MU-PA")</f>
        <v>MU-PA</v>
      </c>
    </row>
    <row r="2731" spans="1:8" x14ac:dyDescent="0.2">
      <c r="A2731" s="157"/>
      <c r="B2731" s="31" t="s">
        <v>10039</v>
      </c>
      <c r="C2731" s="31" t="s">
        <v>10040</v>
      </c>
      <c r="D2731" s="31" t="s">
        <v>2026</v>
      </c>
      <c r="E2731" s="61" t="b">
        <v>1</v>
      </c>
      <c r="F2731" s="106" t="s">
        <v>10041</v>
      </c>
      <c r="G2731" s="116" t="str">
        <f>HYPERLINK("http://nsgreg.nga.mil/genc/view?v=115015&amp;gencs=T&amp;end_month=3&amp;end_day=31&amp;end_year=2014","Plaines Wilhems")</f>
        <v>Plaines Wilhems</v>
      </c>
      <c r="H2731" s="87" t="str">
        <f>HYPERLINK("http://api.nsgreg.nga.mil/geo-division/ISO3166-2/6/ed3/MU-PW","MU-PW")</f>
        <v>MU-PW</v>
      </c>
    </row>
    <row r="2732" spans="1:8" x14ac:dyDescent="0.2">
      <c r="A2732" s="157"/>
      <c r="B2732" s="31" t="s">
        <v>10042</v>
      </c>
      <c r="C2732" s="31" t="s">
        <v>10043</v>
      </c>
      <c r="D2732" s="98" t="s">
        <v>2405</v>
      </c>
      <c r="E2732" s="99" t="b">
        <v>0</v>
      </c>
      <c r="F2732" s="106" t="s">
        <v>10044</v>
      </c>
      <c r="G2732" s="116" t="str">
        <f>HYPERLINK("http://nsgreg.nga.mil/genc/view?v=115014&amp;gencs=T&amp;end_month=3&amp;end_day=31&amp;end_year=2014","Port Louis")</f>
        <v>Port Louis</v>
      </c>
      <c r="H2732" s="87" t="str">
        <f>HYPERLINK("http://api.nsgreg.nga.mil/geo-division/ISO3166-2/6/ed3/MU-PU","MU-PU")</f>
        <v>MU-PU</v>
      </c>
    </row>
    <row r="2733" spans="1:8" x14ac:dyDescent="0.2">
      <c r="A2733" s="157"/>
      <c r="B2733" s="31" t="s">
        <v>10045</v>
      </c>
      <c r="C2733" s="31" t="s">
        <v>10043</v>
      </c>
      <c r="D2733" s="31" t="s">
        <v>2026</v>
      </c>
      <c r="E2733" s="61" t="b">
        <v>1</v>
      </c>
      <c r="F2733" s="106" t="s">
        <v>10046</v>
      </c>
      <c r="G2733" s="116" t="str">
        <f>HYPERLINK("http://nsgreg.nga.mil/genc/view?v=115013&amp;gencs=T&amp;end_month=3&amp;end_day=31&amp;end_year=2014","Port Louis")</f>
        <v>Port Louis</v>
      </c>
      <c r="H2733" s="87" t="str">
        <f>HYPERLINK("http://api.nsgreg.nga.mil/geo-division/ISO3166-2/6/ed3/MU-PL","MU-PL")</f>
        <v>MU-PL</v>
      </c>
    </row>
    <row r="2734" spans="1:8" x14ac:dyDescent="0.2">
      <c r="A2734" s="157"/>
      <c r="B2734" s="31" t="s">
        <v>10047</v>
      </c>
      <c r="C2734" s="31" t="s">
        <v>10048</v>
      </c>
      <c r="D2734" s="98" t="s">
        <v>2405</v>
      </c>
      <c r="E2734" s="99" t="b">
        <v>0</v>
      </c>
      <c r="F2734" s="106" t="s">
        <v>10049</v>
      </c>
      <c r="G2734" s="116" t="str">
        <f>HYPERLINK("http://nsgreg.nga.mil/genc/view?v=115016&amp;gencs=T&amp;end_month=3&amp;end_day=31&amp;end_year=2014","Quatre Bornes")</f>
        <v>Quatre Bornes</v>
      </c>
      <c r="H2734" s="87" t="str">
        <f>HYPERLINK("http://api.nsgreg.nga.mil/geo-division/ISO3166-2/6/ed3/MU-QB","MU-QB")</f>
        <v>MU-QB</v>
      </c>
    </row>
    <row r="2735" spans="1:8" x14ac:dyDescent="0.2">
      <c r="A2735" s="157"/>
      <c r="B2735" s="31" t="s">
        <v>10050</v>
      </c>
      <c r="C2735" s="31" t="s">
        <v>10051</v>
      </c>
      <c r="D2735" s="31" t="s">
        <v>2026</v>
      </c>
      <c r="E2735" s="61" t="b">
        <v>1</v>
      </c>
      <c r="F2735" s="106" t="s">
        <v>10052</v>
      </c>
      <c r="G2735" s="116" t="str">
        <f>HYPERLINK("http://nsgreg.nga.mil/genc/view?v=115018&amp;gencs=T&amp;end_month=3&amp;end_day=31&amp;end_year=2014","Rivière du Rempart")</f>
        <v>Rivière du Rempart</v>
      </c>
      <c r="H2735" s="87" t="str">
        <f>HYPERLINK("http://api.nsgreg.nga.mil/geo-division/ISO3166-2/6/ed3/MU-RR","MU-RR")</f>
        <v>MU-RR</v>
      </c>
    </row>
    <row r="2736" spans="1:8" x14ac:dyDescent="0.2">
      <c r="A2736" s="157"/>
      <c r="B2736" s="31" t="s">
        <v>10053</v>
      </c>
      <c r="C2736" s="31" t="s">
        <v>10054</v>
      </c>
      <c r="D2736" s="31" t="s">
        <v>2377</v>
      </c>
      <c r="E2736" s="61" t="b">
        <v>1</v>
      </c>
      <c r="F2736" s="107" t="s">
        <v>10055</v>
      </c>
      <c r="G2736" s="116" t="str">
        <f>HYPERLINK("http://nsgreg.nga.mil/genc/view?v=202224&amp;end_month=3&amp;end_day=31&amp;end_year=2014","Rodrigues")</f>
        <v>Rodrigues</v>
      </c>
      <c r="H2736" s="87" t="str">
        <f>HYPERLINK("http://api.nsgreg.nga.mil/geo-division/GENC/6/ed2/MU-RO","MU-RO")</f>
        <v>MU-RO</v>
      </c>
    </row>
    <row r="2737" spans="1:8" x14ac:dyDescent="0.2">
      <c r="A2737" s="157"/>
      <c r="B2737" s="31" t="s">
        <v>10056</v>
      </c>
      <c r="C2737" s="31" t="s">
        <v>10057</v>
      </c>
      <c r="D2737" s="31" t="s">
        <v>2026</v>
      </c>
      <c r="E2737" s="61" t="b">
        <v>1</v>
      </c>
      <c r="F2737" s="106" t="s">
        <v>10058</v>
      </c>
      <c r="G2737" s="116" t="str">
        <f>HYPERLINK("http://nsgreg.nga.mil/genc/view?v=115019&amp;gencs=T&amp;end_month=3&amp;end_day=31&amp;end_year=2014","Savanne")</f>
        <v>Savanne</v>
      </c>
      <c r="H2737" s="87" t="str">
        <f>HYPERLINK("http://api.nsgreg.nga.mil/geo-division/ISO3166-2/6/ed3/MU-SA","MU-SA")</f>
        <v>MU-SA</v>
      </c>
    </row>
    <row r="2738" spans="1:8" x14ac:dyDescent="0.2">
      <c r="A2738" s="158"/>
      <c r="B2738" s="58" t="s">
        <v>10059</v>
      </c>
      <c r="C2738" s="58" t="s">
        <v>10060</v>
      </c>
      <c r="D2738" s="100" t="s">
        <v>2405</v>
      </c>
      <c r="E2738" s="101" t="b">
        <v>0</v>
      </c>
      <c r="F2738" s="108" t="s">
        <v>10061</v>
      </c>
      <c r="G2738" s="117" t="str">
        <f>HYPERLINK("http://nsgreg.nga.mil/genc/view?v=115020&amp;gencs=T&amp;end_month=3&amp;end_day=31&amp;end_year=2014","Vacoas-Phoenix")</f>
        <v>Vacoas-Phoenix</v>
      </c>
      <c r="H2738" s="89" t="str">
        <f>HYPERLINK("http://api.nsgreg.nga.mil/geo-division/ISO3166-2/6/ed3/MU-VP","MU-VP")</f>
        <v>MU-VP</v>
      </c>
    </row>
    <row r="2739" spans="1:8" x14ac:dyDescent="0.2">
      <c r="A2739" s="156" t="str">
        <f>HYPERLINK("[#]Geopolitical_Entities!A171:I171","MEXICO")</f>
        <v>MEXICO</v>
      </c>
      <c r="B2739" s="52" t="s">
        <v>10062</v>
      </c>
      <c r="C2739" s="52" t="s">
        <v>10063</v>
      </c>
      <c r="D2739" s="52" t="s">
        <v>2512</v>
      </c>
      <c r="E2739" s="60" t="b">
        <v>1</v>
      </c>
      <c r="F2739" s="109" t="s">
        <v>10064</v>
      </c>
      <c r="G2739" s="118" t="str">
        <f>HYPERLINK("http://nsgreg.nga.mil/genc/view?v=115080&amp;gencs=T&amp;end_month=3&amp;end_day=31&amp;end_year=2014","Aguascalientes")</f>
        <v>Aguascalientes</v>
      </c>
      <c r="H2739" s="91" t="str">
        <f>HYPERLINK("http://api.nsgreg.nga.mil/geo-division/ISO3166-2/6/ed3/MX-AGU","MX-AGU")</f>
        <v>MX-AGU</v>
      </c>
    </row>
    <row r="2740" spans="1:8" x14ac:dyDescent="0.2">
      <c r="A2740" s="157"/>
      <c r="B2740" s="31" t="s">
        <v>10065</v>
      </c>
      <c r="C2740" s="31" t="s">
        <v>10066</v>
      </c>
      <c r="D2740" s="31" t="s">
        <v>2512</v>
      </c>
      <c r="E2740" s="61" t="b">
        <v>1</v>
      </c>
      <c r="F2740" s="106" t="s">
        <v>10067</v>
      </c>
      <c r="G2740" s="116" t="str">
        <f>HYPERLINK("http://nsgreg.nga.mil/genc/view?v=115081&amp;gencs=T&amp;end_month=3&amp;end_day=31&amp;end_year=2014","Baja California")</f>
        <v>Baja California</v>
      </c>
      <c r="H2740" s="87" t="str">
        <f>HYPERLINK("http://api.nsgreg.nga.mil/geo-division/ISO3166-2/6/ed3/MX-BCN","MX-BCN")</f>
        <v>MX-BCN</v>
      </c>
    </row>
    <row r="2741" spans="1:8" x14ac:dyDescent="0.2">
      <c r="A2741" s="157"/>
      <c r="B2741" s="31" t="s">
        <v>10068</v>
      </c>
      <c r="C2741" s="31" t="s">
        <v>10069</v>
      </c>
      <c r="D2741" s="31" t="s">
        <v>2512</v>
      </c>
      <c r="E2741" s="61" t="b">
        <v>1</v>
      </c>
      <c r="F2741" s="106" t="s">
        <v>10070</v>
      </c>
      <c r="G2741" s="116" t="str">
        <f>HYPERLINK("http://nsgreg.nga.mil/genc/view?v=115082&amp;gencs=T&amp;end_month=3&amp;end_day=31&amp;end_year=2014","Baja California Sur")</f>
        <v>Baja California Sur</v>
      </c>
      <c r="H2741" s="87" t="str">
        <f>HYPERLINK("http://api.nsgreg.nga.mil/geo-division/ISO3166-2/6/ed3/MX-BCS","MX-BCS")</f>
        <v>MX-BCS</v>
      </c>
    </row>
    <row r="2742" spans="1:8" x14ac:dyDescent="0.2">
      <c r="A2742" s="157"/>
      <c r="B2742" s="31" t="s">
        <v>10071</v>
      </c>
      <c r="C2742" s="31" t="s">
        <v>10072</v>
      </c>
      <c r="D2742" s="31" t="s">
        <v>2512</v>
      </c>
      <c r="E2742" s="61" t="b">
        <v>1</v>
      </c>
      <c r="F2742" s="106" t="s">
        <v>10073</v>
      </c>
      <c r="G2742" s="116" t="str">
        <f>HYPERLINK("http://nsgreg.nga.mil/genc/view?v=115083&amp;gencs=T&amp;end_month=3&amp;end_day=31&amp;end_year=2014","Campeche")</f>
        <v>Campeche</v>
      </c>
      <c r="H2742" s="87" t="str">
        <f>HYPERLINK("http://api.nsgreg.nga.mil/geo-division/ISO3166-2/6/ed3/MX-CAM","MX-CAM")</f>
        <v>MX-CAM</v>
      </c>
    </row>
    <row r="2743" spans="1:8" x14ac:dyDescent="0.2">
      <c r="A2743" s="157"/>
      <c r="B2743" s="31" t="s">
        <v>10074</v>
      </c>
      <c r="C2743" s="31" t="s">
        <v>10075</v>
      </c>
      <c r="D2743" s="31" t="s">
        <v>2512</v>
      </c>
      <c r="E2743" s="61" t="b">
        <v>1</v>
      </c>
      <c r="F2743" s="106" t="s">
        <v>10076</v>
      </c>
      <c r="G2743" s="116" t="str">
        <f>HYPERLINK("http://nsgreg.nga.mil/genc/view?v=115085&amp;gencs=T&amp;end_month=3&amp;end_day=31&amp;end_year=2014","Chiapas")</f>
        <v>Chiapas</v>
      </c>
      <c r="H2743" s="87" t="str">
        <f>HYPERLINK("http://api.nsgreg.nga.mil/geo-division/ISO3166-2/6/ed3/MX-CHP","MX-CHP")</f>
        <v>MX-CHP</v>
      </c>
    </row>
    <row r="2744" spans="1:8" x14ac:dyDescent="0.2">
      <c r="A2744" s="157"/>
      <c r="B2744" s="31" t="s">
        <v>10077</v>
      </c>
      <c r="C2744" s="31" t="s">
        <v>10078</v>
      </c>
      <c r="D2744" s="31" t="s">
        <v>2512</v>
      </c>
      <c r="E2744" s="61" t="b">
        <v>1</v>
      </c>
      <c r="F2744" s="106" t="s">
        <v>10079</v>
      </c>
      <c r="G2744" s="116" t="str">
        <f>HYPERLINK("http://nsgreg.nga.mil/genc/view?v=115084&amp;gencs=T&amp;end_month=3&amp;end_day=31&amp;end_year=2014","Chihuahua")</f>
        <v>Chihuahua</v>
      </c>
      <c r="H2744" s="87" t="str">
        <f>HYPERLINK("http://api.nsgreg.nga.mil/geo-division/ISO3166-2/6/ed3/MX-CHH","MX-CHH")</f>
        <v>MX-CHH</v>
      </c>
    </row>
    <row r="2745" spans="1:8" x14ac:dyDescent="0.2">
      <c r="A2745" s="157"/>
      <c r="B2745" s="31" t="s">
        <v>10080</v>
      </c>
      <c r="C2745" s="31" t="s">
        <v>10081</v>
      </c>
      <c r="D2745" s="31" t="s">
        <v>2512</v>
      </c>
      <c r="E2745" s="61" t="b">
        <v>1</v>
      </c>
      <c r="F2745" s="107" t="s">
        <v>10082</v>
      </c>
      <c r="G2745" s="116" t="str">
        <f>HYPERLINK("http://nsgreg.nga.mil/genc/view?v=202284&amp;end_month=3&amp;end_day=31&amp;end_year=2014","Coahuila de Zaragoza")</f>
        <v>Coahuila de Zaragoza</v>
      </c>
      <c r="H2745" s="87" t="str">
        <f>HYPERLINK("http://api.nsgreg.nga.mil/geo-division/GENC/6/ed2/MX-COA","MX-COA")</f>
        <v>MX-COA</v>
      </c>
    </row>
    <row r="2746" spans="1:8" x14ac:dyDescent="0.2">
      <c r="A2746" s="157"/>
      <c r="B2746" s="31" t="s">
        <v>10083</v>
      </c>
      <c r="C2746" s="31" t="s">
        <v>10084</v>
      </c>
      <c r="D2746" s="31" t="s">
        <v>2512</v>
      </c>
      <c r="E2746" s="61" t="b">
        <v>1</v>
      </c>
      <c r="F2746" s="106" t="s">
        <v>10085</v>
      </c>
      <c r="G2746" s="116" t="str">
        <f>HYPERLINK("http://nsgreg.nga.mil/genc/view?v=115087&amp;gencs=T&amp;end_month=3&amp;end_day=31&amp;end_year=2014","Colima")</f>
        <v>Colima</v>
      </c>
      <c r="H2746" s="87" t="str">
        <f>HYPERLINK("http://api.nsgreg.nga.mil/geo-division/ISO3166-2/6/ed3/MX-COL","MX-COL")</f>
        <v>MX-COL</v>
      </c>
    </row>
    <row r="2747" spans="1:8" x14ac:dyDescent="0.2">
      <c r="A2747" s="157"/>
      <c r="B2747" s="31" t="s">
        <v>10086</v>
      </c>
      <c r="C2747" s="31" t="s">
        <v>3487</v>
      </c>
      <c r="D2747" s="31" t="s">
        <v>3488</v>
      </c>
      <c r="E2747" s="61" t="b">
        <v>1</v>
      </c>
      <c r="F2747" s="106" t="s">
        <v>10087</v>
      </c>
      <c r="G2747" s="116" t="str">
        <f>HYPERLINK("http://nsgreg.nga.mil/genc/view?v=115088&amp;gencs=T&amp;end_month=3&amp;end_day=31&amp;end_year=2014","Distrito Federal")</f>
        <v>Distrito Federal</v>
      </c>
      <c r="H2747" s="87" t="str">
        <f>HYPERLINK("http://api.nsgreg.nga.mil/geo-division/ISO3166-2/6/ed3/MX-DIF","MX-DIF")</f>
        <v>MX-DIF</v>
      </c>
    </row>
    <row r="2748" spans="1:8" x14ac:dyDescent="0.2">
      <c r="A2748" s="157"/>
      <c r="B2748" s="31" t="s">
        <v>10088</v>
      </c>
      <c r="C2748" s="31" t="s">
        <v>10089</v>
      </c>
      <c r="D2748" s="31" t="s">
        <v>2512</v>
      </c>
      <c r="E2748" s="61" t="b">
        <v>1</v>
      </c>
      <c r="F2748" s="106" t="s">
        <v>10090</v>
      </c>
      <c r="G2748" s="116" t="str">
        <f>HYPERLINK("http://nsgreg.nga.mil/genc/view?v=115089&amp;gencs=T&amp;end_month=3&amp;end_day=31&amp;end_year=2014","Durango")</f>
        <v>Durango</v>
      </c>
      <c r="H2748" s="87" t="str">
        <f>HYPERLINK("http://api.nsgreg.nga.mil/geo-division/ISO3166-2/6/ed3/MX-DUR","MX-DUR")</f>
        <v>MX-DUR</v>
      </c>
    </row>
    <row r="2749" spans="1:8" x14ac:dyDescent="0.2">
      <c r="A2749" s="157"/>
      <c r="B2749" s="31" t="s">
        <v>10091</v>
      </c>
      <c r="C2749" s="31" t="s">
        <v>10092</v>
      </c>
      <c r="D2749" s="31" t="s">
        <v>2512</v>
      </c>
      <c r="E2749" s="61" t="b">
        <v>1</v>
      </c>
      <c r="F2749" s="106" t="s">
        <v>10093</v>
      </c>
      <c r="G2749" s="116" t="str">
        <f>HYPERLINK("http://nsgreg.nga.mil/genc/view?v=115091&amp;gencs=T&amp;end_month=3&amp;end_day=31&amp;end_year=2014","Guanajuato")</f>
        <v>Guanajuato</v>
      </c>
      <c r="H2749" s="87" t="str">
        <f>HYPERLINK("http://api.nsgreg.nga.mil/geo-division/ISO3166-2/6/ed3/MX-GUA","MX-GUA")</f>
        <v>MX-GUA</v>
      </c>
    </row>
    <row r="2750" spans="1:8" x14ac:dyDescent="0.2">
      <c r="A2750" s="157"/>
      <c r="B2750" s="31" t="s">
        <v>10094</v>
      </c>
      <c r="C2750" s="31" t="s">
        <v>10095</v>
      </c>
      <c r="D2750" s="31" t="s">
        <v>2512</v>
      </c>
      <c r="E2750" s="61" t="b">
        <v>1</v>
      </c>
      <c r="F2750" s="106" t="s">
        <v>10096</v>
      </c>
      <c r="G2750" s="116" t="str">
        <f>HYPERLINK("http://nsgreg.nga.mil/genc/view?v=115090&amp;gencs=T&amp;end_month=3&amp;end_day=31&amp;end_year=2014","Guerrero")</f>
        <v>Guerrero</v>
      </c>
      <c r="H2750" s="87" t="str">
        <f>HYPERLINK("http://api.nsgreg.nga.mil/geo-division/ISO3166-2/6/ed3/MX-GRO","MX-GRO")</f>
        <v>MX-GRO</v>
      </c>
    </row>
    <row r="2751" spans="1:8" x14ac:dyDescent="0.2">
      <c r="A2751" s="157"/>
      <c r="B2751" s="31" t="s">
        <v>10097</v>
      </c>
      <c r="C2751" s="31" t="s">
        <v>10098</v>
      </c>
      <c r="D2751" s="31" t="s">
        <v>2512</v>
      </c>
      <c r="E2751" s="61" t="b">
        <v>1</v>
      </c>
      <c r="F2751" s="106" t="s">
        <v>10099</v>
      </c>
      <c r="G2751" s="116" t="str">
        <f>HYPERLINK("http://nsgreg.nga.mil/genc/view?v=115092&amp;gencs=T&amp;end_month=3&amp;end_day=31&amp;end_year=2014","Hidalgo")</f>
        <v>Hidalgo</v>
      </c>
      <c r="H2751" s="87" t="str">
        <f>HYPERLINK("http://api.nsgreg.nga.mil/geo-division/ISO3166-2/6/ed3/MX-HID","MX-HID")</f>
        <v>MX-HID</v>
      </c>
    </row>
    <row r="2752" spans="1:8" x14ac:dyDescent="0.2">
      <c r="A2752" s="157"/>
      <c r="B2752" s="31" t="s">
        <v>10100</v>
      </c>
      <c r="C2752" s="31" t="s">
        <v>10101</v>
      </c>
      <c r="D2752" s="31" t="s">
        <v>2512</v>
      </c>
      <c r="E2752" s="61" t="b">
        <v>1</v>
      </c>
      <c r="F2752" s="106" t="s">
        <v>10102</v>
      </c>
      <c r="G2752" s="116" t="str">
        <f>HYPERLINK("http://nsgreg.nga.mil/genc/view?v=115093&amp;gencs=T&amp;end_month=3&amp;end_day=31&amp;end_year=2014","Jalisco")</f>
        <v>Jalisco</v>
      </c>
      <c r="H2752" s="87" t="str">
        <f>HYPERLINK("http://api.nsgreg.nga.mil/geo-division/ISO3166-2/6/ed3/MX-JAL","MX-JAL")</f>
        <v>MX-JAL</v>
      </c>
    </row>
    <row r="2753" spans="1:8" x14ac:dyDescent="0.2">
      <c r="A2753" s="157"/>
      <c r="B2753" s="31" t="s">
        <v>10103</v>
      </c>
      <c r="C2753" s="31" t="s">
        <v>10104</v>
      </c>
      <c r="D2753" s="31" t="s">
        <v>2512</v>
      </c>
      <c r="E2753" s="61" t="b">
        <v>1</v>
      </c>
      <c r="F2753" s="106" t="s">
        <v>10105</v>
      </c>
      <c r="G2753" s="116" t="str">
        <f>HYPERLINK("http://nsgreg.nga.mil/genc/view?v=115094&amp;gencs=T&amp;end_month=3&amp;end_day=31&amp;end_year=2014","México")</f>
        <v>México</v>
      </c>
      <c r="H2753" s="87" t="str">
        <f>HYPERLINK("http://api.nsgreg.nga.mil/geo-division/ISO3166-2/6/ed3/MX-MEX","MX-MEX")</f>
        <v>MX-MEX</v>
      </c>
    </row>
    <row r="2754" spans="1:8" x14ac:dyDescent="0.2">
      <c r="A2754" s="157"/>
      <c r="B2754" s="31" t="s">
        <v>10106</v>
      </c>
      <c r="C2754" s="31" t="s">
        <v>10107</v>
      </c>
      <c r="D2754" s="31" t="s">
        <v>2512</v>
      </c>
      <c r="E2754" s="61" t="b">
        <v>1</v>
      </c>
      <c r="F2754" s="107" t="s">
        <v>10108</v>
      </c>
      <c r="G2754" s="116" t="str">
        <f>HYPERLINK("http://nsgreg.nga.mil/genc/view?v=202285&amp;end_month=3&amp;end_day=31&amp;end_year=2014","Michoacán de Ocampo")</f>
        <v>Michoacán de Ocampo</v>
      </c>
      <c r="H2754" s="87" t="str">
        <f>HYPERLINK("http://api.nsgreg.nga.mil/geo-division/GENC/6/ed2/MX-MIC","MX-MIC")</f>
        <v>MX-MIC</v>
      </c>
    </row>
    <row r="2755" spans="1:8" x14ac:dyDescent="0.2">
      <c r="A2755" s="157"/>
      <c r="B2755" s="31" t="s">
        <v>10109</v>
      </c>
      <c r="C2755" s="31" t="s">
        <v>10110</v>
      </c>
      <c r="D2755" s="31" t="s">
        <v>2512</v>
      </c>
      <c r="E2755" s="61" t="b">
        <v>1</v>
      </c>
      <c r="F2755" s="106" t="s">
        <v>10111</v>
      </c>
      <c r="G2755" s="116" t="str">
        <f>HYPERLINK("http://nsgreg.nga.mil/genc/view?v=115096&amp;gencs=T&amp;end_month=3&amp;end_day=31&amp;end_year=2014","Morelos")</f>
        <v>Morelos</v>
      </c>
      <c r="H2755" s="87" t="str">
        <f>HYPERLINK("http://api.nsgreg.nga.mil/geo-division/ISO3166-2/6/ed3/MX-MOR","MX-MOR")</f>
        <v>MX-MOR</v>
      </c>
    </row>
    <row r="2756" spans="1:8" x14ac:dyDescent="0.2">
      <c r="A2756" s="157"/>
      <c r="B2756" s="31" t="s">
        <v>10112</v>
      </c>
      <c r="C2756" s="31" t="s">
        <v>10113</v>
      </c>
      <c r="D2756" s="31" t="s">
        <v>2512</v>
      </c>
      <c r="E2756" s="61" t="b">
        <v>1</v>
      </c>
      <c r="F2756" s="106" t="s">
        <v>10114</v>
      </c>
      <c r="G2756" s="116" t="str">
        <f>HYPERLINK("http://nsgreg.nga.mil/genc/view?v=115097&amp;gencs=T&amp;end_month=3&amp;end_day=31&amp;end_year=2014","Nayarit")</f>
        <v>Nayarit</v>
      </c>
      <c r="H2756" s="87" t="str">
        <f>HYPERLINK("http://api.nsgreg.nga.mil/geo-division/ISO3166-2/6/ed3/MX-NAY","MX-NAY")</f>
        <v>MX-NAY</v>
      </c>
    </row>
    <row r="2757" spans="1:8" x14ac:dyDescent="0.2">
      <c r="A2757" s="157"/>
      <c r="B2757" s="31" t="s">
        <v>10115</v>
      </c>
      <c r="C2757" s="31" t="s">
        <v>10116</v>
      </c>
      <c r="D2757" s="31" t="s">
        <v>2512</v>
      </c>
      <c r="E2757" s="61" t="b">
        <v>1</v>
      </c>
      <c r="F2757" s="106" t="s">
        <v>10117</v>
      </c>
      <c r="G2757" s="116" t="str">
        <f>HYPERLINK("http://nsgreg.nga.mil/genc/view?v=115098&amp;gencs=T&amp;end_month=3&amp;end_day=31&amp;end_year=2014","Nuevo León")</f>
        <v>Nuevo León</v>
      </c>
      <c r="H2757" s="87" t="str">
        <f>HYPERLINK("http://api.nsgreg.nga.mil/geo-division/ISO3166-2/6/ed3/MX-NLE","MX-NLE")</f>
        <v>MX-NLE</v>
      </c>
    </row>
    <row r="2758" spans="1:8" x14ac:dyDescent="0.2">
      <c r="A2758" s="157"/>
      <c r="B2758" s="31" t="s">
        <v>10118</v>
      </c>
      <c r="C2758" s="31" t="s">
        <v>10119</v>
      </c>
      <c r="D2758" s="31" t="s">
        <v>2512</v>
      </c>
      <c r="E2758" s="61" t="b">
        <v>1</v>
      </c>
      <c r="F2758" s="106" t="s">
        <v>10120</v>
      </c>
      <c r="G2758" s="116" t="str">
        <f>HYPERLINK("http://nsgreg.nga.mil/genc/view?v=115099&amp;gencs=T&amp;end_month=3&amp;end_day=31&amp;end_year=2014","Oaxaca")</f>
        <v>Oaxaca</v>
      </c>
      <c r="H2758" s="87" t="str">
        <f>HYPERLINK("http://api.nsgreg.nga.mil/geo-division/ISO3166-2/6/ed3/MX-OAX","MX-OAX")</f>
        <v>MX-OAX</v>
      </c>
    </row>
    <row r="2759" spans="1:8" x14ac:dyDescent="0.2">
      <c r="A2759" s="157"/>
      <c r="B2759" s="31" t="s">
        <v>10121</v>
      </c>
      <c r="C2759" s="31" t="s">
        <v>10122</v>
      </c>
      <c r="D2759" s="31" t="s">
        <v>2512</v>
      </c>
      <c r="E2759" s="61" t="b">
        <v>1</v>
      </c>
      <c r="F2759" s="106" t="s">
        <v>10123</v>
      </c>
      <c r="G2759" s="116" t="str">
        <f>HYPERLINK("http://nsgreg.nga.mil/genc/view?v=115100&amp;gencs=T&amp;end_month=3&amp;end_day=31&amp;end_year=2014","Puebla")</f>
        <v>Puebla</v>
      </c>
      <c r="H2759" s="87" t="str">
        <f>HYPERLINK("http://api.nsgreg.nga.mil/geo-division/ISO3166-2/6/ed3/MX-PUE","MX-PUE")</f>
        <v>MX-PUE</v>
      </c>
    </row>
    <row r="2760" spans="1:8" x14ac:dyDescent="0.2">
      <c r="A2760" s="157"/>
      <c r="B2760" s="31" t="s">
        <v>10124</v>
      </c>
      <c r="C2760" s="31" t="s">
        <v>10125</v>
      </c>
      <c r="D2760" s="31" t="s">
        <v>2512</v>
      </c>
      <c r="E2760" s="61" t="b">
        <v>1</v>
      </c>
      <c r="F2760" s="107" t="s">
        <v>10126</v>
      </c>
      <c r="G2760" s="116" t="str">
        <f>HYPERLINK("http://nsgreg.nga.mil/genc/view?v=202286&amp;end_month=3&amp;end_day=31&amp;end_year=2014","Querétaro de Arteaga")</f>
        <v>Querétaro de Arteaga</v>
      </c>
      <c r="H2760" s="87" t="str">
        <f>HYPERLINK("http://api.nsgreg.nga.mil/geo-division/GENC/6/ed2/MX-QUE","MX-QUE")</f>
        <v>MX-QUE</v>
      </c>
    </row>
    <row r="2761" spans="1:8" x14ac:dyDescent="0.2">
      <c r="A2761" s="157"/>
      <c r="B2761" s="31" t="s">
        <v>10127</v>
      </c>
      <c r="C2761" s="31" t="s">
        <v>10128</v>
      </c>
      <c r="D2761" s="31" t="s">
        <v>2512</v>
      </c>
      <c r="E2761" s="61" t="b">
        <v>1</v>
      </c>
      <c r="F2761" s="106" t="s">
        <v>10129</v>
      </c>
      <c r="G2761" s="116" t="str">
        <f>HYPERLINK("http://nsgreg.nga.mil/genc/view?v=115102&amp;gencs=T&amp;end_month=3&amp;end_day=31&amp;end_year=2014","Quintana Roo")</f>
        <v>Quintana Roo</v>
      </c>
      <c r="H2761" s="87" t="str">
        <f>HYPERLINK("http://api.nsgreg.nga.mil/geo-division/ISO3166-2/6/ed3/MX-ROO","MX-ROO")</f>
        <v>MX-ROO</v>
      </c>
    </row>
    <row r="2762" spans="1:8" x14ac:dyDescent="0.2">
      <c r="A2762" s="157"/>
      <c r="B2762" s="31" t="s">
        <v>10130</v>
      </c>
      <c r="C2762" s="31" t="s">
        <v>10131</v>
      </c>
      <c r="D2762" s="31" t="s">
        <v>2512</v>
      </c>
      <c r="E2762" s="61" t="b">
        <v>1</v>
      </c>
      <c r="F2762" s="106" t="s">
        <v>10132</v>
      </c>
      <c r="G2762" s="116" t="str">
        <f>HYPERLINK("http://nsgreg.nga.mil/genc/view?v=115104&amp;gencs=T&amp;end_month=3&amp;end_day=31&amp;end_year=2014","San Luis Potosí")</f>
        <v>San Luis Potosí</v>
      </c>
      <c r="H2762" s="87" t="str">
        <f>HYPERLINK("http://api.nsgreg.nga.mil/geo-division/ISO3166-2/6/ed3/MX-SLP","MX-SLP")</f>
        <v>MX-SLP</v>
      </c>
    </row>
    <row r="2763" spans="1:8" x14ac:dyDescent="0.2">
      <c r="A2763" s="157"/>
      <c r="B2763" s="31" t="s">
        <v>10133</v>
      </c>
      <c r="C2763" s="31" t="s">
        <v>10134</v>
      </c>
      <c r="D2763" s="31" t="s">
        <v>2512</v>
      </c>
      <c r="E2763" s="61" t="b">
        <v>1</v>
      </c>
      <c r="F2763" s="106" t="s">
        <v>10135</v>
      </c>
      <c r="G2763" s="116" t="str">
        <f>HYPERLINK("http://nsgreg.nga.mil/genc/view?v=115103&amp;gencs=T&amp;end_month=3&amp;end_day=31&amp;end_year=2014","Sinaloa")</f>
        <v>Sinaloa</v>
      </c>
      <c r="H2763" s="87" t="str">
        <f>HYPERLINK("http://api.nsgreg.nga.mil/geo-division/ISO3166-2/6/ed3/MX-SIN","MX-SIN")</f>
        <v>MX-SIN</v>
      </c>
    </row>
    <row r="2764" spans="1:8" x14ac:dyDescent="0.2">
      <c r="A2764" s="157"/>
      <c r="B2764" s="31" t="s">
        <v>10136</v>
      </c>
      <c r="C2764" s="31" t="s">
        <v>10137</v>
      </c>
      <c r="D2764" s="31" t="s">
        <v>2512</v>
      </c>
      <c r="E2764" s="61" t="b">
        <v>1</v>
      </c>
      <c r="F2764" s="106" t="s">
        <v>10138</v>
      </c>
      <c r="G2764" s="116" t="str">
        <f>HYPERLINK("http://nsgreg.nga.mil/genc/view?v=115105&amp;gencs=T&amp;end_month=3&amp;end_day=31&amp;end_year=2014","Sonora")</f>
        <v>Sonora</v>
      </c>
      <c r="H2764" s="87" t="str">
        <f>HYPERLINK("http://api.nsgreg.nga.mil/geo-division/ISO3166-2/6/ed3/MX-SON","MX-SON")</f>
        <v>MX-SON</v>
      </c>
    </row>
    <row r="2765" spans="1:8" x14ac:dyDescent="0.2">
      <c r="A2765" s="157"/>
      <c r="B2765" s="31" t="s">
        <v>10139</v>
      </c>
      <c r="C2765" s="31" t="s">
        <v>10140</v>
      </c>
      <c r="D2765" s="31" t="s">
        <v>2512</v>
      </c>
      <c r="E2765" s="61" t="b">
        <v>1</v>
      </c>
      <c r="F2765" s="106" t="s">
        <v>10141</v>
      </c>
      <c r="G2765" s="116" t="str">
        <f>HYPERLINK("http://nsgreg.nga.mil/genc/view?v=115106&amp;gencs=T&amp;end_month=3&amp;end_day=31&amp;end_year=2014","Tabasco")</f>
        <v>Tabasco</v>
      </c>
      <c r="H2765" s="87" t="str">
        <f>HYPERLINK("http://api.nsgreg.nga.mil/geo-division/ISO3166-2/6/ed3/MX-TAB","MX-TAB")</f>
        <v>MX-TAB</v>
      </c>
    </row>
    <row r="2766" spans="1:8" x14ac:dyDescent="0.2">
      <c r="A2766" s="157"/>
      <c r="B2766" s="31" t="s">
        <v>10142</v>
      </c>
      <c r="C2766" s="31" t="s">
        <v>10143</v>
      </c>
      <c r="D2766" s="31" t="s">
        <v>2512</v>
      </c>
      <c r="E2766" s="61" t="b">
        <v>1</v>
      </c>
      <c r="F2766" s="106" t="s">
        <v>10144</v>
      </c>
      <c r="G2766" s="116" t="str">
        <f>HYPERLINK("http://nsgreg.nga.mil/genc/view?v=115107&amp;gencs=T&amp;end_month=3&amp;end_day=31&amp;end_year=2014","Tamaulipas")</f>
        <v>Tamaulipas</v>
      </c>
      <c r="H2766" s="87" t="str">
        <f>HYPERLINK("http://api.nsgreg.nga.mil/geo-division/ISO3166-2/6/ed3/MX-TAM","MX-TAM")</f>
        <v>MX-TAM</v>
      </c>
    </row>
    <row r="2767" spans="1:8" x14ac:dyDescent="0.2">
      <c r="A2767" s="157"/>
      <c r="B2767" s="31" t="s">
        <v>10145</v>
      </c>
      <c r="C2767" s="31" t="s">
        <v>10146</v>
      </c>
      <c r="D2767" s="31" t="s">
        <v>2512</v>
      </c>
      <c r="E2767" s="61" t="b">
        <v>1</v>
      </c>
      <c r="F2767" s="106" t="s">
        <v>10147</v>
      </c>
      <c r="G2767" s="116" t="str">
        <f>HYPERLINK("http://nsgreg.nga.mil/genc/view?v=115108&amp;gencs=T&amp;end_month=3&amp;end_day=31&amp;end_year=2014","Tlaxcala")</f>
        <v>Tlaxcala</v>
      </c>
      <c r="H2767" s="87" t="str">
        <f>HYPERLINK("http://api.nsgreg.nga.mil/geo-division/ISO3166-2/6/ed3/MX-TLA","MX-TLA")</f>
        <v>MX-TLA</v>
      </c>
    </row>
    <row r="2768" spans="1:8" x14ac:dyDescent="0.2">
      <c r="A2768" s="157"/>
      <c r="B2768" s="31" t="s">
        <v>10148</v>
      </c>
      <c r="C2768" s="31" t="s">
        <v>10149</v>
      </c>
      <c r="D2768" s="31" t="s">
        <v>2512</v>
      </c>
      <c r="E2768" s="61" t="b">
        <v>1</v>
      </c>
      <c r="F2768" s="106" t="s">
        <v>10150</v>
      </c>
      <c r="G2768" s="116" t="str">
        <f>HYPERLINK("http://nsgreg.nga.mil/genc/view?v=115109&amp;gencs=T&amp;end_month=3&amp;end_day=31&amp;end_year=2014","Veracruz")</f>
        <v>Veracruz</v>
      </c>
      <c r="H2768" s="87" t="str">
        <f>HYPERLINK("http://api.nsgreg.nga.mil/geo-division/ISO3166-2/6/ed3/MX-VER","MX-VER")</f>
        <v>MX-VER</v>
      </c>
    </row>
    <row r="2769" spans="1:8" x14ac:dyDescent="0.2">
      <c r="A2769" s="157"/>
      <c r="B2769" s="31" t="s">
        <v>10151</v>
      </c>
      <c r="C2769" s="31" t="s">
        <v>10152</v>
      </c>
      <c r="D2769" s="31" t="s">
        <v>2512</v>
      </c>
      <c r="E2769" s="61" t="b">
        <v>1</v>
      </c>
      <c r="F2769" s="106" t="s">
        <v>10153</v>
      </c>
      <c r="G2769" s="116" t="str">
        <f>HYPERLINK("http://nsgreg.nga.mil/genc/view?v=115110&amp;gencs=T&amp;end_month=3&amp;end_day=31&amp;end_year=2014","Yucatán")</f>
        <v>Yucatán</v>
      </c>
      <c r="H2769" s="87" t="str">
        <f>HYPERLINK("http://api.nsgreg.nga.mil/geo-division/ISO3166-2/6/ed3/MX-YUC","MX-YUC")</f>
        <v>MX-YUC</v>
      </c>
    </row>
    <row r="2770" spans="1:8" x14ac:dyDescent="0.2">
      <c r="A2770" s="158"/>
      <c r="B2770" s="58" t="s">
        <v>10154</v>
      </c>
      <c r="C2770" s="58" t="s">
        <v>10155</v>
      </c>
      <c r="D2770" s="58" t="s">
        <v>2512</v>
      </c>
      <c r="E2770" s="62" t="b">
        <v>1</v>
      </c>
      <c r="F2770" s="108" t="s">
        <v>10156</v>
      </c>
      <c r="G2770" s="117" t="str">
        <f>HYPERLINK("http://nsgreg.nga.mil/genc/view?v=115111&amp;gencs=T&amp;end_month=3&amp;end_day=31&amp;end_year=2014","Zacatecas")</f>
        <v>Zacatecas</v>
      </c>
      <c r="H2770" s="89" t="str">
        <f>HYPERLINK("http://api.nsgreg.nga.mil/geo-division/ISO3166-2/6/ed3/MX-ZAC","MX-ZAC")</f>
        <v>MX-ZAC</v>
      </c>
    </row>
    <row r="2771" spans="1:8" x14ac:dyDescent="0.2">
      <c r="A2771" s="156" t="str">
        <f>HYPERLINK("[#]Geopolitical_Entities!A172:I172","MICRONESIA, FEDERATED STATES OF")</f>
        <v>MICRONESIA, FEDERATED STATES OF</v>
      </c>
      <c r="B2771" s="52" t="s">
        <v>10157</v>
      </c>
      <c r="C2771" s="52" t="s">
        <v>10158</v>
      </c>
      <c r="D2771" s="52" t="s">
        <v>2512</v>
      </c>
      <c r="E2771" s="60" t="b">
        <v>1</v>
      </c>
      <c r="F2771" s="109" t="s">
        <v>10159</v>
      </c>
      <c r="G2771" s="118" t="str">
        <f>HYPERLINK("http://nsgreg.nga.mil/genc/view?v=113198&amp;gencs=T&amp;end_month=3&amp;end_day=31&amp;end_year=2014","Chuuk")</f>
        <v>Chuuk</v>
      </c>
      <c r="H2771" s="91" t="str">
        <f>HYPERLINK("http://api.nsgreg.nga.mil/geo-division/ISO3166-2/6/ed3/FM-TRK","FM-TRK")</f>
        <v>FM-TRK</v>
      </c>
    </row>
    <row r="2772" spans="1:8" x14ac:dyDescent="0.2">
      <c r="A2772" s="157"/>
      <c r="B2772" s="31" t="s">
        <v>10160</v>
      </c>
      <c r="C2772" s="31" t="s">
        <v>10161</v>
      </c>
      <c r="D2772" s="31" t="s">
        <v>2512</v>
      </c>
      <c r="E2772" s="61" t="b">
        <v>1</v>
      </c>
      <c r="F2772" s="106" t="s">
        <v>10162</v>
      </c>
      <c r="G2772" s="116" t="str">
        <f>HYPERLINK("http://nsgreg.nga.mil/genc/view?v=113196&amp;gencs=T&amp;end_month=3&amp;end_day=31&amp;end_year=2014","Kosrae")</f>
        <v>Kosrae</v>
      </c>
      <c r="H2772" s="87" t="str">
        <f>HYPERLINK("http://api.nsgreg.nga.mil/geo-division/ISO3166-2/6/ed3/FM-KSA","FM-KSA")</f>
        <v>FM-KSA</v>
      </c>
    </row>
    <row r="2773" spans="1:8" x14ac:dyDescent="0.2">
      <c r="A2773" s="157"/>
      <c r="B2773" s="31" t="s">
        <v>10163</v>
      </c>
      <c r="C2773" s="31" t="s">
        <v>10164</v>
      </c>
      <c r="D2773" s="31" t="s">
        <v>2512</v>
      </c>
      <c r="E2773" s="61" t="b">
        <v>1</v>
      </c>
      <c r="F2773" s="106" t="s">
        <v>10165</v>
      </c>
      <c r="G2773" s="116" t="str">
        <f>HYPERLINK("http://nsgreg.nga.mil/genc/view?v=113197&amp;gencs=T&amp;end_month=3&amp;end_day=31&amp;end_year=2014","Pohnpei")</f>
        <v>Pohnpei</v>
      </c>
      <c r="H2773" s="87" t="str">
        <f>HYPERLINK("http://api.nsgreg.nga.mil/geo-division/ISO3166-2/6/ed3/FM-PNI","FM-PNI")</f>
        <v>FM-PNI</v>
      </c>
    </row>
    <row r="2774" spans="1:8" x14ac:dyDescent="0.2">
      <c r="A2774" s="158"/>
      <c r="B2774" s="58" t="s">
        <v>10166</v>
      </c>
      <c r="C2774" s="58" t="s">
        <v>10167</v>
      </c>
      <c r="D2774" s="58" t="s">
        <v>2512</v>
      </c>
      <c r="E2774" s="62" t="b">
        <v>1</v>
      </c>
      <c r="F2774" s="108" t="s">
        <v>10168</v>
      </c>
      <c r="G2774" s="117" t="str">
        <f>HYPERLINK("http://nsgreg.nga.mil/genc/view?v=113199&amp;gencs=T&amp;end_month=3&amp;end_day=31&amp;end_year=2014","Yap")</f>
        <v>Yap</v>
      </c>
      <c r="H2774" s="89" t="str">
        <f>HYPERLINK("http://api.nsgreg.nga.mil/geo-division/ISO3166-2/6/ed3/FM-YAP","FM-YAP")</f>
        <v>FM-YAP</v>
      </c>
    </row>
    <row r="2775" spans="1:8" x14ac:dyDescent="0.2">
      <c r="A2775" s="156" t="str">
        <f>HYPERLINK("[#]Geopolitical_Entities!A174:I174","MOLDOVA")</f>
        <v>MOLDOVA</v>
      </c>
      <c r="B2775" s="52" t="s">
        <v>10169</v>
      </c>
      <c r="C2775" s="52" t="s">
        <v>10170</v>
      </c>
      <c r="D2775" s="52" t="s">
        <v>2026</v>
      </c>
      <c r="E2775" s="60" t="b">
        <v>1</v>
      </c>
      <c r="F2775" s="110" t="s">
        <v>10171</v>
      </c>
      <c r="G2775" s="118" t="str">
        <f>HYPERLINK("http://nsgreg.nga.mil/genc/view?v=202038&amp;end_month=3&amp;end_day=31&amp;end_year=2014","Anenii Noi")</f>
        <v>Anenii Noi</v>
      </c>
      <c r="H2775" s="91" t="str">
        <f>HYPERLINK("http://api.nsgreg.nga.mil/geo-division/GENC/6/ed2/MD-AN","MD-AN")</f>
        <v>MD-AN</v>
      </c>
    </row>
    <row r="2776" spans="1:8" x14ac:dyDescent="0.2">
      <c r="A2776" s="157"/>
      <c r="B2776" s="31" t="s">
        <v>10172</v>
      </c>
      <c r="C2776" s="31" t="s">
        <v>10173</v>
      </c>
      <c r="D2776" s="31" t="s">
        <v>3254</v>
      </c>
      <c r="E2776" s="61" t="b">
        <v>1</v>
      </c>
      <c r="F2776" s="107" t="s">
        <v>10174</v>
      </c>
      <c r="G2776" s="116" t="str">
        <f>HYPERLINK("http://nsgreg.nga.mil/genc/view?v=202039&amp;end_month=3&amp;end_day=31&amp;end_year=2014","Bălţi")</f>
        <v>Bălţi</v>
      </c>
      <c r="H2776" s="87" t="str">
        <f>HYPERLINK("http://api.nsgreg.nga.mil/geo-division/GENC/6/ed2/MD-BA","MD-BA")</f>
        <v>MD-BA</v>
      </c>
    </row>
    <row r="2777" spans="1:8" x14ac:dyDescent="0.2">
      <c r="A2777" s="157"/>
      <c r="B2777" s="31" t="s">
        <v>10175</v>
      </c>
      <c r="C2777" s="31" t="s">
        <v>10176</v>
      </c>
      <c r="D2777" s="31" t="s">
        <v>2026</v>
      </c>
      <c r="E2777" s="61" t="b">
        <v>1</v>
      </c>
      <c r="F2777" s="107" t="s">
        <v>10177</v>
      </c>
      <c r="G2777" s="116" t="str">
        <f>HYPERLINK("http://nsgreg.nga.mil/genc/view?v=202042&amp;end_month=3&amp;end_day=31&amp;end_year=2014","Basarabeasca")</f>
        <v>Basarabeasca</v>
      </c>
      <c r="H2777" s="87" t="str">
        <f>HYPERLINK("http://api.nsgreg.nga.mil/geo-division/GENC/6/ed2/MD-BS","MD-BS")</f>
        <v>MD-BS</v>
      </c>
    </row>
    <row r="2778" spans="1:8" x14ac:dyDescent="0.2">
      <c r="A2778" s="157"/>
      <c r="B2778" s="31" t="s">
        <v>10178</v>
      </c>
      <c r="C2778" s="31" t="s">
        <v>10179</v>
      </c>
      <c r="D2778" s="31" t="s">
        <v>3254</v>
      </c>
      <c r="E2778" s="61" t="b">
        <v>1</v>
      </c>
      <c r="F2778" s="107" t="s">
        <v>10180</v>
      </c>
      <c r="G2778" s="116" t="str">
        <f>HYPERLINK("http://nsgreg.nga.mil/genc/view?v=202040&amp;end_month=3&amp;end_day=31&amp;end_year=2014","Bender")</f>
        <v>Bender</v>
      </c>
      <c r="H2778" s="87" t="str">
        <f>HYPERLINK("http://api.nsgreg.nga.mil/geo-division/GENC/6/ed2/MD-BD","MD-BD")</f>
        <v>MD-BD</v>
      </c>
    </row>
    <row r="2779" spans="1:8" x14ac:dyDescent="0.2">
      <c r="A2779" s="157"/>
      <c r="B2779" s="31" t="s">
        <v>10181</v>
      </c>
      <c r="C2779" s="31" t="s">
        <v>10182</v>
      </c>
      <c r="D2779" s="31" t="s">
        <v>2026</v>
      </c>
      <c r="E2779" s="61" t="b">
        <v>1</v>
      </c>
      <c r="F2779" s="107" t="s">
        <v>10183</v>
      </c>
      <c r="G2779" s="116" t="str">
        <f>HYPERLINK("http://nsgreg.nga.mil/genc/view?v=202041&amp;end_month=3&amp;end_day=31&amp;end_year=2014","Briceni")</f>
        <v>Briceni</v>
      </c>
      <c r="H2779" s="87" t="str">
        <f>HYPERLINK("http://api.nsgreg.nga.mil/geo-division/GENC/6/ed2/MD-BR","MD-BR")</f>
        <v>MD-BR</v>
      </c>
    </row>
    <row r="2780" spans="1:8" x14ac:dyDescent="0.2">
      <c r="A2780" s="157"/>
      <c r="B2780" s="31" t="s">
        <v>10184</v>
      </c>
      <c r="C2780" s="31" t="s">
        <v>10185</v>
      </c>
      <c r="D2780" s="31" t="s">
        <v>2026</v>
      </c>
      <c r="E2780" s="61" t="b">
        <v>1</v>
      </c>
      <c r="F2780" s="107" t="s">
        <v>10186</v>
      </c>
      <c r="G2780" s="116" t="str">
        <f>HYPERLINK("http://nsgreg.nga.mil/genc/view?v=202043&amp;end_month=3&amp;end_day=31&amp;end_year=2014","Cahul")</f>
        <v>Cahul</v>
      </c>
      <c r="H2780" s="87" t="str">
        <f>HYPERLINK("http://api.nsgreg.nga.mil/geo-division/GENC/6/ed2/MD-CA","MD-CA")</f>
        <v>MD-CA</v>
      </c>
    </row>
    <row r="2781" spans="1:8" x14ac:dyDescent="0.2">
      <c r="A2781" s="157"/>
      <c r="B2781" s="31" t="s">
        <v>10187</v>
      </c>
      <c r="C2781" s="31" t="s">
        <v>10188</v>
      </c>
      <c r="D2781" s="31" t="s">
        <v>2026</v>
      </c>
      <c r="E2781" s="61" t="b">
        <v>1</v>
      </c>
      <c r="F2781" s="107" t="s">
        <v>10189</v>
      </c>
      <c r="G2781" s="116" t="str">
        <f>HYPERLINK("http://nsgreg.nga.mil/genc/view?v=202044&amp;end_month=3&amp;end_day=31&amp;end_year=2014","Călăraşi")</f>
        <v>Călăraşi</v>
      </c>
      <c r="H2781" s="87" t="str">
        <f>HYPERLINK("http://api.nsgreg.nga.mil/geo-division/GENC/6/ed2/MD-CL","MD-CL")</f>
        <v>MD-CL</v>
      </c>
    </row>
    <row r="2782" spans="1:8" x14ac:dyDescent="0.2">
      <c r="A2782" s="157"/>
      <c r="B2782" s="31" t="s">
        <v>10190</v>
      </c>
      <c r="C2782" s="31" t="s">
        <v>10191</v>
      </c>
      <c r="D2782" s="31" t="s">
        <v>2026</v>
      </c>
      <c r="E2782" s="61" t="b">
        <v>1</v>
      </c>
      <c r="F2782" s="107" t="s">
        <v>10192</v>
      </c>
      <c r="G2782" s="116" t="str">
        <f>HYPERLINK("http://nsgreg.nga.mil/genc/view?v=202048&amp;end_month=3&amp;end_day=31&amp;end_year=2014","Cantemir")</f>
        <v>Cantemir</v>
      </c>
      <c r="H2782" s="87" t="str">
        <f>HYPERLINK("http://api.nsgreg.nga.mil/geo-division/GENC/6/ed2/MD-CT","MD-CT")</f>
        <v>MD-CT</v>
      </c>
    </row>
    <row r="2783" spans="1:8" x14ac:dyDescent="0.2">
      <c r="A2783" s="157"/>
      <c r="B2783" s="31" t="s">
        <v>10193</v>
      </c>
      <c r="C2783" s="31" t="s">
        <v>10194</v>
      </c>
      <c r="D2783" s="31" t="s">
        <v>2026</v>
      </c>
      <c r="E2783" s="61" t="b">
        <v>1</v>
      </c>
      <c r="F2783" s="107" t="s">
        <v>10195</v>
      </c>
      <c r="G2783" s="116" t="str">
        <f>HYPERLINK("http://nsgreg.nga.mil/genc/view?v=202047&amp;end_month=3&amp;end_day=31&amp;end_year=2014","Căuşeni")</f>
        <v>Căuşeni</v>
      </c>
      <c r="H2783" s="87" t="str">
        <f>HYPERLINK("http://api.nsgreg.nga.mil/geo-division/GENC/6/ed2/MD-CS","MD-CS")</f>
        <v>MD-CS</v>
      </c>
    </row>
    <row r="2784" spans="1:8" x14ac:dyDescent="0.2">
      <c r="A2784" s="157"/>
      <c r="B2784" s="31" t="s">
        <v>10196</v>
      </c>
      <c r="C2784" s="31" t="s">
        <v>10197</v>
      </c>
      <c r="D2784" s="31" t="s">
        <v>3254</v>
      </c>
      <c r="E2784" s="61" t="b">
        <v>1</v>
      </c>
      <c r="F2784" s="107" t="s">
        <v>10198</v>
      </c>
      <c r="G2784" s="116" t="str">
        <f>HYPERLINK("http://nsgreg.nga.mil/genc/view?v=202049&amp;end_month=3&amp;end_day=31&amp;end_year=2014","Chişinău")</f>
        <v>Chişinău</v>
      </c>
      <c r="H2784" s="87" t="str">
        <f>HYPERLINK("http://api.nsgreg.nga.mil/geo-division/GENC/6/ed2/MD-CU","MD-CU")</f>
        <v>MD-CU</v>
      </c>
    </row>
    <row r="2785" spans="1:8" x14ac:dyDescent="0.2">
      <c r="A2785" s="157"/>
      <c r="B2785" s="31" t="s">
        <v>10199</v>
      </c>
      <c r="C2785" s="31" t="s">
        <v>10200</v>
      </c>
      <c r="D2785" s="31" t="s">
        <v>2026</v>
      </c>
      <c r="E2785" s="61" t="b">
        <v>1</v>
      </c>
      <c r="F2785" s="107" t="s">
        <v>10201</v>
      </c>
      <c r="G2785" s="116" t="str">
        <f>HYPERLINK("http://nsgreg.nga.mil/genc/view?v=202045&amp;end_month=3&amp;end_day=31&amp;end_year=2014","Cimişlia")</f>
        <v>Cimişlia</v>
      </c>
      <c r="H2785" s="87" t="str">
        <f>HYPERLINK("http://api.nsgreg.nga.mil/geo-division/GENC/6/ed2/MD-CM","MD-CM")</f>
        <v>MD-CM</v>
      </c>
    </row>
    <row r="2786" spans="1:8" x14ac:dyDescent="0.2">
      <c r="A2786" s="157"/>
      <c r="B2786" s="31" t="s">
        <v>10202</v>
      </c>
      <c r="C2786" s="31" t="s">
        <v>10203</v>
      </c>
      <c r="D2786" s="31" t="s">
        <v>2026</v>
      </c>
      <c r="E2786" s="61" t="b">
        <v>1</v>
      </c>
      <c r="F2786" s="107" t="s">
        <v>10204</v>
      </c>
      <c r="G2786" s="116" t="str">
        <f>HYPERLINK("http://nsgreg.nga.mil/genc/view?v=202046&amp;end_month=3&amp;end_day=31&amp;end_year=2014","Criuleni")</f>
        <v>Criuleni</v>
      </c>
      <c r="H2786" s="87" t="str">
        <f>HYPERLINK("http://api.nsgreg.nga.mil/geo-division/GENC/6/ed2/MD-CR","MD-CR")</f>
        <v>MD-CR</v>
      </c>
    </row>
    <row r="2787" spans="1:8" x14ac:dyDescent="0.2">
      <c r="A2787" s="157"/>
      <c r="B2787" s="31" t="s">
        <v>10205</v>
      </c>
      <c r="C2787" s="31" t="s">
        <v>10206</v>
      </c>
      <c r="D2787" s="31" t="s">
        <v>2026</v>
      </c>
      <c r="E2787" s="61" t="b">
        <v>1</v>
      </c>
      <c r="F2787" s="107" t="s">
        <v>10207</v>
      </c>
      <c r="G2787" s="116" t="str">
        <f>HYPERLINK("http://nsgreg.nga.mil/genc/view?v=202050&amp;end_month=3&amp;end_day=31&amp;end_year=2014","Donduşeni")</f>
        <v>Donduşeni</v>
      </c>
      <c r="H2787" s="87" t="str">
        <f>HYPERLINK("http://api.nsgreg.nga.mil/geo-division/GENC/6/ed2/MD-DO","MD-DO")</f>
        <v>MD-DO</v>
      </c>
    </row>
    <row r="2788" spans="1:8" x14ac:dyDescent="0.2">
      <c r="A2788" s="157"/>
      <c r="B2788" s="31" t="s">
        <v>10208</v>
      </c>
      <c r="C2788" s="31" t="s">
        <v>10209</v>
      </c>
      <c r="D2788" s="31" t="s">
        <v>2026</v>
      </c>
      <c r="E2788" s="61" t="b">
        <v>1</v>
      </c>
      <c r="F2788" s="107" t="s">
        <v>10210</v>
      </c>
      <c r="G2788" s="116" t="str">
        <f>HYPERLINK("http://nsgreg.nga.mil/genc/view?v=202051&amp;end_month=3&amp;end_day=31&amp;end_year=2014","Drochia")</f>
        <v>Drochia</v>
      </c>
      <c r="H2788" s="87" t="str">
        <f>HYPERLINK("http://api.nsgreg.nga.mil/geo-division/GENC/6/ed2/MD-DR","MD-DR")</f>
        <v>MD-DR</v>
      </c>
    </row>
    <row r="2789" spans="1:8" x14ac:dyDescent="0.2">
      <c r="A2789" s="157"/>
      <c r="B2789" s="31" t="s">
        <v>10211</v>
      </c>
      <c r="C2789" s="31" t="s">
        <v>10212</v>
      </c>
      <c r="D2789" s="31" t="s">
        <v>2026</v>
      </c>
      <c r="E2789" s="61" t="b">
        <v>1</v>
      </c>
      <c r="F2789" s="107" t="s">
        <v>10213</v>
      </c>
      <c r="G2789" s="116" t="str">
        <f>HYPERLINK("http://nsgreg.nga.mil/genc/view?v=202052&amp;end_month=3&amp;end_day=31&amp;end_year=2014","Dubăsari")</f>
        <v>Dubăsari</v>
      </c>
      <c r="H2789" s="87" t="str">
        <f>HYPERLINK("http://api.nsgreg.nga.mil/geo-division/GENC/6/ed2/MD-DU","MD-DU")</f>
        <v>MD-DU</v>
      </c>
    </row>
    <row r="2790" spans="1:8" x14ac:dyDescent="0.2">
      <c r="A2790" s="157"/>
      <c r="B2790" s="31" t="s">
        <v>10214</v>
      </c>
      <c r="C2790" s="31" t="s">
        <v>10215</v>
      </c>
      <c r="D2790" s="31" t="s">
        <v>2026</v>
      </c>
      <c r="E2790" s="61" t="b">
        <v>1</v>
      </c>
      <c r="F2790" s="107" t="s">
        <v>10216</v>
      </c>
      <c r="G2790" s="116" t="str">
        <f>HYPERLINK("http://nsgreg.nga.mil/genc/view?v=202053&amp;end_month=3&amp;end_day=31&amp;end_year=2014","Edineţ")</f>
        <v>Edineţ</v>
      </c>
      <c r="H2790" s="87" t="str">
        <f>HYPERLINK("http://api.nsgreg.nga.mil/geo-division/GENC/6/ed2/MD-ED","MD-ED")</f>
        <v>MD-ED</v>
      </c>
    </row>
    <row r="2791" spans="1:8" x14ac:dyDescent="0.2">
      <c r="A2791" s="157"/>
      <c r="B2791" s="31" t="s">
        <v>10217</v>
      </c>
      <c r="C2791" s="31" t="s">
        <v>10218</v>
      </c>
      <c r="D2791" s="31" t="s">
        <v>2026</v>
      </c>
      <c r="E2791" s="61" t="b">
        <v>1</v>
      </c>
      <c r="F2791" s="107" t="s">
        <v>10219</v>
      </c>
      <c r="G2791" s="116" t="str">
        <f>HYPERLINK("http://nsgreg.nga.mil/genc/view?v=202054&amp;end_month=3&amp;end_day=31&amp;end_year=2014","Făleşti")</f>
        <v>Făleşti</v>
      </c>
      <c r="H2791" s="87" t="str">
        <f>HYPERLINK("http://api.nsgreg.nga.mil/geo-division/GENC/6/ed2/MD-FA","MD-FA")</f>
        <v>MD-FA</v>
      </c>
    </row>
    <row r="2792" spans="1:8" x14ac:dyDescent="0.2">
      <c r="A2792" s="157"/>
      <c r="B2792" s="31" t="s">
        <v>10220</v>
      </c>
      <c r="C2792" s="31" t="s">
        <v>10221</v>
      </c>
      <c r="D2792" s="31" t="s">
        <v>2026</v>
      </c>
      <c r="E2792" s="61" t="b">
        <v>1</v>
      </c>
      <c r="F2792" s="107" t="s">
        <v>10222</v>
      </c>
      <c r="G2792" s="116" t="str">
        <f>HYPERLINK("http://nsgreg.nga.mil/genc/view?v=202055&amp;end_month=3&amp;end_day=31&amp;end_year=2014","Floreşti")</f>
        <v>Floreşti</v>
      </c>
      <c r="H2792" s="87" t="str">
        <f>HYPERLINK("http://api.nsgreg.nga.mil/geo-division/GENC/6/ed2/MD-FL","MD-FL")</f>
        <v>MD-FL</v>
      </c>
    </row>
    <row r="2793" spans="1:8" x14ac:dyDescent="0.2">
      <c r="A2793" s="157"/>
      <c r="B2793" s="31" t="s">
        <v>10223</v>
      </c>
      <c r="C2793" s="31" t="s">
        <v>10224</v>
      </c>
      <c r="D2793" s="31" t="s">
        <v>10225</v>
      </c>
      <c r="E2793" s="61" t="b">
        <v>1</v>
      </c>
      <c r="F2793" s="107" t="s">
        <v>10226</v>
      </c>
      <c r="G2793" s="116" t="str">
        <f>HYPERLINK("http://nsgreg.nga.mil/genc/view?v=202056&amp;end_month=3&amp;end_day=31&amp;end_year=2014","Găgăuzia")</f>
        <v>Găgăuzia</v>
      </c>
      <c r="H2793" s="87" t="str">
        <f>HYPERLINK("http://api.nsgreg.nga.mil/geo-division/GENC/6/ed2/MD-GA","MD-GA")</f>
        <v>MD-GA</v>
      </c>
    </row>
    <row r="2794" spans="1:8" x14ac:dyDescent="0.2">
      <c r="A2794" s="157"/>
      <c r="B2794" s="31" t="s">
        <v>10227</v>
      </c>
      <c r="C2794" s="31" t="s">
        <v>10228</v>
      </c>
      <c r="D2794" s="31" t="s">
        <v>2026</v>
      </c>
      <c r="E2794" s="61" t="b">
        <v>1</v>
      </c>
      <c r="F2794" s="107" t="s">
        <v>10229</v>
      </c>
      <c r="G2794" s="116" t="str">
        <f>HYPERLINK("http://nsgreg.nga.mil/genc/view?v=202057&amp;end_month=3&amp;end_day=31&amp;end_year=2014","Glodeni")</f>
        <v>Glodeni</v>
      </c>
      <c r="H2794" s="87" t="str">
        <f>HYPERLINK("http://api.nsgreg.nga.mil/geo-division/GENC/6/ed2/MD-GL","MD-GL")</f>
        <v>MD-GL</v>
      </c>
    </row>
    <row r="2795" spans="1:8" x14ac:dyDescent="0.2">
      <c r="A2795" s="157"/>
      <c r="B2795" s="31" t="s">
        <v>10230</v>
      </c>
      <c r="C2795" s="31" t="s">
        <v>10231</v>
      </c>
      <c r="D2795" s="31" t="s">
        <v>2026</v>
      </c>
      <c r="E2795" s="61" t="b">
        <v>1</v>
      </c>
      <c r="F2795" s="107" t="s">
        <v>10232</v>
      </c>
      <c r="G2795" s="116" t="str">
        <f>HYPERLINK("http://nsgreg.nga.mil/genc/view?v=202058&amp;end_month=3&amp;end_day=31&amp;end_year=2014","Hînceşti")</f>
        <v>Hînceşti</v>
      </c>
      <c r="H2795" s="87" t="str">
        <f>HYPERLINK("http://api.nsgreg.nga.mil/geo-division/GENC/6/ed2/MD-HI","MD-HI")</f>
        <v>MD-HI</v>
      </c>
    </row>
    <row r="2796" spans="1:8" x14ac:dyDescent="0.2">
      <c r="A2796" s="157"/>
      <c r="B2796" s="31" t="s">
        <v>10233</v>
      </c>
      <c r="C2796" s="31" t="s">
        <v>10234</v>
      </c>
      <c r="D2796" s="31" t="s">
        <v>2026</v>
      </c>
      <c r="E2796" s="61" t="b">
        <v>1</v>
      </c>
      <c r="F2796" s="107" t="s">
        <v>10235</v>
      </c>
      <c r="G2796" s="116" t="str">
        <f>HYPERLINK("http://nsgreg.nga.mil/genc/view?v=202059&amp;end_month=3&amp;end_day=31&amp;end_year=2014","Ialoveni")</f>
        <v>Ialoveni</v>
      </c>
      <c r="H2796" s="87" t="str">
        <f>HYPERLINK("http://api.nsgreg.nga.mil/geo-division/GENC/6/ed2/MD-IA","MD-IA")</f>
        <v>MD-IA</v>
      </c>
    </row>
    <row r="2797" spans="1:8" x14ac:dyDescent="0.2">
      <c r="A2797" s="157"/>
      <c r="B2797" s="31" t="s">
        <v>10236</v>
      </c>
      <c r="C2797" s="31" t="s">
        <v>10237</v>
      </c>
      <c r="D2797" s="31" t="s">
        <v>2026</v>
      </c>
      <c r="E2797" s="61" t="b">
        <v>1</v>
      </c>
      <c r="F2797" s="107" t="s">
        <v>10238</v>
      </c>
      <c r="G2797" s="116" t="str">
        <f>HYPERLINK("http://nsgreg.nga.mil/genc/view?v=202060&amp;end_month=3&amp;end_day=31&amp;end_year=2014","Leova")</f>
        <v>Leova</v>
      </c>
      <c r="H2797" s="87" t="str">
        <f>HYPERLINK("http://api.nsgreg.nga.mil/geo-division/GENC/6/ed2/MD-LE","MD-LE")</f>
        <v>MD-LE</v>
      </c>
    </row>
    <row r="2798" spans="1:8" x14ac:dyDescent="0.2">
      <c r="A2798" s="157"/>
      <c r="B2798" s="31" t="s">
        <v>10239</v>
      </c>
      <c r="C2798" s="31" t="s">
        <v>10240</v>
      </c>
      <c r="D2798" s="31" t="s">
        <v>2026</v>
      </c>
      <c r="E2798" s="61" t="b">
        <v>1</v>
      </c>
      <c r="F2798" s="107" t="s">
        <v>10241</v>
      </c>
      <c r="G2798" s="116" t="str">
        <f>HYPERLINK("http://nsgreg.nga.mil/genc/view?v=202061&amp;end_month=3&amp;end_day=31&amp;end_year=2014","Nisporeni")</f>
        <v>Nisporeni</v>
      </c>
      <c r="H2798" s="87" t="str">
        <f>HYPERLINK("http://api.nsgreg.nga.mil/geo-division/GENC/6/ed2/MD-NI","MD-NI")</f>
        <v>MD-NI</v>
      </c>
    </row>
    <row r="2799" spans="1:8" x14ac:dyDescent="0.2">
      <c r="A2799" s="157"/>
      <c r="B2799" s="31" t="s">
        <v>10242</v>
      </c>
      <c r="C2799" s="31" t="s">
        <v>10243</v>
      </c>
      <c r="D2799" s="31" t="s">
        <v>2026</v>
      </c>
      <c r="E2799" s="61" t="b">
        <v>1</v>
      </c>
      <c r="F2799" s="107" t="s">
        <v>10244</v>
      </c>
      <c r="G2799" s="116" t="str">
        <f>HYPERLINK("http://nsgreg.nga.mil/genc/view?v=202062&amp;end_month=3&amp;end_day=31&amp;end_year=2014","Ocniţa")</f>
        <v>Ocniţa</v>
      </c>
      <c r="H2799" s="87" t="str">
        <f>HYPERLINK("http://api.nsgreg.nga.mil/geo-division/GENC/6/ed2/MD-OC","MD-OC")</f>
        <v>MD-OC</v>
      </c>
    </row>
    <row r="2800" spans="1:8" x14ac:dyDescent="0.2">
      <c r="A2800" s="157"/>
      <c r="B2800" s="31" t="s">
        <v>10245</v>
      </c>
      <c r="C2800" s="31" t="s">
        <v>10246</v>
      </c>
      <c r="D2800" s="31" t="s">
        <v>2026</v>
      </c>
      <c r="E2800" s="61" t="b">
        <v>1</v>
      </c>
      <c r="F2800" s="107" t="s">
        <v>10247</v>
      </c>
      <c r="G2800" s="116" t="str">
        <f>HYPERLINK("http://nsgreg.nga.mil/genc/view?v=202063&amp;end_month=3&amp;end_day=31&amp;end_year=2014","Orhei")</f>
        <v>Orhei</v>
      </c>
      <c r="H2800" s="87" t="str">
        <f>HYPERLINK("http://api.nsgreg.nga.mil/geo-division/GENC/6/ed2/MD-OR","MD-OR")</f>
        <v>MD-OR</v>
      </c>
    </row>
    <row r="2801" spans="1:8" x14ac:dyDescent="0.2">
      <c r="A2801" s="157"/>
      <c r="B2801" s="31" t="s">
        <v>10248</v>
      </c>
      <c r="C2801" s="31" t="s">
        <v>10249</v>
      </c>
      <c r="D2801" s="31" t="s">
        <v>2026</v>
      </c>
      <c r="E2801" s="61" t="b">
        <v>1</v>
      </c>
      <c r="F2801" s="107" t="s">
        <v>10250</v>
      </c>
      <c r="G2801" s="116" t="str">
        <f>HYPERLINK("http://nsgreg.nga.mil/genc/view?v=202064&amp;end_month=3&amp;end_day=31&amp;end_year=2014","Rezina")</f>
        <v>Rezina</v>
      </c>
      <c r="H2801" s="87" t="str">
        <f>HYPERLINK("http://api.nsgreg.nga.mil/geo-division/GENC/6/ed2/MD-RE","MD-RE")</f>
        <v>MD-RE</v>
      </c>
    </row>
    <row r="2802" spans="1:8" x14ac:dyDescent="0.2">
      <c r="A2802" s="157"/>
      <c r="B2802" s="31" t="s">
        <v>10251</v>
      </c>
      <c r="C2802" s="31" t="s">
        <v>10252</v>
      </c>
      <c r="D2802" s="31" t="s">
        <v>2026</v>
      </c>
      <c r="E2802" s="61" t="b">
        <v>1</v>
      </c>
      <c r="F2802" s="107" t="s">
        <v>10253</v>
      </c>
      <c r="G2802" s="116" t="str">
        <f>HYPERLINK("http://nsgreg.nga.mil/genc/view?v=202065&amp;end_month=3&amp;end_day=31&amp;end_year=2014","Rîşcani")</f>
        <v>Rîşcani</v>
      </c>
      <c r="H2802" s="87" t="str">
        <f>HYPERLINK("http://api.nsgreg.nga.mil/geo-division/GENC/6/ed2/MD-RI","MD-RI")</f>
        <v>MD-RI</v>
      </c>
    </row>
    <row r="2803" spans="1:8" x14ac:dyDescent="0.2">
      <c r="A2803" s="157"/>
      <c r="B2803" s="31" t="s">
        <v>10254</v>
      </c>
      <c r="C2803" s="31" t="s">
        <v>10255</v>
      </c>
      <c r="D2803" s="31" t="s">
        <v>2026</v>
      </c>
      <c r="E2803" s="61" t="b">
        <v>1</v>
      </c>
      <c r="F2803" s="107" t="s">
        <v>10256</v>
      </c>
      <c r="G2803" s="116" t="str">
        <f>HYPERLINK("http://nsgreg.nga.mil/genc/view?v=202067&amp;end_month=3&amp;end_day=31&amp;end_year=2014","Sîngerei")</f>
        <v>Sîngerei</v>
      </c>
      <c r="H2803" s="87" t="str">
        <f>HYPERLINK("http://api.nsgreg.nga.mil/geo-division/GENC/6/ed2/MD-SI","MD-SI")</f>
        <v>MD-SI</v>
      </c>
    </row>
    <row r="2804" spans="1:8" x14ac:dyDescent="0.2">
      <c r="A2804" s="157"/>
      <c r="B2804" s="31" t="s">
        <v>10257</v>
      </c>
      <c r="C2804" s="31" t="s">
        <v>10258</v>
      </c>
      <c r="D2804" s="31" t="s">
        <v>2026</v>
      </c>
      <c r="E2804" s="61" t="b">
        <v>1</v>
      </c>
      <c r="F2804" s="107" t="s">
        <v>10259</v>
      </c>
      <c r="G2804" s="116" t="str">
        <f>HYPERLINK("http://nsgreg.nga.mil/genc/view?v=202066&amp;end_month=3&amp;end_day=31&amp;end_year=2014","Şoldăneşti")</f>
        <v>Şoldăneşti</v>
      </c>
      <c r="H2804" s="87" t="str">
        <f>HYPERLINK("http://api.nsgreg.nga.mil/geo-division/GENC/6/ed2/MD-SD","MD-SD")</f>
        <v>MD-SD</v>
      </c>
    </row>
    <row r="2805" spans="1:8" x14ac:dyDescent="0.2">
      <c r="A2805" s="157"/>
      <c r="B2805" s="31" t="s">
        <v>10260</v>
      </c>
      <c r="C2805" s="31" t="s">
        <v>10261</v>
      </c>
      <c r="D2805" s="31" t="s">
        <v>2026</v>
      </c>
      <c r="E2805" s="61" t="b">
        <v>1</v>
      </c>
      <c r="F2805" s="107" t="s">
        <v>10262</v>
      </c>
      <c r="G2805" s="116" t="str">
        <f>HYPERLINK("http://nsgreg.nga.mil/genc/view?v=202069&amp;end_month=3&amp;end_day=31&amp;end_year=2014","Soroca")</f>
        <v>Soroca</v>
      </c>
      <c r="H2805" s="87" t="str">
        <f>HYPERLINK("http://api.nsgreg.nga.mil/geo-division/GENC/6/ed2/MD-SO","MD-SO")</f>
        <v>MD-SO</v>
      </c>
    </row>
    <row r="2806" spans="1:8" x14ac:dyDescent="0.2">
      <c r="A2806" s="157"/>
      <c r="B2806" s="31" t="s">
        <v>10263</v>
      </c>
      <c r="C2806" s="31" t="s">
        <v>10264</v>
      </c>
      <c r="D2806" s="31" t="s">
        <v>2026</v>
      </c>
      <c r="E2806" s="61" t="b">
        <v>1</v>
      </c>
      <c r="F2806" s="107" t="s">
        <v>10265</v>
      </c>
      <c r="G2806" s="116" t="str">
        <f>HYPERLINK("http://nsgreg.nga.mil/genc/view?v=202071&amp;end_month=3&amp;end_day=31&amp;end_year=2014","Ştefan-Vodă")</f>
        <v>Ştefan-Vodă</v>
      </c>
      <c r="H2806" s="87" t="str">
        <f>HYPERLINK("http://api.nsgreg.nga.mil/geo-division/GENC/6/ed2/MD-SV","MD-SV")</f>
        <v>MD-SV</v>
      </c>
    </row>
    <row r="2807" spans="1:8" x14ac:dyDescent="0.2">
      <c r="A2807" s="157"/>
      <c r="B2807" s="31" t="s">
        <v>10266</v>
      </c>
      <c r="C2807" s="31" t="s">
        <v>10267</v>
      </c>
      <c r="D2807" s="31" t="s">
        <v>10268</v>
      </c>
      <c r="E2807" s="61" t="b">
        <v>1</v>
      </c>
      <c r="F2807" s="107" t="s">
        <v>10269</v>
      </c>
      <c r="G2807" s="116" t="str">
        <f>HYPERLINK("http://nsgreg.nga.mil/genc/view?v=202068&amp;end_month=3&amp;end_day=31&amp;end_year=2014","Stînga Nistrului")</f>
        <v>Stînga Nistrului</v>
      </c>
      <c r="H2807" s="87" t="str">
        <f>HYPERLINK("http://api.nsgreg.nga.mil/geo-division/GENC/6/ed2/MD-SN","MD-SN")</f>
        <v>MD-SN</v>
      </c>
    </row>
    <row r="2808" spans="1:8" x14ac:dyDescent="0.2">
      <c r="A2808" s="157"/>
      <c r="B2808" s="31" t="s">
        <v>10270</v>
      </c>
      <c r="C2808" s="31" t="s">
        <v>10271</v>
      </c>
      <c r="D2808" s="31" t="s">
        <v>2026</v>
      </c>
      <c r="E2808" s="61" t="b">
        <v>1</v>
      </c>
      <c r="F2808" s="107" t="s">
        <v>10272</v>
      </c>
      <c r="G2808" s="116" t="str">
        <f>HYPERLINK("http://nsgreg.nga.mil/genc/view?v=202070&amp;end_month=3&amp;end_day=31&amp;end_year=2014","Străşeni")</f>
        <v>Străşeni</v>
      </c>
      <c r="H2808" s="87" t="str">
        <f>HYPERLINK("http://api.nsgreg.nga.mil/geo-division/GENC/6/ed2/MD-ST","MD-ST")</f>
        <v>MD-ST</v>
      </c>
    </row>
    <row r="2809" spans="1:8" x14ac:dyDescent="0.2">
      <c r="A2809" s="157"/>
      <c r="B2809" s="31" t="s">
        <v>10273</v>
      </c>
      <c r="C2809" s="31" t="s">
        <v>10274</v>
      </c>
      <c r="D2809" s="31" t="s">
        <v>2026</v>
      </c>
      <c r="E2809" s="61" t="b">
        <v>1</v>
      </c>
      <c r="F2809" s="107" t="s">
        <v>10275</v>
      </c>
      <c r="G2809" s="116" t="str">
        <f>HYPERLINK("http://nsgreg.nga.mil/genc/view?v=202072&amp;end_month=3&amp;end_day=31&amp;end_year=2014","Taraclia")</f>
        <v>Taraclia</v>
      </c>
      <c r="H2809" s="87" t="str">
        <f>HYPERLINK("http://api.nsgreg.nga.mil/geo-division/GENC/6/ed2/MD-TA","MD-TA")</f>
        <v>MD-TA</v>
      </c>
    </row>
    <row r="2810" spans="1:8" x14ac:dyDescent="0.2">
      <c r="A2810" s="157"/>
      <c r="B2810" s="31" t="s">
        <v>10276</v>
      </c>
      <c r="C2810" s="31" t="s">
        <v>10277</v>
      </c>
      <c r="D2810" s="31" t="s">
        <v>2026</v>
      </c>
      <c r="E2810" s="61" t="b">
        <v>1</v>
      </c>
      <c r="F2810" s="107" t="s">
        <v>10278</v>
      </c>
      <c r="G2810" s="116" t="str">
        <f>HYPERLINK("http://nsgreg.nga.mil/genc/view?v=202073&amp;end_month=3&amp;end_day=31&amp;end_year=2014","Teleneşti")</f>
        <v>Teleneşti</v>
      </c>
      <c r="H2810" s="87" t="str">
        <f>HYPERLINK("http://api.nsgreg.nga.mil/geo-division/GENC/6/ed2/MD-TE","MD-TE")</f>
        <v>MD-TE</v>
      </c>
    </row>
    <row r="2811" spans="1:8" x14ac:dyDescent="0.2">
      <c r="A2811" s="158"/>
      <c r="B2811" s="58" t="s">
        <v>10279</v>
      </c>
      <c r="C2811" s="58" t="s">
        <v>10280</v>
      </c>
      <c r="D2811" s="58" t="s">
        <v>2026</v>
      </c>
      <c r="E2811" s="62" t="b">
        <v>1</v>
      </c>
      <c r="F2811" s="111" t="s">
        <v>10281</v>
      </c>
      <c r="G2811" s="117" t="str">
        <f>HYPERLINK("http://nsgreg.nga.mil/genc/view?v=202074&amp;end_month=3&amp;end_day=31&amp;end_year=2014","Ungheni")</f>
        <v>Ungheni</v>
      </c>
      <c r="H2811" s="89" t="str">
        <f>HYPERLINK("http://api.nsgreg.nga.mil/geo-division/GENC/6/ed2/MD-UN","MD-UN")</f>
        <v>MD-UN</v>
      </c>
    </row>
    <row r="2812" spans="1:8" x14ac:dyDescent="0.2">
      <c r="A2812" s="156" t="str">
        <f>HYPERLINK("[#]Geopolitical_Entities!A175:I175","MONACO")</f>
        <v>MONACO</v>
      </c>
      <c r="B2812" s="52" t="s">
        <v>10282</v>
      </c>
      <c r="C2812" s="52" t="s">
        <v>10283</v>
      </c>
      <c r="D2812" s="102" t="s">
        <v>10284</v>
      </c>
      <c r="E2812" s="103" t="b">
        <v>0</v>
      </c>
      <c r="F2812" s="109" t="s">
        <v>10285</v>
      </c>
      <c r="G2812" s="118" t="str">
        <f>HYPERLINK("http://nsgreg.nga.mil/genc/view?v=114689&amp;gencs=T&amp;end_month=3&amp;end_day=31&amp;end_year=2014","Fontvieille")</f>
        <v>Fontvieille</v>
      </c>
      <c r="H2812" s="91" t="str">
        <f>HYPERLINK("http://api.nsgreg.nga.mil/geo-division/ISO3166-2/6/ed3/MC-FO","MC-FO")</f>
        <v>MC-FO</v>
      </c>
    </row>
    <row r="2813" spans="1:8" x14ac:dyDescent="0.2">
      <c r="A2813" s="157"/>
      <c r="B2813" s="31" t="s">
        <v>10286</v>
      </c>
      <c r="C2813" s="31" t="s">
        <v>10287</v>
      </c>
      <c r="D2813" s="98" t="s">
        <v>10284</v>
      </c>
      <c r="E2813" s="99" t="b">
        <v>0</v>
      </c>
      <c r="F2813" s="106" t="s">
        <v>10288</v>
      </c>
      <c r="G2813" s="116" t="str">
        <f>HYPERLINK("http://nsgreg.nga.mil/genc/view?v=114691&amp;gencs=T&amp;end_month=3&amp;end_day=31&amp;end_year=2014","Jardin Exotique")</f>
        <v>Jardin Exotique</v>
      </c>
      <c r="H2813" s="87" t="str">
        <f>HYPERLINK("http://api.nsgreg.nga.mil/geo-division/ISO3166-2/6/ed3/MC-JE","MC-JE")</f>
        <v>MC-JE</v>
      </c>
    </row>
    <row r="2814" spans="1:8" x14ac:dyDescent="0.2">
      <c r="A2814" s="157"/>
      <c r="B2814" s="31" t="s">
        <v>10289</v>
      </c>
      <c r="C2814" s="31" t="s">
        <v>10290</v>
      </c>
      <c r="D2814" s="98" t="s">
        <v>10284</v>
      </c>
      <c r="E2814" s="99" t="b">
        <v>0</v>
      </c>
      <c r="F2814" s="106" t="s">
        <v>10291</v>
      </c>
      <c r="G2814" s="116" t="str">
        <f>HYPERLINK("http://nsgreg.nga.mil/genc/view?v=114687&amp;gencs=T&amp;end_month=3&amp;end_day=31&amp;end_year=2014","La Colle")</f>
        <v>La Colle</v>
      </c>
      <c r="H2814" s="87" t="str">
        <f>HYPERLINK("http://api.nsgreg.nga.mil/geo-division/ISO3166-2/6/ed3/MC-CL","MC-CL")</f>
        <v>MC-CL</v>
      </c>
    </row>
    <row r="2815" spans="1:8" x14ac:dyDescent="0.2">
      <c r="A2815" s="157"/>
      <c r="B2815" s="31" t="s">
        <v>10292</v>
      </c>
      <c r="C2815" s="31" t="s">
        <v>10293</v>
      </c>
      <c r="D2815" s="98" t="s">
        <v>10284</v>
      </c>
      <c r="E2815" s="99" t="b">
        <v>0</v>
      </c>
      <c r="F2815" s="106" t="s">
        <v>10294</v>
      </c>
      <c r="G2815" s="116" t="str">
        <f>HYPERLINK("http://nsgreg.nga.mil/genc/view?v=114688&amp;gencs=T&amp;end_month=3&amp;end_day=31&amp;end_year=2014","La Condamine")</f>
        <v>La Condamine</v>
      </c>
      <c r="H2815" s="87" t="str">
        <f>HYPERLINK("http://api.nsgreg.nga.mil/geo-division/ISO3166-2/6/ed3/MC-CO","MC-CO")</f>
        <v>MC-CO</v>
      </c>
    </row>
    <row r="2816" spans="1:8" x14ac:dyDescent="0.2">
      <c r="A2816" s="157"/>
      <c r="B2816" s="31" t="s">
        <v>10295</v>
      </c>
      <c r="C2816" s="31" t="s">
        <v>10296</v>
      </c>
      <c r="D2816" s="98" t="s">
        <v>10284</v>
      </c>
      <c r="E2816" s="99" t="b">
        <v>0</v>
      </c>
      <c r="F2816" s="106" t="s">
        <v>10297</v>
      </c>
      <c r="G2816" s="116" t="str">
        <f>HYPERLINK("http://nsgreg.nga.mil/genc/view?v=114690&amp;gencs=T&amp;end_month=3&amp;end_day=31&amp;end_year=2014","La Gare")</f>
        <v>La Gare</v>
      </c>
      <c r="H2816" s="87" t="str">
        <f>HYPERLINK("http://api.nsgreg.nga.mil/geo-division/ISO3166-2/6/ed3/MC-GA","MC-GA")</f>
        <v>MC-GA</v>
      </c>
    </row>
    <row r="2817" spans="1:8" x14ac:dyDescent="0.2">
      <c r="A2817" s="157"/>
      <c r="B2817" s="31" t="s">
        <v>10298</v>
      </c>
      <c r="C2817" s="31" t="s">
        <v>10299</v>
      </c>
      <c r="D2817" s="98" t="s">
        <v>10284</v>
      </c>
      <c r="E2817" s="99" t="b">
        <v>0</v>
      </c>
      <c r="F2817" s="106" t="s">
        <v>10300</v>
      </c>
      <c r="G2817" s="116" t="str">
        <f>HYPERLINK("http://nsgreg.nga.mil/genc/view?v=114692&amp;gencs=T&amp;end_month=3&amp;end_day=31&amp;end_year=2014","Larvotto")</f>
        <v>Larvotto</v>
      </c>
      <c r="H2817" s="87" t="str">
        <f>HYPERLINK("http://api.nsgreg.nga.mil/geo-division/ISO3166-2/6/ed3/MC-LA","MC-LA")</f>
        <v>MC-LA</v>
      </c>
    </row>
    <row r="2818" spans="1:8" x14ac:dyDescent="0.2">
      <c r="A2818" s="157"/>
      <c r="B2818" s="31" t="s">
        <v>10301</v>
      </c>
      <c r="C2818" s="31" t="s">
        <v>10302</v>
      </c>
      <c r="D2818" s="98" t="s">
        <v>10284</v>
      </c>
      <c r="E2818" s="99" t="b">
        <v>0</v>
      </c>
      <c r="F2818" s="106" t="s">
        <v>10303</v>
      </c>
      <c r="G2818" s="116" t="str">
        <f>HYPERLINK("http://nsgreg.nga.mil/genc/view?v=114700&amp;gencs=T&amp;end_month=3&amp;end_day=31&amp;end_year=2014","La Source")</f>
        <v>La Source</v>
      </c>
      <c r="H2818" s="87" t="str">
        <f>HYPERLINK("http://api.nsgreg.nga.mil/geo-division/ISO3166-2/6/ed3/MC-SO","MC-SO")</f>
        <v>MC-SO</v>
      </c>
    </row>
    <row r="2819" spans="1:8" x14ac:dyDescent="0.2">
      <c r="A2819" s="157"/>
      <c r="B2819" s="31" t="s">
        <v>10304</v>
      </c>
      <c r="C2819" s="31" t="s">
        <v>10305</v>
      </c>
      <c r="D2819" s="98" t="s">
        <v>10284</v>
      </c>
      <c r="E2819" s="99" t="b">
        <v>0</v>
      </c>
      <c r="F2819" s="106" t="s">
        <v>10306</v>
      </c>
      <c r="G2819" s="116" t="str">
        <f>HYPERLINK("http://nsgreg.nga.mil/genc/view?v=114693&amp;gencs=T&amp;end_month=3&amp;end_day=31&amp;end_year=2014","Malbousquet")</f>
        <v>Malbousquet</v>
      </c>
      <c r="H2819" s="87" t="str">
        <f>HYPERLINK("http://api.nsgreg.nga.mil/geo-division/ISO3166-2/6/ed3/MC-MA","MC-MA")</f>
        <v>MC-MA</v>
      </c>
    </row>
    <row r="2820" spans="1:8" x14ac:dyDescent="0.2">
      <c r="A2820" s="157"/>
      <c r="B2820" s="31" t="s">
        <v>10307</v>
      </c>
      <c r="C2820" s="31" t="s">
        <v>10308</v>
      </c>
      <c r="D2820" s="98" t="s">
        <v>10284</v>
      </c>
      <c r="E2820" s="99" t="b">
        <v>0</v>
      </c>
      <c r="F2820" s="106" t="s">
        <v>10309</v>
      </c>
      <c r="G2820" s="116" t="str">
        <f>HYPERLINK("http://nsgreg.nga.mil/genc/view?v=114696&amp;gencs=T&amp;end_month=3&amp;end_day=31&amp;end_year=2014","Monaco-Ville")</f>
        <v>Monaco-Ville</v>
      </c>
      <c r="H2820" s="87" t="str">
        <f>HYPERLINK("http://api.nsgreg.nga.mil/geo-division/ISO3166-2/6/ed3/MC-MO","MC-MO")</f>
        <v>MC-MO</v>
      </c>
    </row>
    <row r="2821" spans="1:8" x14ac:dyDescent="0.2">
      <c r="A2821" s="157"/>
      <c r="B2821" s="31" t="s">
        <v>10310</v>
      </c>
      <c r="C2821" s="31" t="s">
        <v>10311</v>
      </c>
      <c r="D2821" s="98" t="s">
        <v>10284</v>
      </c>
      <c r="E2821" s="99" t="b">
        <v>0</v>
      </c>
      <c r="F2821" s="106" t="s">
        <v>10312</v>
      </c>
      <c r="G2821" s="116" t="str">
        <f>HYPERLINK("http://nsgreg.nga.mil/genc/view?v=114695&amp;gencs=T&amp;end_month=3&amp;end_day=31&amp;end_year=2014","Moneghetti")</f>
        <v>Moneghetti</v>
      </c>
      <c r="H2821" s="87" t="str">
        <f>HYPERLINK("http://api.nsgreg.nga.mil/geo-division/ISO3166-2/6/ed3/MC-MG","MC-MG")</f>
        <v>MC-MG</v>
      </c>
    </row>
    <row r="2822" spans="1:8" x14ac:dyDescent="0.2">
      <c r="A2822" s="157"/>
      <c r="B2822" s="31" t="s">
        <v>10313</v>
      </c>
      <c r="C2822" s="31" t="s">
        <v>10314</v>
      </c>
      <c r="D2822" s="98" t="s">
        <v>10284</v>
      </c>
      <c r="E2822" s="99" t="b">
        <v>0</v>
      </c>
      <c r="F2822" s="106" t="s">
        <v>10315</v>
      </c>
      <c r="G2822" s="116" t="str">
        <f>HYPERLINK("http://nsgreg.nga.mil/genc/view?v=114694&amp;gencs=T&amp;end_month=3&amp;end_day=31&amp;end_year=2014","Monte-Carlo")</f>
        <v>Monte-Carlo</v>
      </c>
      <c r="H2822" s="87" t="str">
        <f>HYPERLINK("http://api.nsgreg.nga.mil/geo-division/ISO3166-2/6/ed3/MC-MC","MC-MC")</f>
        <v>MC-MC</v>
      </c>
    </row>
    <row r="2823" spans="1:8" x14ac:dyDescent="0.2">
      <c r="A2823" s="157"/>
      <c r="B2823" s="31" t="s">
        <v>10316</v>
      </c>
      <c r="C2823" s="31" t="s">
        <v>10317</v>
      </c>
      <c r="D2823" s="98" t="s">
        <v>10284</v>
      </c>
      <c r="E2823" s="99" t="b">
        <v>0</v>
      </c>
      <c r="F2823" s="106" t="s">
        <v>10318</v>
      </c>
      <c r="G2823" s="116" t="str">
        <f>HYPERLINK("http://nsgreg.nga.mil/genc/view?v=114697&amp;gencs=T&amp;end_month=3&amp;end_day=31&amp;end_year=2014","Moulins")</f>
        <v>Moulins</v>
      </c>
      <c r="H2823" s="87" t="str">
        <f>HYPERLINK("http://api.nsgreg.nga.mil/geo-division/ISO3166-2/6/ed3/MC-MU","MC-MU")</f>
        <v>MC-MU</v>
      </c>
    </row>
    <row r="2824" spans="1:8" x14ac:dyDescent="0.2">
      <c r="A2824" s="157"/>
      <c r="B2824" s="31" t="s">
        <v>10319</v>
      </c>
      <c r="C2824" s="31" t="s">
        <v>10320</v>
      </c>
      <c r="D2824" s="98" t="s">
        <v>10284</v>
      </c>
      <c r="E2824" s="99" t="b">
        <v>0</v>
      </c>
      <c r="F2824" s="106" t="s">
        <v>10321</v>
      </c>
      <c r="G2824" s="116" t="str">
        <f>HYPERLINK("http://nsgreg.nga.mil/genc/view?v=114698&amp;gencs=T&amp;end_month=3&amp;end_day=31&amp;end_year=2014","Port-Hercule")</f>
        <v>Port-Hercule</v>
      </c>
      <c r="H2824" s="87" t="str">
        <f>HYPERLINK("http://api.nsgreg.nga.mil/geo-division/ISO3166-2/6/ed3/MC-PH","MC-PH")</f>
        <v>MC-PH</v>
      </c>
    </row>
    <row r="2825" spans="1:8" x14ac:dyDescent="0.2">
      <c r="A2825" s="157"/>
      <c r="B2825" s="31" t="s">
        <v>10322</v>
      </c>
      <c r="C2825" s="31" t="s">
        <v>10323</v>
      </c>
      <c r="D2825" s="98" t="s">
        <v>10284</v>
      </c>
      <c r="E2825" s="99" t="b">
        <v>0</v>
      </c>
      <c r="F2825" s="106" t="s">
        <v>10324</v>
      </c>
      <c r="G2825" s="116" t="str">
        <f>HYPERLINK("http://nsgreg.nga.mil/genc/view?v=114699&amp;gencs=T&amp;end_month=3&amp;end_day=31&amp;end_year=2014","Sainte-Dévote")</f>
        <v>Sainte-Dévote</v>
      </c>
      <c r="H2825" s="87" t="str">
        <f>HYPERLINK("http://api.nsgreg.nga.mil/geo-division/ISO3166-2/6/ed3/MC-SD","MC-SD")</f>
        <v>MC-SD</v>
      </c>
    </row>
    <row r="2826" spans="1:8" x14ac:dyDescent="0.2">
      <c r="A2826" s="157"/>
      <c r="B2826" s="31" t="s">
        <v>10325</v>
      </c>
      <c r="C2826" s="31" t="s">
        <v>10326</v>
      </c>
      <c r="D2826" s="98" t="s">
        <v>10284</v>
      </c>
      <c r="E2826" s="99" t="b">
        <v>0</v>
      </c>
      <c r="F2826" s="106" t="s">
        <v>10327</v>
      </c>
      <c r="G2826" s="116" t="str">
        <f>HYPERLINK("http://nsgreg.nga.mil/genc/view?v=114702&amp;gencs=T&amp;end_month=3&amp;end_day=31&amp;end_year=2014","Saint-Roman")</f>
        <v>Saint-Roman</v>
      </c>
      <c r="H2826" s="87" t="str">
        <f>HYPERLINK("http://api.nsgreg.nga.mil/geo-division/ISO3166-2/6/ed3/MC-SR","MC-SR")</f>
        <v>MC-SR</v>
      </c>
    </row>
    <row r="2827" spans="1:8" x14ac:dyDescent="0.2">
      <c r="A2827" s="157"/>
      <c r="B2827" s="31" t="s">
        <v>10328</v>
      </c>
      <c r="C2827" s="31" t="s">
        <v>10329</v>
      </c>
      <c r="D2827" s="98" t="s">
        <v>10284</v>
      </c>
      <c r="E2827" s="99" t="b">
        <v>0</v>
      </c>
      <c r="F2827" s="106" t="s">
        <v>10330</v>
      </c>
      <c r="G2827" s="116" t="str">
        <f>HYPERLINK("http://nsgreg.nga.mil/genc/view?v=114701&amp;gencs=T&amp;end_month=3&amp;end_day=31&amp;end_year=2014","Spélugues")</f>
        <v>Spélugues</v>
      </c>
      <c r="H2827" s="87" t="str">
        <f>HYPERLINK("http://api.nsgreg.nga.mil/geo-division/ISO3166-2/6/ed3/MC-SP","MC-SP")</f>
        <v>MC-SP</v>
      </c>
    </row>
    <row r="2828" spans="1:8" x14ac:dyDescent="0.2">
      <c r="A2828" s="158"/>
      <c r="B2828" s="58" t="s">
        <v>10331</v>
      </c>
      <c r="C2828" s="58" t="s">
        <v>10332</v>
      </c>
      <c r="D2828" s="100" t="s">
        <v>10284</v>
      </c>
      <c r="E2828" s="101" t="b">
        <v>0</v>
      </c>
      <c r="F2828" s="108" t="s">
        <v>10333</v>
      </c>
      <c r="G2828" s="117" t="str">
        <f>HYPERLINK("http://nsgreg.nga.mil/genc/view?v=114703&amp;gencs=T&amp;end_month=3&amp;end_day=31&amp;end_year=2014","Vallon de la Rousse")</f>
        <v>Vallon de la Rousse</v>
      </c>
      <c r="H2828" s="89" t="str">
        <f>HYPERLINK("http://api.nsgreg.nga.mil/geo-division/ISO3166-2/6/ed3/MC-VR","MC-VR")</f>
        <v>MC-VR</v>
      </c>
    </row>
    <row r="2829" spans="1:8" x14ac:dyDescent="0.2">
      <c r="A2829" s="156" t="str">
        <f>HYPERLINK("[#]Geopolitical_Entities!A176:I176","MONGOLIA")</f>
        <v>MONGOLIA</v>
      </c>
      <c r="B2829" s="52" t="s">
        <v>10334</v>
      </c>
      <c r="C2829" s="52" t="s">
        <v>10335</v>
      </c>
      <c r="D2829" s="52" t="s">
        <v>1920</v>
      </c>
      <c r="E2829" s="60" t="b">
        <v>1</v>
      </c>
      <c r="F2829" s="109" t="s">
        <v>10336</v>
      </c>
      <c r="G2829" s="118" t="str">
        <f>HYPERLINK("http://nsgreg.nga.mil/genc/view?v=114921&amp;gencs=T&amp;end_month=3&amp;end_day=31&amp;end_year=2014","Arhangay")</f>
        <v>Arhangay</v>
      </c>
      <c r="H2829" s="91" t="str">
        <f>HYPERLINK("http://api.nsgreg.nga.mil/geo-division/ISO3166-2/6/ed3/MN-073","MN-073")</f>
        <v>MN-073</v>
      </c>
    </row>
    <row r="2830" spans="1:8" x14ac:dyDescent="0.2">
      <c r="A2830" s="157"/>
      <c r="B2830" s="31" t="s">
        <v>10337</v>
      </c>
      <c r="C2830" s="31" t="s">
        <v>10338</v>
      </c>
      <c r="D2830" s="31" t="s">
        <v>1920</v>
      </c>
      <c r="E2830" s="61" t="b">
        <v>1</v>
      </c>
      <c r="F2830" s="106" t="s">
        <v>10339</v>
      </c>
      <c r="G2830" s="116" t="str">
        <f>HYPERLINK("http://nsgreg.nga.mil/genc/view?v=114919&amp;gencs=T&amp;end_month=3&amp;end_day=31&amp;end_year=2014","Bayanhongor")</f>
        <v>Bayanhongor</v>
      </c>
      <c r="H2830" s="87" t="str">
        <f>HYPERLINK("http://api.nsgreg.nga.mil/geo-division/ISO3166-2/6/ed3/MN-069","MN-069")</f>
        <v>MN-069</v>
      </c>
    </row>
    <row r="2831" spans="1:8" x14ac:dyDescent="0.2">
      <c r="A2831" s="157"/>
      <c r="B2831" s="31" t="s">
        <v>10340</v>
      </c>
      <c r="C2831" s="31" t="s">
        <v>10341</v>
      </c>
      <c r="D2831" s="31" t="s">
        <v>1920</v>
      </c>
      <c r="E2831" s="61" t="b">
        <v>1</v>
      </c>
      <c r="F2831" s="106" t="s">
        <v>10342</v>
      </c>
      <c r="G2831" s="116" t="str">
        <f>HYPERLINK("http://nsgreg.nga.mil/genc/view?v=114920&amp;gencs=T&amp;end_month=3&amp;end_day=31&amp;end_year=2014","Bayan-Ölgiy")</f>
        <v>Bayan-Ölgiy</v>
      </c>
      <c r="H2831" s="87" t="str">
        <f>HYPERLINK("http://api.nsgreg.nga.mil/geo-division/ISO3166-2/6/ed3/MN-071","MN-071")</f>
        <v>MN-071</v>
      </c>
    </row>
    <row r="2832" spans="1:8" x14ac:dyDescent="0.2">
      <c r="A2832" s="157"/>
      <c r="B2832" s="31" t="s">
        <v>10343</v>
      </c>
      <c r="C2832" s="31" t="s">
        <v>10344</v>
      </c>
      <c r="D2832" s="31" t="s">
        <v>1920</v>
      </c>
      <c r="E2832" s="61" t="b">
        <v>1</v>
      </c>
      <c r="F2832" s="106" t="s">
        <v>10345</v>
      </c>
      <c r="G2832" s="116" t="str">
        <f>HYPERLINK("http://nsgreg.nga.mil/genc/view?v=114918&amp;gencs=T&amp;end_month=3&amp;end_day=31&amp;end_year=2014","Bulgan")</f>
        <v>Bulgan</v>
      </c>
      <c r="H2832" s="87" t="str">
        <f>HYPERLINK("http://api.nsgreg.nga.mil/geo-division/ISO3166-2/6/ed3/MN-067","MN-067")</f>
        <v>MN-067</v>
      </c>
    </row>
    <row r="2833" spans="1:8" x14ac:dyDescent="0.2">
      <c r="A2833" s="157"/>
      <c r="B2833" s="31" t="s">
        <v>10346</v>
      </c>
      <c r="C2833" s="31" t="s">
        <v>10347</v>
      </c>
      <c r="D2833" s="31" t="s">
        <v>1920</v>
      </c>
      <c r="E2833" s="61" t="b">
        <v>1</v>
      </c>
      <c r="F2833" s="107" t="s">
        <v>10348</v>
      </c>
      <c r="G2833" s="116" t="str">
        <f>HYPERLINK("http://nsgreg.nga.mil/genc/view?v=202147&amp;end_month=3&amp;end_day=31&amp;end_year=2014","Darhan-Uul")</f>
        <v>Darhan-Uul</v>
      </c>
      <c r="H2833" s="87" t="str">
        <f>HYPERLINK("http://api.nsgreg.nga.mil/geo-division/GENC/6/ed2/MN-037","MN-037")</f>
        <v>MN-037</v>
      </c>
    </row>
    <row r="2834" spans="1:8" x14ac:dyDescent="0.2">
      <c r="A2834" s="157"/>
      <c r="B2834" s="31" t="s">
        <v>10349</v>
      </c>
      <c r="C2834" s="31" t="s">
        <v>10350</v>
      </c>
      <c r="D2834" s="31" t="s">
        <v>1920</v>
      </c>
      <c r="E2834" s="61" t="b">
        <v>1</v>
      </c>
      <c r="F2834" s="106" t="s">
        <v>10351</v>
      </c>
      <c r="G2834" s="116" t="str">
        <f>HYPERLINK("http://nsgreg.nga.mil/genc/view?v=114914&amp;gencs=T&amp;end_month=3&amp;end_day=31&amp;end_year=2014","Dornod")</f>
        <v>Dornod</v>
      </c>
      <c r="H2834" s="87" t="str">
        <f>HYPERLINK("http://api.nsgreg.nga.mil/geo-division/ISO3166-2/6/ed3/MN-061","MN-061")</f>
        <v>MN-061</v>
      </c>
    </row>
    <row r="2835" spans="1:8" x14ac:dyDescent="0.2">
      <c r="A2835" s="157"/>
      <c r="B2835" s="31" t="s">
        <v>10352</v>
      </c>
      <c r="C2835" s="31" t="s">
        <v>10353</v>
      </c>
      <c r="D2835" s="31" t="s">
        <v>1920</v>
      </c>
      <c r="E2835" s="61" t="b">
        <v>1</v>
      </c>
      <c r="F2835" s="106" t="s">
        <v>10354</v>
      </c>
      <c r="G2835" s="116" t="str">
        <f>HYPERLINK("http://nsgreg.nga.mil/genc/view?v=114915&amp;gencs=T&amp;end_month=3&amp;end_day=31&amp;end_year=2014","Dornogovĭ")</f>
        <v>Dornogovĭ</v>
      </c>
      <c r="H2835" s="87" t="str">
        <f>HYPERLINK("http://api.nsgreg.nga.mil/geo-division/ISO3166-2/6/ed3/MN-063","MN-063")</f>
        <v>MN-063</v>
      </c>
    </row>
    <row r="2836" spans="1:8" x14ac:dyDescent="0.2">
      <c r="A2836" s="157"/>
      <c r="B2836" s="31" t="s">
        <v>10355</v>
      </c>
      <c r="C2836" s="31" t="s">
        <v>10356</v>
      </c>
      <c r="D2836" s="31" t="s">
        <v>1920</v>
      </c>
      <c r="E2836" s="61" t="b">
        <v>1</v>
      </c>
      <c r="F2836" s="106" t="s">
        <v>10357</v>
      </c>
      <c r="G2836" s="116" t="str">
        <f>HYPERLINK("http://nsgreg.nga.mil/genc/view?v=114913&amp;gencs=T&amp;end_month=3&amp;end_day=31&amp;end_year=2014","Dundgovĭ")</f>
        <v>Dundgovĭ</v>
      </c>
      <c r="H2836" s="87" t="str">
        <f>HYPERLINK("http://api.nsgreg.nga.mil/geo-division/ISO3166-2/6/ed3/MN-059","MN-059")</f>
        <v>MN-059</v>
      </c>
    </row>
    <row r="2837" spans="1:8" x14ac:dyDescent="0.2">
      <c r="A2837" s="157"/>
      <c r="B2837" s="31" t="s">
        <v>10358</v>
      </c>
      <c r="C2837" s="31" t="s">
        <v>10359</v>
      </c>
      <c r="D2837" s="31" t="s">
        <v>1920</v>
      </c>
      <c r="E2837" s="61" t="b">
        <v>1</v>
      </c>
      <c r="F2837" s="106" t="s">
        <v>10360</v>
      </c>
      <c r="G2837" s="116" t="str">
        <f>HYPERLINK("http://nsgreg.nga.mil/genc/view?v=114912&amp;gencs=T&amp;end_month=3&amp;end_day=31&amp;end_year=2014","Dzavhan")</f>
        <v>Dzavhan</v>
      </c>
      <c r="H2837" s="87" t="str">
        <f>HYPERLINK("http://api.nsgreg.nga.mil/geo-division/ISO3166-2/6/ed3/MN-057","MN-057")</f>
        <v>MN-057</v>
      </c>
    </row>
    <row r="2838" spans="1:8" x14ac:dyDescent="0.2">
      <c r="A2838" s="157"/>
      <c r="B2838" s="31" t="s">
        <v>10361</v>
      </c>
      <c r="C2838" s="31" t="s">
        <v>10362</v>
      </c>
      <c r="D2838" s="31" t="s">
        <v>1920</v>
      </c>
      <c r="E2838" s="61" t="b">
        <v>1</v>
      </c>
      <c r="F2838" s="106" t="s">
        <v>10363</v>
      </c>
      <c r="G2838" s="116" t="str">
        <f>HYPERLINK("http://nsgreg.nga.mil/genc/view?v=114917&amp;gencs=T&amp;end_month=3&amp;end_day=31&amp;end_year=2014","Govĭ-Altay")</f>
        <v>Govĭ-Altay</v>
      </c>
      <c r="H2838" s="87" t="str">
        <f>HYPERLINK("http://api.nsgreg.nga.mil/geo-division/ISO3166-2/6/ed3/MN-065","MN-065")</f>
        <v>MN-065</v>
      </c>
    </row>
    <row r="2839" spans="1:8" x14ac:dyDescent="0.2">
      <c r="A2839" s="157"/>
      <c r="B2839" s="31" t="s">
        <v>10364</v>
      </c>
      <c r="C2839" s="31" t="s">
        <v>10365</v>
      </c>
      <c r="D2839" s="31" t="s">
        <v>1920</v>
      </c>
      <c r="E2839" s="61" t="b">
        <v>1</v>
      </c>
      <c r="F2839" s="107" t="s">
        <v>10366</v>
      </c>
      <c r="G2839" s="116" t="str">
        <f>HYPERLINK("http://nsgreg.nga.mil/genc/view?v=202148&amp;end_month=3&amp;end_day=31&amp;end_year=2014","Govĭsümber")</f>
        <v>Govĭsümber</v>
      </c>
      <c r="H2839" s="87" t="str">
        <f>HYPERLINK("http://api.nsgreg.nga.mil/geo-division/GENC/6/ed2/MN-064","MN-064")</f>
        <v>MN-064</v>
      </c>
    </row>
    <row r="2840" spans="1:8" x14ac:dyDescent="0.2">
      <c r="A2840" s="157"/>
      <c r="B2840" s="31" t="s">
        <v>10367</v>
      </c>
      <c r="C2840" s="31" t="s">
        <v>10368</v>
      </c>
      <c r="D2840" s="31" t="s">
        <v>1920</v>
      </c>
      <c r="E2840" s="61" t="b">
        <v>1</v>
      </c>
      <c r="F2840" s="106" t="s">
        <v>10369</v>
      </c>
      <c r="G2840" s="116" t="str">
        <f>HYPERLINK("http://nsgreg.nga.mil/genc/view?v=114903&amp;gencs=T&amp;end_month=3&amp;end_day=31&amp;end_year=2014","Hentiy")</f>
        <v>Hentiy</v>
      </c>
      <c r="H2840" s="87" t="str">
        <f>HYPERLINK("http://api.nsgreg.nga.mil/geo-division/ISO3166-2/6/ed3/MN-039","MN-039")</f>
        <v>MN-039</v>
      </c>
    </row>
    <row r="2841" spans="1:8" x14ac:dyDescent="0.2">
      <c r="A2841" s="157"/>
      <c r="B2841" s="31" t="s">
        <v>10370</v>
      </c>
      <c r="C2841" s="31" t="s">
        <v>10371</v>
      </c>
      <c r="D2841" s="31" t="s">
        <v>1920</v>
      </c>
      <c r="E2841" s="61" t="b">
        <v>1</v>
      </c>
      <c r="F2841" s="106" t="s">
        <v>10372</v>
      </c>
      <c r="G2841" s="116" t="str">
        <f>HYPERLINK("http://nsgreg.nga.mil/genc/view?v=114905&amp;gencs=T&amp;end_month=3&amp;end_day=31&amp;end_year=2014","Hovd")</f>
        <v>Hovd</v>
      </c>
      <c r="H2841" s="87" t="str">
        <f>HYPERLINK("http://api.nsgreg.nga.mil/geo-division/ISO3166-2/6/ed3/MN-043","MN-043")</f>
        <v>MN-043</v>
      </c>
    </row>
    <row r="2842" spans="1:8" x14ac:dyDescent="0.2">
      <c r="A2842" s="157"/>
      <c r="B2842" s="31" t="s">
        <v>10373</v>
      </c>
      <c r="C2842" s="31" t="s">
        <v>10374</v>
      </c>
      <c r="D2842" s="31" t="s">
        <v>1920</v>
      </c>
      <c r="E2842" s="61" t="b">
        <v>1</v>
      </c>
      <c r="F2842" s="106" t="s">
        <v>10375</v>
      </c>
      <c r="G2842" s="116" t="str">
        <f>HYPERLINK("http://nsgreg.nga.mil/genc/view?v=114904&amp;gencs=T&amp;end_month=3&amp;end_day=31&amp;end_year=2014","Hövsgöl")</f>
        <v>Hövsgöl</v>
      </c>
      <c r="H2842" s="87" t="str">
        <f>HYPERLINK("http://api.nsgreg.nga.mil/geo-division/ISO3166-2/6/ed3/MN-041","MN-041")</f>
        <v>MN-041</v>
      </c>
    </row>
    <row r="2843" spans="1:8" x14ac:dyDescent="0.2">
      <c r="A2843" s="157"/>
      <c r="B2843" s="31" t="s">
        <v>10376</v>
      </c>
      <c r="C2843" s="31" t="s">
        <v>10377</v>
      </c>
      <c r="D2843" s="31" t="s">
        <v>1920</v>
      </c>
      <c r="E2843" s="61" t="b">
        <v>1</v>
      </c>
      <c r="F2843" s="106" t="s">
        <v>10378</v>
      </c>
      <c r="G2843" s="116" t="str">
        <f>HYPERLINK("http://nsgreg.nga.mil/genc/view?v=114910&amp;gencs=T&amp;end_month=3&amp;end_day=31&amp;end_year=2014","Ömnögovĭ")</f>
        <v>Ömnögovĭ</v>
      </c>
      <c r="H2843" s="87" t="str">
        <f>HYPERLINK("http://api.nsgreg.nga.mil/geo-division/ISO3166-2/6/ed3/MN-053","MN-053")</f>
        <v>MN-053</v>
      </c>
    </row>
    <row r="2844" spans="1:8" x14ac:dyDescent="0.2">
      <c r="A2844" s="157"/>
      <c r="B2844" s="31" t="s">
        <v>10379</v>
      </c>
      <c r="C2844" s="31" t="s">
        <v>10380</v>
      </c>
      <c r="D2844" s="31" t="s">
        <v>1920</v>
      </c>
      <c r="E2844" s="61" t="b">
        <v>1</v>
      </c>
      <c r="F2844" s="106" t="s">
        <v>10381</v>
      </c>
      <c r="G2844" s="116" t="str">
        <f>HYPERLINK("http://nsgreg.nga.mil/genc/view?v=114901&amp;gencs=T&amp;end_month=3&amp;end_day=31&amp;end_year=2014","Orhon")</f>
        <v>Orhon</v>
      </c>
      <c r="H2844" s="87" t="str">
        <f>HYPERLINK("http://api.nsgreg.nga.mil/geo-division/ISO3166-2/6/ed3/MN-035","MN-035")</f>
        <v>MN-035</v>
      </c>
    </row>
    <row r="2845" spans="1:8" x14ac:dyDescent="0.2">
      <c r="A2845" s="157"/>
      <c r="B2845" s="31" t="s">
        <v>10382</v>
      </c>
      <c r="C2845" s="31" t="s">
        <v>10383</v>
      </c>
      <c r="D2845" s="31" t="s">
        <v>1920</v>
      </c>
      <c r="E2845" s="61" t="b">
        <v>1</v>
      </c>
      <c r="F2845" s="106" t="s">
        <v>10384</v>
      </c>
      <c r="G2845" s="116" t="str">
        <f>HYPERLINK("http://nsgreg.nga.mil/genc/view?v=114911&amp;gencs=T&amp;end_month=3&amp;end_day=31&amp;end_year=2014","Övörhangay")</f>
        <v>Övörhangay</v>
      </c>
      <c r="H2845" s="87" t="str">
        <f>HYPERLINK("http://api.nsgreg.nga.mil/geo-division/ISO3166-2/6/ed3/MN-055","MN-055")</f>
        <v>MN-055</v>
      </c>
    </row>
    <row r="2846" spans="1:8" x14ac:dyDescent="0.2">
      <c r="A2846" s="157"/>
      <c r="B2846" s="31" t="s">
        <v>10385</v>
      </c>
      <c r="C2846" s="31" t="s">
        <v>10386</v>
      </c>
      <c r="D2846" s="31" t="s">
        <v>1920</v>
      </c>
      <c r="E2846" s="61" t="b">
        <v>1</v>
      </c>
      <c r="F2846" s="106" t="s">
        <v>10387</v>
      </c>
      <c r="G2846" s="116" t="str">
        <f>HYPERLINK("http://nsgreg.nga.mil/genc/view?v=114908&amp;gencs=T&amp;end_month=3&amp;end_day=31&amp;end_year=2014","Selenge")</f>
        <v>Selenge</v>
      </c>
      <c r="H2846" s="87" t="str">
        <f>HYPERLINK("http://api.nsgreg.nga.mil/geo-division/ISO3166-2/6/ed3/MN-049","MN-049")</f>
        <v>MN-049</v>
      </c>
    </row>
    <row r="2847" spans="1:8" x14ac:dyDescent="0.2">
      <c r="A2847" s="157"/>
      <c r="B2847" s="31" t="s">
        <v>10388</v>
      </c>
      <c r="C2847" s="31" t="s">
        <v>10389</v>
      </c>
      <c r="D2847" s="31" t="s">
        <v>1920</v>
      </c>
      <c r="E2847" s="61" t="b">
        <v>1</v>
      </c>
      <c r="F2847" s="106" t="s">
        <v>10390</v>
      </c>
      <c r="G2847" s="116" t="str">
        <f>HYPERLINK("http://nsgreg.nga.mil/genc/view?v=114909&amp;gencs=T&amp;end_month=3&amp;end_day=31&amp;end_year=2014","Sühbaatar")</f>
        <v>Sühbaatar</v>
      </c>
      <c r="H2847" s="87" t="str">
        <f>HYPERLINK("http://api.nsgreg.nga.mil/geo-division/ISO3166-2/6/ed3/MN-051","MN-051")</f>
        <v>MN-051</v>
      </c>
    </row>
    <row r="2848" spans="1:8" x14ac:dyDescent="0.2">
      <c r="A2848" s="157"/>
      <c r="B2848" s="31" t="s">
        <v>10391</v>
      </c>
      <c r="C2848" s="31" t="s">
        <v>10392</v>
      </c>
      <c r="D2848" s="31" t="s">
        <v>1920</v>
      </c>
      <c r="E2848" s="61" t="b">
        <v>1</v>
      </c>
      <c r="F2848" s="106" t="s">
        <v>10393</v>
      </c>
      <c r="G2848" s="116" t="str">
        <f>HYPERLINK("http://nsgreg.nga.mil/genc/view?v=114907&amp;gencs=T&amp;end_month=3&amp;end_day=31&amp;end_year=2014","Töv")</f>
        <v>Töv</v>
      </c>
      <c r="H2848" s="87" t="str">
        <f>HYPERLINK("http://api.nsgreg.nga.mil/geo-division/ISO3166-2/6/ed3/MN-047","MN-047")</f>
        <v>MN-047</v>
      </c>
    </row>
    <row r="2849" spans="1:8" x14ac:dyDescent="0.2">
      <c r="A2849" s="157"/>
      <c r="B2849" s="31" t="s">
        <v>10394</v>
      </c>
      <c r="C2849" s="31" t="s">
        <v>10395</v>
      </c>
      <c r="D2849" s="31" t="s">
        <v>2405</v>
      </c>
      <c r="E2849" s="61" t="b">
        <v>1</v>
      </c>
      <c r="F2849" s="107" t="s">
        <v>10396</v>
      </c>
      <c r="G2849" s="116" t="str">
        <f>HYPERLINK("http://nsgreg.nga.mil/genc/view?v=202149&amp;end_month=3&amp;end_day=31&amp;end_year=2014","Ulaanbaatar")</f>
        <v>Ulaanbaatar</v>
      </c>
      <c r="H2849" s="87" t="str">
        <f>HYPERLINK("http://api.nsgreg.nga.mil/geo-division/GENC/6/ed2/MN-1","MN-1")</f>
        <v>MN-1</v>
      </c>
    </row>
    <row r="2850" spans="1:8" x14ac:dyDescent="0.2">
      <c r="A2850" s="158"/>
      <c r="B2850" s="58" t="s">
        <v>10397</v>
      </c>
      <c r="C2850" s="58" t="s">
        <v>10398</v>
      </c>
      <c r="D2850" s="58" t="s">
        <v>1920</v>
      </c>
      <c r="E2850" s="62" t="b">
        <v>1</v>
      </c>
      <c r="F2850" s="108" t="s">
        <v>10399</v>
      </c>
      <c r="G2850" s="117" t="str">
        <f>HYPERLINK("http://nsgreg.nga.mil/genc/view?v=114906&amp;gencs=T&amp;end_month=3&amp;end_day=31&amp;end_year=2014","Uvs")</f>
        <v>Uvs</v>
      </c>
      <c r="H2850" s="89" t="str">
        <f>HYPERLINK("http://api.nsgreg.nga.mil/geo-division/ISO3166-2/6/ed3/MN-046","MN-046")</f>
        <v>MN-046</v>
      </c>
    </row>
    <row r="2851" spans="1:8" x14ac:dyDescent="0.2">
      <c r="A2851" s="156" t="str">
        <f>HYPERLINK("[#]Geopolitical_Entities!A177:I177","MONTENEGRO")</f>
        <v>MONTENEGRO</v>
      </c>
      <c r="B2851" s="52" t="s">
        <v>10400</v>
      </c>
      <c r="C2851" s="52" t="s">
        <v>10401</v>
      </c>
      <c r="D2851" s="52" t="s">
        <v>3254</v>
      </c>
      <c r="E2851" s="60" t="b">
        <v>1</v>
      </c>
      <c r="F2851" s="110" t="s">
        <v>10402</v>
      </c>
      <c r="G2851" s="118" t="str">
        <f>HYPERLINK("http://nsgreg.nga.mil/genc/view?v=202075&amp;end_month=3&amp;end_day=31&amp;end_year=2014","Andrijevica")</f>
        <v>Andrijevica</v>
      </c>
      <c r="H2851" s="91" t="str">
        <f>HYPERLINK("http://api.nsgreg.nga.mil/geo-division/GENC/6/ed2/ME-01","ME-01")</f>
        <v>ME-01</v>
      </c>
    </row>
    <row r="2852" spans="1:8" x14ac:dyDescent="0.2">
      <c r="A2852" s="157"/>
      <c r="B2852" s="31" t="s">
        <v>10403</v>
      </c>
      <c r="C2852" s="31" t="s">
        <v>10404</v>
      </c>
      <c r="D2852" s="31" t="s">
        <v>3254</v>
      </c>
      <c r="E2852" s="61" t="b">
        <v>1</v>
      </c>
      <c r="F2852" s="107" t="s">
        <v>10405</v>
      </c>
      <c r="G2852" s="116" t="str">
        <f>HYPERLINK("http://nsgreg.nga.mil/genc/view?v=202076&amp;end_month=3&amp;end_day=31&amp;end_year=2014","Bar")</f>
        <v>Bar</v>
      </c>
      <c r="H2852" s="87" t="str">
        <f>HYPERLINK("http://api.nsgreg.nga.mil/geo-division/GENC/6/ed2/ME-02","ME-02")</f>
        <v>ME-02</v>
      </c>
    </row>
    <row r="2853" spans="1:8" x14ac:dyDescent="0.2">
      <c r="A2853" s="157"/>
      <c r="B2853" s="31" t="s">
        <v>10406</v>
      </c>
      <c r="C2853" s="31" t="s">
        <v>10407</v>
      </c>
      <c r="D2853" s="31" t="s">
        <v>3254</v>
      </c>
      <c r="E2853" s="61" t="b">
        <v>1</v>
      </c>
      <c r="F2853" s="107" t="s">
        <v>10408</v>
      </c>
      <c r="G2853" s="116" t="str">
        <f>HYPERLINK("http://nsgreg.nga.mil/genc/view?v=202077&amp;end_month=3&amp;end_day=31&amp;end_year=2014","Berane")</f>
        <v>Berane</v>
      </c>
      <c r="H2853" s="87" t="str">
        <f>HYPERLINK("http://api.nsgreg.nga.mil/geo-division/GENC/6/ed2/ME-03","ME-03")</f>
        <v>ME-03</v>
      </c>
    </row>
    <row r="2854" spans="1:8" x14ac:dyDescent="0.2">
      <c r="A2854" s="157"/>
      <c r="B2854" s="31" t="s">
        <v>10409</v>
      </c>
      <c r="C2854" s="31" t="s">
        <v>10410</v>
      </c>
      <c r="D2854" s="31" t="s">
        <v>3254</v>
      </c>
      <c r="E2854" s="61" t="b">
        <v>1</v>
      </c>
      <c r="F2854" s="107" t="s">
        <v>10411</v>
      </c>
      <c r="G2854" s="116" t="str">
        <f>HYPERLINK("http://nsgreg.nga.mil/genc/view?v=202078&amp;end_month=3&amp;end_day=31&amp;end_year=2014","Bijelo Polje")</f>
        <v>Bijelo Polje</v>
      </c>
      <c r="H2854" s="87" t="str">
        <f>HYPERLINK("http://api.nsgreg.nga.mil/geo-division/GENC/6/ed2/ME-04","ME-04")</f>
        <v>ME-04</v>
      </c>
    </row>
    <row r="2855" spans="1:8" x14ac:dyDescent="0.2">
      <c r="A2855" s="157"/>
      <c r="B2855" s="31" t="s">
        <v>10412</v>
      </c>
      <c r="C2855" s="31" t="s">
        <v>10413</v>
      </c>
      <c r="D2855" s="31" t="s">
        <v>3254</v>
      </c>
      <c r="E2855" s="61" t="b">
        <v>1</v>
      </c>
      <c r="F2855" s="107" t="s">
        <v>10414</v>
      </c>
      <c r="G2855" s="116" t="str">
        <f>HYPERLINK("http://nsgreg.nga.mil/genc/view?v=202079&amp;end_month=3&amp;end_day=31&amp;end_year=2014","Budva")</f>
        <v>Budva</v>
      </c>
      <c r="H2855" s="87" t="str">
        <f>HYPERLINK("http://api.nsgreg.nga.mil/geo-division/GENC/6/ed2/ME-05","ME-05")</f>
        <v>ME-05</v>
      </c>
    </row>
    <row r="2856" spans="1:8" x14ac:dyDescent="0.2">
      <c r="A2856" s="157"/>
      <c r="B2856" s="31" t="s">
        <v>10415</v>
      </c>
      <c r="C2856" s="31" t="s">
        <v>10416</v>
      </c>
      <c r="D2856" s="31" t="s">
        <v>3254</v>
      </c>
      <c r="E2856" s="61" t="b">
        <v>1</v>
      </c>
      <c r="F2856" s="107" t="s">
        <v>10417</v>
      </c>
      <c r="G2856" s="116" t="str">
        <f>HYPERLINK("http://nsgreg.nga.mil/genc/view?v=202080&amp;end_month=3&amp;end_day=31&amp;end_year=2014","Cetinje")</f>
        <v>Cetinje</v>
      </c>
      <c r="H2856" s="87" t="str">
        <f>HYPERLINK("http://api.nsgreg.nga.mil/geo-division/GENC/6/ed2/ME-06","ME-06")</f>
        <v>ME-06</v>
      </c>
    </row>
    <row r="2857" spans="1:8" x14ac:dyDescent="0.2">
      <c r="A2857" s="157"/>
      <c r="B2857" s="31" t="s">
        <v>10418</v>
      </c>
      <c r="C2857" s="31" t="s">
        <v>10419</v>
      </c>
      <c r="D2857" s="31" t="s">
        <v>3254</v>
      </c>
      <c r="E2857" s="61" t="b">
        <v>1</v>
      </c>
      <c r="F2857" s="107" t="s">
        <v>10420</v>
      </c>
      <c r="G2857" s="116" t="str">
        <f>HYPERLINK("http://nsgreg.nga.mil/genc/view?v=202081&amp;end_month=3&amp;end_day=31&amp;end_year=2014","Danilovgrad")</f>
        <v>Danilovgrad</v>
      </c>
      <c r="H2857" s="87" t="str">
        <f>HYPERLINK("http://api.nsgreg.nga.mil/geo-division/GENC/6/ed2/ME-07","ME-07")</f>
        <v>ME-07</v>
      </c>
    </row>
    <row r="2858" spans="1:8" x14ac:dyDescent="0.2">
      <c r="A2858" s="157"/>
      <c r="B2858" s="31" t="s">
        <v>10421</v>
      </c>
      <c r="C2858" s="31" t="s">
        <v>10422</v>
      </c>
      <c r="D2858" s="31" t="s">
        <v>3254</v>
      </c>
      <c r="E2858" s="61" t="b">
        <v>1</v>
      </c>
      <c r="F2858" s="107" t="s">
        <v>10423</v>
      </c>
      <c r="G2858" s="116" t="str">
        <f>HYPERLINK("http://nsgreg.nga.mil/genc/view?v=202082&amp;end_month=3&amp;end_day=31&amp;end_year=2014","Herceg Novi")</f>
        <v>Herceg Novi</v>
      </c>
      <c r="H2858" s="87" t="str">
        <f>HYPERLINK("http://api.nsgreg.nga.mil/geo-division/GENC/6/ed2/ME-08","ME-08")</f>
        <v>ME-08</v>
      </c>
    </row>
    <row r="2859" spans="1:8" x14ac:dyDescent="0.2">
      <c r="A2859" s="157"/>
      <c r="B2859" s="31" t="s">
        <v>10424</v>
      </c>
      <c r="C2859" s="31" t="s">
        <v>10425</v>
      </c>
      <c r="D2859" s="31" t="s">
        <v>3254</v>
      </c>
      <c r="E2859" s="61" t="b">
        <v>1</v>
      </c>
      <c r="F2859" s="107" t="s">
        <v>10426</v>
      </c>
      <c r="G2859" s="116" t="str">
        <f>HYPERLINK("http://nsgreg.nga.mil/genc/view?v=202083&amp;end_month=3&amp;end_day=31&amp;end_year=2014","Kolašin")</f>
        <v>Kolašin</v>
      </c>
      <c r="H2859" s="87" t="str">
        <f>HYPERLINK("http://api.nsgreg.nga.mil/geo-division/GENC/6/ed2/ME-09","ME-09")</f>
        <v>ME-09</v>
      </c>
    </row>
    <row r="2860" spans="1:8" x14ac:dyDescent="0.2">
      <c r="A2860" s="157"/>
      <c r="B2860" s="31" t="s">
        <v>10427</v>
      </c>
      <c r="C2860" s="31" t="s">
        <v>10428</v>
      </c>
      <c r="D2860" s="31" t="s">
        <v>3254</v>
      </c>
      <c r="E2860" s="61" t="b">
        <v>1</v>
      </c>
      <c r="F2860" s="107" t="s">
        <v>10429</v>
      </c>
      <c r="G2860" s="116" t="str">
        <f>HYPERLINK("http://nsgreg.nga.mil/genc/view?v=202084&amp;end_month=3&amp;end_day=31&amp;end_year=2014","Kotor")</f>
        <v>Kotor</v>
      </c>
      <c r="H2860" s="87" t="str">
        <f>HYPERLINK("http://api.nsgreg.nga.mil/geo-division/GENC/6/ed2/ME-10","ME-10")</f>
        <v>ME-10</v>
      </c>
    </row>
    <row r="2861" spans="1:8" x14ac:dyDescent="0.2">
      <c r="A2861" s="157"/>
      <c r="B2861" s="31" t="s">
        <v>10430</v>
      </c>
      <c r="C2861" s="31" t="s">
        <v>10431</v>
      </c>
      <c r="D2861" s="31" t="s">
        <v>3254</v>
      </c>
      <c r="E2861" s="61" t="b">
        <v>1</v>
      </c>
      <c r="F2861" s="107" t="s">
        <v>10432</v>
      </c>
      <c r="G2861" s="116" t="str">
        <f>HYPERLINK("http://nsgreg.nga.mil/genc/view?v=202085&amp;end_month=3&amp;end_day=31&amp;end_year=2014","Mojkovac")</f>
        <v>Mojkovac</v>
      </c>
      <c r="H2861" s="87" t="str">
        <f>HYPERLINK("http://api.nsgreg.nga.mil/geo-division/GENC/6/ed2/ME-11","ME-11")</f>
        <v>ME-11</v>
      </c>
    </row>
    <row r="2862" spans="1:8" x14ac:dyDescent="0.2">
      <c r="A2862" s="157"/>
      <c r="B2862" s="31" t="s">
        <v>10433</v>
      </c>
      <c r="C2862" s="31" t="s">
        <v>10434</v>
      </c>
      <c r="D2862" s="31" t="s">
        <v>3254</v>
      </c>
      <c r="E2862" s="61" t="b">
        <v>1</v>
      </c>
      <c r="F2862" s="107" t="s">
        <v>10435</v>
      </c>
      <c r="G2862" s="116" t="str">
        <f>HYPERLINK("http://nsgreg.nga.mil/genc/view?v=202086&amp;end_month=3&amp;end_day=31&amp;end_year=2014","Nikšić")</f>
        <v>Nikšić</v>
      </c>
      <c r="H2862" s="87" t="str">
        <f>HYPERLINK("http://api.nsgreg.nga.mil/geo-division/GENC/6/ed2/ME-12","ME-12")</f>
        <v>ME-12</v>
      </c>
    </row>
    <row r="2863" spans="1:8" x14ac:dyDescent="0.2">
      <c r="A2863" s="157"/>
      <c r="B2863" s="31" t="s">
        <v>10436</v>
      </c>
      <c r="C2863" s="31" t="s">
        <v>10437</v>
      </c>
      <c r="D2863" s="31" t="s">
        <v>3254</v>
      </c>
      <c r="E2863" s="61" t="b">
        <v>1</v>
      </c>
      <c r="F2863" s="107" t="s">
        <v>10438</v>
      </c>
      <c r="G2863" s="116" t="str">
        <f>HYPERLINK("http://nsgreg.nga.mil/genc/view?v=202087&amp;end_month=3&amp;end_day=31&amp;end_year=2014","Plav")</f>
        <v>Plav</v>
      </c>
      <c r="H2863" s="87" t="str">
        <f>HYPERLINK("http://api.nsgreg.nga.mil/geo-division/GENC/6/ed2/ME-13","ME-13")</f>
        <v>ME-13</v>
      </c>
    </row>
    <row r="2864" spans="1:8" x14ac:dyDescent="0.2">
      <c r="A2864" s="157"/>
      <c r="B2864" s="31" t="s">
        <v>10439</v>
      </c>
      <c r="C2864" s="31" t="s">
        <v>10440</v>
      </c>
      <c r="D2864" s="31" t="s">
        <v>3254</v>
      </c>
      <c r="E2864" s="61" t="b">
        <v>1</v>
      </c>
      <c r="F2864" s="107" t="s">
        <v>10441</v>
      </c>
      <c r="G2864" s="116" t="str">
        <f>HYPERLINK("http://nsgreg.nga.mil/genc/view?v=202088&amp;end_month=3&amp;end_day=31&amp;end_year=2014","Pljevlja")</f>
        <v>Pljevlja</v>
      </c>
      <c r="H2864" s="87" t="str">
        <f>HYPERLINK("http://api.nsgreg.nga.mil/geo-division/GENC/6/ed2/ME-14","ME-14")</f>
        <v>ME-14</v>
      </c>
    </row>
    <row r="2865" spans="1:8" x14ac:dyDescent="0.2">
      <c r="A2865" s="157"/>
      <c r="B2865" s="31" t="s">
        <v>10442</v>
      </c>
      <c r="C2865" s="31" t="s">
        <v>10443</v>
      </c>
      <c r="D2865" s="31" t="s">
        <v>3254</v>
      </c>
      <c r="E2865" s="61" t="b">
        <v>1</v>
      </c>
      <c r="F2865" s="107" t="s">
        <v>10444</v>
      </c>
      <c r="G2865" s="116" t="str">
        <f>HYPERLINK("http://nsgreg.nga.mil/genc/view?v=202089&amp;end_month=3&amp;end_day=31&amp;end_year=2014","Plužine")</f>
        <v>Plužine</v>
      </c>
      <c r="H2865" s="87" t="str">
        <f>HYPERLINK("http://api.nsgreg.nga.mil/geo-division/GENC/6/ed2/ME-15","ME-15")</f>
        <v>ME-15</v>
      </c>
    </row>
    <row r="2866" spans="1:8" x14ac:dyDescent="0.2">
      <c r="A2866" s="157"/>
      <c r="B2866" s="31" t="s">
        <v>10445</v>
      </c>
      <c r="C2866" s="31" t="s">
        <v>10446</v>
      </c>
      <c r="D2866" s="31" t="s">
        <v>3254</v>
      </c>
      <c r="E2866" s="61" t="b">
        <v>1</v>
      </c>
      <c r="F2866" s="107" t="s">
        <v>10447</v>
      </c>
      <c r="G2866" s="116" t="str">
        <f>HYPERLINK("http://nsgreg.nga.mil/genc/view?v=202090&amp;end_month=3&amp;end_day=31&amp;end_year=2014","Podgorica")</f>
        <v>Podgorica</v>
      </c>
      <c r="H2866" s="87" t="str">
        <f>HYPERLINK("http://api.nsgreg.nga.mil/geo-division/GENC/6/ed2/ME-16","ME-16")</f>
        <v>ME-16</v>
      </c>
    </row>
    <row r="2867" spans="1:8" x14ac:dyDescent="0.2">
      <c r="A2867" s="157"/>
      <c r="B2867" s="31" t="s">
        <v>10448</v>
      </c>
      <c r="C2867" s="31" t="s">
        <v>10449</v>
      </c>
      <c r="D2867" s="31" t="s">
        <v>3254</v>
      </c>
      <c r="E2867" s="61" t="b">
        <v>1</v>
      </c>
      <c r="F2867" s="107" t="s">
        <v>10450</v>
      </c>
      <c r="G2867" s="116" t="str">
        <f>HYPERLINK("http://nsgreg.nga.mil/genc/view?v=202091&amp;end_month=3&amp;end_day=31&amp;end_year=2014","Rožaje")</f>
        <v>Rožaje</v>
      </c>
      <c r="H2867" s="87" t="str">
        <f>HYPERLINK("http://api.nsgreg.nga.mil/geo-division/GENC/6/ed2/ME-17","ME-17")</f>
        <v>ME-17</v>
      </c>
    </row>
    <row r="2868" spans="1:8" x14ac:dyDescent="0.2">
      <c r="A2868" s="157"/>
      <c r="B2868" s="31" t="s">
        <v>10451</v>
      </c>
      <c r="C2868" s="31" t="s">
        <v>10452</v>
      </c>
      <c r="D2868" s="31" t="s">
        <v>3254</v>
      </c>
      <c r="E2868" s="61" t="b">
        <v>1</v>
      </c>
      <c r="F2868" s="107" t="s">
        <v>10453</v>
      </c>
      <c r="G2868" s="116" t="str">
        <f>HYPERLINK("http://nsgreg.nga.mil/genc/view?v=202092&amp;end_month=3&amp;end_day=31&amp;end_year=2014","Šavnik")</f>
        <v>Šavnik</v>
      </c>
      <c r="H2868" s="87" t="str">
        <f>HYPERLINK("http://api.nsgreg.nga.mil/geo-division/GENC/6/ed2/ME-18","ME-18")</f>
        <v>ME-18</v>
      </c>
    </row>
    <row r="2869" spans="1:8" x14ac:dyDescent="0.2">
      <c r="A2869" s="157"/>
      <c r="B2869" s="31" t="s">
        <v>10454</v>
      </c>
      <c r="C2869" s="31" t="s">
        <v>10455</v>
      </c>
      <c r="D2869" s="31" t="s">
        <v>3254</v>
      </c>
      <c r="E2869" s="61" t="b">
        <v>1</v>
      </c>
      <c r="F2869" s="107" t="s">
        <v>10456</v>
      </c>
      <c r="G2869" s="116" t="str">
        <f>HYPERLINK("http://nsgreg.nga.mil/genc/view?v=202093&amp;end_month=3&amp;end_day=31&amp;end_year=2014","Tivat")</f>
        <v>Tivat</v>
      </c>
      <c r="H2869" s="87" t="str">
        <f>HYPERLINK("http://api.nsgreg.nga.mil/geo-division/GENC/6/ed2/ME-19","ME-19")</f>
        <v>ME-19</v>
      </c>
    </row>
    <row r="2870" spans="1:8" x14ac:dyDescent="0.2">
      <c r="A2870" s="157"/>
      <c r="B2870" s="31" t="s">
        <v>10457</v>
      </c>
      <c r="C2870" s="31" t="s">
        <v>10458</v>
      </c>
      <c r="D2870" s="31" t="s">
        <v>3254</v>
      </c>
      <c r="E2870" s="61" t="b">
        <v>1</v>
      </c>
      <c r="F2870" s="107" t="s">
        <v>10459</v>
      </c>
      <c r="G2870" s="116" t="str">
        <f>HYPERLINK("http://nsgreg.nga.mil/genc/view?v=202094&amp;end_month=3&amp;end_day=31&amp;end_year=2014","Ulcinj")</f>
        <v>Ulcinj</v>
      </c>
      <c r="H2870" s="87" t="str">
        <f>HYPERLINK("http://api.nsgreg.nga.mil/geo-division/GENC/6/ed2/ME-20","ME-20")</f>
        <v>ME-20</v>
      </c>
    </row>
    <row r="2871" spans="1:8" x14ac:dyDescent="0.2">
      <c r="A2871" s="158"/>
      <c r="B2871" s="58" t="s">
        <v>10460</v>
      </c>
      <c r="C2871" s="58" t="s">
        <v>10461</v>
      </c>
      <c r="D2871" s="58" t="s">
        <v>3254</v>
      </c>
      <c r="E2871" s="62" t="b">
        <v>1</v>
      </c>
      <c r="F2871" s="111" t="s">
        <v>10462</v>
      </c>
      <c r="G2871" s="117" t="str">
        <f>HYPERLINK("http://nsgreg.nga.mil/genc/view?v=202095&amp;end_month=3&amp;end_day=31&amp;end_year=2014","Žabljak")</f>
        <v>Žabljak</v>
      </c>
      <c r="H2871" s="89" t="str">
        <f>HYPERLINK("http://api.nsgreg.nga.mil/geo-division/GENC/6/ed2/ME-21","ME-21")</f>
        <v>ME-21</v>
      </c>
    </row>
    <row r="2872" spans="1:8" x14ac:dyDescent="0.2">
      <c r="A2872" s="156" t="str">
        <f>HYPERLINK("[#]Geopolitical_Entities!A178:I178","MONTSERRAT")</f>
        <v>MONTSERRAT</v>
      </c>
      <c r="B2872" s="52" t="s">
        <v>10463</v>
      </c>
      <c r="C2872" s="52" t="s">
        <v>10464</v>
      </c>
      <c r="D2872" s="52" t="s">
        <v>2301</v>
      </c>
      <c r="E2872" s="60" t="b">
        <v>1</v>
      </c>
      <c r="F2872" s="110" t="s">
        <v>10465</v>
      </c>
      <c r="G2872" s="118" t="str">
        <f>HYPERLINK("http://nsgreg.nga.mil/genc/view?v=202152&amp;end_month=3&amp;end_day=31&amp;end_year=2014","Saint Anthony")</f>
        <v>Saint Anthony</v>
      </c>
      <c r="H2872" s="91" t="str">
        <f>HYPERLINK("http://api.nsgreg.nga.mil/geo-division/GENC/6/ed2/MS-01","MS-01")</f>
        <v>MS-01</v>
      </c>
    </row>
    <row r="2873" spans="1:8" x14ac:dyDescent="0.2">
      <c r="A2873" s="157"/>
      <c r="B2873" s="31" t="s">
        <v>10466</v>
      </c>
      <c r="C2873" s="31" t="s">
        <v>10467</v>
      </c>
      <c r="D2873" s="31" t="s">
        <v>2301</v>
      </c>
      <c r="E2873" s="61" t="b">
        <v>1</v>
      </c>
      <c r="F2873" s="107" t="s">
        <v>10468</v>
      </c>
      <c r="G2873" s="116" t="str">
        <f>HYPERLINK("http://nsgreg.nga.mil/genc/view?v=202153&amp;end_month=3&amp;end_day=31&amp;end_year=2014","Saint Georges")</f>
        <v>Saint Georges</v>
      </c>
      <c r="H2873" s="87" t="str">
        <f>HYPERLINK("http://api.nsgreg.nga.mil/geo-division/GENC/6/ed2/MS-02","MS-02")</f>
        <v>MS-02</v>
      </c>
    </row>
    <row r="2874" spans="1:8" x14ac:dyDescent="0.2">
      <c r="A2874" s="158"/>
      <c r="B2874" s="58" t="s">
        <v>10469</v>
      </c>
      <c r="C2874" s="58" t="s">
        <v>2395</v>
      </c>
      <c r="D2874" s="58" t="s">
        <v>2301</v>
      </c>
      <c r="E2874" s="62" t="b">
        <v>1</v>
      </c>
      <c r="F2874" s="111" t="s">
        <v>10470</v>
      </c>
      <c r="G2874" s="117" t="str">
        <f>HYPERLINK("http://nsgreg.nga.mil/genc/view?v=202154&amp;end_month=3&amp;end_day=31&amp;end_year=2014","Saint Peter")</f>
        <v>Saint Peter</v>
      </c>
      <c r="H2874" s="89" t="str">
        <f>HYPERLINK("http://api.nsgreg.nga.mil/geo-division/GENC/6/ed2/MS-03","MS-03")</f>
        <v>MS-03</v>
      </c>
    </row>
    <row r="2875" spans="1:8" x14ac:dyDescent="0.2">
      <c r="A2875" s="156" t="str">
        <f>HYPERLINK("[#]Geopolitical_Entities!A179:I179","MOROCCO")</f>
        <v>MOROCCO</v>
      </c>
      <c r="B2875" s="52" t="s">
        <v>10471</v>
      </c>
      <c r="C2875" s="52" t="s">
        <v>10472</v>
      </c>
      <c r="D2875" s="102" t="s">
        <v>4127</v>
      </c>
      <c r="E2875" s="103" t="b">
        <v>0</v>
      </c>
      <c r="F2875" s="110" t="s">
        <v>10473</v>
      </c>
      <c r="G2875" s="118" t="str">
        <f>HYPERLINK("http://nsgreg.nga.mil/genc/view?v=201975&amp;end_month=3&amp;end_day=31&amp;end_year=2014","Agadir Ida Outanane")</f>
        <v>Agadir Ida Outanane</v>
      </c>
      <c r="H2875" s="91" t="str">
        <f>HYPERLINK("http://api.nsgreg.nga.mil/geo-division/GENC/6/ed2/MA-AGD","MA-AGD")</f>
        <v>MA-AGD</v>
      </c>
    </row>
    <row r="2876" spans="1:8" x14ac:dyDescent="0.2">
      <c r="A2876" s="157"/>
      <c r="B2876" s="31" t="s">
        <v>10474</v>
      </c>
      <c r="C2876" s="31" t="s">
        <v>10475</v>
      </c>
      <c r="D2876" s="98" t="s">
        <v>1920</v>
      </c>
      <c r="E2876" s="99" t="b">
        <v>0</v>
      </c>
      <c r="F2876" s="107" t="s">
        <v>10476</v>
      </c>
      <c r="G2876" s="116" t="str">
        <f>HYPERLINK("http://nsgreg.nga.mil/genc/view?v=201996&amp;end_month=3&amp;end_day=31&amp;end_year=2014","Al Haouz")</f>
        <v>Al Haouz</v>
      </c>
      <c r="H2876" s="87" t="str">
        <f>HYPERLINK("http://api.nsgreg.nga.mil/geo-division/GENC/6/ed2/MA-HAO","MA-HAO")</f>
        <v>MA-HAO</v>
      </c>
    </row>
    <row r="2877" spans="1:8" x14ac:dyDescent="0.2">
      <c r="A2877" s="157"/>
      <c r="B2877" s="31" t="s">
        <v>10477</v>
      </c>
      <c r="C2877" s="31" t="s">
        <v>10478</v>
      </c>
      <c r="D2877" s="98" t="s">
        <v>1920</v>
      </c>
      <c r="E2877" s="99" t="b">
        <v>0</v>
      </c>
      <c r="F2877" s="107" t="s">
        <v>10479</v>
      </c>
      <c r="G2877" s="116" t="str">
        <f>HYPERLINK("http://nsgreg.nga.mil/genc/view?v=201997&amp;end_month=3&amp;end_day=31&amp;end_year=2014","Al Hoceïma")</f>
        <v>Al Hoceïma</v>
      </c>
      <c r="H2877" s="87" t="str">
        <f>HYPERLINK("http://api.nsgreg.nga.mil/geo-division/GENC/6/ed2/MA-HOC","MA-HOC")</f>
        <v>MA-HOC</v>
      </c>
    </row>
    <row r="2878" spans="1:8" x14ac:dyDescent="0.2">
      <c r="A2878" s="157"/>
      <c r="B2878" s="31" t="s">
        <v>10480</v>
      </c>
      <c r="C2878" s="31" t="s">
        <v>10481</v>
      </c>
      <c r="D2878" s="98" t="s">
        <v>4127</v>
      </c>
      <c r="E2878" s="99" t="b">
        <v>0</v>
      </c>
      <c r="F2878" s="107" t="s">
        <v>10482</v>
      </c>
      <c r="G2878" s="116" t="str">
        <f>HYPERLINK("http://nsgreg.nga.mil/genc/view?v=201976&amp;end_month=3&amp;end_day=31&amp;end_year=2014","Aousserd")</f>
        <v>Aousserd</v>
      </c>
      <c r="H2878" s="87" t="str">
        <f>HYPERLINK("http://api.nsgreg.nga.mil/geo-division/GENC/6/ed2/MA-AOU","MA-AOU")</f>
        <v>MA-AOU</v>
      </c>
    </row>
    <row r="2879" spans="1:8" x14ac:dyDescent="0.2">
      <c r="A2879" s="157"/>
      <c r="B2879" s="31" t="s">
        <v>10483</v>
      </c>
      <c r="C2879" s="31" t="s">
        <v>10484</v>
      </c>
      <c r="D2879" s="98" t="s">
        <v>1920</v>
      </c>
      <c r="E2879" s="99" t="b">
        <v>0</v>
      </c>
      <c r="F2879" s="107" t="s">
        <v>10485</v>
      </c>
      <c r="G2879" s="116" t="str">
        <f>HYPERLINK("http://nsgreg.nga.mil/genc/view?v=201977&amp;end_month=3&amp;end_day=31&amp;end_year=2014","Assa-Zag")</f>
        <v>Assa-Zag</v>
      </c>
      <c r="H2879" s="87" t="str">
        <f>HYPERLINK("http://api.nsgreg.nga.mil/geo-division/GENC/6/ed2/MA-ASZ","MA-ASZ")</f>
        <v>MA-ASZ</v>
      </c>
    </row>
    <row r="2880" spans="1:8" x14ac:dyDescent="0.2">
      <c r="A2880" s="157"/>
      <c r="B2880" s="31" t="s">
        <v>10486</v>
      </c>
      <c r="C2880" s="31" t="s">
        <v>10487</v>
      </c>
      <c r="D2880" s="98" t="s">
        <v>1920</v>
      </c>
      <c r="E2880" s="99" t="b">
        <v>0</v>
      </c>
      <c r="F2880" s="107" t="s">
        <v>10488</v>
      </c>
      <c r="G2880" s="116" t="str">
        <f>HYPERLINK("http://nsgreg.nga.mil/genc/view?v=201978&amp;end_month=3&amp;end_day=31&amp;end_year=2014","Azilal")</f>
        <v>Azilal</v>
      </c>
      <c r="H2880" s="87" t="str">
        <f>HYPERLINK("http://api.nsgreg.nga.mil/geo-division/GENC/6/ed2/MA-AZI","MA-AZI")</f>
        <v>MA-AZI</v>
      </c>
    </row>
    <row r="2881" spans="1:8" x14ac:dyDescent="0.2">
      <c r="A2881" s="157"/>
      <c r="B2881" s="31" t="s">
        <v>10489</v>
      </c>
      <c r="C2881" s="31" t="s">
        <v>10490</v>
      </c>
      <c r="D2881" s="98" t="s">
        <v>1920</v>
      </c>
      <c r="E2881" s="99" t="b">
        <v>0</v>
      </c>
      <c r="F2881" s="107" t="s">
        <v>10491</v>
      </c>
      <c r="G2881" s="116" t="str">
        <f>HYPERLINK("http://nsgreg.nga.mil/genc/view?v=201979&amp;end_month=3&amp;end_day=31&amp;end_year=2014","Beni Mellal")</f>
        <v>Beni Mellal</v>
      </c>
      <c r="H2881" s="87" t="str">
        <f>HYPERLINK("http://api.nsgreg.nga.mil/geo-division/GENC/6/ed2/MA-BEM","MA-BEM")</f>
        <v>MA-BEM</v>
      </c>
    </row>
    <row r="2882" spans="1:8" x14ac:dyDescent="0.2">
      <c r="A2882" s="157"/>
      <c r="B2882" s="31" t="s">
        <v>10492</v>
      </c>
      <c r="C2882" s="31" t="s">
        <v>10493</v>
      </c>
      <c r="D2882" s="98" t="s">
        <v>1920</v>
      </c>
      <c r="E2882" s="99" t="b">
        <v>0</v>
      </c>
      <c r="F2882" s="107" t="s">
        <v>10494</v>
      </c>
      <c r="G2882" s="116" t="str">
        <f>HYPERLINK("http://nsgreg.nga.mil/genc/view?v=201981&amp;end_month=3&amp;end_day=31&amp;end_year=2014","Ben Slimane")</f>
        <v>Ben Slimane</v>
      </c>
      <c r="H2882" s="87" t="str">
        <f>HYPERLINK("http://api.nsgreg.nga.mil/geo-division/GENC/6/ed2/MA-BES","MA-BES")</f>
        <v>MA-BES</v>
      </c>
    </row>
    <row r="2883" spans="1:8" x14ac:dyDescent="0.2">
      <c r="A2883" s="157"/>
      <c r="B2883" s="31" t="s">
        <v>10495</v>
      </c>
      <c r="C2883" s="31" t="s">
        <v>10496</v>
      </c>
      <c r="D2883" s="98" t="s">
        <v>1920</v>
      </c>
      <c r="E2883" s="99" t="b">
        <v>0</v>
      </c>
      <c r="F2883" s="107" t="s">
        <v>10497</v>
      </c>
      <c r="G2883" s="116" t="str">
        <f>HYPERLINK("http://nsgreg.nga.mil/genc/view?v=201980&amp;end_month=3&amp;end_day=31&amp;end_year=2014","Berkane")</f>
        <v>Berkane</v>
      </c>
      <c r="H2883" s="87" t="str">
        <f>HYPERLINK("http://api.nsgreg.nga.mil/geo-division/GENC/6/ed2/MA-BER","MA-BER")</f>
        <v>MA-BER</v>
      </c>
    </row>
    <row r="2884" spans="1:8" x14ac:dyDescent="0.2">
      <c r="A2884" s="157"/>
      <c r="B2884" s="31" t="s">
        <v>10498</v>
      </c>
      <c r="C2884" s="31" t="s">
        <v>10499</v>
      </c>
      <c r="D2884" s="98" t="s">
        <v>1920</v>
      </c>
      <c r="E2884" s="99" t="b">
        <v>0</v>
      </c>
      <c r="F2884" s="107" t="s">
        <v>10500</v>
      </c>
      <c r="G2884" s="116" t="str">
        <f>HYPERLINK("http://nsgreg.nga.mil/genc/view?v=201982&amp;end_month=3&amp;end_day=31&amp;end_year=2014","Boujdour")</f>
        <v>Boujdour</v>
      </c>
      <c r="H2884" s="87" t="str">
        <f>HYPERLINK("http://api.nsgreg.nga.mil/geo-division/GENC/6/ed2/MA-BOD","MA-BOD")</f>
        <v>MA-BOD</v>
      </c>
    </row>
    <row r="2885" spans="1:8" x14ac:dyDescent="0.2">
      <c r="A2885" s="157"/>
      <c r="B2885" s="31" t="s">
        <v>10501</v>
      </c>
      <c r="C2885" s="31" t="s">
        <v>10502</v>
      </c>
      <c r="D2885" s="98" t="s">
        <v>1920</v>
      </c>
      <c r="E2885" s="99" t="b">
        <v>0</v>
      </c>
      <c r="F2885" s="107" t="s">
        <v>10503</v>
      </c>
      <c r="G2885" s="116" t="str">
        <f>HYPERLINK("http://nsgreg.nga.mil/genc/view?v=201983&amp;end_month=3&amp;end_day=31&amp;end_year=2014","Boulemane")</f>
        <v>Boulemane</v>
      </c>
      <c r="H2885" s="87" t="str">
        <f>HYPERLINK("http://api.nsgreg.nga.mil/geo-division/GENC/6/ed2/MA-BOM","MA-BOM")</f>
        <v>MA-BOM</v>
      </c>
    </row>
    <row r="2886" spans="1:8" x14ac:dyDescent="0.2">
      <c r="A2886" s="157"/>
      <c r="B2886" s="31" t="s">
        <v>10504</v>
      </c>
      <c r="C2886" s="31" t="s">
        <v>10505</v>
      </c>
      <c r="D2886" s="98" t="s">
        <v>4127</v>
      </c>
      <c r="E2886" s="99" t="b">
        <v>0</v>
      </c>
      <c r="F2886" s="107" t="s">
        <v>10506</v>
      </c>
      <c r="G2886" s="116" t="str">
        <f>HYPERLINK("http://nsgreg.nga.mil/genc/view?v=201984&amp;end_month=3&amp;end_day=31&amp;end_year=2014","Casablanca")</f>
        <v>Casablanca</v>
      </c>
      <c r="H2886" s="87" t="str">
        <f>HYPERLINK("http://api.nsgreg.nga.mil/geo-division/GENC/6/ed2/MA-CAS","MA-CAS")</f>
        <v>MA-CAS</v>
      </c>
    </row>
    <row r="2887" spans="1:8" x14ac:dyDescent="0.2">
      <c r="A2887" s="157"/>
      <c r="B2887" s="31" t="s">
        <v>10507</v>
      </c>
      <c r="C2887" s="31" t="s">
        <v>10508</v>
      </c>
      <c r="D2887" s="31" t="s">
        <v>3137</v>
      </c>
      <c r="E2887" s="61" t="b">
        <v>1</v>
      </c>
      <c r="F2887" s="107" t="s">
        <v>10509</v>
      </c>
      <c r="G2887" s="116" t="str">
        <f>HYPERLINK("http://nsgreg.nga.mil/genc/view?v=201967&amp;end_month=3&amp;end_day=31&amp;end_year=2014","Chaouia-Ouardigha")</f>
        <v>Chaouia-Ouardigha</v>
      </c>
      <c r="H2887" s="87" t="str">
        <f>HYPERLINK("http://api.nsgreg.nga.mil/geo-division/GENC/6/ed2/MA-09","MA-09")</f>
        <v>MA-09</v>
      </c>
    </row>
    <row r="2888" spans="1:8" x14ac:dyDescent="0.2">
      <c r="A2888" s="157"/>
      <c r="B2888" s="31" t="s">
        <v>10510</v>
      </c>
      <c r="C2888" s="31" t="s">
        <v>10511</v>
      </c>
      <c r="D2888" s="98" t="s">
        <v>1920</v>
      </c>
      <c r="E2888" s="99" t="b">
        <v>0</v>
      </c>
      <c r="F2888" s="107" t="s">
        <v>10512</v>
      </c>
      <c r="G2888" s="116" t="str">
        <f>HYPERLINK("http://nsgreg.nga.mil/genc/view?v=201985&amp;end_month=3&amp;end_day=31&amp;end_year=2014","Chefchaouen")</f>
        <v>Chefchaouen</v>
      </c>
      <c r="H2888" s="87" t="str">
        <f>HYPERLINK("http://api.nsgreg.nga.mil/geo-division/GENC/6/ed2/MA-CHE","MA-CHE")</f>
        <v>MA-CHE</v>
      </c>
    </row>
    <row r="2889" spans="1:8" x14ac:dyDescent="0.2">
      <c r="A2889" s="157"/>
      <c r="B2889" s="31" t="s">
        <v>10513</v>
      </c>
      <c r="C2889" s="31" t="s">
        <v>10514</v>
      </c>
      <c r="D2889" s="98" t="s">
        <v>1920</v>
      </c>
      <c r="E2889" s="99" t="b">
        <v>0</v>
      </c>
      <c r="F2889" s="107" t="s">
        <v>10515</v>
      </c>
      <c r="G2889" s="116" t="str">
        <f>HYPERLINK("http://nsgreg.nga.mil/genc/view?v=201986&amp;end_month=3&amp;end_day=31&amp;end_year=2014","Chichaoua")</f>
        <v>Chichaoua</v>
      </c>
      <c r="H2889" s="87" t="str">
        <f>HYPERLINK("http://api.nsgreg.nga.mil/geo-division/GENC/6/ed2/MA-CHI","MA-CHI")</f>
        <v>MA-CHI</v>
      </c>
    </row>
    <row r="2890" spans="1:8" x14ac:dyDescent="0.2">
      <c r="A2890" s="157"/>
      <c r="B2890" s="31" t="s">
        <v>10516</v>
      </c>
      <c r="C2890" s="31" t="s">
        <v>10517</v>
      </c>
      <c r="D2890" s="98" t="s">
        <v>1920</v>
      </c>
      <c r="E2890" s="99" t="b">
        <v>0</v>
      </c>
      <c r="F2890" s="107" t="s">
        <v>10518</v>
      </c>
      <c r="G2890" s="116" t="str">
        <f>HYPERLINK("http://nsgreg.nga.mil/genc/view?v=201987&amp;end_month=3&amp;end_day=31&amp;end_year=2014","Chtouka-Ait Baha")</f>
        <v>Chtouka-Ait Baha</v>
      </c>
      <c r="H2890" s="87" t="str">
        <f>HYPERLINK("http://api.nsgreg.nga.mil/geo-division/GENC/6/ed2/MA-CHT","MA-CHT")</f>
        <v>MA-CHT</v>
      </c>
    </row>
    <row r="2891" spans="1:8" x14ac:dyDescent="0.2">
      <c r="A2891" s="157"/>
      <c r="B2891" s="31" t="s">
        <v>10519</v>
      </c>
      <c r="C2891" s="31" t="s">
        <v>10520</v>
      </c>
      <c r="D2891" s="31" t="s">
        <v>3137</v>
      </c>
      <c r="E2891" s="61" t="b">
        <v>1</v>
      </c>
      <c r="F2891" s="107" t="s">
        <v>10521</v>
      </c>
      <c r="G2891" s="116" t="str">
        <f>HYPERLINK("http://nsgreg.nga.mil/genc/view?v=201968&amp;end_month=3&amp;end_day=31&amp;end_year=2014","Doukkala-Abda")</f>
        <v>Doukkala-Abda</v>
      </c>
      <c r="H2891" s="87" t="str">
        <f>HYPERLINK("http://api.nsgreg.nga.mil/geo-division/GENC/6/ed2/MA-10","MA-10")</f>
        <v>MA-10</v>
      </c>
    </row>
    <row r="2892" spans="1:8" x14ac:dyDescent="0.2">
      <c r="A2892" s="157"/>
      <c r="B2892" s="31" t="s">
        <v>10522</v>
      </c>
      <c r="C2892" s="31" t="s">
        <v>10523</v>
      </c>
      <c r="D2892" s="98" t="s">
        <v>1920</v>
      </c>
      <c r="E2892" s="99" t="b">
        <v>0</v>
      </c>
      <c r="F2892" s="107" t="s">
        <v>10524</v>
      </c>
      <c r="G2892" s="116" t="str">
        <f>HYPERLINK("http://nsgreg.nga.mil/genc/view?v=201995&amp;end_month=3&amp;end_day=31&amp;end_year=2014","El Hajeb")</f>
        <v>El Hajeb</v>
      </c>
      <c r="H2892" s="87" t="str">
        <f>HYPERLINK("http://api.nsgreg.nga.mil/geo-division/GENC/6/ed2/MA-HAJ","MA-HAJ")</f>
        <v>MA-HAJ</v>
      </c>
    </row>
    <row r="2893" spans="1:8" x14ac:dyDescent="0.2">
      <c r="A2893" s="157"/>
      <c r="B2893" s="31" t="s">
        <v>10525</v>
      </c>
      <c r="C2893" s="31" t="s">
        <v>10526</v>
      </c>
      <c r="D2893" s="98" t="s">
        <v>1920</v>
      </c>
      <c r="E2893" s="99" t="b">
        <v>0</v>
      </c>
      <c r="F2893" s="107" t="s">
        <v>10527</v>
      </c>
      <c r="G2893" s="116" t="str">
        <f>HYPERLINK("http://nsgreg.nga.mil/genc/view?v=202000&amp;end_month=3&amp;end_day=31&amp;end_year=2014","El Jadida")</f>
        <v>El Jadida</v>
      </c>
      <c r="H2893" s="87" t="str">
        <f>HYPERLINK("http://api.nsgreg.nga.mil/geo-division/GENC/6/ed2/MA-JDI","MA-JDI")</f>
        <v>MA-JDI</v>
      </c>
    </row>
    <row r="2894" spans="1:8" x14ac:dyDescent="0.2">
      <c r="A2894" s="157"/>
      <c r="B2894" s="31" t="s">
        <v>10528</v>
      </c>
      <c r="C2894" s="31" t="s">
        <v>10529</v>
      </c>
      <c r="D2894" s="98" t="s">
        <v>1920</v>
      </c>
      <c r="E2894" s="99" t="b">
        <v>0</v>
      </c>
      <c r="F2894" s="107" t="s">
        <v>10530</v>
      </c>
      <c r="G2894" s="116" t="str">
        <f>HYPERLINK("http://nsgreg.nga.mil/genc/view?v=202003&amp;end_month=3&amp;end_day=31&amp;end_year=2014","El Kelaa des Sraghna")</f>
        <v>El Kelaa des Sraghna</v>
      </c>
      <c r="H2894" s="87" t="str">
        <f>HYPERLINK("http://api.nsgreg.nga.mil/geo-division/GENC/6/ed2/MA-KES","MA-KES")</f>
        <v>MA-KES</v>
      </c>
    </row>
    <row r="2895" spans="1:8" x14ac:dyDescent="0.2">
      <c r="A2895" s="157"/>
      <c r="B2895" s="31" t="s">
        <v>10531</v>
      </c>
      <c r="C2895" s="31" t="s">
        <v>10532</v>
      </c>
      <c r="D2895" s="98" t="s">
        <v>1920</v>
      </c>
      <c r="E2895" s="99" t="b">
        <v>0</v>
      </c>
      <c r="F2895" s="107" t="s">
        <v>10533</v>
      </c>
      <c r="G2895" s="116" t="str">
        <f>HYPERLINK("http://nsgreg.nga.mil/genc/view?v=201988&amp;end_month=3&amp;end_day=31&amp;end_year=2014","Er Rachidia")</f>
        <v>Er Rachidia</v>
      </c>
      <c r="H2895" s="87" t="str">
        <f>HYPERLINK("http://api.nsgreg.nga.mil/geo-division/GENC/6/ed2/MA-ERR","MA-ERR")</f>
        <v>MA-ERR</v>
      </c>
    </row>
    <row r="2896" spans="1:8" x14ac:dyDescent="0.2">
      <c r="A2896" s="157"/>
      <c r="B2896" s="31" t="s">
        <v>10534</v>
      </c>
      <c r="C2896" s="31" t="s">
        <v>10535</v>
      </c>
      <c r="D2896" s="98" t="s">
        <v>1920</v>
      </c>
      <c r="E2896" s="99" t="b">
        <v>0</v>
      </c>
      <c r="F2896" s="107" t="s">
        <v>10536</v>
      </c>
      <c r="G2896" s="116" t="str">
        <f>HYPERLINK("http://nsgreg.nga.mil/genc/view?v=201989&amp;end_month=3&amp;end_day=31&amp;end_year=2014","Essaouira")</f>
        <v>Essaouira</v>
      </c>
      <c r="H2896" s="87" t="str">
        <f>HYPERLINK("http://api.nsgreg.nga.mil/geo-division/GENC/6/ed2/MA-ESI","MA-ESI")</f>
        <v>MA-ESI</v>
      </c>
    </row>
    <row r="2897" spans="1:8" x14ac:dyDescent="0.2">
      <c r="A2897" s="157"/>
      <c r="B2897" s="31" t="s">
        <v>10537</v>
      </c>
      <c r="C2897" s="31" t="s">
        <v>10538</v>
      </c>
      <c r="D2897" s="98" t="s">
        <v>1920</v>
      </c>
      <c r="E2897" s="99" t="b">
        <v>0</v>
      </c>
      <c r="F2897" s="107" t="s">
        <v>10539</v>
      </c>
      <c r="G2897" s="116" t="str">
        <f>HYPERLINK("http://nsgreg.nga.mil/genc/view?v=201990&amp;end_month=3&amp;end_day=31&amp;end_year=2014","Es Smara")</f>
        <v>Es Smara</v>
      </c>
      <c r="H2897" s="87" t="str">
        <f>HYPERLINK("http://api.nsgreg.nga.mil/geo-division/GENC/6/ed2/MA-ESM","MA-ESM")</f>
        <v>MA-ESM</v>
      </c>
    </row>
    <row r="2898" spans="1:8" x14ac:dyDescent="0.2">
      <c r="A2898" s="157"/>
      <c r="B2898" s="31" t="s">
        <v>10540</v>
      </c>
      <c r="C2898" s="31" t="s">
        <v>10541</v>
      </c>
      <c r="D2898" s="98" t="s">
        <v>4127</v>
      </c>
      <c r="E2898" s="99" t="b">
        <v>0</v>
      </c>
      <c r="F2898" s="107" t="s">
        <v>10542</v>
      </c>
      <c r="G2898" s="116" t="str">
        <f>HYPERLINK("http://nsgreg.nga.mil/genc/view?v=201991&amp;end_month=3&amp;end_day=31&amp;end_year=2014","Fahs-Beni Makada")</f>
        <v>Fahs-Beni Makada</v>
      </c>
      <c r="H2898" s="87" t="str">
        <f>HYPERLINK("http://api.nsgreg.nga.mil/geo-division/GENC/6/ed2/MA-FAH","MA-FAH")</f>
        <v>MA-FAH</v>
      </c>
    </row>
    <row r="2899" spans="1:8" x14ac:dyDescent="0.2">
      <c r="A2899" s="157"/>
      <c r="B2899" s="31" t="s">
        <v>10543</v>
      </c>
      <c r="C2899" s="31" t="s">
        <v>10544</v>
      </c>
      <c r="D2899" s="31" t="s">
        <v>3137</v>
      </c>
      <c r="E2899" s="61" t="b">
        <v>1</v>
      </c>
      <c r="F2899" s="107" t="s">
        <v>10545</v>
      </c>
      <c r="G2899" s="116" t="str">
        <f>HYPERLINK("http://nsgreg.nga.mil/genc/view?v=201963&amp;end_month=3&amp;end_day=31&amp;end_year=2014","Fès-Boulemane")</f>
        <v>Fès-Boulemane</v>
      </c>
      <c r="H2899" s="87" t="str">
        <f>HYPERLINK("http://api.nsgreg.nga.mil/geo-division/GENC/6/ed2/MA-05","MA-05")</f>
        <v>MA-05</v>
      </c>
    </row>
    <row r="2900" spans="1:8" x14ac:dyDescent="0.2">
      <c r="A2900" s="157"/>
      <c r="B2900" s="31" t="s">
        <v>10546</v>
      </c>
      <c r="C2900" s="31" t="s">
        <v>10547</v>
      </c>
      <c r="D2900" s="98" t="s">
        <v>4127</v>
      </c>
      <c r="E2900" s="99" t="b">
        <v>0</v>
      </c>
      <c r="F2900" s="107" t="s">
        <v>10548</v>
      </c>
      <c r="G2900" s="116" t="str">
        <f>HYPERLINK("http://nsgreg.nga.mil/genc/view?v=201992&amp;end_month=3&amp;end_day=31&amp;end_year=2014","Fès-Dar-Dbibegh")</f>
        <v>Fès-Dar-Dbibegh</v>
      </c>
      <c r="H2900" s="87" t="str">
        <f>HYPERLINK("http://api.nsgreg.nga.mil/geo-division/GENC/6/ed2/MA-FES","MA-FES")</f>
        <v>MA-FES</v>
      </c>
    </row>
    <row r="2901" spans="1:8" x14ac:dyDescent="0.2">
      <c r="A2901" s="157"/>
      <c r="B2901" s="31" t="s">
        <v>10549</v>
      </c>
      <c r="C2901" s="31" t="s">
        <v>10550</v>
      </c>
      <c r="D2901" s="98" t="s">
        <v>1920</v>
      </c>
      <c r="E2901" s="99" t="b">
        <v>0</v>
      </c>
      <c r="F2901" s="107" t="s">
        <v>10551</v>
      </c>
      <c r="G2901" s="116" t="str">
        <f>HYPERLINK("http://nsgreg.nga.mil/genc/view?v=201993&amp;end_month=3&amp;end_day=31&amp;end_year=2014","Figuig")</f>
        <v>Figuig</v>
      </c>
      <c r="H2901" s="87" t="str">
        <f>HYPERLINK("http://api.nsgreg.nga.mil/geo-division/GENC/6/ed2/MA-FIG","MA-FIG")</f>
        <v>MA-FIG</v>
      </c>
    </row>
    <row r="2902" spans="1:8" x14ac:dyDescent="0.2">
      <c r="A2902" s="157"/>
      <c r="B2902" s="31" t="s">
        <v>10552</v>
      </c>
      <c r="C2902" s="31" t="s">
        <v>10553</v>
      </c>
      <c r="D2902" s="31" t="s">
        <v>3137</v>
      </c>
      <c r="E2902" s="61" t="b">
        <v>1</v>
      </c>
      <c r="F2902" s="107" t="s">
        <v>10554</v>
      </c>
      <c r="G2902" s="116" t="str">
        <f>HYPERLINK("http://nsgreg.nga.mil/genc/view?v=201960&amp;end_month=3&amp;end_day=31&amp;end_year=2014","Gharb-Chrarda-Beni Hssen")</f>
        <v>Gharb-Chrarda-Beni Hssen</v>
      </c>
      <c r="H2902" s="87" t="str">
        <f>HYPERLINK("http://api.nsgreg.nga.mil/geo-division/GENC/6/ed2/MA-02","MA-02")</f>
        <v>MA-02</v>
      </c>
    </row>
    <row r="2903" spans="1:8" x14ac:dyDescent="0.2">
      <c r="A2903" s="157"/>
      <c r="B2903" s="31" t="s">
        <v>10555</v>
      </c>
      <c r="C2903" s="31" t="s">
        <v>10556</v>
      </c>
      <c r="D2903" s="31" t="s">
        <v>3137</v>
      </c>
      <c r="E2903" s="61" t="b">
        <v>1</v>
      </c>
      <c r="F2903" s="107" t="s">
        <v>10557</v>
      </c>
      <c r="G2903" s="116" t="str">
        <f>HYPERLINK("http://nsgreg.nga.mil/genc/view?v=201966&amp;end_month=3&amp;end_day=31&amp;end_year=2014","Grand Casablanca")</f>
        <v>Grand Casablanca</v>
      </c>
      <c r="H2903" s="87" t="str">
        <f>HYPERLINK("http://api.nsgreg.nga.mil/geo-division/GENC/6/ed2/MA-08","MA-08")</f>
        <v>MA-08</v>
      </c>
    </row>
    <row r="2904" spans="1:8" x14ac:dyDescent="0.2">
      <c r="A2904" s="157"/>
      <c r="B2904" s="31" t="s">
        <v>10558</v>
      </c>
      <c r="C2904" s="31" t="s">
        <v>10559</v>
      </c>
      <c r="D2904" s="98" t="s">
        <v>1920</v>
      </c>
      <c r="E2904" s="99" t="b">
        <v>0</v>
      </c>
      <c r="F2904" s="107" t="s">
        <v>10560</v>
      </c>
      <c r="G2904" s="116" t="str">
        <f>HYPERLINK("http://nsgreg.nga.mil/genc/view?v=201994&amp;end_month=3&amp;end_day=31&amp;end_year=2014","Guelmim")</f>
        <v>Guelmim</v>
      </c>
      <c r="H2904" s="87" t="str">
        <f>HYPERLINK("http://api.nsgreg.nga.mil/geo-division/GENC/6/ed2/MA-GUE","MA-GUE")</f>
        <v>MA-GUE</v>
      </c>
    </row>
    <row r="2905" spans="1:8" x14ac:dyDescent="0.2">
      <c r="A2905" s="157"/>
      <c r="B2905" s="31" t="s">
        <v>10561</v>
      </c>
      <c r="C2905" s="31" t="s">
        <v>10562</v>
      </c>
      <c r="D2905" s="31" t="s">
        <v>3137</v>
      </c>
      <c r="E2905" s="61" t="b">
        <v>1</v>
      </c>
      <c r="F2905" s="107" t="s">
        <v>10563</v>
      </c>
      <c r="G2905" s="116" t="str">
        <f>HYPERLINK("http://nsgreg.nga.mil/genc/view?v=201972&amp;end_month=3&amp;end_day=31&amp;end_year=2014","Guelmim-Es Semara")</f>
        <v>Guelmim-Es Semara</v>
      </c>
      <c r="H2905" s="87" t="str">
        <f>HYPERLINK("http://api.nsgreg.nga.mil/geo-division/GENC/6/ed2/MA-14","MA-14")</f>
        <v>MA-14</v>
      </c>
    </row>
    <row r="2906" spans="1:8" x14ac:dyDescent="0.2">
      <c r="A2906" s="157"/>
      <c r="B2906" s="31" t="s">
        <v>10564</v>
      </c>
      <c r="C2906" s="31" t="s">
        <v>10565</v>
      </c>
      <c r="D2906" s="98" t="s">
        <v>1920</v>
      </c>
      <c r="E2906" s="99" t="b">
        <v>0</v>
      </c>
      <c r="F2906" s="107" t="s">
        <v>10566</v>
      </c>
      <c r="G2906" s="116" t="str">
        <f>HYPERLINK("http://nsgreg.nga.mil/genc/view?v=201998&amp;end_month=3&amp;end_day=31&amp;end_year=2014","Ifrane")</f>
        <v>Ifrane</v>
      </c>
      <c r="H2906" s="87" t="str">
        <f>HYPERLINK("http://api.nsgreg.nga.mil/geo-division/GENC/6/ed2/MA-IFR","MA-IFR")</f>
        <v>MA-IFR</v>
      </c>
    </row>
    <row r="2907" spans="1:8" x14ac:dyDescent="0.2">
      <c r="A2907" s="157"/>
      <c r="B2907" s="31" t="s">
        <v>10567</v>
      </c>
      <c r="C2907" s="31" t="s">
        <v>10568</v>
      </c>
      <c r="D2907" s="98" t="s">
        <v>4127</v>
      </c>
      <c r="E2907" s="99" t="b">
        <v>0</v>
      </c>
      <c r="F2907" s="107" t="s">
        <v>10569</v>
      </c>
      <c r="G2907" s="116" t="str">
        <f>HYPERLINK("http://nsgreg.nga.mil/genc/view?v=201999&amp;end_month=3&amp;end_day=31&amp;end_year=2014","Inezgane-Ait Melloul")</f>
        <v>Inezgane-Ait Melloul</v>
      </c>
      <c r="H2907" s="87" t="str">
        <f>HYPERLINK("http://api.nsgreg.nga.mil/geo-division/GENC/6/ed2/MA-INE","MA-INE")</f>
        <v>MA-INE</v>
      </c>
    </row>
    <row r="2908" spans="1:8" x14ac:dyDescent="0.2">
      <c r="A2908" s="157"/>
      <c r="B2908" s="31" t="s">
        <v>10570</v>
      </c>
      <c r="C2908" s="31" t="s">
        <v>10571</v>
      </c>
      <c r="D2908" s="98" t="s">
        <v>1920</v>
      </c>
      <c r="E2908" s="99" t="b">
        <v>0</v>
      </c>
      <c r="F2908" s="107" t="s">
        <v>10572</v>
      </c>
      <c r="G2908" s="116" t="str">
        <f>HYPERLINK("http://nsgreg.nga.mil/genc/view?v=202001&amp;end_month=3&amp;end_day=31&amp;end_year=2014","Jrada")</f>
        <v>Jrada</v>
      </c>
      <c r="H2908" s="87" t="str">
        <f>HYPERLINK("http://api.nsgreg.nga.mil/geo-division/GENC/6/ed2/MA-JRA","MA-JRA")</f>
        <v>MA-JRA</v>
      </c>
    </row>
    <row r="2909" spans="1:8" x14ac:dyDescent="0.2">
      <c r="A2909" s="157"/>
      <c r="B2909" s="31" t="s">
        <v>10573</v>
      </c>
      <c r="C2909" s="31" t="s">
        <v>10574</v>
      </c>
      <c r="D2909" s="98" t="s">
        <v>1920</v>
      </c>
      <c r="E2909" s="99" t="b">
        <v>0</v>
      </c>
      <c r="F2909" s="107" t="s">
        <v>10575</v>
      </c>
      <c r="G2909" s="116" t="str">
        <f>HYPERLINK("http://nsgreg.nga.mil/genc/view?v=202002&amp;end_month=3&amp;end_day=31&amp;end_year=2014","Kénitra")</f>
        <v>Kénitra</v>
      </c>
      <c r="H2909" s="87" t="str">
        <f>HYPERLINK("http://api.nsgreg.nga.mil/geo-division/GENC/6/ed2/MA-KEN","MA-KEN")</f>
        <v>MA-KEN</v>
      </c>
    </row>
    <row r="2910" spans="1:8" x14ac:dyDescent="0.2">
      <c r="A2910" s="157"/>
      <c r="B2910" s="31" t="s">
        <v>10576</v>
      </c>
      <c r="C2910" s="31" t="s">
        <v>10577</v>
      </c>
      <c r="D2910" s="98" t="s">
        <v>1920</v>
      </c>
      <c r="E2910" s="99" t="b">
        <v>0</v>
      </c>
      <c r="F2910" s="107" t="s">
        <v>10578</v>
      </c>
      <c r="G2910" s="116" t="str">
        <f>HYPERLINK("http://nsgreg.nga.mil/genc/view?v=202004&amp;end_month=3&amp;end_day=31&amp;end_year=2014","Khemisset")</f>
        <v>Khemisset</v>
      </c>
      <c r="H2910" s="87" t="str">
        <f>HYPERLINK("http://api.nsgreg.nga.mil/geo-division/GENC/6/ed2/MA-KHE","MA-KHE")</f>
        <v>MA-KHE</v>
      </c>
    </row>
    <row r="2911" spans="1:8" x14ac:dyDescent="0.2">
      <c r="A2911" s="157"/>
      <c r="B2911" s="31" t="s">
        <v>10579</v>
      </c>
      <c r="C2911" s="31" t="s">
        <v>10580</v>
      </c>
      <c r="D2911" s="98" t="s">
        <v>1920</v>
      </c>
      <c r="E2911" s="99" t="b">
        <v>0</v>
      </c>
      <c r="F2911" s="107" t="s">
        <v>10581</v>
      </c>
      <c r="G2911" s="116" t="str">
        <f>HYPERLINK("http://nsgreg.nga.mil/genc/view?v=202005&amp;end_month=3&amp;end_day=31&amp;end_year=2014","Khenifra")</f>
        <v>Khenifra</v>
      </c>
      <c r="H2911" s="87" t="str">
        <f>HYPERLINK("http://api.nsgreg.nga.mil/geo-division/GENC/6/ed2/MA-KHN","MA-KHN")</f>
        <v>MA-KHN</v>
      </c>
    </row>
    <row r="2912" spans="1:8" x14ac:dyDescent="0.2">
      <c r="A2912" s="157"/>
      <c r="B2912" s="31" t="s">
        <v>10582</v>
      </c>
      <c r="C2912" s="31" t="s">
        <v>10583</v>
      </c>
      <c r="D2912" s="98" t="s">
        <v>1920</v>
      </c>
      <c r="E2912" s="99" t="b">
        <v>0</v>
      </c>
      <c r="F2912" s="107" t="s">
        <v>10584</v>
      </c>
      <c r="G2912" s="116" t="str">
        <f>HYPERLINK("http://nsgreg.nga.mil/genc/view?v=202006&amp;end_month=3&amp;end_day=31&amp;end_year=2014","Khouribga")</f>
        <v>Khouribga</v>
      </c>
      <c r="H2912" s="87" t="str">
        <f>HYPERLINK("http://api.nsgreg.nga.mil/geo-division/GENC/6/ed2/MA-KHO","MA-KHO")</f>
        <v>MA-KHO</v>
      </c>
    </row>
    <row r="2913" spans="1:8" x14ac:dyDescent="0.2">
      <c r="A2913" s="157"/>
      <c r="B2913" s="31" t="s">
        <v>10585</v>
      </c>
      <c r="C2913" s="31" t="s">
        <v>10586</v>
      </c>
      <c r="D2913" s="98" t="s">
        <v>1920</v>
      </c>
      <c r="E2913" s="99" t="b">
        <v>0</v>
      </c>
      <c r="F2913" s="107" t="s">
        <v>10587</v>
      </c>
      <c r="G2913" s="116" t="str">
        <f>HYPERLINK("http://nsgreg.nga.mil/genc/view?v=202007&amp;end_month=3&amp;end_day=31&amp;end_year=2014","Laâyoune")</f>
        <v>Laâyoune</v>
      </c>
      <c r="H2913" s="87" t="str">
        <f>HYPERLINK("http://api.nsgreg.nga.mil/geo-division/GENC/6/ed2/MA-LAA","MA-LAA")</f>
        <v>MA-LAA</v>
      </c>
    </row>
    <row r="2914" spans="1:8" x14ac:dyDescent="0.2">
      <c r="A2914" s="157"/>
      <c r="B2914" s="31" t="s">
        <v>10588</v>
      </c>
      <c r="C2914" s="31" t="s">
        <v>10589</v>
      </c>
      <c r="D2914" s="31" t="s">
        <v>3137</v>
      </c>
      <c r="E2914" s="61" t="b">
        <v>1</v>
      </c>
      <c r="F2914" s="107" t="s">
        <v>10590</v>
      </c>
      <c r="G2914" s="116" t="str">
        <f>HYPERLINK("http://nsgreg.nga.mil/genc/view?v=201973&amp;end_month=3&amp;end_day=31&amp;end_year=2014","Laâyoune-Boujdour-Sakia El Hamra")</f>
        <v>Laâyoune-Boujdour-Sakia El Hamra</v>
      </c>
      <c r="H2914" s="87" t="str">
        <f>HYPERLINK("http://api.nsgreg.nga.mil/geo-division/GENC/6/ed2/MA-15","MA-15")</f>
        <v>MA-15</v>
      </c>
    </row>
    <row r="2915" spans="1:8" x14ac:dyDescent="0.2">
      <c r="A2915" s="157"/>
      <c r="B2915" s="31" t="s">
        <v>10591</v>
      </c>
      <c r="C2915" s="31" t="s">
        <v>10592</v>
      </c>
      <c r="D2915" s="98" t="s">
        <v>1920</v>
      </c>
      <c r="E2915" s="99" t="b">
        <v>0</v>
      </c>
      <c r="F2915" s="107" t="s">
        <v>10593</v>
      </c>
      <c r="G2915" s="116" t="str">
        <f>HYPERLINK("http://nsgreg.nga.mil/genc/view?v=202008&amp;end_month=3&amp;end_day=31&amp;end_year=2014","Larache")</f>
        <v>Larache</v>
      </c>
      <c r="H2915" s="87" t="str">
        <f>HYPERLINK("http://api.nsgreg.nga.mil/geo-division/GENC/6/ed2/MA-LAR","MA-LAR")</f>
        <v>MA-LAR</v>
      </c>
    </row>
    <row r="2916" spans="1:8" x14ac:dyDescent="0.2">
      <c r="A2916" s="157"/>
      <c r="B2916" s="31" t="s">
        <v>10594</v>
      </c>
      <c r="C2916" s="31" t="s">
        <v>10595</v>
      </c>
      <c r="D2916" s="98" t="s">
        <v>4127</v>
      </c>
      <c r="E2916" s="99" t="b">
        <v>0</v>
      </c>
      <c r="F2916" s="107" t="s">
        <v>10596</v>
      </c>
      <c r="G2916" s="116" t="str">
        <f>HYPERLINK("http://nsgreg.nga.mil/genc/view?v=202011&amp;end_month=3&amp;end_day=31&amp;end_year=2014","Marrakech-Medina")</f>
        <v>Marrakech-Medina</v>
      </c>
      <c r="H2916" s="87" t="str">
        <f>HYPERLINK("http://api.nsgreg.nga.mil/geo-division/GENC/6/ed2/MA-MMD","MA-MMD")</f>
        <v>MA-MMD</v>
      </c>
    </row>
    <row r="2917" spans="1:8" x14ac:dyDescent="0.2">
      <c r="A2917" s="157"/>
      <c r="B2917" s="31" t="s">
        <v>10597</v>
      </c>
      <c r="C2917" s="31" t="s">
        <v>10598</v>
      </c>
      <c r="D2917" s="98" t="s">
        <v>4127</v>
      </c>
      <c r="E2917" s="99" t="b">
        <v>0</v>
      </c>
      <c r="F2917" s="107" t="s">
        <v>10599</v>
      </c>
      <c r="G2917" s="116" t="str">
        <f>HYPERLINK("http://nsgreg.nga.mil/genc/view?v=202012&amp;end_month=3&amp;end_day=31&amp;end_year=2014","Marrakech-Menara")</f>
        <v>Marrakech-Menara</v>
      </c>
      <c r="H2917" s="87" t="str">
        <f>HYPERLINK("http://api.nsgreg.nga.mil/geo-division/GENC/6/ed2/MA-MMN","MA-MMN")</f>
        <v>MA-MMN</v>
      </c>
    </row>
    <row r="2918" spans="1:8" x14ac:dyDescent="0.2">
      <c r="A2918" s="157"/>
      <c r="B2918" s="31" t="s">
        <v>10600</v>
      </c>
      <c r="C2918" s="31" t="s">
        <v>10601</v>
      </c>
      <c r="D2918" s="31" t="s">
        <v>3137</v>
      </c>
      <c r="E2918" s="61" t="b">
        <v>1</v>
      </c>
      <c r="F2918" s="107" t="s">
        <v>10602</v>
      </c>
      <c r="G2918" s="116" t="str">
        <f>HYPERLINK("http://nsgreg.nga.mil/genc/view?v=201969&amp;end_month=3&amp;end_day=31&amp;end_year=2014","Marrakech-Tensift-Al Haouz")</f>
        <v>Marrakech-Tensift-Al Haouz</v>
      </c>
      <c r="H2918" s="87" t="str">
        <f>HYPERLINK("http://api.nsgreg.nga.mil/geo-division/GENC/6/ed2/MA-11","MA-11")</f>
        <v>MA-11</v>
      </c>
    </row>
    <row r="2919" spans="1:8" x14ac:dyDescent="0.2">
      <c r="A2919" s="157"/>
      <c r="B2919" s="31" t="s">
        <v>10603</v>
      </c>
      <c r="C2919" s="31" t="s">
        <v>10604</v>
      </c>
      <c r="D2919" s="98" t="s">
        <v>1920</v>
      </c>
      <c r="E2919" s="99" t="b">
        <v>0</v>
      </c>
      <c r="F2919" s="107" t="s">
        <v>10605</v>
      </c>
      <c r="G2919" s="116" t="str">
        <f>HYPERLINK("http://nsgreg.nga.mil/genc/view?v=202009&amp;end_month=3&amp;end_day=31&amp;end_year=2014","Médiouna")</f>
        <v>Médiouna</v>
      </c>
      <c r="H2919" s="87" t="str">
        <f>HYPERLINK("http://api.nsgreg.nga.mil/geo-division/GENC/6/ed2/MA-MED","MA-MED")</f>
        <v>MA-MED</v>
      </c>
    </row>
    <row r="2920" spans="1:8" x14ac:dyDescent="0.2">
      <c r="A2920" s="157"/>
      <c r="B2920" s="31" t="s">
        <v>10606</v>
      </c>
      <c r="C2920" s="31" t="s">
        <v>10607</v>
      </c>
      <c r="D2920" s="98" t="s">
        <v>4127</v>
      </c>
      <c r="E2920" s="99" t="b">
        <v>0</v>
      </c>
      <c r="F2920" s="107" t="s">
        <v>10608</v>
      </c>
      <c r="G2920" s="116" t="str">
        <f>HYPERLINK("http://nsgreg.nga.mil/genc/view?v=202010&amp;end_month=3&amp;end_day=31&amp;end_year=2014","Meknès")</f>
        <v>Meknès</v>
      </c>
      <c r="H2920" s="87" t="str">
        <f>HYPERLINK("http://api.nsgreg.nga.mil/geo-division/GENC/6/ed2/MA-MEK","MA-MEK")</f>
        <v>MA-MEK</v>
      </c>
    </row>
    <row r="2921" spans="1:8" x14ac:dyDescent="0.2">
      <c r="A2921" s="157"/>
      <c r="B2921" s="31" t="s">
        <v>10609</v>
      </c>
      <c r="C2921" s="31" t="s">
        <v>10610</v>
      </c>
      <c r="D2921" s="31" t="s">
        <v>3137</v>
      </c>
      <c r="E2921" s="61" t="b">
        <v>1</v>
      </c>
      <c r="F2921" s="107" t="s">
        <v>10611</v>
      </c>
      <c r="G2921" s="116" t="str">
        <f>HYPERLINK("http://nsgreg.nga.mil/genc/view?v=201964&amp;end_month=3&amp;end_day=31&amp;end_year=2014","Meknès-Tafilalet")</f>
        <v>Meknès-Tafilalet</v>
      </c>
      <c r="H2921" s="87" t="str">
        <f>HYPERLINK("http://api.nsgreg.nga.mil/geo-division/GENC/6/ed2/MA-06","MA-06")</f>
        <v>MA-06</v>
      </c>
    </row>
    <row r="2922" spans="1:8" x14ac:dyDescent="0.2">
      <c r="A2922" s="157"/>
      <c r="B2922" s="31" t="s">
        <v>10612</v>
      </c>
      <c r="C2922" s="31" t="s">
        <v>10613</v>
      </c>
      <c r="D2922" s="98" t="s">
        <v>4127</v>
      </c>
      <c r="E2922" s="99" t="b">
        <v>0</v>
      </c>
      <c r="F2922" s="107" t="s">
        <v>10614</v>
      </c>
      <c r="G2922" s="116" t="str">
        <f>HYPERLINK("http://nsgreg.nga.mil/genc/view?v=202013&amp;end_month=3&amp;end_day=31&amp;end_year=2014","Mohammadia")</f>
        <v>Mohammadia</v>
      </c>
      <c r="H2922" s="87" t="str">
        <f>HYPERLINK("http://api.nsgreg.nga.mil/geo-division/GENC/6/ed2/MA-MOH","MA-MOH")</f>
        <v>MA-MOH</v>
      </c>
    </row>
    <row r="2923" spans="1:8" x14ac:dyDescent="0.2">
      <c r="A2923" s="157"/>
      <c r="B2923" s="31" t="s">
        <v>10615</v>
      </c>
      <c r="C2923" s="31" t="s">
        <v>10616</v>
      </c>
      <c r="D2923" s="98" t="s">
        <v>1920</v>
      </c>
      <c r="E2923" s="99" t="b">
        <v>0</v>
      </c>
      <c r="F2923" s="107" t="s">
        <v>10617</v>
      </c>
      <c r="G2923" s="116" t="str">
        <f>HYPERLINK("http://nsgreg.nga.mil/genc/view?v=202014&amp;end_month=3&amp;end_day=31&amp;end_year=2014","Moulay Yacoub")</f>
        <v>Moulay Yacoub</v>
      </c>
      <c r="H2923" s="87" t="str">
        <f>HYPERLINK("http://api.nsgreg.nga.mil/geo-division/GENC/6/ed2/MA-MOU","MA-MOU")</f>
        <v>MA-MOU</v>
      </c>
    </row>
    <row r="2924" spans="1:8" x14ac:dyDescent="0.2">
      <c r="A2924" s="157"/>
      <c r="B2924" s="31" t="s">
        <v>10618</v>
      </c>
      <c r="C2924" s="31" t="s">
        <v>10619</v>
      </c>
      <c r="D2924" s="98" t="s">
        <v>1920</v>
      </c>
      <c r="E2924" s="99" t="b">
        <v>0</v>
      </c>
      <c r="F2924" s="107" t="s">
        <v>10620</v>
      </c>
      <c r="G2924" s="116" t="str">
        <f>HYPERLINK("http://nsgreg.nga.mil/genc/view?v=202015&amp;end_month=3&amp;end_day=31&amp;end_year=2014","Nador")</f>
        <v>Nador</v>
      </c>
      <c r="H2924" s="87" t="str">
        <f>HYPERLINK("http://api.nsgreg.nga.mil/geo-division/GENC/6/ed2/MA-NAD","MA-NAD")</f>
        <v>MA-NAD</v>
      </c>
    </row>
    <row r="2925" spans="1:8" x14ac:dyDescent="0.2">
      <c r="A2925" s="157"/>
      <c r="B2925" s="31" t="s">
        <v>10621</v>
      </c>
      <c r="C2925" s="31" t="s">
        <v>10622</v>
      </c>
      <c r="D2925" s="98" t="s">
        <v>1920</v>
      </c>
      <c r="E2925" s="99" t="b">
        <v>0</v>
      </c>
      <c r="F2925" s="107" t="s">
        <v>10623</v>
      </c>
      <c r="G2925" s="116" t="str">
        <f>HYPERLINK("http://nsgreg.nga.mil/genc/view?v=202016&amp;end_month=3&amp;end_day=31&amp;end_year=2014","Nouaceur")</f>
        <v>Nouaceur</v>
      </c>
      <c r="H2925" s="87" t="str">
        <f>HYPERLINK("http://api.nsgreg.nga.mil/geo-division/GENC/6/ed2/MA-NOU","MA-NOU")</f>
        <v>MA-NOU</v>
      </c>
    </row>
    <row r="2926" spans="1:8" x14ac:dyDescent="0.2">
      <c r="A2926" s="157"/>
      <c r="B2926" s="31" t="s">
        <v>10624</v>
      </c>
      <c r="C2926" s="31" t="s">
        <v>10625</v>
      </c>
      <c r="D2926" s="31" t="s">
        <v>3137</v>
      </c>
      <c r="E2926" s="61" t="b">
        <v>1</v>
      </c>
      <c r="F2926" s="107" t="s">
        <v>10626</v>
      </c>
      <c r="G2926" s="116" t="str">
        <f>HYPERLINK("http://nsgreg.nga.mil/genc/view?v=201962&amp;end_month=3&amp;end_day=31&amp;end_year=2014","Oriental")</f>
        <v>Oriental</v>
      </c>
      <c r="H2926" s="87" t="str">
        <f>HYPERLINK("http://api.nsgreg.nga.mil/geo-division/GENC/6/ed2/MA-04","MA-04")</f>
        <v>MA-04</v>
      </c>
    </row>
    <row r="2927" spans="1:8" x14ac:dyDescent="0.2">
      <c r="A2927" s="157"/>
      <c r="B2927" s="31" t="s">
        <v>10627</v>
      </c>
      <c r="C2927" s="31" t="s">
        <v>10628</v>
      </c>
      <c r="D2927" s="98" t="s">
        <v>1920</v>
      </c>
      <c r="E2927" s="99" t="b">
        <v>0</v>
      </c>
      <c r="F2927" s="107" t="s">
        <v>10629</v>
      </c>
      <c r="G2927" s="116" t="str">
        <f>HYPERLINK("http://nsgreg.nga.mil/genc/view?v=202017&amp;end_month=3&amp;end_day=31&amp;end_year=2014","Ouarzazate")</f>
        <v>Ouarzazate</v>
      </c>
      <c r="H2927" s="87" t="str">
        <f>HYPERLINK("http://api.nsgreg.nga.mil/geo-division/GENC/6/ed2/MA-OUA","MA-OUA")</f>
        <v>MA-OUA</v>
      </c>
    </row>
    <row r="2928" spans="1:8" x14ac:dyDescent="0.2">
      <c r="A2928" s="157"/>
      <c r="B2928" s="31" t="s">
        <v>10630</v>
      </c>
      <c r="C2928" s="31" t="s">
        <v>10631</v>
      </c>
      <c r="D2928" s="98" t="s">
        <v>1920</v>
      </c>
      <c r="E2928" s="99" t="b">
        <v>0</v>
      </c>
      <c r="F2928" s="107" t="s">
        <v>10632</v>
      </c>
      <c r="G2928" s="116" t="str">
        <f>HYPERLINK("http://nsgreg.nga.mil/genc/view?v=202018&amp;end_month=3&amp;end_day=31&amp;end_year=2014","Oued ed Dahab")</f>
        <v>Oued ed Dahab</v>
      </c>
      <c r="H2928" s="87" t="str">
        <f>HYPERLINK("http://api.nsgreg.nga.mil/geo-division/GENC/6/ed2/MA-OUD","MA-OUD")</f>
        <v>MA-OUD</v>
      </c>
    </row>
    <row r="2929" spans="1:8" x14ac:dyDescent="0.2">
      <c r="A2929" s="157"/>
      <c r="B2929" s="31" t="s">
        <v>10633</v>
      </c>
      <c r="C2929" s="31" t="s">
        <v>10634</v>
      </c>
      <c r="D2929" s="98" t="s">
        <v>3137</v>
      </c>
      <c r="E2929" s="99" t="b">
        <v>0</v>
      </c>
      <c r="F2929" s="107" t="s">
        <v>10635</v>
      </c>
      <c r="G2929" s="116" t="str">
        <f>HYPERLINK("http://nsgreg.nga.mil/genc/view?v=201974&amp;end_month=3&amp;end_day=31&amp;end_year=2014","Oued ed Dahab-Lagouira")</f>
        <v>Oued ed Dahab-Lagouira</v>
      </c>
      <c r="H2929" s="87" t="str">
        <f>HYPERLINK("http://api.nsgreg.nga.mil/geo-division/GENC/6/ed2/MA-16","MA-16")</f>
        <v>MA-16</v>
      </c>
    </row>
    <row r="2930" spans="1:8" x14ac:dyDescent="0.2">
      <c r="A2930" s="157"/>
      <c r="B2930" s="31" t="s">
        <v>10636</v>
      </c>
      <c r="C2930" s="31" t="s">
        <v>10637</v>
      </c>
      <c r="D2930" s="98" t="s">
        <v>4127</v>
      </c>
      <c r="E2930" s="99" t="b">
        <v>0</v>
      </c>
      <c r="F2930" s="107" t="s">
        <v>10638</v>
      </c>
      <c r="G2930" s="116" t="str">
        <f>HYPERLINK("http://nsgreg.nga.mil/genc/view?v=202019&amp;end_month=3&amp;end_day=31&amp;end_year=2014","Oujda-Angad")</f>
        <v>Oujda-Angad</v>
      </c>
      <c r="H2930" s="87" t="str">
        <f>HYPERLINK("http://api.nsgreg.nga.mil/geo-division/GENC/6/ed2/MA-OUJ","MA-OUJ")</f>
        <v>MA-OUJ</v>
      </c>
    </row>
    <row r="2931" spans="1:8" x14ac:dyDescent="0.2">
      <c r="A2931" s="157"/>
      <c r="B2931" s="31" t="s">
        <v>10639</v>
      </c>
      <c r="C2931" s="31" t="s">
        <v>9824</v>
      </c>
      <c r="D2931" s="98" t="s">
        <v>4127</v>
      </c>
      <c r="E2931" s="99" t="b">
        <v>0</v>
      </c>
      <c r="F2931" s="107" t="s">
        <v>10640</v>
      </c>
      <c r="G2931" s="116" t="str">
        <f>HYPERLINK("http://nsgreg.nga.mil/genc/view?v=202020&amp;end_month=3&amp;end_day=31&amp;end_year=2014","Rabat")</f>
        <v>Rabat</v>
      </c>
      <c r="H2931" s="87" t="str">
        <f>HYPERLINK("http://api.nsgreg.nga.mil/geo-division/GENC/6/ed2/MA-RAB","MA-RAB")</f>
        <v>MA-RAB</v>
      </c>
    </row>
    <row r="2932" spans="1:8" x14ac:dyDescent="0.2">
      <c r="A2932" s="157"/>
      <c r="B2932" s="31" t="s">
        <v>10641</v>
      </c>
      <c r="C2932" s="31" t="s">
        <v>10642</v>
      </c>
      <c r="D2932" s="31" t="s">
        <v>3137</v>
      </c>
      <c r="E2932" s="61" t="b">
        <v>1</v>
      </c>
      <c r="F2932" s="107" t="s">
        <v>10643</v>
      </c>
      <c r="G2932" s="116" t="str">
        <f>HYPERLINK("http://nsgreg.nga.mil/genc/view?v=201965&amp;end_month=3&amp;end_day=31&amp;end_year=2014","Rabat-Salé-Zemmour-Zaër")</f>
        <v>Rabat-Salé-Zemmour-Zaër</v>
      </c>
      <c r="H2932" s="87" t="str">
        <f>HYPERLINK("http://api.nsgreg.nga.mil/geo-division/GENC/6/ed2/MA-07","MA-07")</f>
        <v>MA-07</v>
      </c>
    </row>
    <row r="2933" spans="1:8" x14ac:dyDescent="0.2">
      <c r="A2933" s="157"/>
      <c r="B2933" s="31" t="s">
        <v>10644</v>
      </c>
      <c r="C2933" s="31" t="s">
        <v>9830</v>
      </c>
      <c r="D2933" s="98" t="s">
        <v>1920</v>
      </c>
      <c r="E2933" s="99" t="b">
        <v>0</v>
      </c>
      <c r="F2933" s="107" t="s">
        <v>10645</v>
      </c>
      <c r="G2933" s="116" t="str">
        <f>HYPERLINK("http://nsgreg.nga.mil/genc/view?v=202021&amp;end_month=3&amp;end_day=31&amp;end_year=2014","Safi")</f>
        <v>Safi</v>
      </c>
      <c r="H2933" s="87" t="str">
        <f>HYPERLINK("http://api.nsgreg.nga.mil/geo-division/GENC/6/ed2/MA-SAF","MA-SAF")</f>
        <v>MA-SAF</v>
      </c>
    </row>
    <row r="2934" spans="1:8" x14ac:dyDescent="0.2">
      <c r="A2934" s="157"/>
      <c r="B2934" s="31" t="s">
        <v>10646</v>
      </c>
      <c r="C2934" s="31" t="s">
        <v>10647</v>
      </c>
      <c r="D2934" s="98" t="s">
        <v>4127</v>
      </c>
      <c r="E2934" s="99" t="b">
        <v>0</v>
      </c>
      <c r="F2934" s="107" t="s">
        <v>10648</v>
      </c>
      <c r="G2934" s="116" t="str">
        <f>HYPERLINK("http://nsgreg.nga.mil/genc/view?v=202022&amp;end_month=3&amp;end_day=31&amp;end_year=2014","Salé")</f>
        <v>Salé</v>
      </c>
      <c r="H2934" s="87" t="str">
        <f>HYPERLINK("http://api.nsgreg.nga.mil/geo-division/GENC/6/ed2/MA-SAL","MA-SAL")</f>
        <v>MA-SAL</v>
      </c>
    </row>
    <row r="2935" spans="1:8" x14ac:dyDescent="0.2">
      <c r="A2935" s="157"/>
      <c r="B2935" s="31" t="s">
        <v>10649</v>
      </c>
      <c r="C2935" s="31" t="s">
        <v>10650</v>
      </c>
      <c r="D2935" s="98" t="s">
        <v>1920</v>
      </c>
      <c r="E2935" s="99" t="b">
        <v>0</v>
      </c>
      <c r="F2935" s="107" t="s">
        <v>10651</v>
      </c>
      <c r="G2935" s="116" t="str">
        <f>HYPERLINK("http://nsgreg.nga.mil/genc/view?v=202023&amp;end_month=3&amp;end_day=31&amp;end_year=2014","Sefrou")</f>
        <v>Sefrou</v>
      </c>
      <c r="H2935" s="87" t="str">
        <f>HYPERLINK("http://api.nsgreg.nga.mil/geo-division/GENC/6/ed2/MA-SEF","MA-SEF")</f>
        <v>MA-SEF</v>
      </c>
    </row>
    <row r="2936" spans="1:8" x14ac:dyDescent="0.2">
      <c r="A2936" s="157"/>
      <c r="B2936" s="31" t="s">
        <v>10652</v>
      </c>
      <c r="C2936" s="31" t="s">
        <v>10653</v>
      </c>
      <c r="D2936" s="98" t="s">
        <v>1920</v>
      </c>
      <c r="E2936" s="99" t="b">
        <v>0</v>
      </c>
      <c r="F2936" s="107" t="s">
        <v>10654</v>
      </c>
      <c r="G2936" s="116" t="str">
        <f>HYPERLINK("http://nsgreg.nga.mil/genc/view?v=202024&amp;end_month=3&amp;end_day=31&amp;end_year=2014","Settat")</f>
        <v>Settat</v>
      </c>
      <c r="H2936" s="87" t="str">
        <f>HYPERLINK("http://api.nsgreg.nga.mil/geo-division/GENC/6/ed2/MA-SET","MA-SET")</f>
        <v>MA-SET</v>
      </c>
    </row>
    <row r="2937" spans="1:8" x14ac:dyDescent="0.2">
      <c r="A2937" s="157"/>
      <c r="B2937" s="31" t="s">
        <v>10655</v>
      </c>
      <c r="C2937" s="31" t="s">
        <v>10656</v>
      </c>
      <c r="D2937" s="98" t="s">
        <v>1920</v>
      </c>
      <c r="E2937" s="99" t="b">
        <v>0</v>
      </c>
      <c r="F2937" s="107" t="s">
        <v>10657</v>
      </c>
      <c r="G2937" s="116" t="str">
        <f>HYPERLINK("http://nsgreg.nga.mil/genc/view?v=202025&amp;end_month=3&amp;end_day=31&amp;end_year=2014","Sidi Kacem")</f>
        <v>Sidi Kacem</v>
      </c>
      <c r="H2937" s="87" t="str">
        <f>HYPERLINK("http://api.nsgreg.nga.mil/geo-division/GENC/6/ed2/MA-SIK","MA-SIK")</f>
        <v>MA-SIK</v>
      </c>
    </row>
    <row r="2938" spans="1:8" x14ac:dyDescent="0.2">
      <c r="A2938" s="157"/>
      <c r="B2938" s="31" t="s">
        <v>10658</v>
      </c>
      <c r="C2938" s="31" t="s">
        <v>10659</v>
      </c>
      <c r="D2938" s="98" t="s">
        <v>4127</v>
      </c>
      <c r="E2938" s="99" t="b">
        <v>0</v>
      </c>
      <c r="F2938" s="107" t="s">
        <v>10660</v>
      </c>
      <c r="G2938" s="116" t="str">
        <f>HYPERLINK("http://nsgreg.nga.mil/genc/view?v=202027&amp;end_month=3&amp;end_day=31&amp;end_year=2014","Sidi Youssef Ben Ali")</f>
        <v>Sidi Youssef Ben Ali</v>
      </c>
      <c r="H2938" s="87" t="str">
        <f>HYPERLINK("http://api.nsgreg.nga.mil/geo-division/GENC/6/ed2/MA-SYB","MA-SYB")</f>
        <v>MA-SYB</v>
      </c>
    </row>
    <row r="2939" spans="1:8" x14ac:dyDescent="0.2">
      <c r="A2939" s="157"/>
      <c r="B2939" s="31" t="s">
        <v>10661</v>
      </c>
      <c r="C2939" s="31" t="s">
        <v>10662</v>
      </c>
      <c r="D2939" s="98" t="s">
        <v>4127</v>
      </c>
      <c r="E2939" s="99" t="b">
        <v>0</v>
      </c>
      <c r="F2939" s="107" t="s">
        <v>10663</v>
      </c>
      <c r="G2939" s="116" t="str">
        <f>HYPERLINK("http://nsgreg.nga.mil/genc/view?v=202026&amp;end_month=3&amp;end_day=31&amp;end_year=2014","Skhirat-Temara")</f>
        <v>Skhirat-Temara</v>
      </c>
      <c r="H2939" s="87" t="str">
        <f>HYPERLINK("http://api.nsgreg.nga.mil/geo-division/GENC/6/ed2/MA-SKH","MA-SKH")</f>
        <v>MA-SKH</v>
      </c>
    </row>
    <row r="2940" spans="1:8" x14ac:dyDescent="0.2">
      <c r="A2940" s="157"/>
      <c r="B2940" s="31" t="s">
        <v>10664</v>
      </c>
      <c r="C2940" s="31" t="s">
        <v>10665</v>
      </c>
      <c r="D2940" s="31" t="s">
        <v>3137</v>
      </c>
      <c r="E2940" s="61" t="b">
        <v>1</v>
      </c>
      <c r="F2940" s="107" t="s">
        <v>10666</v>
      </c>
      <c r="G2940" s="116" t="str">
        <f>HYPERLINK("http://nsgreg.nga.mil/genc/view?v=201971&amp;end_month=3&amp;end_day=31&amp;end_year=2014","Souss-Massa-Drâa")</f>
        <v>Souss-Massa-Drâa</v>
      </c>
      <c r="H2940" s="87" t="str">
        <f>HYPERLINK("http://api.nsgreg.nga.mil/geo-division/GENC/6/ed2/MA-13","MA-13")</f>
        <v>MA-13</v>
      </c>
    </row>
    <row r="2941" spans="1:8" x14ac:dyDescent="0.2">
      <c r="A2941" s="157"/>
      <c r="B2941" s="31" t="s">
        <v>10667</v>
      </c>
      <c r="C2941" s="31" t="s">
        <v>10668</v>
      </c>
      <c r="D2941" s="31" t="s">
        <v>3137</v>
      </c>
      <c r="E2941" s="61" t="b">
        <v>1</v>
      </c>
      <c r="F2941" s="107" t="s">
        <v>10669</v>
      </c>
      <c r="G2941" s="116" t="str">
        <f>HYPERLINK("http://nsgreg.nga.mil/genc/view?v=201970&amp;end_month=3&amp;end_day=31&amp;end_year=2014","Tadla-Azilal")</f>
        <v>Tadla-Azilal</v>
      </c>
      <c r="H2941" s="87" t="str">
        <f>HYPERLINK("http://api.nsgreg.nga.mil/geo-division/GENC/6/ed2/MA-12","MA-12")</f>
        <v>MA-12</v>
      </c>
    </row>
    <row r="2942" spans="1:8" x14ac:dyDescent="0.2">
      <c r="A2942" s="157"/>
      <c r="B2942" s="31" t="s">
        <v>10670</v>
      </c>
      <c r="C2942" s="31" t="s">
        <v>10671</v>
      </c>
      <c r="D2942" s="98" t="s">
        <v>4127</v>
      </c>
      <c r="E2942" s="99" t="b">
        <v>0</v>
      </c>
      <c r="F2942" s="107" t="s">
        <v>10672</v>
      </c>
      <c r="G2942" s="116" t="str">
        <f>HYPERLINK("http://nsgreg.nga.mil/genc/view?v=202035&amp;end_month=3&amp;end_day=31&amp;end_year=2014","Tanger-Asilah")</f>
        <v>Tanger-Asilah</v>
      </c>
      <c r="H2942" s="87" t="str">
        <f>HYPERLINK("http://api.nsgreg.nga.mil/geo-division/GENC/6/ed2/MA-TNG","MA-TNG")</f>
        <v>MA-TNG</v>
      </c>
    </row>
    <row r="2943" spans="1:8" x14ac:dyDescent="0.2">
      <c r="A2943" s="157"/>
      <c r="B2943" s="31" t="s">
        <v>10673</v>
      </c>
      <c r="C2943" s="31" t="s">
        <v>10674</v>
      </c>
      <c r="D2943" s="31" t="s">
        <v>3137</v>
      </c>
      <c r="E2943" s="61" t="b">
        <v>1</v>
      </c>
      <c r="F2943" s="107" t="s">
        <v>10675</v>
      </c>
      <c r="G2943" s="116" t="str">
        <f>HYPERLINK("http://nsgreg.nga.mil/genc/view?v=201959&amp;end_month=3&amp;end_day=31&amp;end_year=2014","Tanger-Tétouan")</f>
        <v>Tanger-Tétouan</v>
      </c>
      <c r="H2943" s="87" t="str">
        <f>HYPERLINK("http://api.nsgreg.nga.mil/geo-division/GENC/6/ed2/MA-01","MA-01")</f>
        <v>MA-01</v>
      </c>
    </row>
    <row r="2944" spans="1:8" x14ac:dyDescent="0.2">
      <c r="A2944" s="157"/>
      <c r="B2944" s="31" t="s">
        <v>10676</v>
      </c>
      <c r="C2944" s="31" t="s">
        <v>10677</v>
      </c>
      <c r="D2944" s="98" t="s">
        <v>1920</v>
      </c>
      <c r="E2944" s="99" t="b">
        <v>0</v>
      </c>
      <c r="F2944" s="107" t="s">
        <v>10678</v>
      </c>
      <c r="G2944" s="116" t="str">
        <f>HYPERLINK("http://nsgreg.nga.mil/genc/view?v=202036&amp;end_month=3&amp;end_day=31&amp;end_year=2014","Tan-Tan")</f>
        <v>Tan-Tan</v>
      </c>
      <c r="H2944" s="87" t="str">
        <f>HYPERLINK("http://api.nsgreg.nga.mil/geo-division/GENC/6/ed2/MA-TNT","MA-TNT")</f>
        <v>MA-TNT</v>
      </c>
    </row>
    <row r="2945" spans="1:8" x14ac:dyDescent="0.2">
      <c r="A2945" s="157"/>
      <c r="B2945" s="31" t="s">
        <v>10679</v>
      </c>
      <c r="C2945" s="31" t="s">
        <v>10680</v>
      </c>
      <c r="D2945" s="98" t="s">
        <v>1920</v>
      </c>
      <c r="E2945" s="99" t="b">
        <v>0</v>
      </c>
      <c r="F2945" s="107" t="s">
        <v>10681</v>
      </c>
      <c r="G2945" s="116" t="str">
        <f>HYPERLINK("http://nsgreg.nga.mil/genc/view?v=202029&amp;end_month=3&amp;end_day=31&amp;end_year=2014","Taounate")</f>
        <v>Taounate</v>
      </c>
      <c r="H2945" s="87" t="str">
        <f>HYPERLINK("http://api.nsgreg.nga.mil/geo-division/GENC/6/ed2/MA-TAO","MA-TAO")</f>
        <v>MA-TAO</v>
      </c>
    </row>
    <row r="2946" spans="1:8" x14ac:dyDescent="0.2">
      <c r="A2946" s="157"/>
      <c r="B2946" s="31" t="s">
        <v>10682</v>
      </c>
      <c r="C2946" s="31" t="s">
        <v>10683</v>
      </c>
      <c r="D2946" s="98" t="s">
        <v>1920</v>
      </c>
      <c r="E2946" s="99" t="b">
        <v>0</v>
      </c>
      <c r="F2946" s="107" t="s">
        <v>10684</v>
      </c>
      <c r="G2946" s="116" t="str">
        <f>HYPERLINK("http://nsgreg.nga.mil/genc/view?v=202028&amp;end_month=3&amp;end_day=31&amp;end_year=2014","Taourirt")</f>
        <v>Taourirt</v>
      </c>
      <c r="H2946" s="87" t="str">
        <f>HYPERLINK("http://api.nsgreg.nga.mil/geo-division/GENC/6/ed2/MA-TAI","MA-TAI")</f>
        <v>MA-TAI</v>
      </c>
    </row>
    <row r="2947" spans="1:8" x14ac:dyDescent="0.2">
      <c r="A2947" s="157"/>
      <c r="B2947" s="31" t="s">
        <v>10685</v>
      </c>
      <c r="C2947" s="31" t="s">
        <v>10686</v>
      </c>
      <c r="D2947" s="98" t="s">
        <v>1920</v>
      </c>
      <c r="E2947" s="99" t="b">
        <v>0</v>
      </c>
      <c r="F2947" s="107" t="s">
        <v>10687</v>
      </c>
      <c r="G2947" s="116" t="str">
        <f>HYPERLINK("http://nsgreg.nga.mil/genc/view?v=202030&amp;end_month=3&amp;end_day=31&amp;end_year=2014","Taroudannt")</f>
        <v>Taroudannt</v>
      </c>
      <c r="H2947" s="87" t="str">
        <f>HYPERLINK("http://api.nsgreg.nga.mil/geo-division/GENC/6/ed2/MA-TAR","MA-TAR")</f>
        <v>MA-TAR</v>
      </c>
    </row>
    <row r="2948" spans="1:8" x14ac:dyDescent="0.2">
      <c r="A2948" s="157"/>
      <c r="B2948" s="31" t="s">
        <v>10688</v>
      </c>
      <c r="C2948" s="31" t="s">
        <v>10689</v>
      </c>
      <c r="D2948" s="98" t="s">
        <v>1920</v>
      </c>
      <c r="E2948" s="99" t="b">
        <v>0</v>
      </c>
      <c r="F2948" s="107" t="s">
        <v>10690</v>
      </c>
      <c r="G2948" s="116" t="str">
        <f>HYPERLINK("http://nsgreg.nga.mil/genc/view?v=202031&amp;end_month=3&amp;end_day=31&amp;end_year=2014","Tata")</f>
        <v>Tata</v>
      </c>
      <c r="H2948" s="87" t="str">
        <f>HYPERLINK("http://api.nsgreg.nga.mil/geo-division/GENC/6/ed2/MA-TAT","MA-TAT")</f>
        <v>MA-TAT</v>
      </c>
    </row>
    <row r="2949" spans="1:8" x14ac:dyDescent="0.2">
      <c r="A2949" s="157"/>
      <c r="B2949" s="31" t="s">
        <v>10691</v>
      </c>
      <c r="C2949" s="31" t="s">
        <v>10692</v>
      </c>
      <c r="D2949" s="98" t="s">
        <v>1920</v>
      </c>
      <c r="E2949" s="99" t="b">
        <v>0</v>
      </c>
      <c r="F2949" s="107" t="s">
        <v>10693</v>
      </c>
      <c r="G2949" s="116" t="str">
        <f>HYPERLINK("http://nsgreg.nga.mil/genc/view?v=202032&amp;end_month=3&amp;end_day=31&amp;end_year=2014","Taza")</f>
        <v>Taza</v>
      </c>
      <c r="H2949" s="87" t="str">
        <f>HYPERLINK("http://api.nsgreg.nga.mil/geo-division/GENC/6/ed2/MA-TAZ","MA-TAZ")</f>
        <v>MA-TAZ</v>
      </c>
    </row>
    <row r="2950" spans="1:8" x14ac:dyDescent="0.2">
      <c r="A2950" s="157"/>
      <c r="B2950" s="31" t="s">
        <v>10694</v>
      </c>
      <c r="C2950" s="31" t="s">
        <v>10695</v>
      </c>
      <c r="D2950" s="31" t="s">
        <v>3137</v>
      </c>
      <c r="E2950" s="61" t="b">
        <v>1</v>
      </c>
      <c r="F2950" s="107" t="s">
        <v>10696</v>
      </c>
      <c r="G2950" s="116" t="str">
        <f>HYPERLINK("http://nsgreg.nga.mil/genc/view?v=201961&amp;end_month=3&amp;end_day=31&amp;end_year=2014","Taza-Al Hoceima-Taounate")</f>
        <v>Taza-Al Hoceima-Taounate</v>
      </c>
      <c r="H2950" s="87" t="str">
        <f>HYPERLINK("http://api.nsgreg.nga.mil/geo-division/GENC/6/ed2/MA-03","MA-03")</f>
        <v>MA-03</v>
      </c>
    </row>
    <row r="2951" spans="1:8" x14ac:dyDescent="0.2">
      <c r="A2951" s="157"/>
      <c r="B2951" s="31" t="s">
        <v>10697</v>
      </c>
      <c r="C2951" s="31" t="s">
        <v>10698</v>
      </c>
      <c r="D2951" s="98" t="s">
        <v>1920</v>
      </c>
      <c r="E2951" s="99" t="b">
        <v>0</v>
      </c>
      <c r="F2951" s="107" t="s">
        <v>10699</v>
      </c>
      <c r="G2951" s="116" t="str">
        <f>HYPERLINK("http://nsgreg.nga.mil/genc/view?v=202033&amp;end_month=3&amp;end_day=31&amp;end_year=2014","Tétouan")</f>
        <v>Tétouan</v>
      </c>
      <c r="H2951" s="87" t="str">
        <f>HYPERLINK("http://api.nsgreg.nga.mil/geo-division/GENC/6/ed2/MA-TET","MA-TET")</f>
        <v>MA-TET</v>
      </c>
    </row>
    <row r="2952" spans="1:8" x14ac:dyDescent="0.2">
      <c r="A2952" s="157"/>
      <c r="B2952" s="31" t="s">
        <v>10700</v>
      </c>
      <c r="C2952" s="31" t="s">
        <v>10701</v>
      </c>
      <c r="D2952" s="98" t="s">
        <v>1920</v>
      </c>
      <c r="E2952" s="99" t="b">
        <v>0</v>
      </c>
      <c r="F2952" s="107" t="s">
        <v>10702</v>
      </c>
      <c r="G2952" s="116" t="str">
        <f>HYPERLINK("http://nsgreg.nga.mil/genc/view?v=202034&amp;end_month=3&amp;end_day=31&amp;end_year=2014","Tiznit")</f>
        <v>Tiznit</v>
      </c>
      <c r="H2952" s="87" t="str">
        <f>HYPERLINK("http://api.nsgreg.nga.mil/geo-division/GENC/6/ed2/MA-TIZ","MA-TIZ")</f>
        <v>MA-TIZ</v>
      </c>
    </row>
    <row r="2953" spans="1:8" x14ac:dyDescent="0.2">
      <c r="A2953" s="158"/>
      <c r="B2953" s="58" t="s">
        <v>10703</v>
      </c>
      <c r="C2953" s="58" t="s">
        <v>10704</v>
      </c>
      <c r="D2953" s="100" t="s">
        <v>1920</v>
      </c>
      <c r="E2953" s="101" t="b">
        <v>0</v>
      </c>
      <c r="F2953" s="111" t="s">
        <v>10705</v>
      </c>
      <c r="G2953" s="117" t="str">
        <f>HYPERLINK("http://nsgreg.nga.mil/genc/view?v=202037&amp;end_month=3&amp;end_day=31&amp;end_year=2014","Zagora")</f>
        <v>Zagora</v>
      </c>
      <c r="H2953" s="89" t="str">
        <f>HYPERLINK("http://api.nsgreg.nga.mil/geo-division/GENC/6/ed2/MA-ZAG","MA-ZAG")</f>
        <v>MA-ZAG</v>
      </c>
    </row>
    <row r="2954" spans="1:8" x14ac:dyDescent="0.2">
      <c r="A2954" s="156" t="str">
        <f>HYPERLINK("[#]Geopolitical_Entities!A180:I180","MOZAMBIQUE")</f>
        <v>MOZAMBIQUE</v>
      </c>
      <c r="B2954" s="52" t="s">
        <v>10706</v>
      </c>
      <c r="C2954" s="52" t="s">
        <v>10707</v>
      </c>
      <c r="D2954" s="52" t="s">
        <v>1920</v>
      </c>
      <c r="E2954" s="60" t="b">
        <v>1</v>
      </c>
      <c r="F2954" s="109" t="s">
        <v>10708</v>
      </c>
      <c r="G2954" s="118" t="str">
        <f>HYPERLINK("http://nsgreg.nga.mil/genc/view?v=115135&amp;gencs=T&amp;end_month=3&amp;end_day=31&amp;end_year=2014","Cabo Delgado")</f>
        <v>Cabo Delgado</v>
      </c>
      <c r="H2954" s="91" t="str">
        <f>HYPERLINK("http://api.nsgreg.nga.mil/geo-division/ISO3166-2/6/ed3/MZ-P","MZ-P")</f>
        <v>MZ-P</v>
      </c>
    </row>
    <row r="2955" spans="1:8" x14ac:dyDescent="0.2">
      <c r="A2955" s="157"/>
      <c r="B2955" s="31" t="s">
        <v>10709</v>
      </c>
      <c r="C2955" s="31" t="s">
        <v>10710</v>
      </c>
      <c r="D2955" s="31" t="s">
        <v>1920</v>
      </c>
      <c r="E2955" s="61" t="b">
        <v>1</v>
      </c>
      <c r="F2955" s="106" t="s">
        <v>10711</v>
      </c>
      <c r="G2955" s="116" t="str">
        <f>HYPERLINK("http://nsgreg.nga.mil/genc/view?v=115130&amp;gencs=T&amp;end_month=3&amp;end_day=31&amp;end_year=2014","Gaza")</f>
        <v>Gaza</v>
      </c>
      <c r="H2955" s="87" t="str">
        <f>HYPERLINK("http://api.nsgreg.nga.mil/geo-division/ISO3166-2/6/ed3/MZ-G","MZ-G")</f>
        <v>MZ-G</v>
      </c>
    </row>
    <row r="2956" spans="1:8" x14ac:dyDescent="0.2">
      <c r="A2956" s="157"/>
      <c r="B2956" s="31" t="s">
        <v>10712</v>
      </c>
      <c r="C2956" s="31" t="s">
        <v>10713</v>
      </c>
      <c r="D2956" s="31" t="s">
        <v>1920</v>
      </c>
      <c r="E2956" s="61" t="b">
        <v>1</v>
      </c>
      <c r="F2956" s="106" t="s">
        <v>10714</v>
      </c>
      <c r="G2956" s="116" t="str">
        <f>HYPERLINK("http://nsgreg.nga.mil/genc/view?v=115131&amp;gencs=T&amp;end_month=3&amp;end_day=31&amp;end_year=2014","Inhambane")</f>
        <v>Inhambane</v>
      </c>
      <c r="H2956" s="87" t="str">
        <f>HYPERLINK("http://api.nsgreg.nga.mil/geo-division/ISO3166-2/6/ed3/MZ-I","MZ-I")</f>
        <v>MZ-I</v>
      </c>
    </row>
    <row r="2957" spans="1:8" x14ac:dyDescent="0.2">
      <c r="A2957" s="157"/>
      <c r="B2957" s="31" t="s">
        <v>10715</v>
      </c>
      <c r="C2957" s="31" t="s">
        <v>10716</v>
      </c>
      <c r="D2957" s="31" t="s">
        <v>1920</v>
      </c>
      <c r="E2957" s="61" t="b">
        <v>1</v>
      </c>
      <c r="F2957" s="106" t="s">
        <v>10717</v>
      </c>
      <c r="G2957" s="116" t="str">
        <f>HYPERLINK("http://nsgreg.nga.mil/genc/view?v=115129&amp;gencs=T&amp;end_month=3&amp;end_day=31&amp;end_year=2014","Manica")</f>
        <v>Manica</v>
      </c>
      <c r="H2957" s="87" t="str">
        <f>HYPERLINK("http://api.nsgreg.nga.mil/geo-division/ISO3166-2/6/ed3/MZ-B","MZ-B")</f>
        <v>MZ-B</v>
      </c>
    </row>
    <row r="2958" spans="1:8" x14ac:dyDescent="0.2">
      <c r="A2958" s="157"/>
      <c r="B2958" s="31" t="s">
        <v>10718</v>
      </c>
      <c r="C2958" s="31" t="s">
        <v>10719</v>
      </c>
      <c r="D2958" s="31" t="s">
        <v>2405</v>
      </c>
      <c r="E2958" s="61" t="b">
        <v>1</v>
      </c>
      <c r="F2958" s="106" t="s">
        <v>10720</v>
      </c>
      <c r="G2958" s="116" t="str">
        <f>HYPERLINK("http://nsgreg.nga.mil/genc/view?v=115133&amp;gencs=T&amp;end_month=3&amp;end_day=31&amp;end_year=2014","Maputo")</f>
        <v>Maputo</v>
      </c>
      <c r="H2958" s="87" t="str">
        <f>HYPERLINK("http://api.nsgreg.nga.mil/geo-division/ISO3166-2/6/ed3/MZ-MPM","MZ-MPM")</f>
        <v>MZ-MPM</v>
      </c>
    </row>
    <row r="2959" spans="1:8" x14ac:dyDescent="0.2">
      <c r="A2959" s="157"/>
      <c r="B2959" s="31" t="s">
        <v>10721</v>
      </c>
      <c r="C2959" s="31" t="s">
        <v>10719</v>
      </c>
      <c r="D2959" s="31" t="s">
        <v>1920</v>
      </c>
      <c r="E2959" s="61" t="b">
        <v>1</v>
      </c>
      <c r="F2959" s="106" t="s">
        <v>10722</v>
      </c>
      <c r="G2959" s="116" t="str">
        <f>HYPERLINK("http://nsgreg.nga.mil/genc/view?v=115132&amp;gencs=T&amp;end_month=3&amp;end_day=31&amp;end_year=2014","Maputo")</f>
        <v>Maputo</v>
      </c>
      <c r="H2959" s="87" t="str">
        <f>HYPERLINK("http://api.nsgreg.nga.mil/geo-division/ISO3166-2/6/ed3/MZ-L","MZ-L")</f>
        <v>MZ-L</v>
      </c>
    </row>
    <row r="2960" spans="1:8" x14ac:dyDescent="0.2">
      <c r="A2960" s="157"/>
      <c r="B2960" s="31" t="s">
        <v>10723</v>
      </c>
      <c r="C2960" s="31" t="s">
        <v>10724</v>
      </c>
      <c r="D2960" s="31" t="s">
        <v>1920</v>
      </c>
      <c r="E2960" s="61" t="b">
        <v>1</v>
      </c>
      <c r="F2960" s="106" t="s">
        <v>10725</v>
      </c>
      <c r="G2960" s="116" t="str">
        <f>HYPERLINK("http://nsgreg.nga.mil/genc/view?v=115134&amp;gencs=T&amp;end_month=3&amp;end_day=31&amp;end_year=2014","Nampula")</f>
        <v>Nampula</v>
      </c>
      <c r="H2960" s="87" t="str">
        <f>HYPERLINK("http://api.nsgreg.nga.mil/geo-division/ISO3166-2/6/ed3/MZ-N","MZ-N")</f>
        <v>MZ-N</v>
      </c>
    </row>
    <row r="2961" spans="1:8" x14ac:dyDescent="0.2">
      <c r="A2961" s="157"/>
      <c r="B2961" s="31" t="s">
        <v>10726</v>
      </c>
      <c r="C2961" s="31" t="s">
        <v>10727</v>
      </c>
      <c r="D2961" s="31" t="s">
        <v>1920</v>
      </c>
      <c r="E2961" s="61" t="b">
        <v>1</v>
      </c>
      <c r="F2961" s="106" t="s">
        <v>10728</v>
      </c>
      <c r="G2961" s="116" t="str">
        <f>HYPERLINK("http://nsgreg.nga.mil/genc/view?v=115128&amp;gencs=T&amp;end_month=3&amp;end_day=31&amp;end_year=2014","Niassa")</f>
        <v>Niassa</v>
      </c>
      <c r="H2961" s="87" t="str">
        <f>HYPERLINK("http://api.nsgreg.nga.mil/geo-division/ISO3166-2/6/ed3/MZ-A","MZ-A")</f>
        <v>MZ-A</v>
      </c>
    </row>
    <row r="2962" spans="1:8" x14ac:dyDescent="0.2">
      <c r="A2962" s="157"/>
      <c r="B2962" s="31" t="s">
        <v>10729</v>
      </c>
      <c r="C2962" s="31" t="s">
        <v>10730</v>
      </c>
      <c r="D2962" s="31" t="s">
        <v>1920</v>
      </c>
      <c r="E2962" s="61" t="b">
        <v>1</v>
      </c>
      <c r="F2962" s="106" t="s">
        <v>10731</v>
      </c>
      <c r="G2962" s="116" t="str">
        <f>HYPERLINK("http://nsgreg.nga.mil/genc/view?v=115137&amp;gencs=T&amp;end_month=3&amp;end_day=31&amp;end_year=2014","Sofala")</f>
        <v>Sofala</v>
      </c>
      <c r="H2962" s="87" t="str">
        <f>HYPERLINK("http://api.nsgreg.nga.mil/geo-division/ISO3166-2/6/ed3/MZ-S","MZ-S")</f>
        <v>MZ-S</v>
      </c>
    </row>
    <row r="2963" spans="1:8" x14ac:dyDescent="0.2">
      <c r="A2963" s="157"/>
      <c r="B2963" s="31" t="s">
        <v>10732</v>
      </c>
      <c r="C2963" s="31" t="s">
        <v>10733</v>
      </c>
      <c r="D2963" s="31" t="s">
        <v>1920</v>
      </c>
      <c r="E2963" s="61" t="b">
        <v>1</v>
      </c>
      <c r="F2963" s="106" t="s">
        <v>10734</v>
      </c>
      <c r="G2963" s="116" t="str">
        <f>HYPERLINK("http://nsgreg.nga.mil/genc/view?v=115138&amp;gencs=T&amp;end_month=3&amp;end_day=31&amp;end_year=2014","Tete")</f>
        <v>Tete</v>
      </c>
      <c r="H2963" s="87" t="str">
        <f>HYPERLINK("http://api.nsgreg.nga.mil/geo-division/ISO3166-2/6/ed3/MZ-T","MZ-T")</f>
        <v>MZ-T</v>
      </c>
    </row>
    <row r="2964" spans="1:8" x14ac:dyDescent="0.2">
      <c r="A2964" s="158"/>
      <c r="B2964" s="58" t="s">
        <v>10735</v>
      </c>
      <c r="C2964" s="58" t="s">
        <v>10736</v>
      </c>
      <c r="D2964" s="58" t="s">
        <v>1920</v>
      </c>
      <c r="E2964" s="62" t="b">
        <v>1</v>
      </c>
      <c r="F2964" s="108" t="s">
        <v>10737</v>
      </c>
      <c r="G2964" s="117" t="str">
        <f>HYPERLINK("http://nsgreg.nga.mil/genc/view?v=115136&amp;gencs=T&amp;end_month=3&amp;end_day=31&amp;end_year=2014","Zambézia")</f>
        <v>Zambézia</v>
      </c>
      <c r="H2964" s="89" t="str">
        <f>HYPERLINK("http://api.nsgreg.nga.mil/geo-division/ISO3166-2/6/ed3/MZ-Q","MZ-Q")</f>
        <v>MZ-Q</v>
      </c>
    </row>
    <row r="2965" spans="1:8" x14ac:dyDescent="0.2">
      <c r="A2965" s="156" t="str">
        <f>HYPERLINK("[#]Geopolitical_Entities!A181:I181","NAMIBIA")</f>
        <v>NAMIBIA</v>
      </c>
      <c r="B2965" s="52" t="s">
        <v>10738</v>
      </c>
      <c r="C2965" s="52" t="s">
        <v>10739</v>
      </c>
      <c r="D2965" s="52" t="s">
        <v>3137</v>
      </c>
      <c r="E2965" s="60" t="b">
        <v>1</v>
      </c>
      <c r="F2965" s="109" t="s">
        <v>10740</v>
      </c>
      <c r="G2965" s="118" t="str">
        <f>HYPERLINK("http://nsgreg.nga.mil/genc/view?v=115140&amp;gencs=T&amp;end_month=3&amp;end_day=31&amp;end_year=2014","Erongo")</f>
        <v>Erongo</v>
      </c>
      <c r="H2965" s="91" t="str">
        <f>HYPERLINK("http://api.nsgreg.nga.mil/geo-division/ISO3166-2/6/ed3/NA-ER","NA-ER")</f>
        <v>NA-ER</v>
      </c>
    </row>
    <row r="2966" spans="1:8" x14ac:dyDescent="0.2">
      <c r="A2966" s="157"/>
      <c r="B2966" s="31" t="s">
        <v>10741</v>
      </c>
      <c r="C2966" s="31" t="s">
        <v>10742</v>
      </c>
      <c r="D2966" s="31" t="s">
        <v>3137</v>
      </c>
      <c r="E2966" s="61" t="b">
        <v>1</v>
      </c>
      <c r="F2966" s="106" t="s">
        <v>10743</v>
      </c>
      <c r="G2966" s="116" t="str">
        <f>HYPERLINK("http://nsgreg.nga.mil/genc/view?v=115141&amp;gencs=T&amp;end_month=3&amp;end_day=31&amp;end_year=2014","Hardap")</f>
        <v>Hardap</v>
      </c>
      <c r="H2966" s="87" t="str">
        <f>HYPERLINK("http://api.nsgreg.nga.mil/geo-division/ISO3166-2/6/ed3/NA-HA","NA-HA")</f>
        <v>NA-HA</v>
      </c>
    </row>
    <row r="2967" spans="1:8" x14ac:dyDescent="0.2">
      <c r="A2967" s="157"/>
      <c r="B2967" s="31" t="s">
        <v>10744</v>
      </c>
      <c r="C2967" s="31" t="s">
        <v>10745</v>
      </c>
      <c r="D2967" s="31" t="s">
        <v>3137</v>
      </c>
      <c r="E2967" s="61" t="b">
        <v>1</v>
      </c>
      <c r="F2967" s="107" t="s">
        <v>10746</v>
      </c>
      <c r="G2967" s="116" t="str">
        <f>HYPERLINK("http://nsgreg.nga.mil/genc/view?v=202293&amp;end_month=3&amp;end_day=31&amp;end_year=2014","//Karas")</f>
        <v>//Karas</v>
      </c>
      <c r="H2967" s="87" t="str">
        <f>HYPERLINK("http://api.nsgreg.nga.mil/geo-division/GENC/6/ed2/NA-KA","NA-KA")</f>
        <v>NA-KA</v>
      </c>
    </row>
    <row r="2968" spans="1:8" x14ac:dyDescent="0.2">
      <c r="A2968" s="157"/>
      <c r="B2968" s="31" t="s">
        <v>10747</v>
      </c>
      <c r="C2968" s="31" t="s">
        <v>10748</v>
      </c>
      <c r="D2968" s="31" t="s">
        <v>3137</v>
      </c>
      <c r="E2968" s="61" t="b">
        <v>1</v>
      </c>
      <c r="F2968" s="107" t="s">
        <v>10749</v>
      </c>
      <c r="G2968" s="116" t="str">
        <f>HYPERLINK("http://nsgreg.nga.mil/genc/view?v=204491&amp;end_month=3&amp;end_day=31&amp;end_year=2014","Kavango East")</f>
        <v>Kavango East</v>
      </c>
      <c r="H2968" s="87" t="str">
        <f>HYPERLINK("http://api.nsgreg.nga.mil/geo-division/GENC/6/ed2/NA-KE","NA-KE")</f>
        <v>NA-KE</v>
      </c>
    </row>
    <row r="2969" spans="1:8" x14ac:dyDescent="0.2">
      <c r="A2969" s="157"/>
      <c r="B2969" s="31" t="s">
        <v>10750</v>
      </c>
      <c r="C2969" s="31" t="s">
        <v>10751</v>
      </c>
      <c r="D2969" s="31" t="s">
        <v>3137</v>
      </c>
      <c r="E2969" s="61" t="b">
        <v>1</v>
      </c>
      <c r="F2969" s="107" t="s">
        <v>10752</v>
      </c>
      <c r="G2969" s="116" t="str">
        <f>HYPERLINK("http://nsgreg.nga.mil/genc/view?v=204492&amp;end_month=3&amp;end_day=31&amp;end_year=2014","Kavango West")</f>
        <v>Kavango West</v>
      </c>
      <c r="H2969" s="87" t="str">
        <f>HYPERLINK("http://api.nsgreg.nga.mil/geo-division/GENC/6/ed2/NA-KW","NA-KW")</f>
        <v>NA-KW</v>
      </c>
    </row>
    <row r="2970" spans="1:8" x14ac:dyDescent="0.2">
      <c r="A2970" s="157"/>
      <c r="B2970" s="31" t="s">
        <v>10753</v>
      </c>
      <c r="C2970" s="31" t="s">
        <v>10754</v>
      </c>
      <c r="D2970" s="31" t="s">
        <v>3137</v>
      </c>
      <c r="E2970" s="61" t="b">
        <v>1</v>
      </c>
      <c r="F2970" s="106" t="s">
        <v>10755</v>
      </c>
      <c r="G2970" s="116" t="str">
        <f>HYPERLINK("http://nsgreg.nga.mil/genc/view?v=115143&amp;gencs=T&amp;end_month=3&amp;end_day=31&amp;end_year=2014","Khomas")</f>
        <v>Khomas</v>
      </c>
      <c r="H2970" s="87" t="str">
        <f>HYPERLINK("http://api.nsgreg.nga.mil/geo-division/ISO3166-2/6/ed3/NA-KH","NA-KH")</f>
        <v>NA-KH</v>
      </c>
    </row>
    <row r="2971" spans="1:8" x14ac:dyDescent="0.2">
      <c r="A2971" s="157"/>
      <c r="B2971" s="31" t="s">
        <v>10756</v>
      </c>
      <c r="C2971" s="31" t="s">
        <v>10757</v>
      </c>
      <c r="D2971" s="31" t="s">
        <v>3137</v>
      </c>
      <c r="E2971" s="61" t="b">
        <v>1</v>
      </c>
      <c r="F2971" s="106" t="s">
        <v>10758</v>
      </c>
      <c r="G2971" s="116" t="str">
        <f>HYPERLINK("http://nsgreg.nga.mil/genc/view?v=115144&amp;gencs=T&amp;end_month=3&amp;end_day=31&amp;end_year=2014","Kunene")</f>
        <v>Kunene</v>
      </c>
      <c r="H2971" s="87" t="str">
        <f>HYPERLINK("http://api.nsgreg.nga.mil/geo-division/ISO3166-2/6/ed3/NA-KU","NA-KU")</f>
        <v>NA-KU</v>
      </c>
    </row>
    <row r="2972" spans="1:8" x14ac:dyDescent="0.2">
      <c r="A2972" s="157"/>
      <c r="B2972" s="31" t="s">
        <v>10759</v>
      </c>
      <c r="C2972" s="31" t="s">
        <v>10760</v>
      </c>
      <c r="D2972" s="31" t="s">
        <v>3137</v>
      </c>
      <c r="E2972" s="61" t="b">
        <v>1</v>
      </c>
      <c r="F2972" s="106" t="s">
        <v>10761</v>
      </c>
      <c r="G2972" s="116" t="str">
        <f>HYPERLINK("http://nsgreg.nga.mil/genc/view?v=115151&amp;gencs=T&amp;end_month=3&amp;end_day=31&amp;end_year=2014","Ohangwena")</f>
        <v>Ohangwena</v>
      </c>
      <c r="H2972" s="87" t="str">
        <f>HYPERLINK("http://api.nsgreg.nga.mil/geo-division/ISO3166-2/6/ed3/NA-OW","NA-OW")</f>
        <v>NA-OW</v>
      </c>
    </row>
    <row r="2973" spans="1:8" x14ac:dyDescent="0.2">
      <c r="A2973" s="157"/>
      <c r="B2973" s="31" t="s">
        <v>10762</v>
      </c>
      <c r="C2973" s="31" t="s">
        <v>10763</v>
      </c>
      <c r="D2973" s="98" t="s">
        <v>3137</v>
      </c>
      <c r="E2973" s="99" t="b">
        <v>0</v>
      </c>
      <c r="F2973" s="107" t="s">
        <v>10764</v>
      </c>
      <c r="G2973" s="116" t="str">
        <f>HYPERLINK("http://nsgreg.nga.mil/genc/view?v=202298&amp;end_month=3&amp;end_day=31&amp;end_year=2014","Okavango")</f>
        <v>Okavango</v>
      </c>
      <c r="H2973" s="87" t="str">
        <f>HYPERLINK("http://api.nsgreg.nga.mil/geo-division/GENC/6/ed2/NA-OK","NA-OK")</f>
        <v>NA-OK</v>
      </c>
    </row>
    <row r="2974" spans="1:8" x14ac:dyDescent="0.2">
      <c r="A2974" s="157"/>
      <c r="B2974" s="31" t="s">
        <v>10765</v>
      </c>
      <c r="C2974" s="31" t="s">
        <v>10766</v>
      </c>
      <c r="D2974" s="31" t="s">
        <v>3137</v>
      </c>
      <c r="E2974" s="61" t="b">
        <v>1</v>
      </c>
      <c r="F2974" s="106" t="s">
        <v>10767</v>
      </c>
      <c r="G2974" s="116" t="str">
        <f>HYPERLINK("http://nsgreg.nga.mil/genc/view?v=115146&amp;gencs=T&amp;end_month=3&amp;end_day=31&amp;end_year=2014","Omaheke")</f>
        <v>Omaheke</v>
      </c>
      <c r="H2974" s="87" t="str">
        <f>HYPERLINK("http://api.nsgreg.nga.mil/geo-division/ISO3166-2/6/ed3/NA-OH","NA-OH")</f>
        <v>NA-OH</v>
      </c>
    </row>
    <row r="2975" spans="1:8" x14ac:dyDescent="0.2">
      <c r="A2975" s="157"/>
      <c r="B2975" s="31" t="s">
        <v>10768</v>
      </c>
      <c r="C2975" s="31" t="s">
        <v>10769</v>
      </c>
      <c r="D2975" s="31" t="s">
        <v>3137</v>
      </c>
      <c r="E2975" s="61" t="b">
        <v>1</v>
      </c>
      <c r="F2975" s="106" t="s">
        <v>10770</v>
      </c>
      <c r="G2975" s="116" t="str">
        <f>HYPERLINK("http://nsgreg.nga.mil/genc/view?v=115149&amp;gencs=T&amp;end_month=3&amp;end_day=31&amp;end_year=2014","Omusati")</f>
        <v>Omusati</v>
      </c>
      <c r="H2975" s="87" t="str">
        <f>HYPERLINK("http://api.nsgreg.nga.mil/geo-division/ISO3166-2/6/ed3/NA-OS","NA-OS")</f>
        <v>NA-OS</v>
      </c>
    </row>
    <row r="2976" spans="1:8" x14ac:dyDescent="0.2">
      <c r="A2976" s="157"/>
      <c r="B2976" s="31" t="s">
        <v>10771</v>
      </c>
      <c r="C2976" s="31" t="s">
        <v>10772</v>
      </c>
      <c r="D2976" s="31" t="s">
        <v>3137</v>
      </c>
      <c r="E2976" s="61" t="b">
        <v>1</v>
      </c>
      <c r="F2976" s="106" t="s">
        <v>10773</v>
      </c>
      <c r="G2976" s="116" t="str">
        <f>HYPERLINK("http://nsgreg.nga.mil/genc/view?v=115148&amp;gencs=T&amp;end_month=3&amp;end_day=31&amp;end_year=2014","Oshana")</f>
        <v>Oshana</v>
      </c>
      <c r="H2976" s="87" t="str">
        <f>HYPERLINK("http://api.nsgreg.nga.mil/geo-division/ISO3166-2/6/ed3/NA-ON","NA-ON")</f>
        <v>NA-ON</v>
      </c>
    </row>
    <row r="2977" spans="1:8" x14ac:dyDescent="0.2">
      <c r="A2977" s="157"/>
      <c r="B2977" s="31" t="s">
        <v>10774</v>
      </c>
      <c r="C2977" s="31" t="s">
        <v>10775</v>
      </c>
      <c r="D2977" s="31" t="s">
        <v>3137</v>
      </c>
      <c r="E2977" s="61" t="b">
        <v>1</v>
      </c>
      <c r="F2977" s="106" t="s">
        <v>10776</v>
      </c>
      <c r="G2977" s="116" t="str">
        <f>HYPERLINK("http://nsgreg.nga.mil/genc/view?v=115150&amp;gencs=T&amp;end_month=3&amp;end_day=31&amp;end_year=2014","Oshikoto")</f>
        <v>Oshikoto</v>
      </c>
      <c r="H2977" s="87" t="str">
        <f>HYPERLINK("http://api.nsgreg.nga.mil/geo-division/ISO3166-2/6/ed3/NA-OT","NA-OT")</f>
        <v>NA-OT</v>
      </c>
    </row>
    <row r="2978" spans="1:8" x14ac:dyDescent="0.2">
      <c r="A2978" s="157"/>
      <c r="B2978" s="31" t="s">
        <v>10777</v>
      </c>
      <c r="C2978" s="31" t="s">
        <v>10778</v>
      </c>
      <c r="D2978" s="31" t="s">
        <v>3137</v>
      </c>
      <c r="E2978" s="61" t="b">
        <v>1</v>
      </c>
      <c r="F2978" s="106" t="s">
        <v>10779</v>
      </c>
      <c r="G2978" s="116" t="str">
        <f>HYPERLINK("http://nsgreg.nga.mil/genc/view?v=115145&amp;gencs=T&amp;end_month=3&amp;end_day=31&amp;end_year=2014","Otjozondjupa")</f>
        <v>Otjozondjupa</v>
      </c>
      <c r="H2978" s="87" t="str">
        <f>HYPERLINK("http://api.nsgreg.nga.mil/geo-division/ISO3166-2/6/ed3/NA-OD","NA-OD")</f>
        <v>NA-OD</v>
      </c>
    </row>
    <row r="2979" spans="1:8" x14ac:dyDescent="0.2">
      <c r="A2979" s="158"/>
      <c r="B2979" s="58" t="s">
        <v>10780</v>
      </c>
      <c r="C2979" s="58" t="s">
        <v>10781</v>
      </c>
      <c r="D2979" s="58" t="s">
        <v>3137</v>
      </c>
      <c r="E2979" s="62" t="b">
        <v>1</v>
      </c>
      <c r="F2979" s="111" t="s">
        <v>10782</v>
      </c>
      <c r="G2979" s="117" t="str">
        <f>HYPERLINK("http://nsgreg.nga.mil/genc/view?v=202290&amp;end_month=3&amp;end_day=31&amp;end_year=2014","Zambezi")</f>
        <v>Zambezi</v>
      </c>
      <c r="H2979" s="89" t="str">
        <f>HYPERLINK("http://api.nsgreg.nga.mil/geo-division/GENC/6/ed2/NA-CA","NA-CA")</f>
        <v>NA-CA</v>
      </c>
    </row>
    <row r="2980" spans="1:8" x14ac:dyDescent="0.2">
      <c r="A2980" s="156" t="str">
        <f>HYPERLINK("[#]Geopolitical_Entities!A182:I182","NAURU")</f>
        <v>NAURU</v>
      </c>
      <c r="B2980" s="52" t="s">
        <v>10783</v>
      </c>
      <c r="C2980" s="52" t="s">
        <v>10784</v>
      </c>
      <c r="D2980" s="52" t="s">
        <v>2026</v>
      </c>
      <c r="E2980" s="60" t="b">
        <v>1</v>
      </c>
      <c r="F2980" s="110" t="s">
        <v>10785</v>
      </c>
      <c r="G2980" s="118" t="str">
        <f>HYPERLINK("http://nsgreg.nga.mil/genc/view?v=202352&amp;end_month=3&amp;end_day=31&amp;end_year=2014","Aiwo")</f>
        <v>Aiwo</v>
      </c>
      <c r="H2980" s="91" t="str">
        <f>HYPERLINK("http://api.nsgreg.nga.mil/geo-division/GENC/6/ed2/NR-01","NR-01")</f>
        <v>NR-01</v>
      </c>
    </row>
    <row r="2981" spans="1:8" x14ac:dyDescent="0.2">
      <c r="A2981" s="157"/>
      <c r="B2981" s="31" t="s">
        <v>10786</v>
      </c>
      <c r="C2981" s="31" t="s">
        <v>10787</v>
      </c>
      <c r="D2981" s="31" t="s">
        <v>2026</v>
      </c>
      <c r="E2981" s="61" t="b">
        <v>1</v>
      </c>
      <c r="F2981" s="107" t="s">
        <v>10788</v>
      </c>
      <c r="G2981" s="116" t="str">
        <f>HYPERLINK("http://nsgreg.nga.mil/genc/view?v=202353&amp;end_month=3&amp;end_day=31&amp;end_year=2014","Anabar")</f>
        <v>Anabar</v>
      </c>
      <c r="H2981" s="87" t="str">
        <f>HYPERLINK("http://api.nsgreg.nga.mil/geo-division/GENC/6/ed2/NR-02","NR-02")</f>
        <v>NR-02</v>
      </c>
    </row>
    <row r="2982" spans="1:8" x14ac:dyDescent="0.2">
      <c r="A2982" s="157"/>
      <c r="B2982" s="31" t="s">
        <v>10789</v>
      </c>
      <c r="C2982" s="31" t="s">
        <v>10790</v>
      </c>
      <c r="D2982" s="31" t="s">
        <v>2026</v>
      </c>
      <c r="E2982" s="61" t="b">
        <v>1</v>
      </c>
      <c r="F2982" s="107" t="s">
        <v>10791</v>
      </c>
      <c r="G2982" s="116" t="str">
        <f>HYPERLINK("http://nsgreg.nga.mil/genc/view?v=202354&amp;end_month=3&amp;end_day=31&amp;end_year=2014","Anetan")</f>
        <v>Anetan</v>
      </c>
      <c r="H2982" s="87" t="str">
        <f>HYPERLINK("http://api.nsgreg.nga.mil/geo-division/GENC/6/ed2/NR-03","NR-03")</f>
        <v>NR-03</v>
      </c>
    </row>
    <row r="2983" spans="1:8" x14ac:dyDescent="0.2">
      <c r="A2983" s="157"/>
      <c r="B2983" s="31" t="s">
        <v>10792</v>
      </c>
      <c r="C2983" s="31" t="s">
        <v>10793</v>
      </c>
      <c r="D2983" s="31" t="s">
        <v>2026</v>
      </c>
      <c r="E2983" s="61" t="b">
        <v>1</v>
      </c>
      <c r="F2983" s="107" t="s">
        <v>10794</v>
      </c>
      <c r="G2983" s="116" t="str">
        <f>HYPERLINK("http://nsgreg.nga.mil/genc/view?v=202355&amp;end_month=3&amp;end_day=31&amp;end_year=2014","Anibare")</f>
        <v>Anibare</v>
      </c>
      <c r="H2983" s="87" t="str">
        <f>HYPERLINK("http://api.nsgreg.nga.mil/geo-division/GENC/6/ed2/NR-04","NR-04")</f>
        <v>NR-04</v>
      </c>
    </row>
    <row r="2984" spans="1:8" x14ac:dyDescent="0.2">
      <c r="A2984" s="157"/>
      <c r="B2984" s="31" t="s">
        <v>10795</v>
      </c>
      <c r="C2984" s="31" t="s">
        <v>10796</v>
      </c>
      <c r="D2984" s="31" t="s">
        <v>2026</v>
      </c>
      <c r="E2984" s="61" t="b">
        <v>1</v>
      </c>
      <c r="F2984" s="107" t="s">
        <v>10797</v>
      </c>
      <c r="G2984" s="116" t="str">
        <f>HYPERLINK("http://nsgreg.nga.mil/genc/view?v=202356&amp;end_month=3&amp;end_day=31&amp;end_year=2014","Baiti")</f>
        <v>Baiti</v>
      </c>
      <c r="H2984" s="87" t="str">
        <f>HYPERLINK("http://api.nsgreg.nga.mil/geo-division/GENC/6/ed2/NR-05","NR-05")</f>
        <v>NR-05</v>
      </c>
    </row>
    <row r="2985" spans="1:8" x14ac:dyDescent="0.2">
      <c r="A2985" s="157"/>
      <c r="B2985" s="31" t="s">
        <v>10798</v>
      </c>
      <c r="C2985" s="31" t="s">
        <v>10799</v>
      </c>
      <c r="D2985" s="31" t="s">
        <v>2026</v>
      </c>
      <c r="E2985" s="61" t="b">
        <v>1</v>
      </c>
      <c r="F2985" s="107" t="s">
        <v>10800</v>
      </c>
      <c r="G2985" s="116" t="str">
        <f>HYPERLINK("http://nsgreg.nga.mil/genc/view?v=202357&amp;end_month=3&amp;end_day=31&amp;end_year=2014","Boe")</f>
        <v>Boe</v>
      </c>
      <c r="H2985" s="87" t="str">
        <f>HYPERLINK("http://api.nsgreg.nga.mil/geo-division/GENC/6/ed2/NR-06","NR-06")</f>
        <v>NR-06</v>
      </c>
    </row>
    <row r="2986" spans="1:8" x14ac:dyDescent="0.2">
      <c r="A2986" s="157"/>
      <c r="B2986" s="31" t="s">
        <v>10801</v>
      </c>
      <c r="C2986" s="31" t="s">
        <v>10802</v>
      </c>
      <c r="D2986" s="31" t="s">
        <v>2026</v>
      </c>
      <c r="E2986" s="61" t="b">
        <v>1</v>
      </c>
      <c r="F2986" s="107" t="s">
        <v>10803</v>
      </c>
      <c r="G2986" s="116" t="str">
        <f>HYPERLINK("http://nsgreg.nga.mil/genc/view?v=202358&amp;end_month=3&amp;end_day=31&amp;end_year=2014","Buada")</f>
        <v>Buada</v>
      </c>
      <c r="H2986" s="87" t="str">
        <f>HYPERLINK("http://api.nsgreg.nga.mil/geo-division/GENC/6/ed2/NR-07","NR-07")</f>
        <v>NR-07</v>
      </c>
    </row>
    <row r="2987" spans="1:8" x14ac:dyDescent="0.2">
      <c r="A2987" s="157"/>
      <c r="B2987" s="31" t="s">
        <v>10804</v>
      </c>
      <c r="C2987" s="31" t="s">
        <v>10805</v>
      </c>
      <c r="D2987" s="31" t="s">
        <v>2026</v>
      </c>
      <c r="E2987" s="61" t="b">
        <v>1</v>
      </c>
      <c r="F2987" s="107" t="s">
        <v>10806</v>
      </c>
      <c r="G2987" s="116" t="str">
        <f>HYPERLINK("http://nsgreg.nga.mil/genc/view?v=202359&amp;end_month=3&amp;end_day=31&amp;end_year=2014","Denigomodu")</f>
        <v>Denigomodu</v>
      </c>
      <c r="H2987" s="87" t="str">
        <f>HYPERLINK("http://api.nsgreg.nga.mil/geo-division/GENC/6/ed2/NR-08","NR-08")</f>
        <v>NR-08</v>
      </c>
    </row>
    <row r="2988" spans="1:8" x14ac:dyDescent="0.2">
      <c r="A2988" s="157"/>
      <c r="B2988" s="31" t="s">
        <v>10807</v>
      </c>
      <c r="C2988" s="31" t="s">
        <v>10808</v>
      </c>
      <c r="D2988" s="31" t="s">
        <v>2026</v>
      </c>
      <c r="E2988" s="61" t="b">
        <v>1</v>
      </c>
      <c r="F2988" s="107" t="s">
        <v>10809</v>
      </c>
      <c r="G2988" s="116" t="str">
        <f>HYPERLINK("http://nsgreg.nga.mil/genc/view?v=202360&amp;end_month=3&amp;end_day=31&amp;end_year=2014","Ewa")</f>
        <v>Ewa</v>
      </c>
      <c r="H2988" s="87" t="str">
        <f>HYPERLINK("http://api.nsgreg.nga.mil/geo-division/GENC/6/ed2/NR-09","NR-09")</f>
        <v>NR-09</v>
      </c>
    </row>
    <row r="2989" spans="1:8" x14ac:dyDescent="0.2">
      <c r="A2989" s="157"/>
      <c r="B2989" s="31" t="s">
        <v>10810</v>
      </c>
      <c r="C2989" s="31" t="s">
        <v>10811</v>
      </c>
      <c r="D2989" s="31" t="s">
        <v>2026</v>
      </c>
      <c r="E2989" s="61" t="b">
        <v>1</v>
      </c>
      <c r="F2989" s="107" t="s">
        <v>10812</v>
      </c>
      <c r="G2989" s="116" t="str">
        <f>HYPERLINK("http://nsgreg.nga.mil/genc/view?v=202361&amp;end_month=3&amp;end_day=31&amp;end_year=2014","Ijuw")</f>
        <v>Ijuw</v>
      </c>
      <c r="H2989" s="87" t="str">
        <f>HYPERLINK("http://api.nsgreg.nga.mil/geo-division/GENC/6/ed2/NR-10","NR-10")</f>
        <v>NR-10</v>
      </c>
    </row>
    <row r="2990" spans="1:8" x14ac:dyDescent="0.2">
      <c r="A2990" s="157"/>
      <c r="B2990" s="31" t="s">
        <v>10813</v>
      </c>
      <c r="C2990" s="31" t="s">
        <v>10814</v>
      </c>
      <c r="D2990" s="31" t="s">
        <v>2026</v>
      </c>
      <c r="E2990" s="61" t="b">
        <v>1</v>
      </c>
      <c r="F2990" s="107" t="s">
        <v>10815</v>
      </c>
      <c r="G2990" s="116" t="str">
        <f>HYPERLINK("http://nsgreg.nga.mil/genc/view?v=202362&amp;end_month=3&amp;end_day=31&amp;end_year=2014","Meneng")</f>
        <v>Meneng</v>
      </c>
      <c r="H2990" s="87" t="str">
        <f>HYPERLINK("http://api.nsgreg.nga.mil/geo-division/GENC/6/ed2/NR-11","NR-11")</f>
        <v>NR-11</v>
      </c>
    </row>
    <row r="2991" spans="1:8" x14ac:dyDescent="0.2">
      <c r="A2991" s="157"/>
      <c r="B2991" s="31" t="s">
        <v>10816</v>
      </c>
      <c r="C2991" s="31" t="s">
        <v>10817</v>
      </c>
      <c r="D2991" s="31" t="s">
        <v>2026</v>
      </c>
      <c r="E2991" s="61" t="b">
        <v>1</v>
      </c>
      <c r="F2991" s="107" t="s">
        <v>10818</v>
      </c>
      <c r="G2991" s="116" t="str">
        <f>HYPERLINK("http://nsgreg.nga.mil/genc/view?v=202363&amp;end_month=3&amp;end_day=31&amp;end_year=2014","Nibok")</f>
        <v>Nibok</v>
      </c>
      <c r="H2991" s="87" t="str">
        <f>HYPERLINK("http://api.nsgreg.nga.mil/geo-division/GENC/6/ed2/NR-12","NR-12")</f>
        <v>NR-12</v>
      </c>
    </row>
    <row r="2992" spans="1:8" x14ac:dyDescent="0.2">
      <c r="A2992" s="157"/>
      <c r="B2992" s="31" t="s">
        <v>10819</v>
      </c>
      <c r="C2992" s="31" t="s">
        <v>10820</v>
      </c>
      <c r="D2992" s="31" t="s">
        <v>2026</v>
      </c>
      <c r="E2992" s="61" t="b">
        <v>1</v>
      </c>
      <c r="F2992" s="107" t="s">
        <v>10821</v>
      </c>
      <c r="G2992" s="116" t="str">
        <f>HYPERLINK("http://nsgreg.nga.mil/genc/view?v=202364&amp;end_month=3&amp;end_day=31&amp;end_year=2014","Uaboe")</f>
        <v>Uaboe</v>
      </c>
      <c r="H2992" s="87" t="str">
        <f>HYPERLINK("http://api.nsgreg.nga.mil/geo-division/GENC/6/ed2/NR-13","NR-13")</f>
        <v>NR-13</v>
      </c>
    </row>
    <row r="2993" spans="1:8" x14ac:dyDescent="0.2">
      <c r="A2993" s="158"/>
      <c r="B2993" s="58" t="s">
        <v>10822</v>
      </c>
      <c r="C2993" s="58" t="s">
        <v>10823</v>
      </c>
      <c r="D2993" s="58" t="s">
        <v>2026</v>
      </c>
      <c r="E2993" s="62" t="b">
        <v>1</v>
      </c>
      <c r="F2993" s="111" t="s">
        <v>10824</v>
      </c>
      <c r="G2993" s="117" t="str">
        <f>HYPERLINK("http://nsgreg.nga.mil/genc/view?v=202365&amp;end_month=3&amp;end_day=31&amp;end_year=2014","Yaren")</f>
        <v>Yaren</v>
      </c>
      <c r="H2993" s="89" t="str">
        <f>HYPERLINK("http://api.nsgreg.nga.mil/geo-division/GENC/6/ed2/NR-14","NR-14")</f>
        <v>NR-14</v>
      </c>
    </row>
    <row r="2994" spans="1:8" x14ac:dyDescent="0.2">
      <c r="A2994" s="156" t="str">
        <f>HYPERLINK("[#]Geopolitical_Entities!A184:I184","NEPAL")</f>
        <v>NEPAL</v>
      </c>
      <c r="B2994" s="52" t="s">
        <v>10825</v>
      </c>
      <c r="C2994" s="52" t="s">
        <v>10826</v>
      </c>
      <c r="D2994" s="52" t="s">
        <v>10827</v>
      </c>
      <c r="E2994" s="60" t="b">
        <v>1</v>
      </c>
      <c r="F2994" s="110" t="s">
        <v>10828</v>
      </c>
      <c r="G2994" s="118" t="str">
        <f>HYPERLINK("http://nsgreg.nga.mil/genc/view?v=202338&amp;end_month=3&amp;end_day=31&amp;end_year=2014","Bāgmatī")</f>
        <v>Bāgmatī</v>
      </c>
      <c r="H2994" s="91" t="str">
        <f>HYPERLINK("http://api.nsgreg.nga.mil/geo-division/GENC/6/ed2/NP-BA","NP-BA")</f>
        <v>NP-BA</v>
      </c>
    </row>
    <row r="2995" spans="1:8" x14ac:dyDescent="0.2">
      <c r="A2995" s="157"/>
      <c r="B2995" s="31" t="s">
        <v>10829</v>
      </c>
      <c r="C2995" s="31" t="s">
        <v>10830</v>
      </c>
      <c r="D2995" s="31" t="s">
        <v>10827</v>
      </c>
      <c r="E2995" s="61" t="b">
        <v>1</v>
      </c>
      <c r="F2995" s="107" t="s">
        <v>10831</v>
      </c>
      <c r="G2995" s="116" t="str">
        <f>HYPERLINK("http://nsgreg.nga.mil/genc/view?v=202339&amp;end_month=3&amp;end_day=31&amp;end_year=2014","Bherī")</f>
        <v>Bherī</v>
      </c>
      <c r="H2995" s="87" t="str">
        <f>HYPERLINK("http://api.nsgreg.nga.mil/geo-division/GENC/6/ed2/NP-BH","NP-BH")</f>
        <v>NP-BH</v>
      </c>
    </row>
    <row r="2996" spans="1:8" x14ac:dyDescent="0.2">
      <c r="A2996" s="157"/>
      <c r="B2996" s="31" t="s">
        <v>10832</v>
      </c>
      <c r="C2996" s="31" t="s">
        <v>10833</v>
      </c>
      <c r="D2996" s="31" t="s">
        <v>10827</v>
      </c>
      <c r="E2996" s="61" t="b">
        <v>1</v>
      </c>
      <c r="F2996" s="107" t="s">
        <v>10834</v>
      </c>
      <c r="G2996" s="116" t="str">
        <f>HYPERLINK("http://nsgreg.nga.mil/genc/view?v=202340&amp;end_month=3&amp;end_day=31&amp;end_year=2014","Dhawalāgiri")</f>
        <v>Dhawalāgiri</v>
      </c>
      <c r="H2996" s="87" t="str">
        <f>HYPERLINK("http://api.nsgreg.nga.mil/geo-division/GENC/6/ed2/NP-DH","NP-DH")</f>
        <v>NP-DH</v>
      </c>
    </row>
    <row r="2997" spans="1:8" x14ac:dyDescent="0.2">
      <c r="A2997" s="157"/>
      <c r="B2997" s="31" t="s">
        <v>10835</v>
      </c>
      <c r="C2997" s="31" t="s">
        <v>10836</v>
      </c>
      <c r="D2997" s="31" t="s">
        <v>10827</v>
      </c>
      <c r="E2997" s="61" t="b">
        <v>1</v>
      </c>
      <c r="F2997" s="107" t="s">
        <v>10837</v>
      </c>
      <c r="G2997" s="116" t="str">
        <f>HYPERLINK("http://nsgreg.nga.mil/genc/view?v=202341&amp;end_month=3&amp;end_day=31&amp;end_year=2014","Gandakī")</f>
        <v>Gandakī</v>
      </c>
      <c r="H2997" s="87" t="str">
        <f>HYPERLINK("http://api.nsgreg.nga.mil/geo-division/GENC/6/ed2/NP-GA","NP-GA")</f>
        <v>NP-GA</v>
      </c>
    </row>
    <row r="2998" spans="1:8" x14ac:dyDescent="0.2">
      <c r="A2998" s="157"/>
      <c r="B2998" s="31" t="s">
        <v>10838</v>
      </c>
      <c r="C2998" s="31" t="s">
        <v>10839</v>
      </c>
      <c r="D2998" s="31" t="s">
        <v>10827</v>
      </c>
      <c r="E2998" s="61" t="b">
        <v>1</v>
      </c>
      <c r="F2998" s="107" t="s">
        <v>10840</v>
      </c>
      <c r="G2998" s="116" t="str">
        <f>HYPERLINK("http://nsgreg.nga.mil/genc/view?v=202342&amp;end_month=3&amp;end_day=31&amp;end_year=2014","Janakpur")</f>
        <v>Janakpur</v>
      </c>
      <c r="H2998" s="87" t="str">
        <f>HYPERLINK("http://api.nsgreg.nga.mil/geo-division/GENC/6/ed2/NP-JA","NP-JA")</f>
        <v>NP-JA</v>
      </c>
    </row>
    <row r="2999" spans="1:8" x14ac:dyDescent="0.2">
      <c r="A2999" s="157"/>
      <c r="B2999" s="31" t="s">
        <v>10841</v>
      </c>
      <c r="C2999" s="31" t="s">
        <v>10842</v>
      </c>
      <c r="D2999" s="31" t="s">
        <v>10827</v>
      </c>
      <c r="E2999" s="61" t="b">
        <v>1</v>
      </c>
      <c r="F2999" s="107" t="s">
        <v>10843</v>
      </c>
      <c r="G2999" s="116" t="str">
        <f>HYPERLINK("http://nsgreg.nga.mil/genc/view?v=202343&amp;end_month=3&amp;end_day=31&amp;end_year=2014","Karnālī")</f>
        <v>Karnālī</v>
      </c>
      <c r="H2999" s="87" t="str">
        <f>HYPERLINK("http://api.nsgreg.nga.mil/geo-division/GENC/6/ed2/NP-KA","NP-KA")</f>
        <v>NP-KA</v>
      </c>
    </row>
    <row r="3000" spans="1:8" x14ac:dyDescent="0.2">
      <c r="A3000" s="157"/>
      <c r="B3000" s="31" t="s">
        <v>10844</v>
      </c>
      <c r="C3000" s="31" t="s">
        <v>10845</v>
      </c>
      <c r="D3000" s="31" t="s">
        <v>10827</v>
      </c>
      <c r="E3000" s="61" t="b">
        <v>1</v>
      </c>
      <c r="F3000" s="107" t="s">
        <v>10846</v>
      </c>
      <c r="G3000" s="116" t="str">
        <f>HYPERLINK("http://nsgreg.nga.mil/genc/view?v=202344&amp;end_month=3&amp;end_day=31&amp;end_year=2014","Kosī")</f>
        <v>Kosī</v>
      </c>
      <c r="H3000" s="87" t="str">
        <f>HYPERLINK("http://api.nsgreg.nga.mil/geo-division/GENC/6/ed2/NP-KO","NP-KO")</f>
        <v>NP-KO</v>
      </c>
    </row>
    <row r="3001" spans="1:8" x14ac:dyDescent="0.2">
      <c r="A3001" s="157"/>
      <c r="B3001" s="31" t="s">
        <v>10847</v>
      </c>
      <c r="C3001" s="31" t="s">
        <v>10848</v>
      </c>
      <c r="D3001" s="31" t="s">
        <v>10827</v>
      </c>
      <c r="E3001" s="61" t="b">
        <v>1</v>
      </c>
      <c r="F3001" s="107" t="s">
        <v>10849</v>
      </c>
      <c r="G3001" s="116" t="str">
        <f>HYPERLINK("http://nsgreg.nga.mil/genc/view?v=202345&amp;end_month=3&amp;end_day=31&amp;end_year=2014","Lumbinī")</f>
        <v>Lumbinī</v>
      </c>
      <c r="H3001" s="87" t="str">
        <f>HYPERLINK("http://api.nsgreg.nga.mil/geo-division/GENC/6/ed2/NP-LU","NP-LU")</f>
        <v>NP-LU</v>
      </c>
    </row>
    <row r="3002" spans="1:8" x14ac:dyDescent="0.2">
      <c r="A3002" s="157"/>
      <c r="B3002" s="31" t="s">
        <v>10850</v>
      </c>
      <c r="C3002" s="31" t="s">
        <v>10851</v>
      </c>
      <c r="D3002" s="98" t="s">
        <v>10852</v>
      </c>
      <c r="E3002" s="99" t="b">
        <v>0</v>
      </c>
      <c r="F3002" s="107" t="s">
        <v>10853</v>
      </c>
      <c r="G3002" s="116" t="str">
        <f>HYPERLINK("http://nsgreg.nga.mil/genc/view?v=202333&amp;end_month=3&amp;end_day=31&amp;end_year=2014","Madhyamanchal")</f>
        <v>Madhyamanchal</v>
      </c>
      <c r="H3002" s="87" t="str">
        <f>HYPERLINK("http://api.nsgreg.nga.mil/geo-division/GENC/6/ed2/NP-1","NP-1")</f>
        <v>NP-1</v>
      </c>
    </row>
    <row r="3003" spans="1:8" x14ac:dyDescent="0.2">
      <c r="A3003" s="157"/>
      <c r="B3003" s="31" t="s">
        <v>10854</v>
      </c>
      <c r="C3003" s="31" t="s">
        <v>10855</v>
      </c>
      <c r="D3003" s="98" t="s">
        <v>10852</v>
      </c>
      <c r="E3003" s="99" t="b">
        <v>0</v>
      </c>
      <c r="F3003" s="107" t="s">
        <v>10856</v>
      </c>
      <c r="G3003" s="116" t="str">
        <f>HYPERLINK("http://nsgreg.nga.mil/genc/view?v=202334&amp;end_month=3&amp;end_day=31&amp;end_year=2014","Madhya Pashchimanchal")</f>
        <v>Madhya Pashchimanchal</v>
      </c>
      <c r="H3003" s="87" t="str">
        <f>HYPERLINK("http://api.nsgreg.nga.mil/geo-division/GENC/6/ed2/NP-2","NP-2")</f>
        <v>NP-2</v>
      </c>
    </row>
    <row r="3004" spans="1:8" x14ac:dyDescent="0.2">
      <c r="A3004" s="157"/>
      <c r="B3004" s="31" t="s">
        <v>10857</v>
      </c>
      <c r="C3004" s="31" t="s">
        <v>10858</v>
      </c>
      <c r="D3004" s="31" t="s">
        <v>10827</v>
      </c>
      <c r="E3004" s="61" t="b">
        <v>1</v>
      </c>
      <c r="F3004" s="107" t="s">
        <v>10859</v>
      </c>
      <c r="G3004" s="116" t="str">
        <f>HYPERLINK("http://nsgreg.nga.mil/genc/view?v=202346&amp;end_month=3&amp;end_day=31&amp;end_year=2014","Mahākālī")</f>
        <v>Mahākālī</v>
      </c>
      <c r="H3004" s="87" t="str">
        <f>HYPERLINK("http://api.nsgreg.nga.mil/geo-division/GENC/6/ed2/NP-MA","NP-MA")</f>
        <v>NP-MA</v>
      </c>
    </row>
    <row r="3005" spans="1:8" x14ac:dyDescent="0.2">
      <c r="A3005" s="157"/>
      <c r="B3005" s="31" t="s">
        <v>10860</v>
      </c>
      <c r="C3005" s="31" t="s">
        <v>10861</v>
      </c>
      <c r="D3005" s="31" t="s">
        <v>10827</v>
      </c>
      <c r="E3005" s="61" t="b">
        <v>1</v>
      </c>
      <c r="F3005" s="107" t="s">
        <v>10862</v>
      </c>
      <c r="G3005" s="116" t="str">
        <f>HYPERLINK("http://nsgreg.nga.mil/genc/view?v=202347&amp;end_month=3&amp;end_day=31&amp;end_year=2014","Mechī")</f>
        <v>Mechī</v>
      </c>
      <c r="H3005" s="87" t="str">
        <f>HYPERLINK("http://api.nsgreg.nga.mil/geo-division/GENC/6/ed2/NP-ME","NP-ME")</f>
        <v>NP-ME</v>
      </c>
    </row>
    <row r="3006" spans="1:8" x14ac:dyDescent="0.2">
      <c r="A3006" s="157"/>
      <c r="B3006" s="31" t="s">
        <v>10863</v>
      </c>
      <c r="C3006" s="31" t="s">
        <v>10864</v>
      </c>
      <c r="D3006" s="31" t="s">
        <v>10827</v>
      </c>
      <c r="E3006" s="61" t="b">
        <v>1</v>
      </c>
      <c r="F3006" s="107" t="s">
        <v>10865</v>
      </c>
      <c r="G3006" s="116" t="str">
        <f>HYPERLINK("http://nsgreg.nga.mil/genc/view?v=202348&amp;end_month=3&amp;end_day=31&amp;end_year=2014","Nārāyanī")</f>
        <v>Nārāyanī</v>
      </c>
      <c r="H3006" s="87" t="str">
        <f>HYPERLINK("http://api.nsgreg.nga.mil/geo-division/GENC/6/ed2/NP-NA","NP-NA")</f>
        <v>NP-NA</v>
      </c>
    </row>
    <row r="3007" spans="1:8" x14ac:dyDescent="0.2">
      <c r="A3007" s="157"/>
      <c r="B3007" s="31" t="s">
        <v>10866</v>
      </c>
      <c r="C3007" s="31" t="s">
        <v>10867</v>
      </c>
      <c r="D3007" s="98" t="s">
        <v>10852</v>
      </c>
      <c r="E3007" s="99" t="b">
        <v>0</v>
      </c>
      <c r="F3007" s="107" t="s">
        <v>10868</v>
      </c>
      <c r="G3007" s="116" t="str">
        <f>HYPERLINK("http://nsgreg.nga.mil/genc/view?v=202335&amp;end_month=3&amp;end_day=31&amp;end_year=2014","Pashchimanchal")</f>
        <v>Pashchimanchal</v>
      </c>
      <c r="H3007" s="87" t="str">
        <f>HYPERLINK("http://api.nsgreg.nga.mil/geo-division/GENC/6/ed2/NP-3","NP-3")</f>
        <v>NP-3</v>
      </c>
    </row>
    <row r="3008" spans="1:8" x14ac:dyDescent="0.2">
      <c r="A3008" s="157"/>
      <c r="B3008" s="31" t="s">
        <v>10869</v>
      </c>
      <c r="C3008" s="31" t="s">
        <v>10870</v>
      </c>
      <c r="D3008" s="98" t="s">
        <v>10852</v>
      </c>
      <c r="E3008" s="99" t="b">
        <v>0</v>
      </c>
      <c r="F3008" s="107" t="s">
        <v>10871</v>
      </c>
      <c r="G3008" s="116" t="str">
        <f>HYPERLINK("http://nsgreg.nga.mil/genc/view?v=202336&amp;end_month=3&amp;end_day=31&amp;end_year=2014","Purwanchal")</f>
        <v>Purwanchal</v>
      </c>
      <c r="H3008" s="87" t="str">
        <f>HYPERLINK("http://api.nsgreg.nga.mil/geo-division/GENC/6/ed2/NP-4","NP-4")</f>
        <v>NP-4</v>
      </c>
    </row>
    <row r="3009" spans="1:8" x14ac:dyDescent="0.2">
      <c r="A3009" s="157"/>
      <c r="B3009" s="31" t="s">
        <v>10872</v>
      </c>
      <c r="C3009" s="31" t="s">
        <v>10873</v>
      </c>
      <c r="D3009" s="31" t="s">
        <v>10827</v>
      </c>
      <c r="E3009" s="61" t="b">
        <v>1</v>
      </c>
      <c r="F3009" s="107" t="s">
        <v>10874</v>
      </c>
      <c r="G3009" s="116" t="str">
        <f>HYPERLINK("http://nsgreg.nga.mil/genc/view?v=202349&amp;end_month=3&amp;end_day=31&amp;end_year=2014","Rāptī")</f>
        <v>Rāptī</v>
      </c>
      <c r="H3009" s="87" t="str">
        <f>HYPERLINK("http://api.nsgreg.nga.mil/geo-division/GENC/6/ed2/NP-RA","NP-RA")</f>
        <v>NP-RA</v>
      </c>
    </row>
    <row r="3010" spans="1:8" x14ac:dyDescent="0.2">
      <c r="A3010" s="157"/>
      <c r="B3010" s="31" t="s">
        <v>10875</v>
      </c>
      <c r="C3010" s="31" t="s">
        <v>10876</v>
      </c>
      <c r="D3010" s="31" t="s">
        <v>10827</v>
      </c>
      <c r="E3010" s="61" t="b">
        <v>1</v>
      </c>
      <c r="F3010" s="107" t="s">
        <v>10877</v>
      </c>
      <c r="G3010" s="116" t="str">
        <f>HYPERLINK("http://nsgreg.nga.mil/genc/view?v=202350&amp;end_month=3&amp;end_day=31&amp;end_year=2014","Sagarmāthā")</f>
        <v>Sagarmāthā</v>
      </c>
      <c r="H3010" s="87" t="str">
        <f>HYPERLINK("http://api.nsgreg.nga.mil/geo-division/GENC/6/ed2/NP-SA","NP-SA")</f>
        <v>NP-SA</v>
      </c>
    </row>
    <row r="3011" spans="1:8" x14ac:dyDescent="0.2">
      <c r="A3011" s="157"/>
      <c r="B3011" s="31" t="s">
        <v>10878</v>
      </c>
      <c r="C3011" s="31" t="s">
        <v>10879</v>
      </c>
      <c r="D3011" s="31" t="s">
        <v>10827</v>
      </c>
      <c r="E3011" s="61" t="b">
        <v>1</v>
      </c>
      <c r="F3011" s="107" t="s">
        <v>10880</v>
      </c>
      <c r="G3011" s="116" t="str">
        <f>HYPERLINK("http://nsgreg.nga.mil/genc/view?v=202351&amp;end_month=3&amp;end_day=31&amp;end_year=2014","Setī")</f>
        <v>Setī</v>
      </c>
      <c r="H3011" s="87" t="str">
        <f>HYPERLINK("http://api.nsgreg.nga.mil/geo-division/GENC/6/ed2/NP-SE","NP-SE")</f>
        <v>NP-SE</v>
      </c>
    </row>
    <row r="3012" spans="1:8" x14ac:dyDescent="0.2">
      <c r="A3012" s="158"/>
      <c r="B3012" s="58" t="s">
        <v>10881</v>
      </c>
      <c r="C3012" s="58" t="s">
        <v>10882</v>
      </c>
      <c r="D3012" s="100" t="s">
        <v>10852</v>
      </c>
      <c r="E3012" s="101" t="b">
        <v>0</v>
      </c>
      <c r="F3012" s="111" t="s">
        <v>10883</v>
      </c>
      <c r="G3012" s="117" t="str">
        <f>HYPERLINK("http://nsgreg.nga.mil/genc/view?v=202337&amp;end_month=3&amp;end_day=31&amp;end_year=2014","Sudur Pashchimanchal")</f>
        <v>Sudur Pashchimanchal</v>
      </c>
      <c r="H3012" s="89" t="str">
        <f>HYPERLINK("http://api.nsgreg.nga.mil/geo-division/GENC/6/ed2/NP-5","NP-5")</f>
        <v>NP-5</v>
      </c>
    </row>
    <row r="3013" spans="1:8" x14ac:dyDescent="0.2">
      <c r="A3013" s="156" t="str">
        <f>HYPERLINK("[#]Geopolitical_Entities!A185:I185","NETHERLANDS")</f>
        <v>NETHERLANDS</v>
      </c>
      <c r="B3013" s="52" t="s">
        <v>10884</v>
      </c>
      <c r="C3013" s="52" t="s">
        <v>168</v>
      </c>
      <c r="D3013" s="102" t="s">
        <v>10885</v>
      </c>
      <c r="E3013" s="103" t="b">
        <v>0</v>
      </c>
      <c r="F3013" s="110" t="s">
        <v>10886</v>
      </c>
      <c r="G3013" s="118" t="str">
        <f>HYPERLINK("http://nsgreg.nga.mil/genc/view?v=202305&amp;end_month=3&amp;end_day=31&amp;end_year=2014","Aruba")</f>
        <v>Aruba</v>
      </c>
      <c r="H3013" s="91" t="str">
        <f>HYPERLINK("http://api.nsgreg.nga.mil/geo-division/GENC/6/ed2/NL-AW","NL-AW")</f>
        <v>NL-AW</v>
      </c>
    </row>
    <row r="3014" spans="1:8" x14ac:dyDescent="0.2">
      <c r="A3014" s="157"/>
      <c r="B3014" s="31" t="s">
        <v>10887</v>
      </c>
      <c r="C3014" s="31" t="s">
        <v>3368</v>
      </c>
      <c r="D3014" s="98" t="s">
        <v>3369</v>
      </c>
      <c r="E3014" s="99" t="b">
        <v>0</v>
      </c>
      <c r="F3014" s="107" t="s">
        <v>10888</v>
      </c>
      <c r="G3014" s="116" t="str">
        <f>HYPERLINK("http://nsgreg.nga.mil/genc/view?v=202306&amp;end_month=3&amp;end_day=31&amp;end_year=2014","Bonaire")</f>
        <v>Bonaire</v>
      </c>
      <c r="H3014" s="87" t="str">
        <f>HYPERLINK("http://api.nsgreg.nga.mil/geo-division/GENC/6/ed2/NL-BQ1","NL-BQ1")</f>
        <v>NL-BQ1</v>
      </c>
    </row>
    <row r="3015" spans="1:8" x14ac:dyDescent="0.2">
      <c r="A3015" s="157"/>
      <c r="B3015" s="31" t="s">
        <v>10889</v>
      </c>
      <c r="C3015" s="31" t="s">
        <v>504</v>
      </c>
      <c r="D3015" s="98" t="s">
        <v>10885</v>
      </c>
      <c r="E3015" s="99" t="b">
        <v>0</v>
      </c>
      <c r="F3015" s="107" t="s">
        <v>10890</v>
      </c>
      <c r="G3015" s="116" t="str">
        <f>HYPERLINK("http://nsgreg.nga.mil/genc/view?v=202309&amp;end_month=3&amp;end_day=31&amp;end_year=2014","Curaçao")</f>
        <v>Curaçao</v>
      </c>
      <c r="H3015" s="87" t="str">
        <f>HYPERLINK("http://api.nsgreg.nga.mil/geo-division/GENC/6/ed2/NL-CW","NL-CW")</f>
        <v>NL-CW</v>
      </c>
    </row>
    <row r="3016" spans="1:8" x14ac:dyDescent="0.2">
      <c r="A3016" s="157"/>
      <c r="B3016" s="31" t="s">
        <v>10891</v>
      </c>
      <c r="C3016" s="31" t="s">
        <v>10892</v>
      </c>
      <c r="D3016" s="31" t="s">
        <v>1920</v>
      </c>
      <c r="E3016" s="61" t="b">
        <v>1</v>
      </c>
      <c r="F3016" s="106" t="s">
        <v>10893</v>
      </c>
      <c r="G3016" s="116" t="str">
        <f>HYPERLINK("http://nsgreg.nga.mil/genc/view?v=115219&amp;gencs=T&amp;end_month=3&amp;end_day=31&amp;end_year=2014","Drenthe")</f>
        <v>Drenthe</v>
      </c>
      <c r="H3016" s="87" t="str">
        <f>HYPERLINK("http://api.nsgreg.nga.mil/geo-division/ISO3166-2/6/ed3/NL-DR","NL-DR")</f>
        <v>NL-DR</v>
      </c>
    </row>
    <row r="3017" spans="1:8" x14ac:dyDescent="0.2">
      <c r="A3017" s="157"/>
      <c r="B3017" s="31" t="s">
        <v>10894</v>
      </c>
      <c r="C3017" s="31" t="s">
        <v>10895</v>
      </c>
      <c r="D3017" s="31" t="s">
        <v>1920</v>
      </c>
      <c r="E3017" s="61" t="b">
        <v>1</v>
      </c>
      <c r="F3017" s="106" t="s">
        <v>10896</v>
      </c>
      <c r="G3017" s="116" t="str">
        <f>HYPERLINK("http://nsgreg.nga.mil/genc/view?v=115220&amp;gencs=T&amp;end_month=3&amp;end_day=31&amp;end_year=2014","Flevoland")</f>
        <v>Flevoland</v>
      </c>
      <c r="H3017" s="87" t="str">
        <f>HYPERLINK("http://api.nsgreg.nga.mil/geo-division/ISO3166-2/6/ed3/NL-FL","NL-FL")</f>
        <v>NL-FL</v>
      </c>
    </row>
    <row r="3018" spans="1:8" x14ac:dyDescent="0.2">
      <c r="A3018" s="157"/>
      <c r="B3018" s="31" t="s">
        <v>10897</v>
      </c>
      <c r="C3018" s="31" t="s">
        <v>10898</v>
      </c>
      <c r="D3018" s="31" t="s">
        <v>1920</v>
      </c>
      <c r="E3018" s="61" t="b">
        <v>1</v>
      </c>
      <c r="F3018" s="107" t="s">
        <v>10899</v>
      </c>
      <c r="G3018" s="116" t="str">
        <f>HYPERLINK("http://nsgreg.nga.mil/genc/view?v=202310&amp;end_month=3&amp;end_day=31&amp;end_year=2014","Fryslân")</f>
        <v>Fryslân</v>
      </c>
      <c r="H3018" s="87" t="str">
        <f>HYPERLINK("http://api.nsgreg.nga.mil/geo-division/GENC/6/ed2/NL-FR","NL-FR")</f>
        <v>NL-FR</v>
      </c>
    </row>
    <row r="3019" spans="1:8" x14ac:dyDescent="0.2">
      <c r="A3019" s="157"/>
      <c r="B3019" s="31" t="s">
        <v>10900</v>
      </c>
      <c r="C3019" s="31" t="s">
        <v>10901</v>
      </c>
      <c r="D3019" s="31" t="s">
        <v>1920</v>
      </c>
      <c r="E3019" s="61" t="b">
        <v>1</v>
      </c>
      <c r="F3019" s="106" t="s">
        <v>10902</v>
      </c>
      <c r="G3019" s="116" t="str">
        <f>HYPERLINK("http://nsgreg.nga.mil/genc/view?v=115222&amp;gencs=T&amp;end_month=3&amp;end_day=31&amp;end_year=2014","Gelderland")</f>
        <v>Gelderland</v>
      </c>
      <c r="H3019" s="87" t="str">
        <f>HYPERLINK("http://api.nsgreg.nga.mil/geo-division/ISO3166-2/6/ed3/NL-GE","NL-GE")</f>
        <v>NL-GE</v>
      </c>
    </row>
    <row r="3020" spans="1:8" x14ac:dyDescent="0.2">
      <c r="A3020" s="157"/>
      <c r="B3020" s="31" t="s">
        <v>10903</v>
      </c>
      <c r="C3020" s="31" t="s">
        <v>10904</v>
      </c>
      <c r="D3020" s="31" t="s">
        <v>1920</v>
      </c>
      <c r="E3020" s="61" t="b">
        <v>1</v>
      </c>
      <c r="F3020" s="106" t="s">
        <v>10905</v>
      </c>
      <c r="G3020" s="116" t="str">
        <f>HYPERLINK("http://nsgreg.nga.mil/genc/view?v=115223&amp;gencs=T&amp;end_month=3&amp;end_day=31&amp;end_year=2014","Groningen")</f>
        <v>Groningen</v>
      </c>
      <c r="H3020" s="87" t="str">
        <f>HYPERLINK("http://api.nsgreg.nga.mil/geo-division/ISO3166-2/6/ed3/NL-GR","NL-GR")</f>
        <v>NL-GR</v>
      </c>
    </row>
    <row r="3021" spans="1:8" x14ac:dyDescent="0.2">
      <c r="A3021" s="157"/>
      <c r="B3021" s="31" t="s">
        <v>10906</v>
      </c>
      <c r="C3021" s="31" t="s">
        <v>3176</v>
      </c>
      <c r="D3021" s="31" t="s">
        <v>1920</v>
      </c>
      <c r="E3021" s="61" t="b">
        <v>1</v>
      </c>
      <c r="F3021" s="106" t="s">
        <v>10907</v>
      </c>
      <c r="G3021" s="116" t="str">
        <f>HYPERLINK("http://nsgreg.nga.mil/genc/view?v=115224&amp;gencs=T&amp;end_month=3&amp;end_day=31&amp;end_year=2014","Limburg")</f>
        <v>Limburg</v>
      </c>
      <c r="H3021" s="87" t="str">
        <f>HYPERLINK("http://api.nsgreg.nga.mil/geo-division/ISO3166-2/6/ed3/NL-LI","NL-LI")</f>
        <v>NL-LI</v>
      </c>
    </row>
    <row r="3022" spans="1:8" x14ac:dyDescent="0.2">
      <c r="A3022" s="157"/>
      <c r="B3022" s="31" t="s">
        <v>10908</v>
      </c>
      <c r="C3022" s="31" t="s">
        <v>10909</v>
      </c>
      <c r="D3022" s="31" t="s">
        <v>1920</v>
      </c>
      <c r="E3022" s="61" t="b">
        <v>1</v>
      </c>
      <c r="F3022" s="106" t="s">
        <v>10910</v>
      </c>
      <c r="G3022" s="116" t="str">
        <f>HYPERLINK("http://nsgreg.nga.mil/genc/view?v=115225&amp;gencs=T&amp;end_month=3&amp;end_day=31&amp;end_year=2014","Noord-Brabant")</f>
        <v>Noord-Brabant</v>
      </c>
      <c r="H3022" s="87" t="str">
        <f>HYPERLINK("http://api.nsgreg.nga.mil/geo-division/ISO3166-2/6/ed3/NL-NB","NL-NB")</f>
        <v>NL-NB</v>
      </c>
    </row>
    <row r="3023" spans="1:8" x14ac:dyDescent="0.2">
      <c r="A3023" s="157"/>
      <c r="B3023" s="31" t="s">
        <v>10911</v>
      </c>
      <c r="C3023" s="31" t="s">
        <v>10912</v>
      </c>
      <c r="D3023" s="31" t="s">
        <v>1920</v>
      </c>
      <c r="E3023" s="61" t="b">
        <v>1</v>
      </c>
      <c r="F3023" s="106" t="s">
        <v>10913</v>
      </c>
      <c r="G3023" s="116" t="str">
        <f>HYPERLINK("http://nsgreg.nga.mil/genc/view?v=115226&amp;gencs=T&amp;end_month=3&amp;end_day=31&amp;end_year=2014","Noord-Holland")</f>
        <v>Noord-Holland</v>
      </c>
      <c r="H3023" s="87" t="str">
        <f>HYPERLINK("http://api.nsgreg.nga.mil/geo-division/ISO3166-2/6/ed3/NL-NH","NL-NH")</f>
        <v>NL-NH</v>
      </c>
    </row>
    <row r="3024" spans="1:8" x14ac:dyDescent="0.2">
      <c r="A3024" s="157"/>
      <c r="B3024" s="31" t="s">
        <v>10914</v>
      </c>
      <c r="C3024" s="31" t="s">
        <v>10915</v>
      </c>
      <c r="D3024" s="31" t="s">
        <v>1920</v>
      </c>
      <c r="E3024" s="61" t="b">
        <v>1</v>
      </c>
      <c r="F3024" s="106" t="s">
        <v>10916</v>
      </c>
      <c r="G3024" s="116" t="str">
        <f>HYPERLINK("http://nsgreg.nga.mil/genc/view?v=115227&amp;gencs=T&amp;end_month=3&amp;end_day=31&amp;end_year=2014","Overijssel")</f>
        <v>Overijssel</v>
      </c>
      <c r="H3024" s="87" t="str">
        <f>HYPERLINK("http://api.nsgreg.nga.mil/geo-division/ISO3166-2/6/ed3/NL-OV","NL-OV")</f>
        <v>NL-OV</v>
      </c>
    </row>
    <row r="3025" spans="1:8" x14ac:dyDescent="0.2">
      <c r="A3025" s="157"/>
      <c r="B3025" s="31" t="s">
        <v>10917</v>
      </c>
      <c r="C3025" s="31" t="s">
        <v>3372</v>
      </c>
      <c r="D3025" s="98" t="s">
        <v>3369</v>
      </c>
      <c r="E3025" s="99" t="b">
        <v>0</v>
      </c>
      <c r="F3025" s="107" t="s">
        <v>10918</v>
      </c>
      <c r="G3025" s="116" t="str">
        <f>HYPERLINK("http://nsgreg.nga.mil/genc/view?v=202307&amp;end_month=3&amp;end_day=31&amp;end_year=2014","Saba")</f>
        <v>Saba</v>
      </c>
      <c r="H3025" s="87" t="str">
        <f>HYPERLINK("http://api.nsgreg.nga.mil/geo-division/GENC/6/ed2/NL-BQ2","NL-BQ2")</f>
        <v>NL-BQ2</v>
      </c>
    </row>
    <row r="3026" spans="1:8" x14ac:dyDescent="0.2">
      <c r="A3026" s="157"/>
      <c r="B3026" s="31" t="s">
        <v>10919</v>
      </c>
      <c r="C3026" s="31" t="s">
        <v>3375</v>
      </c>
      <c r="D3026" s="98" t="s">
        <v>3369</v>
      </c>
      <c r="E3026" s="99" t="b">
        <v>0</v>
      </c>
      <c r="F3026" s="107" t="s">
        <v>10920</v>
      </c>
      <c r="G3026" s="116" t="str">
        <f>HYPERLINK("http://nsgreg.nga.mil/genc/view?v=202308&amp;end_month=3&amp;end_day=31&amp;end_year=2014","Sint Eustatius")</f>
        <v>Sint Eustatius</v>
      </c>
      <c r="H3026" s="87" t="str">
        <f>HYPERLINK("http://api.nsgreg.nga.mil/geo-division/GENC/6/ed2/NL-BQ3","NL-BQ3")</f>
        <v>NL-BQ3</v>
      </c>
    </row>
    <row r="3027" spans="1:8" x14ac:dyDescent="0.2">
      <c r="A3027" s="157"/>
      <c r="B3027" s="31" t="s">
        <v>10921</v>
      </c>
      <c r="C3027" s="31" t="s">
        <v>1565</v>
      </c>
      <c r="D3027" s="98" t="s">
        <v>10885</v>
      </c>
      <c r="E3027" s="99" t="b">
        <v>0</v>
      </c>
      <c r="F3027" s="107" t="s">
        <v>10922</v>
      </c>
      <c r="G3027" s="116" t="str">
        <f>HYPERLINK("http://nsgreg.nga.mil/genc/view?v=202311&amp;end_month=3&amp;end_day=31&amp;end_year=2014","Sint Maarten")</f>
        <v>Sint Maarten</v>
      </c>
      <c r="H3027" s="87" t="str">
        <f>HYPERLINK("http://api.nsgreg.nga.mil/geo-division/GENC/6/ed2/NL-SX","NL-SX")</f>
        <v>NL-SX</v>
      </c>
    </row>
    <row r="3028" spans="1:8" x14ac:dyDescent="0.2">
      <c r="A3028" s="157"/>
      <c r="B3028" s="31" t="s">
        <v>10923</v>
      </c>
      <c r="C3028" s="31" t="s">
        <v>10924</v>
      </c>
      <c r="D3028" s="31" t="s">
        <v>1920</v>
      </c>
      <c r="E3028" s="61" t="b">
        <v>1</v>
      </c>
      <c r="F3028" s="106" t="s">
        <v>10925</v>
      </c>
      <c r="G3028" s="116" t="str">
        <f>HYPERLINK("http://nsgreg.nga.mil/genc/view?v=115229&amp;gencs=T&amp;end_month=3&amp;end_day=31&amp;end_year=2014","Utrecht")</f>
        <v>Utrecht</v>
      </c>
      <c r="H3028" s="87" t="str">
        <f>HYPERLINK("http://api.nsgreg.nga.mil/geo-division/ISO3166-2/6/ed3/NL-UT","NL-UT")</f>
        <v>NL-UT</v>
      </c>
    </row>
    <row r="3029" spans="1:8" x14ac:dyDescent="0.2">
      <c r="A3029" s="157"/>
      <c r="B3029" s="31" t="s">
        <v>10926</v>
      </c>
      <c r="C3029" s="31" t="s">
        <v>10927</v>
      </c>
      <c r="D3029" s="31" t="s">
        <v>1920</v>
      </c>
      <c r="E3029" s="61" t="b">
        <v>1</v>
      </c>
      <c r="F3029" s="106" t="s">
        <v>10928</v>
      </c>
      <c r="G3029" s="116" t="str">
        <f>HYPERLINK("http://nsgreg.nga.mil/genc/view?v=115230&amp;gencs=T&amp;end_month=3&amp;end_day=31&amp;end_year=2014","Zeeland")</f>
        <v>Zeeland</v>
      </c>
      <c r="H3029" s="87" t="str">
        <f>HYPERLINK("http://api.nsgreg.nga.mil/geo-division/ISO3166-2/6/ed3/NL-ZE","NL-ZE")</f>
        <v>NL-ZE</v>
      </c>
    </row>
    <row r="3030" spans="1:8" x14ac:dyDescent="0.2">
      <c r="A3030" s="158"/>
      <c r="B3030" s="58" t="s">
        <v>10929</v>
      </c>
      <c r="C3030" s="58" t="s">
        <v>10930</v>
      </c>
      <c r="D3030" s="58" t="s">
        <v>1920</v>
      </c>
      <c r="E3030" s="62" t="b">
        <v>1</v>
      </c>
      <c r="F3030" s="108" t="s">
        <v>10931</v>
      </c>
      <c r="G3030" s="117" t="str">
        <f>HYPERLINK("http://nsgreg.nga.mil/genc/view?v=115231&amp;gencs=T&amp;end_month=3&amp;end_day=31&amp;end_year=2014","Zuid-Holland")</f>
        <v>Zuid-Holland</v>
      </c>
      <c r="H3030" s="89" t="str">
        <f>HYPERLINK("http://api.nsgreg.nga.mil/geo-division/ISO3166-2/6/ed3/NL-ZH","NL-ZH")</f>
        <v>NL-ZH</v>
      </c>
    </row>
    <row r="3031" spans="1:8" x14ac:dyDescent="0.2">
      <c r="A3031" s="156" t="str">
        <f>HYPERLINK("[#]Geopolitical_Entities!A187:I187","NEW ZEALAND")</f>
        <v>NEW ZEALAND</v>
      </c>
      <c r="B3031" s="52" t="s">
        <v>10932</v>
      </c>
      <c r="C3031" s="52" t="s">
        <v>10933</v>
      </c>
      <c r="D3031" s="52" t="s">
        <v>3137</v>
      </c>
      <c r="E3031" s="60" t="b">
        <v>1</v>
      </c>
      <c r="F3031" s="110" t="s">
        <v>10934</v>
      </c>
      <c r="G3031" s="118" t="str">
        <f>HYPERLINK("http://nsgreg.nga.mil/genc/view?v=202366&amp;end_month=3&amp;end_day=31&amp;end_year=2014","Auckland")</f>
        <v>Auckland</v>
      </c>
      <c r="H3031" s="91" t="str">
        <f>HYPERLINK("http://api.nsgreg.nga.mil/geo-division/GENC/6/ed2/NZ-AUK","NZ-AUK")</f>
        <v>NZ-AUK</v>
      </c>
    </row>
    <row r="3032" spans="1:8" x14ac:dyDescent="0.2">
      <c r="A3032" s="157"/>
      <c r="B3032" s="31" t="s">
        <v>10935</v>
      </c>
      <c r="C3032" s="31" t="s">
        <v>10936</v>
      </c>
      <c r="D3032" s="31" t="s">
        <v>3137</v>
      </c>
      <c r="E3032" s="61" t="b">
        <v>1</v>
      </c>
      <c r="F3032" s="107" t="s">
        <v>10937</v>
      </c>
      <c r="G3032" s="116" t="str">
        <f>HYPERLINK("http://nsgreg.nga.mil/genc/view?v=202367&amp;end_month=3&amp;end_day=31&amp;end_year=2014","Bay of Plenty")</f>
        <v>Bay of Plenty</v>
      </c>
      <c r="H3032" s="87" t="str">
        <f>HYPERLINK("http://api.nsgreg.nga.mil/geo-division/GENC/6/ed2/NZ-BOP","NZ-BOP")</f>
        <v>NZ-BOP</v>
      </c>
    </row>
    <row r="3033" spans="1:8" x14ac:dyDescent="0.2">
      <c r="A3033" s="157"/>
      <c r="B3033" s="31" t="s">
        <v>10938</v>
      </c>
      <c r="C3033" s="31" t="s">
        <v>10939</v>
      </c>
      <c r="D3033" s="31" t="s">
        <v>3137</v>
      </c>
      <c r="E3033" s="61" t="b">
        <v>1</v>
      </c>
      <c r="F3033" s="107" t="s">
        <v>10940</v>
      </c>
      <c r="G3033" s="116" t="str">
        <f>HYPERLINK("http://nsgreg.nga.mil/genc/view?v=202368&amp;end_month=3&amp;end_day=31&amp;end_year=2014","Canterbury")</f>
        <v>Canterbury</v>
      </c>
      <c r="H3033" s="87" t="str">
        <f>HYPERLINK("http://api.nsgreg.nga.mil/geo-division/GENC/6/ed2/NZ-CAN","NZ-CAN")</f>
        <v>NZ-CAN</v>
      </c>
    </row>
    <row r="3034" spans="1:8" x14ac:dyDescent="0.2">
      <c r="A3034" s="157"/>
      <c r="B3034" s="31" t="s">
        <v>10941</v>
      </c>
      <c r="C3034" s="31" t="s">
        <v>10942</v>
      </c>
      <c r="D3034" s="31" t="s">
        <v>2026</v>
      </c>
      <c r="E3034" s="61" t="b">
        <v>1</v>
      </c>
      <c r="F3034" s="107" t="s">
        <v>10943</v>
      </c>
      <c r="G3034" s="116" t="str">
        <f>HYPERLINK("http://nsgreg.nga.mil/genc/view?v=202369&amp;end_month=3&amp;end_day=31&amp;end_year=2014","Chatham Islands")</f>
        <v>Chatham Islands</v>
      </c>
      <c r="H3034" s="87" t="str">
        <f>HYPERLINK("http://api.nsgreg.nga.mil/geo-division/GENC/6/ed2/NZ-CIT","NZ-CIT")</f>
        <v>NZ-CIT</v>
      </c>
    </row>
    <row r="3035" spans="1:8" x14ac:dyDescent="0.2">
      <c r="A3035" s="157"/>
      <c r="B3035" s="31" t="s">
        <v>10944</v>
      </c>
      <c r="C3035" s="31" t="s">
        <v>10945</v>
      </c>
      <c r="D3035" s="31" t="s">
        <v>3137</v>
      </c>
      <c r="E3035" s="61" t="b">
        <v>1</v>
      </c>
      <c r="F3035" s="107" t="s">
        <v>10946</v>
      </c>
      <c r="G3035" s="116" t="str">
        <f>HYPERLINK("http://nsgreg.nga.mil/genc/view?v=202370&amp;end_month=3&amp;end_day=31&amp;end_year=2014","Gisborne")</f>
        <v>Gisborne</v>
      </c>
      <c r="H3035" s="87" t="str">
        <f>HYPERLINK("http://api.nsgreg.nga.mil/geo-division/GENC/6/ed2/NZ-GIS","NZ-GIS")</f>
        <v>NZ-GIS</v>
      </c>
    </row>
    <row r="3036" spans="1:8" x14ac:dyDescent="0.2">
      <c r="A3036" s="157"/>
      <c r="B3036" s="31" t="s">
        <v>10947</v>
      </c>
      <c r="C3036" s="31" t="s">
        <v>10948</v>
      </c>
      <c r="D3036" s="31" t="s">
        <v>3137</v>
      </c>
      <c r="E3036" s="61" t="b">
        <v>1</v>
      </c>
      <c r="F3036" s="107" t="s">
        <v>10949</v>
      </c>
      <c r="G3036" s="116" t="str">
        <f>HYPERLINK("http://nsgreg.nga.mil/genc/view?v=202371&amp;end_month=3&amp;end_day=31&amp;end_year=2014","Hawke’s Bay")</f>
        <v>Hawke’s Bay</v>
      </c>
      <c r="H3036" s="87" t="str">
        <f>HYPERLINK("http://api.nsgreg.nga.mil/geo-division/GENC/6/ed2/NZ-HKB","NZ-HKB")</f>
        <v>NZ-HKB</v>
      </c>
    </row>
    <row r="3037" spans="1:8" x14ac:dyDescent="0.2">
      <c r="A3037" s="157"/>
      <c r="B3037" s="31" t="s">
        <v>10950</v>
      </c>
      <c r="C3037" s="31" t="s">
        <v>10951</v>
      </c>
      <c r="D3037" s="31" t="s">
        <v>3137</v>
      </c>
      <c r="E3037" s="61" t="b">
        <v>1</v>
      </c>
      <c r="F3037" s="107" t="s">
        <v>10952</v>
      </c>
      <c r="G3037" s="116" t="str">
        <f>HYPERLINK("http://nsgreg.nga.mil/genc/view?v=202373&amp;end_month=3&amp;end_day=31&amp;end_year=2014","Manawatu-Wanganui")</f>
        <v>Manawatu-Wanganui</v>
      </c>
      <c r="H3037" s="87" t="str">
        <f>HYPERLINK("http://api.nsgreg.nga.mil/geo-division/GENC/6/ed2/NZ-MWT","NZ-MWT")</f>
        <v>NZ-MWT</v>
      </c>
    </row>
    <row r="3038" spans="1:8" x14ac:dyDescent="0.2">
      <c r="A3038" s="157"/>
      <c r="B3038" s="31" t="s">
        <v>10953</v>
      </c>
      <c r="C3038" s="31" t="s">
        <v>10954</v>
      </c>
      <c r="D3038" s="31" t="s">
        <v>3137</v>
      </c>
      <c r="E3038" s="61" t="b">
        <v>1</v>
      </c>
      <c r="F3038" s="107" t="s">
        <v>10955</v>
      </c>
      <c r="G3038" s="116" t="str">
        <f>HYPERLINK("http://nsgreg.nga.mil/genc/view?v=202372&amp;end_month=3&amp;end_day=31&amp;end_year=2014","Marlborough")</f>
        <v>Marlborough</v>
      </c>
      <c r="H3038" s="87" t="str">
        <f>HYPERLINK("http://api.nsgreg.nga.mil/geo-division/GENC/6/ed2/NZ-MBH","NZ-MBH")</f>
        <v>NZ-MBH</v>
      </c>
    </row>
    <row r="3039" spans="1:8" x14ac:dyDescent="0.2">
      <c r="A3039" s="157"/>
      <c r="B3039" s="31" t="s">
        <v>10956</v>
      </c>
      <c r="C3039" s="31" t="s">
        <v>10957</v>
      </c>
      <c r="D3039" s="31" t="s">
        <v>3137</v>
      </c>
      <c r="E3039" s="61" t="b">
        <v>1</v>
      </c>
      <c r="F3039" s="107" t="s">
        <v>10958</v>
      </c>
      <c r="G3039" s="116" t="str">
        <f>HYPERLINK("http://nsgreg.nga.mil/genc/view?v=202374&amp;end_month=3&amp;end_day=31&amp;end_year=2014","Nelson")</f>
        <v>Nelson</v>
      </c>
      <c r="H3039" s="87" t="str">
        <f>HYPERLINK("http://api.nsgreg.nga.mil/geo-division/GENC/6/ed2/NZ-NSN","NZ-NSN")</f>
        <v>NZ-NSN</v>
      </c>
    </row>
    <row r="3040" spans="1:8" x14ac:dyDescent="0.2">
      <c r="A3040" s="157"/>
      <c r="B3040" s="31" t="s">
        <v>10959</v>
      </c>
      <c r="C3040" s="31" t="s">
        <v>10960</v>
      </c>
      <c r="D3040" s="98" t="s">
        <v>10961</v>
      </c>
      <c r="E3040" s="99" t="b">
        <v>0</v>
      </c>
      <c r="F3040" s="106" t="s">
        <v>10962</v>
      </c>
      <c r="G3040" s="116" t="str">
        <f>HYPERLINK("http://nsgreg.nga.mil/genc/view?v=115294&amp;gencs=T&amp;end_month=3&amp;end_day=31&amp;end_year=2014","North Island")</f>
        <v>North Island</v>
      </c>
      <c r="H3040" s="87" t="str">
        <f>HYPERLINK("http://api.nsgreg.nga.mil/geo-division/ISO3166-2/6/ed3/NZ-N","NZ-N")</f>
        <v>NZ-N</v>
      </c>
    </row>
    <row r="3041" spans="1:8" x14ac:dyDescent="0.2">
      <c r="A3041" s="157"/>
      <c r="B3041" s="31" t="s">
        <v>10963</v>
      </c>
      <c r="C3041" s="31" t="s">
        <v>10964</v>
      </c>
      <c r="D3041" s="31" t="s">
        <v>3137</v>
      </c>
      <c r="E3041" s="61" t="b">
        <v>1</v>
      </c>
      <c r="F3041" s="107" t="s">
        <v>10965</v>
      </c>
      <c r="G3041" s="116" t="str">
        <f>HYPERLINK("http://nsgreg.nga.mil/genc/view?v=202375&amp;end_month=3&amp;end_day=31&amp;end_year=2014","Northland")</f>
        <v>Northland</v>
      </c>
      <c r="H3041" s="87" t="str">
        <f>HYPERLINK("http://api.nsgreg.nga.mil/geo-division/GENC/6/ed2/NZ-NTL","NZ-NTL")</f>
        <v>NZ-NTL</v>
      </c>
    </row>
    <row r="3042" spans="1:8" x14ac:dyDescent="0.2">
      <c r="A3042" s="157"/>
      <c r="B3042" s="31" t="s">
        <v>10966</v>
      </c>
      <c r="C3042" s="31" t="s">
        <v>10967</v>
      </c>
      <c r="D3042" s="31" t="s">
        <v>3137</v>
      </c>
      <c r="E3042" s="61" t="b">
        <v>1</v>
      </c>
      <c r="F3042" s="107" t="s">
        <v>10968</v>
      </c>
      <c r="G3042" s="116" t="str">
        <f>HYPERLINK("http://nsgreg.nga.mil/genc/view?v=202376&amp;end_month=3&amp;end_day=31&amp;end_year=2014","Otago")</f>
        <v>Otago</v>
      </c>
      <c r="H3042" s="87" t="str">
        <f>HYPERLINK("http://api.nsgreg.nga.mil/geo-division/GENC/6/ed2/NZ-OTA","NZ-OTA")</f>
        <v>NZ-OTA</v>
      </c>
    </row>
    <row r="3043" spans="1:8" x14ac:dyDescent="0.2">
      <c r="A3043" s="157"/>
      <c r="B3043" s="31" t="s">
        <v>10969</v>
      </c>
      <c r="C3043" s="31" t="s">
        <v>10970</v>
      </c>
      <c r="D3043" s="98" t="s">
        <v>10961</v>
      </c>
      <c r="E3043" s="99" t="b">
        <v>0</v>
      </c>
      <c r="F3043" s="106" t="s">
        <v>10971</v>
      </c>
      <c r="G3043" s="116" t="str">
        <f>HYPERLINK("http://nsgreg.nga.mil/genc/view?v=115298&amp;gencs=T&amp;end_month=3&amp;end_day=31&amp;end_year=2014","South Island")</f>
        <v>South Island</v>
      </c>
      <c r="H3043" s="87" t="str">
        <f>HYPERLINK("http://api.nsgreg.nga.mil/geo-division/ISO3166-2/6/ed3/NZ-S","NZ-S")</f>
        <v>NZ-S</v>
      </c>
    </row>
    <row r="3044" spans="1:8" x14ac:dyDescent="0.2">
      <c r="A3044" s="157"/>
      <c r="B3044" s="31" t="s">
        <v>10972</v>
      </c>
      <c r="C3044" s="31" t="s">
        <v>10973</v>
      </c>
      <c r="D3044" s="31" t="s">
        <v>3137</v>
      </c>
      <c r="E3044" s="61" t="b">
        <v>1</v>
      </c>
      <c r="F3044" s="107" t="s">
        <v>10974</v>
      </c>
      <c r="G3044" s="116" t="str">
        <f>HYPERLINK("http://nsgreg.nga.mil/genc/view?v=202377&amp;end_month=3&amp;end_day=31&amp;end_year=2014","Southland")</f>
        <v>Southland</v>
      </c>
      <c r="H3044" s="87" t="str">
        <f>HYPERLINK("http://api.nsgreg.nga.mil/geo-division/GENC/6/ed2/NZ-STL","NZ-STL")</f>
        <v>NZ-STL</v>
      </c>
    </row>
    <row r="3045" spans="1:8" x14ac:dyDescent="0.2">
      <c r="A3045" s="157"/>
      <c r="B3045" s="31" t="s">
        <v>10975</v>
      </c>
      <c r="C3045" s="31" t="s">
        <v>10976</v>
      </c>
      <c r="D3045" s="31" t="s">
        <v>3137</v>
      </c>
      <c r="E3045" s="61" t="b">
        <v>1</v>
      </c>
      <c r="F3045" s="107" t="s">
        <v>10977</v>
      </c>
      <c r="G3045" s="116" t="str">
        <f>HYPERLINK("http://nsgreg.nga.mil/genc/view?v=202379&amp;end_month=3&amp;end_day=31&amp;end_year=2014","Taranaki")</f>
        <v>Taranaki</v>
      </c>
      <c r="H3045" s="87" t="str">
        <f>HYPERLINK("http://api.nsgreg.nga.mil/geo-division/GENC/6/ed2/NZ-TKI","NZ-TKI")</f>
        <v>NZ-TKI</v>
      </c>
    </row>
    <row r="3046" spans="1:8" x14ac:dyDescent="0.2">
      <c r="A3046" s="157"/>
      <c r="B3046" s="31" t="s">
        <v>10978</v>
      </c>
      <c r="C3046" s="31" t="s">
        <v>10979</v>
      </c>
      <c r="D3046" s="31" t="s">
        <v>3137</v>
      </c>
      <c r="E3046" s="61" t="b">
        <v>1</v>
      </c>
      <c r="F3046" s="107" t="s">
        <v>10980</v>
      </c>
      <c r="G3046" s="116" t="str">
        <f>HYPERLINK("http://nsgreg.nga.mil/genc/view?v=202378&amp;end_month=3&amp;end_day=31&amp;end_year=2014","Tasman")</f>
        <v>Tasman</v>
      </c>
      <c r="H3046" s="87" t="str">
        <f>HYPERLINK("http://api.nsgreg.nga.mil/geo-division/GENC/6/ed2/NZ-TAS","NZ-TAS")</f>
        <v>NZ-TAS</v>
      </c>
    </row>
    <row r="3047" spans="1:8" x14ac:dyDescent="0.2">
      <c r="A3047" s="157"/>
      <c r="B3047" s="31" t="s">
        <v>10981</v>
      </c>
      <c r="C3047" s="31" t="s">
        <v>10982</v>
      </c>
      <c r="D3047" s="31" t="s">
        <v>3137</v>
      </c>
      <c r="E3047" s="61" t="b">
        <v>1</v>
      </c>
      <c r="F3047" s="107" t="s">
        <v>10983</v>
      </c>
      <c r="G3047" s="116" t="str">
        <f>HYPERLINK("http://nsgreg.nga.mil/genc/view?v=202381&amp;end_month=3&amp;end_day=31&amp;end_year=2014","Waikato")</f>
        <v>Waikato</v>
      </c>
      <c r="H3047" s="87" t="str">
        <f>HYPERLINK("http://api.nsgreg.nga.mil/geo-division/GENC/6/ed2/NZ-WKO","NZ-WKO")</f>
        <v>NZ-WKO</v>
      </c>
    </row>
    <row r="3048" spans="1:8" x14ac:dyDescent="0.2">
      <c r="A3048" s="157"/>
      <c r="B3048" s="31" t="s">
        <v>10984</v>
      </c>
      <c r="C3048" s="31" t="s">
        <v>10985</v>
      </c>
      <c r="D3048" s="31" t="s">
        <v>3137</v>
      </c>
      <c r="E3048" s="61" t="b">
        <v>1</v>
      </c>
      <c r="F3048" s="107" t="s">
        <v>10986</v>
      </c>
      <c r="G3048" s="116" t="str">
        <f>HYPERLINK("http://nsgreg.nga.mil/genc/view?v=202380&amp;end_month=3&amp;end_day=31&amp;end_year=2014","Wellington")</f>
        <v>Wellington</v>
      </c>
      <c r="H3048" s="87" t="str">
        <f>HYPERLINK("http://api.nsgreg.nga.mil/geo-division/GENC/6/ed2/NZ-WGN","NZ-WGN")</f>
        <v>NZ-WGN</v>
      </c>
    </row>
    <row r="3049" spans="1:8" x14ac:dyDescent="0.2">
      <c r="A3049" s="158"/>
      <c r="B3049" s="58" t="s">
        <v>10987</v>
      </c>
      <c r="C3049" s="58" t="s">
        <v>10988</v>
      </c>
      <c r="D3049" s="58" t="s">
        <v>3137</v>
      </c>
      <c r="E3049" s="62" t="b">
        <v>1</v>
      </c>
      <c r="F3049" s="111" t="s">
        <v>10989</v>
      </c>
      <c r="G3049" s="117" t="str">
        <f>HYPERLINK("http://nsgreg.nga.mil/genc/view?v=202382&amp;end_month=3&amp;end_day=31&amp;end_year=2014","West Coast")</f>
        <v>West Coast</v>
      </c>
      <c r="H3049" s="89" t="str">
        <f>HYPERLINK("http://api.nsgreg.nga.mil/geo-division/GENC/6/ed2/NZ-WTC","NZ-WTC")</f>
        <v>NZ-WTC</v>
      </c>
    </row>
    <row r="3050" spans="1:8" x14ac:dyDescent="0.2">
      <c r="A3050" s="156" t="str">
        <f>HYPERLINK("[#]Geopolitical_Entities!A188:I188","NICARAGUA")</f>
        <v>NICARAGUA</v>
      </c>
      <c r="B3050" s="52" t="s">
        <v>10990</v>
      </c>
      <c r="C3050" s="52" t="s">
        <v>10991</v>
      </c>
      <c r="D3050" s="52" t="s">
        <v>4316</v>
      </c>
      <c r="E3050" s="60" t="b">
        <v>1</v>
      </c>
      <c r="F3050" s="109" t="s">
        <v>10992</v>
      </c>
      <c r="G3050" s="118" t="str">
        <f>HYPERLINK("http://nsgreg.nga.mil/genc/view?v=115197&amp;gencs=T&amp;end_month=3&amp;end_day=31&amp;end_year=2014","Atlántico Norte")</f>
        <v>Atlántico Norte</v>
      </c>
      <c r="H3050" s="91" t="str">
        <f>HYPERLINK("http://api.nsgreg.nga.mil/geo-division/ISO3166-2/6/ed3/NI-AN","NI-AN")</f>
        <v>NI-AN</v>
      </c>
    </row>
    <row r="3051" spans="1:8" x14ac:dyDescent="0.2">
      <c r="A3051" s="157"/>
      <c r="B3051" s="31" t="s">
        <v>10993</v>
      </c>
      <c r="C3051" s="31" t="s">
        <v>10994</v>
      </c>
      <c r="D3051" s="31" t="s">
        <v>4316</v>
      </c>
      <c r="E3051" s="61" t="b">
        <v>1</v>
      </c>
      <c r="F3051" s="106" t="s">
        <v>10995</v>
      </c>
      <c r="G3051" s="116" t="str">
        <f>HYPERLINK("http://nsgreg.nga.mil/genc/view?v=115198&amp;gencs=T&amp;end_month=3&amp;end_day=31&amp;end_year=2014","Atlántico Sur")</f>
        <v>Atlántico Sur</v>
      </c>
      <c r="H3051" s="87" t="str">
        <f>HYPERLINK("http://api.nsgreg.nga.mil/geo-division/ISO3166-2/6/ed3/NI-AS","NI-AS")</f>
        <v>NI-AS</v>
      </c>
    </row>
    <row r="3052" spans="1:8" x14ac:dyDescent="0.2">
      <c r="A3052" s="157"/>
      <c r="B3052" s="31" t="s">
        <v>10996</v>
      </c>
      <c r="C3052" s="31" t="s">
        <v>10997</v>
      </c>
      <c r="D3052" s="31" t="s">
        <v>3214</v>
      </c>
      <c r="E3052" s="61" t="b">
        <v>1</v>
      </c>
      <c r="F3052" s="106" t="s">
        <v>10998</v>
      </c>
      <c r="G3052" s="116" t="str">
        <f>HYPERLINK("http://nsgreg.nga.mil/genc/view?v=115199&amp;gencs=T&amp;end_month=3&amp;end_day=31&amp;end_year=2014","Boaco")</f>
        <v>Boaco</v>
      </c>
      <c r="H3052" s="87" t="str">
        <f>HYPERLINK("http://api.nsgreg.nga.mil/geo-division/ISO3166-2/6/ed3/NI-BO","NI-BO")</f>
        <v>NI-BO</v>
      </c>
    </row>
    <row r="3053" spans="1:8" x14ac:dyDescent="0.2">
      <c r="A3053" s="157"/>
      <c r="B3053" s="31" t="s">
        <v>10999</v>
      </c>
      <c r="C3053" s="31" t="s">
        <v>11000</v>
      </c>
      <c r="D3053" s="31" t="s">
        <v>3214</v>
      </c>
      <c r="E3053" s="61" t="b">
        <v>1</v>
      </c>
      <c r="F3053" s="106" t="s">
        <v>11001</v>
      </c>
      <c r="G3053" s="116" t="str">
        <f>HYPERLINK("http://nsgreg.nga.mil/genc/view?v=115200&amp;gencs=T&amp;end_month=3&amp;end_day=31&amp;end_year=2014","Carazo")</f>
        <v>Carazo</v>
      </c>
      <c r="H3053" s="87" t="str">
        <f>HYPERLINK("http://api.nsgreg.nga.mil/geo-division/ISO3166-2/6/ed3/NI-CA","NI-CA")</f>
        <v>NI-CA</v>
      </c>
    </row>
    <row r="3054" spans="1:8" x14ac:dyDescent="0.2">
      <c r="A3054" s="157"/>
      <c r="B3054" s="31" t="s">
        <v>11002</v>
      </c>
      <c r="C3054" s="31" t="s">
        <v>11003</v>
      </c>
      <c r="D3054" s="31" t="s">
        <v>3214</v>
      </c>
      <c r="E3054" s="61" t="b">
        <v>1</v>
      </c>
      <c r="F3054" s="106" t="s">
        <v>11004</v>
      </c>
      <c r="G3054" s="116" t="str">
        <f>HYPERLINK("http://nsgreg.nga.mil/genc/view?v=115201&amp;gencs=T&amp;end_month=3&amp;end_day=31&amp;end_year=2014","Chinandega")</f>
        <v>Chinandega</v>
      </c>
      <c r="H3054" s="87" t="str">
        <f>HYPERLINK("http://api.nsgreg.nga.mil/geo-division/ISO3166-2/6/ed3/NI-CI","NI-CI")</f>
        <v>NI-CI</v>
      </c>
    </row>
    <row r="3055" spans="1:8" x14ac:dyDescent="0.2">
      <c r="A3055" s="157"/>
      <c r="B3055" s="31" t="s">
        <v>11005</v>
      </c>
      <c r="C3055" s="31" t="s">
        <v>11006</v>
      </c>
      <c r="D3055" s="31" t="s">
        <v>3214</v>
      </c>
      <c r="E3055" s="61" t="b">
        <v>1</v>
      </c>
      <c r="F3055" s="106" t="s">
        <v>11007</v>
      </c>
      <c r="G3055" s="116" t="str">
        <f>HYPERLINK("http://nsgreg.nga.mil/genc/view?v=115202&amp;gencs=T&amp;end_month=3&amp;end_day=31&amp;end_year=2014","Chontales")</f>
        <v>Chontales</v>
      </c>
      <c r="H3055" s="87" t="str">
        <f>HYPERLINK("http://api.nsgreg.nga.mil/geo-division/ISO3166-2/6/ed3/NI-CO","NI-CO")</f>
        <v>NI-CO</v>
      </c>
    </row>
    <row r="3056" spans="1:8" x14ac:dyDescent="0.2">
      <c r="A3056" s="157"/>
      <c r="B3056" s="31" t="s">
        <v>11008</v>
      </c>
      <c r="C3056" s="31" t="s">
        <v>11009</v>
      </c>
      <c r="D3056" s="31" t="s">
        <v>3214</v>
      </c>
      <c r="E3056" s="61" t="b">
        <v>1</v>
      </c>
      <c r="F3056" s="106" t="s">
        <v>11010</v>
      </c>
      <c r="G3056" s="116" t="str">
        <f>HYPERLINK("http://nsgreg.nga.mil/genc/view?v=115203&amp;gencs=T&amp;end_month=3&amp;end_day=31&amp;end_year=2014","Estelí")</f>
        <v>Estelí</v>
      </c>
      <c r="H3056" s="87" t="str">
        <f>HYPERLINK("http://api.nsgreg.nga.mil/geo-division/ISO3166-2/6/ed3/NI-ES","NI-ES")</f>
        <v>NI-ES</v>
      </c>
    </row>
    <row r="3057" spans="1:8" x14ac:dyDescent="0.2">
      <c r="A3057" s="157"/>
      <c r="B3057" s="31" t="s">
        <v>11011</v>
      </c>
      <c r="C3057" s="31" t="s">
        <v>11012</v>
      </c>
      <c r="D3057" s="31" t="s">
        <v>3214</v>
      </c>
      <c r="E3057" s="61" t="b">
        <v>1</v>
      </c>
      <c r="F3057" s="106" t="s">
        <v>11013</v>
      </c>
      <c r="G3057" s="116" t="str">
        <f>HYPERLINK("http://nsgreg.nga.mil/genc/view?v=115204&amp;gencs=T&amp;end_month=3&amp;end_day=31&amp;end_year=2014","Granada")</f>
        <v>Granada</v>
      </c>
      <c r="H3057" s="87" t="str">
        <f>HYPERLINK("http://api.nsgreg.nga.mil/geo-division/ISO3166-2/6/ed3/NI-GR","NI-GR")</f>
        <v>NI-GR</v>
      </c>
    </row>
    <row r="3058" spans="1:8" x14ac:dyDescent="0.2">
      <c r="A3058" s="157"/>
      <c r="B3058" s="31" t="s">
        <v>11014</v>
      </c>
      <c r="C3058" s="31" t="s">
        <v>11015</v>
      </c>
      <c r="D3058" s="31" t="s">
        <v>3214</v>
      </c>
      <c r="E3058" s="61" t="b">
        <v>1</v>
      </c>
      <c r="F3058" s="106" t="s">
        <v>11016</v>
      </c>
      <c r="G3058" s="116" t="str">
        <f>HYPERLINK("http://nsgreg.nga.mil/genc/view?v=115205&amp;gencs=T&amp;end_month=3&amp;end_day=31&amp;end_year=2014","Jinotega")</f>
        <v>Jinotega</v>
      </c>
      <c r="H3058" s="87" t="str">
        <f>HYPERLINK("http://api.nsgreg.nga.mil/geo-division/ISO3166-2/6/ed3/NI-JI","NI-JI")</f>
        <v>NI-JI</v>
      </c>
    </row>
    <row r="3059" spans="1:8" x14ac:dyDescent="0.2">
      <c r="A3059" s="157"/>
      <c r="B3059" s="31" t="s">
        <v>11017</v>
      </c>
      <c r="C3059" s="31" t="s">
        <v>11018</v>
      </c>
      <c r="D3059" s="31" t="s">
        <v>3214</v>
      </c>
      <c r="E3059" s="61" t="b">
        <v>1</v>
      </c>
      <c r="F3059" s="106" t="s">
        <v>11019</v>
      </c>
      <c r="G3059" s="116" t="str">
        <f>HYPERLINK("http://nsgreg.nga.mil/genc/view?v=115206&amp;gencs=T&amp;end_month=3&amp;end_day=31&amp;end_year=2014","León")</f>
        <v>León</v>
      </c>
      <c r="H3059" s="87" t="str">
        <f>HYPERLINK("http://api.nsgreg.nga.mil/geo-division/ISO3166-2/6/ed3/NI-LE","NI-LE")</f>
        <v>NI-LE</v>
      </c>
    </row>
    <row r="3060" spans="1:8" x14ac:dyDescent="0.2">
      <c r="A3060" s="157"/>
      <c r="B3060" s="31" t="s">
        <v>11020</v>
      </c>
      <c r="C3060" s="31" t="s">
        <v>11021</v>
      </c>
      <c r="D3060" s="31" t="s">
        <v>3214</v>
      </c>
      <c r="E3060" s="61" t="b">
        <v>1</v>
      </c>
      <c r="F3060" s="106" t="s">
        <v>11022</v>
      </c>
      <c r="G3060" s="116" t="str">
        <f>HYPERLINK("http://nsgreg.nga.mil/genc/view?v=115207&amp;gencs=T&amp;end_month=3&amp;end_day=31&amp;end_year=2014","Madriz")</f>
        <v>Madriz</v>
      </c>
      <c r="H3060" s="87" t="str">
        <f>HYPERLINK("http://api.nsgreg.nga.mil/geo-division/ISO3166-2/6/ed3/NI-MD","NI-MD")</f>
        <v>NI-MD</v>
      </c>
    </row>
    <row r="3061" spans="1:8" x14ac:dyDescent="0.2">
      <c r="A3061" s="157"/>
      <c r="B3061" s="31" t="s">
        <v>11023</v>
      </c>
      <c r="C3061" s="31" t="s">
        <v>11024</v>
      </c>
      <c r="D3061" s="31" t="s">
        <v>3214</v>
      </c>
      <c r="E3061" s="61" t="b">
        <v>1</v>
      </c>
      <c r="F3061" s="106" t="s">
        <v>11025</v>
      </c>
      <c r="G3061" s="116" t="str">
        <f>HYPERLINK("http://nsgreg.nga.mil/genc/view?v=115208&amp;gencs=T&amp;end_month=3&amp;end_day=31&amp;end_year=2014","Managua")</f>
        <v>Managua</v>
      </c>
      <c r="H3061" s="87" t="str">
        <f>HYPERLINK("http://api.nsgreg.nga.mil/geo-division/ISO3166-2/6/ed3/NI-MN","NI-MN")</f>
        <v>NI-MN</v>
      </c>
    </row>
    <row r="3062" spans="1:8" x14ac:dyDescent="0.2">
      <c r="A3062" s="157"/>
      <c r="B3062" s="31" t="s">
        <v>11026</v>
      </c>
      <c r="C3062" s="31" t="s">
        <v>11027</v>
      </c>
      <c r="D3062" s="31" t="s">
        <v>3214</v>
      </c>
      <c r="E3062" s="61" t="b">
        <v>1</v>
      </c>
      <c r="F3062" s="106" t="s">
        <v>11028</v>
      </c>
      <c r="G3062" s="116" t="str">
        <f>HYPERLINK("http://nsgreg.nga.mil/genc/view?v=115209&amp;gencs=T&amp;end_month=3&amp;end_day=31&amp;end_year=2014","Masaya")</f>
        <v>Masaya</v>
      </c>
      <c r="H3062" s="87" t="str">
        <f>HYPERLINK("http://api.nsgreg.nga.mil/geo-division/ISO3166-2/6/ed3/NI-MS","NI-MS")</f>
        <v>NI-MS</v>
      </c>
    </row>
    <row r="3063" spans="1:8" x14ac:dyDescent="0.2">
      <c r="A3063" s="157"/>
      <c r="B3063" s="31" t="s">
        <v>11029</v>
      </c>
      <c r="C3063" s="31" t="s">
        <v>11030</v>
      </c>
      <c r="D3063" s="31" t="s">
        <v>3214</v>
      </c>
      <c r="E3063" s="61" t="b">
        <v>1</v>
      </c>
      <c r="F3063" s="106" t="s">
        <v>11031</v>
      </c>
      <c r="G3063" s="116" t="str">
        <f>HYPERLINK("http://nsgreg.nga.mil/genc/view?v=115210&amp;gencs=T&amp;end_month=3&amp;end_day=31&amp;end_year=2014","Matagalpa")</f>
        <v>Matagalpa</v>
      </c>
      <c r="H3063" s="87" t="str">
        <f>HYPERLINK("http://api.nsgreg.nga.mil/geo-division/ISO3166-2/6/ed3/NI-MT","NI-MT")</f>
        <v>NI-MT</v>
      </c>
    </row>
    <row r="3064" spans="1:8" x14ac:dyDescent="0.2">
      <c r="A3064" s="157"/>
      <c r="B3064" s="31" t="s">
        <v>11032</v>
      </c>
      <c r="C3064" s="31" t="s">
        <v>11033</v>
      </c>
      <c r="D3064" s="31" t="s">
        <v>3214</v>
      </c>
      <c r="E3064" s="61" t="b">
        <v>1</v>
      </c>
      <c r="F3064" s="106" t="s">
        <v>11034</v>
      </c>
      <c r="G3064" s="116" t="str">
        <f>HYPERLINK("http://nsgreg.nga.mil/genc/view?v=115211&amp;gencs=T&amp;end_month=3&amp;end_day=31&amp;end_year=2014","Nueva Segovia")</f>
        <v>Nueva Segovia</v>
      </c>
      <c r="H3064" s="87" t="str">
        <f>HYPERLINK("http://api.nsgreg.nga.mil/geo-division/ISO3166-2/6/ed3/NI-NS","NI-NS")</f>
        <v>NI-NS</v>
      </c>
    </row>
    <row r="3065" spans="1:8" x14ac:dyDescent="0.2">
      <c r="A3065" s="157"/>
      <c r="B3065" s="31" t="s">
        <v>11035</v>
      </c>
      <c r="C3065" s="31" t="s">
        <v>11036</v>
      </c>
      <c r="D3065" s="31" t="s">
        <v>3214</v>
      </c>
      <c r="E3065" s="61" t="b">
        <v>1</v>
      </c>
      <c r="F3065" s="106" t="s">
        <v>11037</v>
      </c>
      <c r="G3065" s="116" t="str">
        <f>HYPERLINK("http://nsgreg.nga.mil/genc/view?v=115213&amp;gencs=T&amp;end_month=3&amp;end_day=31&amp;end_year=2014","Río San Juan")</f>
        <v>Río San Juan</v>
      </c>
      <c r="H3065" s="87" t="str">
        <f>HYPERLINK("http://api.nsgreg.nga.mil/geo-division/ISO3166-2/6/ed3/NI-SJ","NI-SJ")</f>
        <v>NI-SJ</v>
      </c>
    </row>
    <row r="3066" spans="1:8" x14ac:dyDescent="0.2">
      <c r="A3066" s="158"/>
      <c r="B3066" s="58" t="s">
        <v>11038</v>
      </c>
      <c r="C3066" s="58" t="s">
        <v>11039</v>
      </c>
      <c r="D3066" s="58" t="s">
        <v>3214</v>
      </c>
      <c r="E3066" s="62" t="b">
        <v>1</v>
      </c>
      <c r="F3066" s="108" t="s">
        <v>11040</v>
      </c>
      <c r="G3066" s="117" t="str">
        <f>HYPERLINK("http://nsgreg.nga.mil/genc/view?v=115212&amp;gencs=T&amp;end_month=3&amp;end_day=31&amp;end_year=2014","Rivas")</f>
        <v>Rivas</v>
      </c>
      <c r="H3066" s="89" t="str">
        <f>HYPERLINK("http://api.nsgreg.nga.mil/geo-division/ISO3166-2/6/ed3/NI-RI","NI-RI")</f>
        <v>NI-RI</v>
      </c>
    </row>
    <row r="3067" spans="1:8" x14ac:dyDescent="0.2">
      <c r="A3067" s="156" t="str">
        <f>HYPERLINK("[#]Geopolitical_Entities!A189:I189","NIGER")</f>
        <v>NIGER</v>
      </c>
      <c r="B3067" s="52" t="s">
        <v>11041</v>
      </c>
      <c r="C3067" s="52" t="s">
        <v>11042</v>
      </c>
      <c r="D3067" s="52" t="s">
        <v>3137</v>
      </c>
      <c r="E3067" s="60" t="b">
        <v>1</v>
      </c>
      <c r="F3067" s="110" t="s">
        <v>11043</v>
      </c>
      <c r="G3067" s="118" t="str">
        <f>HYPERLINK("http://nsgreg.nga.mil/genc/view?v=202301&amp;end_month=3&amp;end_day=31&amp;end_year=2014","Agadez")</f>
        <v>Agadez</v>
      </c>
      <c r="H3067" s="91" t="str">
        <f>HYPERLINK("http://api.nsgreg.nga.mil/geo-division/GENC/6/ed2/NE-1","NE-1")</f>
        <v>NE-1</v>
      </c>
    </row>
    <row r="3068" spans="1:8" x14ac:dyDescent="0.2">
      <c r="A3068" s="157"/>
      <c r="B3068" s="31" t="s">
        <v>11044</v>
      </c>
      <c r="C3068" s="31" t="s">
        <v>11045</v>
      </c>
      <c r="D3068" s="31" t="s">
        <v>3137</v>
      </c>
      <c r="E3068" s="61" t="b">
        <v>1</v>
      </c>
      <c r="F3068" s="107" t="s">
        <v>11046</v>
      </c>
      <c r="G3068" s="116" t="str">
        <f>HYPERLINK("http://nsgreg.nga.mil/genc/view?v=202302&amp;end_month=3&amp;end_day=31&amp;end_year=2014","Diffa")</f>
        <v>Diffa</v>
      </c>
      <c r="H3068" s="87" t="str">
        <f>HYPERLINK("http://api.nsgreg.nga.mil/geo-division/GENC/6/ed2/NE-2","NE-2")</f>
        <v>NE-2</v>
      </c>
    </row>
    <row r="3069" spans="1:8" x14ac:dyDescent="0.2">
      <c r="A3069" s="157"/>
      <c r="B3069" s="31" t="s">
        <v>11047</v>
      </c>
      <c r="C3069" s="31" t="s">
        <v>11048</v>
      </c>
      <c r="D3069" s="31" t="s">
        <v>3137</v>
      </c>
      <c r="E3069" s="61" t="b">
        <v>1</v>
      </c>
      <c r="F3069" s="107" t="s">
        <v>11049</v>
      </c>
      <c r="G3069" s="116" t="str">
        <f>HYPERLINK("http://nsgreg.nga.mil/genc/view?v=203051&amp;end_month=3&amp;end_day=31&amp;end_year=2014","Dosso")</f>
        <v>Dosso</v>
      </c>
      <c r="H3069" s="87" t="str">
        <f>HYPERLINK("http://api.nsgreg.nga.mil/geo-division/GENC/6/ed2/NE-3","NE-3")</f>
        <v>NE-3</v>
      </c>
    </row>
    <row r="3070" spans="1:8" x14ac:dyDescent="0.2">
      <c r="A3070" s="157"/>
      <c r="B3070" s="31" t="s">
        <v>11050</v>
      </c>
      <c r="C3070" s="31" t="s">
        <v>11051</v>
      </c>
      <c r="D3070" s="31" t="s">
        <v>3137</v>
      </c>
      <c r="E3070" s="61" t="b">
        <v>1</v>
      </c>
      <c r="F3070" s="107" t="s">
        <v>11052</v>
      </c>
      <c r="G3070" s="116" t="str">
        <f>HYPERLINK("http://nsgreg.nga.mil/genc/view?v=203052&amp;end_month=3&amp;end_day=31&amp;end_year=2014","Maradi")</f>
        <v>Maradi</v>
      </c>
      <c r="H3070" s="87" t="str">
        <f>HYPERLINK("http://api.nsgreg.nga.mil/geo-division/GENC/6/ed2/NE-4","NE-4")</f>
        <v>NE-4</v>
      </c>
    </row>
    <row r="3071" spans="1:8" x14ac:dyDescent="0.2">
      <c r="A3071" s="157"/>
      <c r="B3071" s="31" t="s">
        <v>11053</v>
      </c>
      <c r="C3071" s="31" t="s">
        <v>11054</v>
      </c>
      <c r="D3071" s="31" t="s">
        <v>4316</v>
      </c>
      <c r="E3071" s="61" t="b">
        <v>1</v>
      </c>
      <c r="F3071" s="107" t="s">
        <v>11055</v>
      </c>
      <c r="G3071" s="116" t="str">
        <f>HYPERLINK("http://nsgreg.nga.mil/genc/view?v=202303&amp;end_month=3&amp;end_day=31&amp;end_year=2014","Niamey")</f>
        <v>Niamey</v>
      </c>
      <c r="H3071" s="87" t="str">
        <f>HYPERLINK("http://api.nsgreg.nga.mil/geo-division/GENC/6/ed2/NE-8","NE-8")</f>
        <v>NE-8</v>
      </c>
    </row>
    <row r="3072" spans="1:8" x14ac:dyDescent="0.2">
      <c r="A3072" s="157"/>
      <c r="B3072" s="31" t="s">
        <v>11056</v>
      </c>
      <c r="C3072" s="31" t="s">
        <v>11057</v>
      </c>
      <c r="D3072" s="31" t="s">
        <v>3137</v>
      </c>
      <c r="E3072" s="61" t="b">
        <v>1</v>
      </c>
      <c r="F3072" s="107" t="s">
        <v>11058</v>
      </c>
      <c r="G3072" s="116" t="str">
        <f>HYPERLINK("http://nsgreg.nga.mil/genc/view?v=203091&amp;end_month=3&amp;end_day=31&amp;end_year=2014","Tahoua")</f>
        <v>Tahoua</v>
      </c>
      <c r="H3072" s="87" t="str">
        <f>HYPERLINK("http://api.nsgreg.nga.mil/geo-division/GENC/6/ed2/NE-5","NE-5")</f>
        <v>NE-5</v>
      </c>
    </row>
    <row r="3073" spans="1:8" x14ac:dyDescent="0.2">
      <c r="A3073" s="157"/>
      <c r="B3073" s="31" t="s">
        <v>11059</v>
      </c>
      <c r="C3073" s="31" t="s">
        <v>11060</v>
      </c>
      <c r="D3073" s="31" t="s">
        <v>3137</v>
      </c>
      <c r="E3073" s="61" t="b">
        <v>1</v>
      </c>
      <c r="F3073" s="107" t="s">
        <v>11061</v>
      </c>
      <c r="G3073" s="116" t="str">
        <f>HYPERLINK("http://nsgreg.nga.mil/genc/view?v=203391&amp;end_month=3&amp;end_day=31&amp;end_year=2014","Tillabéri")</f>
        <v>Tillabéri</v>
      </c>
      <c r="H3073" s="87" t="str">
        <f>HYPERLINK("http://api.nsgreg.nga.mil/geo-division/GENC/6/ed2/NE-6","NE-6")</f>
        <v>NE-6</v>
      </c>
    </row>
    <row r="3074" spans="1:8" x14ac:dyDescent="0.2">
      <c r="A3074" s="158"/>
      <c r="B3074" s="58" t="s">
        <v>11062</v>
      </c>
      <c r="C3074" s="58" t="s">
        <v>11063</v>
      </c>
      <c r="D3074" s="58" t="s">
        <v>3137</v>
      </c>
      <c r="E3074" s="62" t="b">
        <v>1</v>
      </c>
      <c r="F3074" s="111" t="s">
        <v>11064</v>
      </c>
      <c r="G3074" s="117" t="str">
        <f>HYPERLINK("http://nsgreg.nga.mil/genc/view?v=203392&amp;end_month=3&amp;end_day=31&amp;end_year=2014","Zinder")</f>
        <v>Zinder</v>
      </c>
      <c r="H3074" s="89" t="str">
        <f>HYPERLINK("http://api.nsgreg.nga.mil/geo-division/GENC/6/ed2/NE-7","NE-7")</f>
        <v>NE-7</v>
      </c>
    </row>
    <row r="3075" spans="1:8" x14ac:dyDescent="0.2">
      <c r="A3075" s="156" t="str">
        <f>HYPERLINK("[#]Geopolitical_Entities!A190:I190","NIGERIA")</f>
        <v>NIGERIA</v>
      </c>
      <c r="B3075" s="52" t="s">
        <v>11065</v>
      </c>
      <c r="C3075" s="52" t="s">
        <v>11066</v>
      </c>
      <c r="D3075" s="52" t="s">
        <v>2512</v>
      </c>
      <c r="E3075" s="60" t="b">
        <v>1</v>
      </c>
      <c r="F3075" s="109" t="s">
        <v>11067</v>
      </c>
      <c r="G3075" s="118" t="str">
        <f>HYPERLINK("http://nsgreg.nga.mil/genc/view?v=115160&amp;gencs=T&amp;end_month=3&amp;end_day=31&amp;end_year=2014","Abia")</f>
        <v>Abia</v>
      </c>
      <c r="H3075" s="91" t="str">
        <f>HYPERLINK("http://api.nsgreg.nga.mil/geo-division/ISO3166-2/6/ed3/NG-AB","NG-AB")</f>
        <v>NG-AB</v>
      </c>
    </row>
    <row r="3076" spans="1:8" x14ac:dyDescent="0.2">
      <c r="A3076" s="157"/>
      <c r="B3076" s="31" t="s">
        <v>11068</v>
      </c>
      <c r="C3076" s="31" t="s">
        <v>11069</v>
      </c>
      <c r="D3076" s="31" t="s">
        <v>2512</v>
      </c>
      <c r="E3076" s="61" t="b">
        <v>1</v>
      </c>
      <c r="F3076" s="106" t="s">
        <v>11070</v>
      </c>
      <c r="G3076" s="116" t="str">
        <f>HYPERLINK("http://nsgreg.nga.mil/genc/view?v=115161&amp;gencs=T&amp;end_month=3&amp;end_day=31&amp;end_year=2014","Adamawa")</f>
        <v>Adamawa</v>
      </c>
      <c r="H3076" s="87" t="str">
        <f>HYPERLINK("http://api.nsgreg.nga.mil/geo-division/ISO3166-2/6/ed3/NG-AD","NG-AD")</f>
        <v>NG-AD</v>
      </c>
    </row>
    <row r="3077" spans="1:8" x14ac:dyDescent="0.2">
      <c r="A3077" s="157"/>
      <c r="B3077" s="31" t="s">
        <v>11071</v>
      </c>
      <c r="C3077" s="31" t="s">
        <v>11072</v>
      </c>
      <c r="D3077" s="31" t="s">
        <v>2512</v>
      </c>
      <c r="E3077" s="61" t="b">
        <v>1</v>
      </c>
      <c r="F3077" s="106" t="s">
        <v>11073</v>
      </c>
      <c r="G3077" s="116" t="str">
        <f>HYPERLINK("http://nsgreg.nga.mil/genc/view?v=115162&amp;gencs=T&amp;end_month=3&amp;end_day=31&amp;end_year=2014","Akwa Ibom")</f>
        <v>Akwa Ibom</v>
      </c>
      <c r="H3077" s="87" t="str">
        <f>HYPERLINK("http://api.nsgreg.nga.mil/geo-division/ISO3166-2/6/ed3/NG-AK","NG-AK")</f>
        <v>NG-AK</v>
      </c>
    </row>
    <row r="3078" spans="1:8" x14ac:dyDescent="0.2">
      <c r="A3078" s="157"/>
      <c r="B3078" s="31" t="s">
        <v>11074</v>
      </c>
      <c r="C3078" s="31" t="s">
        <v>11075</v>
      </c>
      <c r="D3078" s="31" t="s">
        <v>2512</v>
      </c>
      <c r="E3078" s="61" t="b">
        <v>1</v>
      </c>
      <c r="F3078" s="106" t="s">
        <v>11076</v>
      </c>
      <c r="G3078" s="116" t="str">
        <f>HYPERLINK("http://nsgreg.nga.mil/genc/view?v=115163&amp;gencs=T&amp;end_month=3&amp;end_day=31&amp;end_year=2014","Anambra")</f>
        <v>Anambra</v>
      </c>
      <c r="H3078" s="87" t="str">
        <f>HYPERLINK("http://api.nsgreg.nga.mil/geo-division/ISO3166-2/6/ed3/NG-AN","NG-AN")</f>
        <v>NG-AN</v>
      </c>
    </row>
    <row r="3079" spans="1:8" x14ac:dyDescent="0.2">
      <c r="A3079" s="157"/>
      <c r="B3079" s="31" t="s">
        <v>11077</v>
      </c>
      <c r="C3079" s="31" t="s">
        <v>11078</v>
      </c>
      <c r="D3079" s="31" t="s">
        <v>2512</v>
      </c>
      <c r="E3079" s="61" t="b">
        <v>1</v>
      </c>
      <c r="F3079" s="106" t="s">
        <v>11079</v>
      </c>
      <c r="G3079" s="116" t="str">
        <f>HYPERLINK("http://nsgreg.nga.mil/genc/view?v=115164&amp;gencs=T&amp;end_month=3&amp;end_day=31&amp;end_year=2014","Bauchi")</f>
        <v>Bauchi</v>
      </c>
      <c r="H3079" s="87" t="str">
        <f>HYPERLINK("http://api.nsgreg.nga.mil/geo-division/ISO3166-2/6/ed3/NG-BA","NG-BA")</f>
        <v>NG-BA</v>
      </c>
    </row>
    <row r="3080" spans="1:8" x14ac:dyDescent="0.2">
      <c r="A3080" s="157"/>
      <c r="B3080" s="31" t="s">
        <v>11080</v>
      </c>
      <c r="C3080" s="31" t="s">
        <v>11081</v>
      </c>
      <c r="D3080" s="31" t="s">
        <v>2512</v>
      </c>
      <c r="E3080" s="61" t="b">
        <v>1</v>
      </c>
      <c r="F3080" s="106" t="s">
        <v>11082</v>
      </c>
      <c r="G3080" s="116" t="str">
        <f>HYPERLINK("http://nsgreg.nga.mil/genc/view?v=115167&amp;gencs=T&amp;end_month=3&amp;end_day=31&amp;end_year=2014","Bayelsa")</f>
        <v>Bayelsa</v>
      </c>
      <c r="H3080" s="87" t="str">
        <f>HYPERLINK("http://api.nsgreg.nga.mil/geo-division/ISO3166-2/6/ed3/NG-BY","NG-BY")</f>
        <v>NG-BY</v>
      </c>
    </row>
    <row r="3081" spans="1:8" x14ac:dyDescent="0.2">
      <c r="A3081" s="157"/>
      <c r="B3081" s="31" t="s">
        <v>11083</v>
      </c>
      <c r="C3081" s="31" t="s">
        <v>11084</v>
      </c>
      <c r="D3081" s="31" t="s">
        <v>2512</v>
      </c>
      <c r="E3081" s="61" t="b">
        <v>1</v>
      </c>
      <c r="F3081" s="106" t="s">
        <v>11085</v>
      </c>
      <c r="G3081" s="116" t="str">
        <f>HYPERLINK("http://nsgreg.nga.mil/genc/view?v=115165&amp;gencs=T&amp;end_month=3&amp;end_day=31&amp;end_year=2014","Benue")</f>
        <v>Benue</v>
      </c>
      <c r="H3081" s="87" t="str">
        <f>HYPERLINK("http://api.nsgreg.nga.mil/geo-division/ISO3166-2/6/ed3/NG-BE","NG-BE")</f>
        <v>NG-BE</v>
      </c>
    </row>
    <row r="3082" spans="1:8" x14ac:dyDescent="0.2">
      <c r="A3082" s="157"/>
      <c r="B3082" s="31" t="s">
        <v>11086</v>
      </c>
      <c r="C3082" s="31" t="s">
        <v>11087</v>
      </c>
      <c r="D3082" s="31" t="s">
        <v>2512</v>
      </c>
      <c r="E3082" s="61" t="b">
        <v>1</v>
      </c>
      <c r="F3082" s="106" t="s">
        <v>11088</v>
      </c>
      <c r="G3082" s="116" t="str">
        <f>HYPERLINK("http://nsgreg.nga.mil/genc/view?v=115166&amp;gencs=T&amp;end_month=3&amp;end_day=31&amp;end_year=2014","Borno")</f>
        <v>Borno</v>
      </c>
      <c r="H3082" s="87" t="str">
        <f>HYPERLINK("http://api.nsgreg.nga.mil/geo-division/ISO3166-2/6/ed3/NG-BO","NG-BO")</f>
        <v>NG-BO</v>
      </c>
    </row>
    <row r="3083" spans="1:8" x14ac:dyDescent="0.2">
      <c r="A3083" s="157"/>
      <c r="B3083" s="31" t="s">
        <v>11089</v>
      </c>
      <c r="C3083" s="31" t="s">
        <v>11090</v>
      </c>
      <c r="D3083" s="31" t="s">
        <v>2512</v>
      </c>
      <c r="E3083" s="61" t="b">
        <v>1</v>
      </c>
      <c r="F3083" s="106" t="s">
        <v>11091</v>
      </c>
      <c r="G3083" s="116" t="str">
        <f>HYPERLINK("http://nsgreg.nga.mil/genc/view?v=115168&amp;gencs=T&amp;end_month=3&amp;end_day=31&amp;end_year=2014","Cross River")</f>
        <v>Cross River</v>
      </c>
      <c r="H3083" s="87" t="str">
        <f>HYPERLINK("http://api.nsgreg.nga.mil/geo-division/ISO3166-2/6/ed3/NG-CR","NG-CR")</f>
        <v>NG-CR</v>
      </c>
    </row>
    <row r="3084" spans="1:8" x14ac:dyDescent="0.2">
      <c r="A3084" s="157"/>
      <c r="B3084" s="31" t="s">
        <v>11092</v>
      </c>
      <c r="C3084" s="31" t="s">
        <v>11093</v>
      </c>
      <c r="D3084" s="31" t="s">
        <v>2512</v>
      </c>
      <c r="E3084" s="61" t="b">
        <v>1</v>
      </c>
      <c r="F3084" s="106" t="s">
        <v>11094</v>
      </c>
      <c r="G3084" s="116" t="str">
        <f>HYPERLINK("http://nsgreg.nga.mil/genc/view?v=115169&amp;gencs=T&amp;end_month=3&amp;end_day=31&amp;end_year=2014","Delta")</f>
        <v>Delta</v>
      </c>
      <c r="H3084" s="87" t="str">
        <f>HYPERLINK("http://api.nsgreg.nga.mil/geo-division/ISO3166-2/6/ed3/NG-DE","NG-DE")</f>
        <v>NG-DE</v>
      </c>
    </row>
    <row r="3085" spans="1:8" x14ac:dyDescent="0.2">
      <c r="A3085" s="157"/>
      <c r="B3085" s="31" t="s">
        <v>11095</v>
      </c>
      <c r="C3085" s="31" t="s">
        <v>11096</v>
      </c>
      <c r="D3085" s="31" t="s">
        <v>2512</v>
      </c>
      <c r="E3085" s="61" t="b">
        <v>1</v>
      </c>
      <c r="F3085" s="106" t="s">
        <v>11097</v>
      </c>
      <c r="G3085" s="116" t="str">
        <f>HYPERLINK("http://nsgreg.nga.mil/genc/view?v=115170&amp;gencs=T&amp;end_month=3&amp;end_day=31&amp;end_year=2014","Ebonyi")</f>
        <v>Ebonyi</v>
      </c>
      <c r="H3085" s="87" t="str">
        <f>HYPERLINK("http://api.nsgreg.nga.mil/geo-division/ISO3166-2/6/ed3/NG-EB","NG-EB")</f>
        <v>NG-EB</v>
      </c>
    </row>
    <row r="3086" spans="1:8" x14ac:dyDescent="0.2">
      <c r="A3086" s="157"/>
      <c r="B3086" s="31" t="s">
        <v>11098</v>
      </c>
      <c r="C3086" s="31" t="s">
        <v>11099</v>
      </c>
      <c r="D3086" s="31" t="s">
        <v>2512</v>
      </c>
      <c r="E3086" s="61" t="b">
        <v>1</v>
      </c>
      <c r="F3086" s="106" t="s">
        <v>11100</v>
      </c>
      <c r="G3086" s="116" t="str">
        <f>HYPERLINK("http://nsgreg.nga.mil/genc/view?v=115171&amp;gencs=T&amp;end_month=3&amp;end_day=31&amp;end_year=2014","Edo")</f>
        <v>Edo</v>
      </c>
      <c r="H3086" s="87" t="str">
        <f>HYPERLINK("http://api.nsgreg.nga.mil/geo-division/ISO3166-2/6/ed3/NG-ED","NG-ED")</f>
        <v>NG-ED</v>
      </c>
    </row>
    <row r="3087" spans="1:8" x14ac:dyDescent="0.2">
      <c r="A3087" s="157"/>
      <c r="B3087" s="31" t="s">
        <v>11101</v>
      </c>
      <c r="C3087" s="31" t="s">
        <v>11102</v>
      </c>
      <c r="D3087" s="31" t="s">
        <v>2512</v>
      </c>
      <c r="E3087" s="61" t="b">
        <v>1</v>
      </c>
      <c r="F3087" s="106" t="s">
        <v>11103</v>
      </c>
      <c r="G3087" s="116" t="str">
        <f>HYPERLINK("http://nsgreg.nga.mil/genc/view?v=115172&amp;gencs=T&amp;end_month=3&amp;end_day=31&amp;end_year=2014","Ekiti")</f>
        <v>Ekiti</v>
      </c>
      <c r="H3087" s="87" t="str">
        <f>HYPERLINK("http://api.nsgreg.nga.mil/geo-division/ISO3166-2/6/ed3/NG-EK","NG-EK")</f>
        <v>NG-EK</v>
      </c>
    </row>
    <row r="3088" spans="1:8" x14ac:dyDescent="0.2">
      <c r="A3088" s="157"/>
      <c r="B3088" s="31" t="s">
        <v>11104</v>
      </c>
      <c r="C3088" s="31" t="s">
        <v>11105</v>
      </c>
      <c r="D3088" s="31" t="s">
        <v>2512</v>
      </c>
      <c r="E3088" s="61" t="b">
        <v>1</v>
      </c>
      <c r="F3088" s="106" t="s">
        <v>11106</v>
      </c>
      <c r="G3088" s="116" t="str">
        <f>HYPERLINK("http://nsgreg.nga.mil/genc/view?v=115173&amp;gencs=T&amp;end_month=3&amp;end_day=31&amp;end_year=2014","Enugu")</f>
        <v>Enugu</v>
      </c>
      <c r="H3088" s="87" t="str">
        <f>HYPERLINK("http://api.nsgreg.nga.mil/geo-division/ISO3166-2/6/ed3/NG-EN","NG-EN")</f>
        <v>NG-EN</v>
      </c>
    </row>
    <row r="3089" spans="1:8" x14ac:dyDescent="0.2">
      <c r="A3089" s="157"/>
      <c r="B3089" s="31" t="s">
        <v>11107</v>
      </c>
      <c r="C3089" s="31" t="s">
        <v>11108</v>
      </c>
      <c r="D3089" s="31" t="s">
        <v>11109</v>
      </c>
      <c r="E3089" s="61" t="b">
        <v>1</v>
      </c>
      <c r="F3089" s="107" t="s">
        <v>11110</v>
      </c>
      <c r="G3089" s="116" t="str">
        <f>HYPERLINK("http://nsgreg.nga.mil/genc/view?v=202304&amp;end_month=3&amp;end_day=31&amp;end_year=2014","Federal Capital Territory")</f>
        <v>Federal Capital Territory</v>
      </c>
      <c r="H3089" s="87" t="str">
        <f>HYPERLINK("http://api.nsgreg.nga.mil/geo-division/GENC/6/ed2/NG-FC","NG-FC")</f>
        <v>NG-FC</v>
      </c>
    </row>
    <row r="3090" spans="1:8" x14ac:dyDescent="0.2">
      <c r="A3090" s="157"/>
      <c r="B3090" s="31" t="s">
        <v>11111</v>
      </c>
      <c r="C3090" s="31" t="s">
        <v>11112</v>
      </c>
      <c r="D3090" s="31" t="s">
        <v>2512</v>
      </c>
      <c r="E3090" s="61" t="b">
        <v>1</v>
      </c>
      <c r="F3090" s="106" t="s">
        <v>11113</v>
      </c>
      <c r="G3090" s="116" t="str">
        <f>HYPERLINK("http://nsgreg.nga.mil/genc/view?v=115175&amp;gencs=T&amp;end_month=3&amp;end_day=31&amp;end_year=2014","Gombe")</f>
        <v>Gombe</v>
      </c>
      <c r="H3090" s="87" t="str">
        <f>HYPERLINK("http://api.nsgreg.nga.mil/geo-division/ISO3166-2/6/ed3/NG-GO","NG-GO")</f>
        <v>NG-GO</v>
      </c>
    </row>
    <row r="3091" spans="1:8" x14ac:dyDescent="0.2">
      <c r="A3091" s="157"/>
      <c r="B3091" s="31" t="s">
        <v>11114</v>
      </c>
      <c r="C3091" s="31" t="s">
        <v>11115</v>
      </c>
      <c r="D3091" s="31" t="s">
        <v>2512</v>
      </c>
      <c r="E3091" s="61" t="b">
        <v>1</v>
      </c>
      <c r="F3091" s="106" t="s">
        <v>11116</v>
      </c>
      <c r="G3091" s="116" t="str">
        <f>HYPERLINK("http://nsgreg.nga.mil/genc/view?v=115176&amp;gencs=T&amp;end_month=3&amp;end_day=31&amp;end_year=2014","Imo")</f>
        <v>Imo</v>
      </c>
      <c r="H3091" s="87" t="str">
        <f>HYPERLINK("http://api.nsgreg.nga.mil/geo-division/ISO3166-2/6/ed3/NG-IM","NG-IM")</f>
        <v>NG-IM</v>
      </c>
    </row>
    <row r="3092" spans="1:8" x14ac:dyDescent="0.2">
      <c r="A3092" s="157"/>
      <c r="B3092" s="31" t="s">
        <v>11117</v>
      </c>
      <c r="C3092" s="31" t="s">
        <v>11118</v>
      </c>
      <c r="D3092" s="31" t="s">
        <v>2512</v>
      </c>
      <c r="E3092" s="61" t="b">
        <v>1</v>
      </c>
      <c r="F3092" s="106" t="s">
        <v>11119</v>
      </c>
      <c r="G3092" s="116" t="str">
        <f>HYPERLINK("http://nsgreg.nga.mil/genc/view?v=115177&amp;gencs=T&amp;end_month=3&amp;end_day=31&amp;end_year=2014","Jigawa")</f>
        <v>Jigawa</v>
      </c>
      <c r="H3092" s="87" t="str">
        <f>HYPERLINK("http://api.nsgreg.nga.mil/geo-division/ISO3166-2/6/ed3/NG-JI","NG-JI")</f>
        <v>NG-JI</v>
      </c>
    </row>
    <row r="3093" spans="1:8" x14ac:dyDescent="0.2">
      <c r="A3093" s="157"/>
      <c r="B3093" s="31" t="s">
        <v>11120</v>
      </c>
      <c r="C3093" s="31" t="s">
        <v>11121</v>
      </c>
      <c r="D3093" s="31" t="s">
        <v>2512</v>
      </c>
      <c r="E3093" s="61" t="b">
        <v>1</v>
      </c>
      <c r="F3093" s="106" t="s">
        <v>11122</v>
      </c>
      <c r="G3093" s="116" t="str">
        <f>HYPERLINK("http://nsgreg.nga.mil/genc/view?v=115178&amp;gencs=T&amp;end_month=3&amp;end_day=31&amp;end_year=2014","Kaduna")</f>
        <v>Kaduna</v>
      </c>
      <c r="H3093" s="87" t="str">
        <f>HYPERLINK("http://api.nsgreg.nga.mil/geo-division/ISO3166-2/6/ed3/NG-KD","NG-KD")</f>
        <v>NG-KD</v>
      </c>
    </row>
    <row r="3094" spans="1:8" x14ac:dyDescent="0.2">
      <c r="A3094" s="157"/>
      <c r="B3094" s="31" t="s">
        <v>11123</v>
      </c>
      <c r="C3094" s="31" t="s">
        <v>11124</v>
      </c>
      <c r="D3094" s="31" t="s">
        <v>2512</v>
      </c>
      <c r="E3094" s="61" t="b">
        <v>1</v>
      </c>
      <c r="F3094" s="106" t="s">
        <v>11125</v>
      </c>
      <c r="G3094" s="116" t="str">
        <f>HYPERLINK("http://nsgreg.nga.mil/genc/view?v=115180&amp;gencs=T&amp;end_month=3&amp;end_day=31&amp;end_year=2014","Kano")</f>
        <v>Kano</v>
      </c>
      <c r="H3094" s="87" t="str">
        <f>HYPERLINK("http://api.nsgreg.nga.mil/geo-division/ISO3166-2/6/ed3/NG-KN","NG-KN")</f>
        <v>NG-KN</v>
      </c>
    </row>
    <row r="3095" spans="1:8" x14ac:dyDescent="0.2">
      <c r="A3095" s="157"/>
      <c r="B3095" s="31" t="s">
        <v>11126</v>
      </c>
      <c r="C3095" s="31" t="s">
        <v>11127</v>
      </c>
      <c r="D3095" s="31" t="s">
        <v>2512</v>
      </c>
      <c r="E3095" s="61" t="b">
        <v>1</v>
      </c>
      <c r="F3095" s="106" t="s">
        <v>11128</v>
      </c>
      <c r="G3095" s="116" t="str">
        <f>HYPERLINK("http://nsgreg.nga.mil/genc/view?v=115182&amp;gencs=T&amp;end_month=3&amp;end_day=31&amp;end_year=2014","Katsina")</f>
        <v>Katsina</v>
      </c>
      <c r="H3095" s="87" t="str">
        <f>HYPERLINK("http://api.nsgreg.nga.mil/geo-division/ISO3166-2/6/ed3/NG-KT","NG-KT")</f>
        <v>NG-KT</v>
      </c>
    </row>
    <row r="3096" spans="1:8" x14ac:dyDescent="0.2">
      <c r="A3096" s="157"/>
      <c r="B3096" s="31" t="s">
        <v>11129</v>
      </c>
      <c r="C3096" s="31" t="s">
        <v>11130</v>
      </c>
      <c r="D3096" s="31" t="s">
        <v>2512</v>
      </c>
      <c r="E3096" s="61" t="b">
        <v>1</v>
      </c>
      <c r="F3096" s="106" t="s">
        <v>11131</v>
      </c>
      <c r="G3096" s="116" t="str">
        <f>HYPERLINK("http://nsgreg.nga.mil/genc/view?v=115179&amp;gencs=T&amp;end_month=3&amp;end_day=31&amp;end_year=2014","Kebbi")</f>
        <v>Kebbi</v>
      </c>
      <c r="H3096" s="87" t="str">
        <f>HYPERLINK("http://api.nsgreg.nga.mil/geo-division/ISO3166-2/6/ed3/NG-KE","NG-KE")</f>
        <v>NG-KE</v>
      </c>
    </row>
    <row r="3097" spans="1:8" x14ac:dyDescent="0.2">
      <c r="A3097" s="157"/>
      <c r="B3097" s="31" t="s">
        <v>11132</v>
      </c>
      <c r="C3097" s="31" t="s">
        <v>11133</v>
      </c>
      <c r="D3097" s="31" t="s">
        <v>2512</v>
      </c>
      <c r="E3097" s="61" t="b">
        <v>1</v>
      </c>
      <c r="F3097" s="106" t="s">
        <v>11134</v>
      </c>
      <c r="G3097" s="116" t="str">
        <f>HYPERLINK("http://nsgreg.nga.mil/genc/view?v=115181&amp;gencs=T&amp;end_month=3&amp;end_day=31&amp;end_year=2014","Kogi")</f>
        <v>Kogi</v>
      </c>
      <c r="H3097" s="87" t="str">
        <f>HYPERLINK("http://api.nsgreg.nga.mil/geo-division/ISO3166-2/6/ed3/NG-KO","NG-KO")</f>
        <v>NG-KO</v>
      </c>
    </row>
    <row r="3098" spans="1:8" x14ac:dyDescent="0.2">
      <c r="A3098" s="157"/>
      <c r="B3098" s="31" t="s">
        <v>11135</v>
      </c>
      <c r="C3098" s="31" t="s">
        <v>11136</v>
      </c>
      <c r="D3098" s="31" t="s">
        <v>2512</v>
      </c>
      <c r="E3098" s="61" t="b">
        <v>1</v>
      </c>
      <c r="F3098" s="106" t="s">
        <v>11137</v>
      </c>
      <c r="G3098" s="116" t="str">
        <f>HYPERLINK("http://nsgreg.nga.mil/genc/view?v=115183&amp;gencs=T&amp;end_month=3&amp;end_day=31&amp;end_year=2014","Kwara")</f>
        <v>Kwara</v>
      </c>
      <c r="H3098" s="87" t="str">
        <f>HYPERLINK("http://api.nsgreg.nga.mil/geo-division/ISO3166-2/6/ed3/NG-KW","NG-KW")</f>
        <v>NG-KW</v>
      </c>
    </row>
    <row r="3099" spans="1:8" x14ac:dyDescent="0.2">
      <c r="A3099" s="157"/>
      <c r="B3099" s="31" t="s">
        <v>11138</v>
      </c>
      <c r="C3099" s="31" t="s">
        <v>11139</v>
      </c>
      <c r="D3099" s="31" t="s">
        <v>2512</v>
      </c>
      <c r="E3099" s="61" t="b">
        <v>1</v>
      </c>
      <c r="F3099" s="106" t="s">
        <v>11140</v>
      </c>
      <c r="G3099" s="116" t="str">
        <f>HYPERLINK("http://nsgreg.nga.mil/genc/view?v=115184&amp;gencs=T&amp;end_month=3&amp;end_day=31&amp;end_year=2014","Lagos")</f>
        <v>Lagos</v>
      </c>
      <c r="H3099" s="87" t="str">
        <f>HYPERLINK("http://api.nsgreg.nga.mil/geo-division/ISO3166-2/6/ed3/NG-LA","NG-LA")</f>
        <v>NG-LA</v>
      </c>
    </row>
    <row r="3100" spans="1:8" x14ac:dyDescent="0.2">
      <c r="A3100" s="157"/>
      <c r="B3100" s="31" t="s">
        <v>11141</v>
      </c>
      <c r="C3100" s="31" t="s">
        <v>11142</v>
      </c>
      <c r="D3100" s="31" t="s">
        <v>2512</v>
      </c>
      <c r="E3100" s="61" t="b">
        <v>1</v>
      </c>
      <c r="F3100" s="107" t="s">
        <v>11143</v>
      </c>
      <c r="G3100" s="116" t="str">
        <f>HYPERLINK("http://nsgreg.nga.mil/genc/view?v=203398&amp;end_month=3&amp;end_day=31&amp;end_year=2014","Nasarawa")</f>
        <v>Nasarawa</v>
      </c>
      <c r="H3100" s="87" t="str">
        <f>HYPERLINK("http://api.nsgreg.nga.mil/geo-division/GENC/6/ed2/NG-NA","NG-NA")</f>
        <v>NG-NA</v>
      </c>
    </row>
    <row r="3101" spans="1:8" x14ac:dyDescent="0.2">
      <c r="A3101" s="157"/>
      <c r="B3101" s="31" t="s">
        <v>11144</v>
      </c>
      <c r="C3101" s="31" t="s">
        <v>1289</v>
      </c>
      <c r="D3101" s="31" t="s">
        <v>2512</v>
      </c>
      <c r="E3101" s="61" t="b">
        <v>1</v>
      </c>
      <c r="F3101" s="106" t="s">
        <v>11145</v>
      </c>
      <c r="G3101" s="116" t="str">
        <f>HYPERLINK("http://nsgreg.nga.mil/genc/view?v=115186&amp;gencs=T&amp;end_month=3&amp;end_day=31&amp;end_year=2014","Niger")</f>
        <v>Niger</v>
      </c>
      <c r="H3101" s="87" t="str">
        <f>HYPERLINK("http://api.nsgreg.nga.mil/geo-division/ISO3166-2/6/ed3/NG-NI","NG-NI")</f>
        <v>NG-NI</v>
      </c>
    </row>
    <row r="3102" spans="1:8" x14ac:dyDescent="0.2">
      <c r="A3102" s="157"/>
      <c r="B3102" s="31" t="s">
        <v>11146</v>
      </c>
      <c r="C3102" s="31" t="s">
        <v>11147</v>
      </c>
      <c r="D3102" s="31" t="s">
        <v>2512</v>
      </c>
      <c r="E3102" s="61" t="b">
        <v>1</v>
      </c>
      <c r="F3102" s="106" t="s">
        <v>11148</v>
      </c>
      <c r="G3102" s="116" t="str">
        <f>HYPERLINK("http://nsgreg.nga.mil/genc/view?v=115187&amp;gencs=T&amp;end_month=3&amp;end_day=31&amp;end_year=2014","Ogun")</f>
        <v>Ogun</v>
      </c>
      <c r="H3102" s="87" t="str">
        <f>HYPERLINK("http://api.nsgreg.nga.mil/geo-division/ISO3166-2/6/ed3/NG-OG","NG-OG")</f>
        <v>NG-OG</v>
      </c>
    </row>
    <row r="3103" spans="1:8" x14ac:dyDescent="0.2">
      <c r="A3103" s="157"/>
      <c r="B3103" s="31" t="s">
        <v>11149</v>
      </c>
      <c r="C3103" s="31" t="s">
        <v>11150</v>
      </c>
      <c r="D3103" s="31" t="s">
        <v>2512</v>
      </c>
      <c r="E3103" s="61" t="b">
        <v>1</v>
      </c>
      <c r="F3103" s="106" t="s">
        <v>11151</v>
      </c>
      <c r="G3103" s="116" t="str">
        <f>HYPERLINK("http://nsgreg.nga.mil/genc/view?v=115188&amp;gencs=T&amp;end_month=3&amp;end_day=31&amp;end_year=2014","Ondo")</f>
        <v>Ondo</v>
      </c>
      <c r="H3103" s="87" t="str">
        <f>HYPERLINK("http://api.nsgreg.nga.mil/geo-division/ISO3166-2/6/ed3/NG-ON","NG-ON")</f>
        <v>NG-ON</v>
      </c>
    </row>
    <row r="3104" spans="1:8" x14ac:dyDescent="0.2">
      <c r="A3104" s="157"/>
      <c r="B3104" s="31" t="s">
        <v>11152</v>
      </c>
      <c r="C3104" s="31" t="s">
        <v>11153</v>
      </c>
      <c r="D3104" s="31" t="s">
        <v>2512</v>
      </c>
      <c r="E3104" s="61" t="b">
        <v>1</v>
      </c>
      <c r="F3104" s="106" t="s">
        <v>11154</v>
      </c>
      <c r="G3104" s="116" t="str">
        <f>HYPERLINK("http://nsgreg.nga.mil/genc/view?v=115189&amp;gencs=T&amp;end_month=3&amp;end_day=31&amp;end_year=2014","Osun")</f>
        <v>Osun</v>
      </c>
      <c r="H3104" s="87" t="str">
        <f>HYPERLINK("http://api.nsgreg.nga.mil/geo-division/ISO3166-2/6/ed3/NG-OS","NG-OS")</f>
        <v>NG-OS</v>
      </c>
    </row>
    <row r="3105" spans="1:8" x14ac:dyDescent="0.2">
      <c r="A3105" s="157"/>
      <c r="B3105" s="31" t="s">
        <v>11155</v>
      </c>
      <c r="C3105" s="31" t="s">
        <v>11156</v>
      </c>
      <c r="D3105" s="31" t="s">
        <v>2512</v>
      </c>
      <c r="E3105" s="61" t="b">
        <v>1</v>
      </c>
      <c r="F3105" s="106" t="s">
        <v>11157</v>
      </c>
      <c r="G3105" s="116" t="str">
        <f>HYPERLINK("http://nsgreg.nga.mil/genc/view?v=115190&amp;gencs=T&amp;end_month=3&amp;end_day=31&amp;end_year=2014","Oyo")</f>
        <v>Oyo</v>
      </c>
      <c r="H3105" s="87" t="str">
        <f>HYPERLINK("http://api.nsgreg.nga.mil/geo-division/ISO3166-2/6/ed3/NG-OY","NG-OY")</f>
        <v>NG-OY</v>
      </c>
    </row>
    <row r="3106" spans="1:8" x14ac:dyDescent="0.2">
      <c r="A3106" s="157"/>
      <c r="B3106" s="31" t="s">
        <v>11158</v>
      </c>
      <c r="C3106" s="31" t="s">
        <v>3244</v>
      </c>
      <c r="D3106" s="31" t="s">
        <v>2512</v>
      </c>
      <c r="E3106" s="61" t="b">
        <v>1</v>
      </c>
      <c r="F3106" s="106" t="s">
        <v>11159</v>
      </c>
      <c r="G3106" s="116" t="str">
        <f>HYPERLINK("http://nsgreg.nga.mil/genc/view?v=115191&amp;gencs=T&amp;end_month=3&amp;end_day=31&amp;end_year=2014","Plateau")</f>
        <v>Plateau</v>
      </c>
      <c r="H3106" s="87" t="str">
        <f>HYPERLINK("http://api.nsgreg.nga.mil/geo-division/ISO3166-2/6/ed3/NG-PL","NG-PL")</f>
        <v>NG-PL</v>
      </c>
    </row>
    <row r="3107" spans="1:8" x14ac:dyDescent="0.2">
      <c r="A3107" s="157"/>
      <c r="B3107" s="31" t="s">
        <v>11160</v>
      </c>
      <c r="C3107" s="31" t="s">
        <v>11161</v>
      </c>
      <c r="D3107" s="31" t="s">
        <v>2512</v>
      </c>
      <c r="E3107" s="61" t="b">
        <v>1</v>
      </c>
      <c r="F3107" s="106" t="s">
        <v>11162</v>
      </c>
      <c r="G3107" s="116" t="str">
        <f>HYPERLINK("http://nsgreg.nga.mil/genc/view?v=115192&amp;gencs=T&amp;end_month=3&amp;end_day=31&amp;end_year=2014","Rivers")</f>
        <v>Rivers</v>
      </c>
      <c r="H3107" s="87" t="str">
        <f>HYPERLINK("http://api.nsgreg.nga.mil/geo-division/ISO3166-2/6/ed3/NG-RI","NG-RI")</f>
        <v>NG-RI</v>
      </c>
    </row>
    <row r="3108" spans="1:8" x14ac:dyDescent="0.2">
      <c r="A3108" s="157"/>
      <c r="B3108" s="31" t="s">
        <v>11163</v>
      </c>
      <c r="C3108" s="31" t="s">
        <v>11164</v>
      </c>
      <c r="D3108" s="31" t="s">
        <v>2512</v>
      </c>
      <c r="E3108" s="61" t="b">
        <v>1</v>
      </c>
      <c r="F3108" s="106" t="s">
        <v>11165</v>
      </c>
      <c r="G3108" s="116" t="str">
        <f>HYPERLINK("http://nsgreg.nga.mil/genc/view?v=115193&amp;gencs=T&amp;end_month=3&amp;end_day=31&amp;end_year=2014","Sokoto")</f>
        <v>Sokoto</v>
      </c>
      <c r="H3108" s="87" t="str">
        <f>HYPERLINK("http://api.nsgreg.nga.mil/geo-division/ISO3166-2/6/ed3/NG-SO","NG-SO")</f>
        <v>NG-SO</v>
      </c>
    </row>
    <row r="3109" spans="1:8" x14ac:dyDescent="0.2">
      <c r="A3109" s="157"/>
      <c r="B3109" s="31" t="s">
        <v>11166</v>
      </c>
      <c r="C3109" s="31" t="s">
        <v>11167</v>
      </c>
      <c r="D3109" s="31" t="s">
        <v>2512</v>
      </c>
      <c r="E3109" s="61" t="b">
        <v>1</v>
      </c>
      <c r="F3109" s="106" t="s">
        <v>11168</v>
      </c>
      <c r="G3109" s="116" t="str">
        <f>HYPERLINK("http://nsgreg.nga.mil/genc/view?v=115194&amp;gencs=T&amp;end_month=3&amp;end_day=31&amp;end_year=2014","Taraba")</f>
        <v>Taraba</v>
      </c>
      <c r="H3109" s="87" t="str">
        <f>HYPERLINK("http://api.nsgreg.nga.mil/geo-division/ISO3166-2/6/ed3/NG-TA","NG-TA")</f>
        <v>NG-TA</v>
      </c>
    </row>
    <row r="3110" spans="1:8" x14ac:dyDescent="0.2">
      <c r="A3110" s="157"/>
      <c r="B3110" s="31" t="s">
        <v>11169</v>
      </c>
      <c r="C3110" s="31" t="s">
        <v>11170</v>
      </c>
      <c r="D3110" s="31" t="s">
        <v>2512</v>
      </c>
      <c r="E3110" s="61" t="b">
        <v>1</v>
      </c>
      <c r="F3110" s="106" t="s">
        <v>11171</v>
      </c>
      <c r="G3110" s="116" t="str">
        <f>HYPERLINK("http://nsgreg.nga.mil/genc/view?v=115195&amp;gencs=T&amp;end_month=3&amp;end_day=31&amp;end_year=2014","Yobe")</f>
        <v>Yobe</v>
      </c>
      <c r="H3110" s="87" t="str">
        <f>HYPERLINK("http://api.nsgreg.nga.mil/geo-division/ISO3166-2/6/ed3/NG-YO","NG-YO")</f>
        <v>NG-YO</v>
      </c>
    </row>
    <row r="3111" spans="1:8" x14ac:dyDescent="0.2">
      <c r="A3111" s="158"/>
      <c r="B3111" s="58" t="s">
        <v>11172</v>
      </c>
      <c r="C3111" s="58" t="s">
        <v>11173</v>
      </c>
      <c r="D3111" s="58" t="s">
        <v>2512</v>
      </c>
      <c r="E3111" s="62" t="b">
        <v>1</v>
      </c>
      <c r="F3111" s="108" t="s">
        <v>11174</v>
      </c>
      <c r="G3111" s="117" t="str">
        <f>HYPERLINK("http://nsgreg.nga.mil/genc/view?v=115196&amp;gencs=T&amp;end_month=3&amp;end_day=31&amp;end_year=2014","Zamfara")</f>
        <v>Zamfara</v>
      </c>
      <c r="H3111" s="89" t="str">
        <f>HYPERLINK("http://api.nsgreg.nga.mil/geo-division/ISO3166-2/6/ed3/NG-ZA","NG-ZA")</f>
        <v>NG-ZA</v>
      </c>
    </row>
    <row r="3112" spans="1:8" x14ac:dyDescent="0.2">
      <c r="A3112" s="156" t="str">
        <f>HYPERLINK("[#]Geopolitical_Entities!A194:I194","NORWAY")</f>
        <v>NORWAY</v>
      </c>
      <c r="B3112" s="52" t="s">
        <v>11175</v>
      </c>
      <c r="C3112" s="52" t="s">
        <v>11176</v>
      </c>
      <c r="D3112" s="52" t="s">
        <v>2023</v>
      </c>
      <c r="E3112" s="60" t="b">
        <v>1</v>
      </c>
      <c r="F3112" s="110" t="s">
        <v>11177</v>
      </c>
      <c r="G3112" s="118" t="str">
        <f>HYPERLINK("http://nsgreg.nga.mil/genc/view?v=202313&amp;end_month=3&amp;end_day=31&amp;end_year=2014","Akershus")</f>
        <v>Akershus</v>
      </c>
      <c r="H3112" s="91" t="str">
        <f>HYPERLINK("http://api.nsgreg.nga.mil/geo-division/GENC/6/ed2/NO-02","NO-02")</f>
        <v>NO-02</v>
      </c>
    </row>
    <row r="3113" spans="1:8" x14ac:dyDescent="0.2">
      <c r="A3113" s="157"/>
      <c r="B3113" s="31" t="s">
        <v>11178</v>
      </c>
      <c r="C3113" s="31" t="s">
        <v>11179</v>
      </c>
      <c r="D3113" s="31" t="s">
        <v>2023</v>
      </c>
      <c r="E3113" s="61" t="b">
        <v>1</v>
      </c>
      <c r="F3113" s="107" t="s">
        <v>11180</v>
      </c>
      <c r="G3113" s="116" t="str">
        <f>HYPERLINK("http://nsgreg.nga.mil/genc/view?v=202320&amp;end_month=3&amp;end_day=31&amp;end_year=2014","Aust-Agder")</f>
        <v>Aust-Agder</v>
      </c>
      <c r="H3113" s="87" t="str">
        <f>HYPERLINK("http://api.nsgreg.nga.mil/geo-division/GENC/6/ed2/NO-09","NO-09")</f>
        <v>NO-09</v>
      </c>
    </row>
    <row r="3114" spans="1:8" x14ac:dyDescent="0.2">
      <c r="A3114" s="157"/>
      <c r="B3114" s="31" t="s">
        <v>11181</v>
      </c>
      <c r="C3114" s="31" t="s">
        <v>11182</v>
      </c>
      <c r="D3114" s="31" t="s">
        <v>2023</v>
      </c>
      <c r="E3114" s="61" t="b">
        <v>1</v>
      </c>
      <c r="F3114" s="107" t="s">
        <v>11183</v>
      </c>
      <c r="G3114" s="116" t="str">
        <f>HYPERLINK("http://nsgreg.nga.mil/genc/view?v=202317&amp;end_month=3&amp;end_day=31&amp;end_year=2014","Buskerud")</f>
        <v>Buskerud</v>
      </c>
      <c r="H3114" s="87" t="str">
        <f>HYPERLINK("http://api.nsgreg.nga.mil/geo-division/GENC/6/ed2/NO-06","NO-06")</f>
        <v>NO-06</v>
      </c>
    </row>
    <row r="3115" spans="1:8" x14ac:dyDescent="0.2">
      <c r="A3115" s="157"/>
      <c r="B3115" s="31" t="s">
        <v>11184</v>
      </c>
      <c r="C3115" s="31" t="s">
        <v>11185</v>
      </c>
      <c r="D3115" s="31" t="s">
        <v>2023</v>
      </c>
      <c r="E3115" s="61" t="b">
        <v>1</v>
      </c>
      <c r="F3115" s="107" t="s">
        <v>11186</v>
      </c>
      <c r="G3115" s="116" t="str">
        <f>HYPERLINK("http://nsgreg.nga.mil/genc/view?v=202330&amp;end_month=3&amp;end_day=31&amp;end_year=2014","Finnmark")</f>
        <v>Finnmark</v>
      </c>
      <c r="H3115" s="87" t="str">
        <f>HYPERLINK("http://api.nsgreg.nga.mil/geo-division/GENC/6/ed2/NO-20","NO-20")</f>
        <v>NO-20</v>
      </c>
    </row>
    <row r="3116" spans="1:8" x14ac:dyDescent="0.2">
      <c r="A3116" s="157"/>
      <c r="B3116" s="31" t="s">
        <v>11187</v>
      </c>
      <c r="C3116" s="31" t="s">
        <v>11188</v>
      </c>
      <c r="D3116" s="31" t="s">
        <v>2023</v>
      </c>
      <c r="E3116" s="61" t="b">
        <v>1</v>
      </c>
      <c r="F3116" s="107" t="s">
        <v>11189</v>
      </c>
      <c r="G3116" s="116" t="str">
        <f>HYPERLINK("http://nsgreg.nga.mil/genc/view?v=202315&amp;end_month=3&amp;end_day=31&amp;end_year=2014","Hedmark")</f>
        <v>Hedmark</v>
      </c>
      <c r="H3116" s="87" t="str">
        <f>HYPERLINK("http://api.nsgreg.nga.mil/geo-division/GENC/6/ed2/NO-04","NO-04")</f>
        <v>NO-04</v>
      </c>
    </row>
    <row r="3117" spans="1:8" x14ac:dyDescent="0.2">
      <c r="A3117" s="157"/>
      <c r="B3117" s="31" t="s">
        <v>11190</v>
      </c>
      <c r="C3117" s="31" t="s">
        <v>11191</v>
      </c>
      <c r="D3117" s="31" t="s">
        <v>2023</v>
      </c>
      <c r="E3117" s="61" t="b">
        <v>1</v>
      </c>
      <c r="F3117" s="107" t="s">
        <v>11192</v>
      </c>
      <c r="G3117" s="116" t="str">
        <f>HYPERLINK("http://nsgreg.nga.mil/genc/view?v=202323&amp;end_month=3&amp;end_day=31&amp;end_year=2014","Hordaland")</f>
        <v>Hordaland</v>
      </c>
      <c r="H3117" s="87" t="str">
        <f>HYPERLINK("http://api.nsgreg.nga.mil/geo-division/GENC/6/ed2/NO-12","NO-12")</f>
        <v>NO-12</v>
      </c>
    </row>
    <row r="3118" spans="1:8" x14ac:dyDescent="0.2">
      <c r="A3118" s="157"/>
      <c r="B3118" s="31" t="s">
        <v>11193</v>
      </c>
      <c r="C3118" s="31" t="s">
        <v>11194</v>
      </c>
      <c r="D3118" s="98" t="s">
        <v>11195</v>
      </c>
      <c r="E3118" s="99" t="b">
        <v>0</v>
      </c>
      <c r="F3118" s="107" t="s">
        <v>11196</v>
      </c>
      <c r="G3118" s="116" t="str">
        <f>HYPERLINK("http://nsgreg.nga.mil/genc/view?v=202332&amp;end_month=3&amp;end_day=31&amp;end_year=2014","Jan Mayen (Arctic Region)")</f>
        <v>Jan Mayen (Arctic Region)</v>
      </c>
      <c r="H3118" s="87" t="str">
        <f>HYPERLINK("http://api.nsgreg.nga.mil/geo-division/GENC/6/ed2/NO-22","NO-22")</f>
        <v>NO-22</v>
      </c>
    </row>
    <row r="3119" spans="1:8" x14ac:dyDescent="0.2">
      <c r="A3119" s="157"/>
      <c r="B3119" s="31" t="s">
        <v>11197</v>
      </c>
      <c r="C3119" s="31" t="s">
        <v>11198</v>
      </c>
      <c r="D3119" s="31" t="s">
        <v>2023</v>
      </c>
      <c r="E3119" s="61" t="b">
        <v>1</v>
      </c>
      <c r="F3119" s="107" t="s">
        <v>11199</v>
      </c>
      <c r="G3119" s="116" t="str">
        <f>HYPERLINK("http://nsgreg.nga.mil/genc/view?v=202325&amp;end_month=3&amp;end_day=31&amp;end_year=2014","Møre og Romsdal")</f>
        <v>Møre og Romsdal</v>
      </c>
      <c r="H3119" s="87" t="str">
        <f>HYPERLINK("http://api.nsgreg.nga.mil/geo-division/GENC/6/ed2/NO-15","NO-15")</f>
        <v>NO-15</v>
      </c>
    </row>
    <row r="3120" spans="1:8" x14ac:dyDescent="0.2">
      <c r="A3120" s="157"/>
      <c r="B3120" s="31" t="s">
        <v>11200</v>
      </c>
      <c r="C3120" s="31" t="s">
        <v>11201</v>
      </c>
      <c r="D3120" s="31" t="s">
        <v>2023</v>
      </c>
      <c r="E3120" s="61" t="b">
        <v>1</v>
      </c>
      <c r="F3120" s="107" t="s">
        <v>11202</v>
      </c>
      <c r="G3120" s="116" t="str">
        <f>HYPERLINK("http://nsgreg.nga.mil/genc/view?v=202328&amp;end_month=3&amp;end_day=31&amp;end_year=2014","Nordland")</f>
        <v>Nordland</v>
      </c>
      <c r="H3120" s="87" t="str">
        <f>HYPERLINK("http://api.nsgreg.nga.mil/geo-division/GENC/6/ed2/NO-18","NO-18")</f>
        <v>NO-18</v>
      </c>
    </row>
    <row r="3121" spans="1:8" x14ac:dyDescent="0.2">
      <c r="A3121" s="157"/>
      <c r="B3121" s="31" t="s">
        <v>11203</v>
      </c>
      <c r="C3121" s="31" t="s">
        <v>11204</v>
      </c>
      <c r="D3121" s="31" t="s">
        <v>2023</v>
      </c>
      <c r="E3121" s="61" t="b">
        <v>1</v>
      </c>
      <c r="F3121" s="107" t="s">
        <v>11205</v>
      </c>
      <c r="G3121" s="116" t="str">
        <f>HYPERLINK("http://nsgreg.nga.mil/genc/view?v=202327&amp;end_month=3&amp;end_day=31&amp;end_year=2014","Nord-Trøndelag")</f>
        <v>Nord-Trøndelag</v>
      </c>
      <c r="H3121" s="87" t="str">
        <f>HYPERLINK("http://api.nsgreg.nga.mil/geo-division/GENC/6/ed2/NO-17","NO-17")</f>
        <v>NO-17</v>
      </c>
    </row>
    <row r="3122" spans="1:8" x14ac:dyDescent="0.2">
      <c r="A3122" s="157"/>
      <c r="B3122" s="31" t="s">
        <v>11206</v>
      </c>
      <c r="C3122" s="31" t="s">
        <v>11207</v>
      </c>
      <c r="D3122" s="31" t="s">
        <v>2023</v>
      </c>
      <c r="E3122" s="61" t="b">
        <v>1</v>
      </c>
      <c r="F3122" s="107" t="s">
        <v>11208</v>
      </c>
      <c r="G3122" s="116" t="str">
        <f>HYPERLINK("http://nsgreg.nga.mil/genc/view?v=202316&amp;end_month=3&amp;end_day=31&amp;end_year=2014","Oppland")</f>
        <v>Oppland</v>
      </c>
      <c r="H3122" s="87" t="str">
        <f>HYPERLINK("http://api.nsgreg.nga.mil/geo-division/GENC/6/ed2/NO-05","NO-05")</f>
        <v>NO-05</v>
      </c>
    </row>
    <row r="3123" spans="1:8" x14ac:dyDescent="0.2">
      <c r="A3123" s="157"/>
      <c r="B3123" s="31" t="s">
        <v>11209</v>
      </c>
      <c r="C3123" s="31" t="s">
        <v>11210</v>
      </c>
      <c r="D3123" s="31" t="s">
        <v>2023</v>
      </c>
      <c r="E3123" s="61" t="b">
        <v>1</v>
      </c>
      <c r="F3123" s="107" t="s">
        <v>11211</v>
      </c>
      <c r="G3123" s="116" t="str">
        <f>HYPERLINK("http://nsgreg.nga.mil/genc/view?v=202314&amp;end_month=3&amp;end_day=31&amp;end_year=2014","Oslo")</f>
        <v>Oslo</v>
      </c>
      <c r="H3123" s="87" t="str">
        <f>HYPERLINK("http://api.nsgreg.nga.mil/geo-division/GENC/6/ed2/NO-03","NO-03")</f>
        <v>NO-03</v>
      </c>
    </row>
    <row r="3124" spans="1:8" x14ac:dyDescent="0.2">
      <c r="A3124" s="157"/>
      <c r="B3124" s="31" t="s">
        <v>11212</v>
      </c>
      <c r="C3124" s="31" t="s">
        <v>11213</v>
      </c>
      <c r="D3124" s="31" t="s">
        <v>2023</v>
      </c>
      <c r="E3124" s="61" t="b">
        <v>1</v>
      </c>
      <c r="F3124" s="107" t="s">
        <v>11214</v>
      </c>
      <c r="G3124" s="116" t="str">
        <f>HYPERLINK("http://nsgreg.nga.mil/genc/view?v=202312&amp;end_month=3&amp;end_day=31&amp;end_year=2014","Østfold")</f>
        <v>Østfold</v>
      </c>
      <c r="H3124" s="87" t="str">
        <f>HYPERLINK("http://api.nsgreg.nga.mil/geo-division/GENC/6/ed2/NO-01","NO-01")</f>
        <v>NO-01</v>
      </c>
    </row>
    <row r="3125" spans="1:8" x14ac:dyDescent="0.2">
      <c r="A3125" s="157"/>
      <c r="B3125" s="31" t="s">
        <v>11215</v>
      </c>
      <c r="C3125" s="31" t="s">
        <v>11216</v>
      </c>
      <c r="D3125" s="31" t="s">
        <v>2023</v>
      </c>
      <c r="E3125" s="61" t="b">
        <v>1</v>
      </c>
      <c r="F3125" s="107" t="s">
        <v>11217</v>
      </c>
      <c r="G3125" s="116" t="str">
        <f>HYPERLINK("http://nsgreg.nga.mil/genc/view?v=202322&amp;end_month=3&amp;end_day=31&amp;end_year=2014","Rogaland")</f>
        <v>Rogaland</v>
      </c>
      <c r="H3125" s="87" t="str">
        <f>HYPERLINK("http://api.nsgreg.nga.mil/geo-division/GENC/6/ed2/NO-11","NO-11")</f>
        <v>NO-11</v>
      </c>
    </row>
    <row r="3126" spans="1:8" x14ac:dyDescent="0.2">
      <c r="A3126" s="157"/>
      <c r="B3126" s="31" t="s">
        <v>11218</v>
      </c>
      <c r="C3126" s="31" t="s">
        <v>11219</v>
      </c>
      <c r="D3126" s="31" t="s">
        <v>2023</v>
      </c>
      <c r="E3126" s="61" t="b">
        <v>1</v>
      </c>
      <c r="F3126" s="107" t="s">
        <v>11220</v>
      </c>
      <c r="G3126" s="116" t="str">
        <f>HYPERLINK("http://nsgreg.nga.mil/genc/view?v=202324&amp;end_month=3&amp;end_day=31&amp;end_year=2014","Sogn og Fjordane")</f>
        <v>Sogn og Fjordane</v>
      </c>
      <c r="H3126" s="87" t="str">
        <f>HYPERLINK("http://api.nsgreg.nga.mil/geo-division/GENC/6/ed2/NO-14","NO-14")</f>
        <v>NO-14</v>
      </c>
    </row>
    <row r="3127" spans="1:8" x14ac:dyDescent="0.2">
      <c r="A3127" s="157"/>
      <c r="B3127" s="31" t="s">
        <v>11221</v>
      </c>
      <c r="C3127" s="31" t="s">
        <v>11222</v>
      </c>
      <c r="D3127" s="31" t="s">
        <v>2023</v>
      </c>
      <c r="E3127" s="61" t="b">
        <v>1</v>
      </c>
      <c r="F3127" s="107" t="s">
        <v>11223</v>
      </c>
      <c r="G3127" s="116" t="str">
        <f>HYPERLINK("http://nsgreg.nga.mil/genc/view?v=202326&amp;end_month=3&amp;end_day=31&amp;end_year=2014","Sør-Trøndelag")</f>
        <v>Sør-Trøndelag</v>
      </c>
      <c r="H3127" s="87" t="str">
        <f>HYPERLINK("http://api.nsgreg.nga.mil/geo-division/GENC/6/ed2/NO-16","NO-16")</f>
        <v>NO-16</v>
      </c>
    </row>
    <row r="3128" spans="1:8" x14ac:dyDescent="0.2">
      <c r="A3128" s="157"/>
      <c r="B3128" s="31" t="s">
        <v>11224</v>
      </c>
      <c r="C3128" s="31" t="s">
        <v>11225</v>
      </c>
      <c r="D3128" s="98" t="s">
        <v>11195</v>
      </c>
      <c r="E3128" s="99" t="b">
        <v>0</v>
      </c>
      <c r="F3128" s="107" t="s">
        <v>11226</v>
      </c>
      <c r="G3128" s="116" t="str">
        <f>HYPERLINK("http://nsgreg.nga.mil/genc/view?v=202331&amp;end_month=3&amp;end_day=31&amp;end_year=2014","Svalbard (Arctic Region)")</f>
        <v>Svalbard (Arctic Region)</v>
      </c>
      <c r="H3128" s="87" t="str">
        <f>HYPERLINK("http://api.nsgreg.nga.mil/geo-division/GENC/6/ed2/NO-21","NO-21")</f>
        <v>NO-21</v>
      </c>
    </row>
    <row r="3129" spans="1:8" x14ac:dyDescent="0.2">
      <c r="A3129" s="157"/>
      <c r="B3129" s="31" t="s">
        <v>11227</v>
      </c>
      <c r="C3129" s="31" t="s">
        <v>11228</v>
      </c>
      <c r="D3129" s="31" t="s">
        <v>2023</v>
      </c>
      <c r="E3129" s="61" t="b">
        <v>1</v>
      </c>
      <c r="F3129" s="107" t="s">
        <v>11229</v>
      </c>
      <c r="G3129" s="116" t="str">
        <f>HYPERLINK("http://nsgreg.nga.mil/genc/view?v=202319&amp;end_month=3&amp;end_day=31&amp;end_year=2014","Telemark")</f>
        <v>Telemark</v>
      </c>
      <c r="H3129" s="87" t="str">
        <f>HYPERLINK("http://api.nsgreg.nga.mil/geo-division/GENC/6/ed2/NO-08","NO-08")</f>
        <v>NO-08</v>
      </c>
    </row>
    <row r="3130" spans="1:8" x14ac:dyDescent="0.2">
      <c r="A3130" s="157"/>
      <c r="B3130" s="31" t="s">
        <v>11230</v>
      </c>
      <c r="C3130" s="31" t="s">
        <v>11231</v>
      </c>
      <c r="D3130" s="31" t="s">
        <v>2023</v>
      </c>
      <c r="E3130" s="61" t="b">
        <v>1</v>
      </c>
      <c r="F3130" s="107" t="s">
        <v>11232</v>
      </c>
      <c r="G3130" s="116" t="str">
        <f>HYPERLINK("http://nsgreg.nga.mil/genc/view?v=202329&amp;end_month=3&amp;end_day=31&amp;end_year=2014","Troms")</f>
        <v>Troms</v>
      </c>
      <c r="H3130" s="87" t="str">
        <f>HYPERLINK("http://api.nsgreg.nga.mil/geo-division/GENC/6/ed2/NO-19","NO-19")</f>
        <v>NO-19</v>
      </c>
    </row>
    <row r="3131" spans="1:8" x14ac:dyDescent="0.2">
      <c r="A3131" s="157"/>
      <c r="B3131" s="31" t="s">
        <v>11233</v>
      </c>
      <c r="C3131" s="31" t="s">
        <v>11234</v>
      </c>
      <c r="D3131" s="31" t="s">
        <v>2023</v>
      </c>
      <c r="E3131" s="61" t="b">
        <v>1</v>
      </c>
      <c r="F3131" s="107" t="s">
        <v>11235</v>
      </c>
      <c r="G3131" s="116" t="str">
        <f>HYPERLINK("http://nsgreg.nga.mil/genc/view?v=202321&amp;end_month=3&amp;end_day=31&amp;end_year=2014","Vest-Agder")</f>
        <v>Vest-Agder</v>
      </c>
      <c r="H3131" s="87" t="str">
        <f>HYPERLINK("http://api.nsgreg.nga.mil/geo-division/GENC/6/ed2/NO-10","NO-10")</f>
        <v>NO-10</v>
      </c>
    </row>
    <row r="3132" spans="1:8" x14ac:dyDescent="0.2">
      <c r="A3132" s="158"/>
      <c r="B3132" s="58" t="s">
        <v>11236</v>
      </c>
      <c r="C3132" s="58" t="s">
        <v>11237</v>
      </c>
      <c r="D3132" s="58" t="s">
        <v>2023</v>
      </c>
      <c r="E3132" s="62" t="b">
        <v>1</v>
      </c>
      <c r="F3132" s="111" t="s">
        <v>11238</v>
      </c>
      <c r="G3132" s="117" t="str">
        <f>HYPERLINK("http://nsgreg.nga.mil/genc/view?v=202318&amp;end_month=3&amp;end_day=31&amp;end_year=2014","Vestfold")</f>
        <v>Vestfold</v>
      </c>
      <c r="H3132" s="89" t="str">
        <f>HYPERLINK("http://api.nsgreg.nga.mil/geo-division/GENC/6/ed2/NO-07","NO-07")</f>
        <v>NO-07</v>
      </c>
    </row>
    <row r="3133" spans="1:8" x14ac:dyDescent="0.2">
      <c r="A3133" s="156" t="str">
        <f>HYPERLINK("[#]Geopolitical_Entities!A195:I195","OMAN")</f>
        <v>OMAN</v>
      </c>
      <c r="B3133" s="52" t="s">
        <v>11239</v>
      </c>
      <c r="C3133" s="52" t="s">
        <v>11240</v>
      </c>
      <c r="D3133" s="52" t="s">
        <v>2885</v>
      </c>
      <c r="E3133" s="60" t="b">
        <v>1</v>
      </c>
      <c r="F3133" s="110" t="s">
        <v>11241</v>
      </c>
      <c r="G3133" s="118" t="str">
        <f>HYPERLINK("http://nsgreg.nga.mil/genc/view?v=202384&amp;end_month=3&amp;end_day=31&amp;end_year=2014","Ad Dākhilīyah")</f>
        <v>Ad Dākhilīyah</v>
      </c>
      <c r="H3133" s="91" t="str">
        <f>HYPERLINK("http://api.nsgreg.nga.mil/geo-division/GENC/6/ed2/OM-DA","OM-DA")</f>
        <v>OM-DA</v>
      </c>
    </row>
    <row r="3134" spans="1:8" x14ac:dyDescent="0.2">
      <c r="A3134" s="157"/>
      <c r="B3134" s="31" t="s">
        <v>11242</v>
      </c>
      <c r="C3134" s="31" t="s">
        <v>11243</v>
      </c>
      <c r="D3134" s="98" t="s">
        <v>3137</v>
      </c>
      <c r="E3134" s="99" t="b">
        <v>0</v>
      </c>
      <c r="F3134" s="107" t="s">
        <v>11244</v>
      </c>
      <c r="G3134" s="116" t="str">
        <f>HYPERLINK("http://nsgreg.nga.mil/genc/view?v=202383&amp;end_month=3&amp;end_day=31&amp;end_year=2014","Al Bāţinah")</f>
        <v>Al Bāţinah</v>
      </c>
      <c r="H3134" s="87" t="str">
        <f>HYPERLINK("http://api.nsgreg.nga.mil/geo-division/GENC/6/ed2/OM-BA","OM-BA")</f>
        <v>OM-BA</v>
      </c>
    </row>
    <row r="3135" spans="1:8" x14ac:dyDescent="0.2">
      <c r="A3135" s="157"/>
      <c r="B3135" s="31" t="s">
        <v>11245</v>
      </c>
      <c r="C3135" s="31" t="s">
        <v>11246</v>
      </c>
      <c r="D3135" s="31" t="s">
        <v>2885</v>
      </c>
      <c r="E3135" s="61" t="b">
        <v>1</v>
      </c>
      <c r="F3135" s="107" t="s">
        <v>11247</v>
      </c>
      <c r="G3135" s="116" t="str">
        <f>HYPERLINK("http://nsgreg.nga.mil/genc/view?v=203401&amp;end_month=3&amp;end_day=31&amp;end_year=2014","Al Buraymī")</f>
        <v>Al Buraymī</v>
      </c>
      <c r="H3135" s="87" t="str">
        <f>HYPERLINK("http://api.nsgreg.nga.mil/geo-division/GENC/6/ed2/OM-BU","OM-BU")</f>
        <v>OM-BU</v>
      </c>
    </row>
    <row r="3136" spans="1:8" x14ac:dyDescent="0.2">
      <c r="A3136" s="157"/>
      <c r="B3136" s="31" t="s">
        <v>11248</v>
      </c>
      <c r="C3136" s="31" t="s">
        <v>2894</v>
      </c>
      <c r="D3136" s="31" t="s">
        <v>2885</v>
      </c>
      <c r="E3136" s="61" t="b">
        <v>1</v>
      </c>
      <c r="F3136" s="107" t="s">
        <v>11249</v>
      </c>
      <c r="G3136" s="116" t="str">
        <f>HYPERLINK("http://nsgreg.nga.mil/genc/view?v=202390&amp;end_month=3&amp;end_day=31&amp;end_year=2014","Al Wusţá")</f>
        <v>Al Wusţá</v>
      </c>
      <c r="H3136" s="87" t="str">
        <f>HYPERLINK("http://api.nsgreg.nga.mil/geo-division/GENC/6/ed2/OM-WU","OM-WU")</f>
        <v>OM-WU</v>
      </c>
    </row>
    <row r="3137" spans="1:8" x14ac:dyDescent="0.2">
      <c r="A3137" s="157"/>
      <c r="B3137" s="31" t="s">
        <v>11250</v>
      </c>
      <c r="C3137" s="31" t="s">
        <v>5411</v>
      </c>
      <c r="D3137" s="98" t="s">
        <v>3137</v>
      </c>
      <c r="E3137" s="99" t="b">
        <v>0</v>
      </c>
      <c r="F3137" s="107" t="s">
        <v>11251</v>
      </c>
      <c r="G3137" s="116" t="str">
        <f>HYPERLINK("http://nsgreg.nga.mil/genc/view?v=202388&amp;end_month=3&amp;end_day=31&amp;end_year=2014","Ash Sharqīyah")</f>
        <v>Ash Sharqīyah</v>
      </c>
      <c r="H3137" s="87" t="str">
        <f>HYPERLINK("http://api.nsgreg.nga.mil/geo-division/GENC/6/ed2/OM-SH","OM-SH")</f>
        <v>OM-SH</v>
      </c>
    </row>
    <row r="3138" spans="1:8" x14ac:dyDescent="0.2">
      <c r="A3138" s="157"/>
      <c r="B3138" s="31" t="s">
        <v>11252</v>
      </c>
      <c r="C3138" s="31" t="s">
        <v>11253</v>
      </c>
      <c r="D3138" s="31" t="s">
        <v>2885</v>
      </c>
      <c r="E3138" s="61" t="b">
        <v>1</v>
      </c>
      <c r="F3138" s="107" t="s">
        <v>11254</v>
      </c>
      <c r="G3138" s="116" t="str">
        <f>HYPERLINK("http://nsgreg.nga.mil/genc/view?v=202391&amp;end_month=3&amp;end_day=31&amp;end_year=2014","Az̧ Z̧āhirah")</f>
        <v>Az̧ Z̧āhirah</v>
      </c>
      <c r="H3138" s="87" t="str">
        <f>HYPERLINK("http://api.nsgreg.nga.mil/geo-division/GENC/6/ed2/OM-ZA","OM-ZA")</f>
        <v>OM-ZA</v>
      </c>
    </row>
    <row r="3139" spans="1:8" x14ac:dyDescent="0.2">
      <c r="A3139" s="157"/>
      <c r="B3139" s="31" t="s">
        <v>11255</v>
      </c>
      <c r="C3139" s="31" t="s">
        <v>11256</v>
      </c>
      <c r="D3139" s="31" t="s">
        <v>2885</v>
      </c>
      <c r="E3139" s="61" t="b">
        <v>1</v>
      </c>
      <c r="F3139" s="107" t="s">
        <v>11257</v>
      </c>
      <c r="G3139" s="116" t="str">
        <f>HYPERLINK("http://nsgreg.nga.mil/genc/view?v=202385&amp;end_month=3&amp;end_day=31&amp;end_year=2014","Janūb al Bāţinah")</f>
        <v>Janūb al Bāţinah</v>
      </c>
      <c r="H3139" s="87" t="str">
        <f>HYPERLINK("http://api.nsgreg.nga.mil/geo-division/GENC/6/ed2/OM-JB","OM-JB")</f>
        <v>OM-JB</v>
      </c>
    </row>
    <row r="3140" spans="1:8" x14ac:dyDescent="0.2">
      <c r="A3140" s="157"/>
      <c r="B3140" s="31" t="s">
        <v>11258</v>
      </c>
      <c r="C3140" s="31" t="s">
        <v>11259</v>
      </c>
      <c r="D3140" s="31" t="s">
        <v>2885</v>
      </c>
      <c r="E3140" s="61" t="b">
        <v>1</v>
      </c>
      <c r="F3140" s="107" t="s">
        <v>11260</v>
      </c>
      <c r="G3140" s="116" t="str">
        <f>HYPERLINK("http://nsgreg.nga.mil/genc/view?v=202386&amp;end_month=3&amp;end_day=31&amp;end_year=2014","Janūb ash Sharqīyah")</f>
        <v>Janūb ash Sharqīyah</v>
      </c>
      <c r="H3140" s="87" t="str">
        <f>HYPERLINK("http://api.nsgreg.nga.mil/geo-division/GENC/6/ed2/OM-JS","OM-JS")</f>
        <v>OM-JS</v>
      </c>
    </row>
    <row r="3141" spans="1:8" x14ac:dyDescent="0.2">
      <c r="A3141" s="157"/>
      <c r="B3141" s="31" t="s">
        <v>11261</v>
      </c>
      <c r="C3141" s="31" t="s">
        <v>11262</v>
      </c>
      <c r="D3141" s="31" t="s">
        <v>2885</v>
      </c>
      <c r="E3141" s="61" t="b">
        <v>1</v>
      </c>
      <c r="F3141" s="107" t="s">
        <v>11263</v>
      </c>
      <c r="G3141" s="116" t="str">
        <f>HYPERLINK("http://nsgreg.nga.mil/genc/view?v=203402&amp;end_month=3&amp;end_day=31&amp;end_year=2014","Masqaţ")</f>
        <v>Masqaţ</v>
      </c>
      <c r="H3141" s="87" t="str">
        <f>HYPERLINK("http://api.nsgreg.nga.mil/geo-division/GENC/6/ed2/OM-MA","OM-MA")</f>
        <v>OM-MA</v>
      </c>
    </row>
    <row r="3142" spans="1:8" x14ac:dyDescent="0.2">
      <c r="A3142" s="157"/>
      <c r="B3142" s="31" t="s">
        <v>11264</v>
      </c>
      <c r="C3142" s="31" t="s">
        <v>11265</v>
      </c>
      <c r="D3142" s="31" t="s">
        <v>2885</v>
      </c>
      <c r="E3142" s="61" t="b">
        <v>1</v>
      </c>
      <c r="F3142" s="107" t="s">
        <v>11266</v>
      </c>
      <c r="G3142" s="116" t="str">
        <f>HYPERLINK("http://nsgreg.nga.mil/genc/view?v=203403&amp;end_month=3&amp;end_day=31&amp;end_year=2014","Musandam")</f>
        <v>Musandam</v>
      </c>
      <c r="H3142" s="87" t="str">
        <f>HYPERLINK("http://api.nsgreg.nga.mil/geo-division/GENC/6/ed2/OM-MU","OM-MU")</f>
        <v>OM-MU</v>
      </c>
    </row>
    <row r="3143" spans="1:8" x14ac:dyDescent="0.2">
      <c r="A3143" s="157"/>
      <c r="B3143" s="31" t="s">
        <v>11267</v>
      </c>
      <c r="C3143" s="31" t="s">
        <v>11268</v>
      </c>
      <c r="D3143" s="31" t="s">
        <v>2885</v>
      </c>
      <c r="E3143" s="61" t="b">
        <v>1</v>
      </c>
      <c r="F3143" s="107" t="s">
        <v>11269</v>
      </c>
      <c r="G3143" s="116" t="str">
        <f>HYPERLINK("http://nsgreg.nga.mil/genc/view?v=202387&amp;end_month=3&amp;end_day=31&amp;end_year=2014","Shamāl al Bāţinah")</f>
        <v>Shamāl al Bāţinah</v>
      </c>
      <c r="H3143" s="87" t="str">
        <f>HYPERLINK("http://api.nsgreg.nga.mil/geo-division/GENC/6/ed2/OM-SB","OM-SB")</f>
        <v>OM-SB</v>
      </c>
    </row>
    <row r="3144" spans="1:8" x14ac:dyDescent="0.2">
      <c r="A3144" s="157"/>
      <c r="B3144" s="31" t="s">
        <v>11270</v>
      </c>
      <c r="C3144" s="31" t="s">
        <v>11271</v>
      </c>
      <c r="D3144" s="31" t="s">
        <v>2885</v>
      </c>
      <c r="E3144" s="61" t="b">
        <v>1</v>
      </c>
      <c r="F3144" s="107" t="s">
        <v>11272</v>
      </c>
      <c r="G3144" s="116" t="str">
        <f>HYPERLINK("http://nsgreg.nga.mil/genc/view?v=202389&amp;end_month=3&amp;end_day=31&amp;end_year=2014","Shamāl ash Sharqīyah")</f>
        <v>Shamāl ash Sharqīyah</v>
      </c>
      <c r="H3144" s="87" t="str">
        <f>HYPERLINK("http://api.nsgreg.nga.mil/geo-division/GENC/6/ed2/OM-SS","OM-SS")</f>
        <v>OM-SS</v>
      </c>
    </row>
    <row r="3145" spans="1:8" x14ac:dyDescent="0.2">
      <c r="A3145" s="158"/>
      <c r="B3145" s="58" t="s">
        <v>11273</v>
      </c>
      <c r="C3145" s="58" t="s">
        <v>11274</v>
      </c>
      <c r="D3145" s="58" t="s">
        <v>2885</v>
      </c>
      <c r="E3145" s="62" t="b">
        <v>1</v>
      </c>
      <c r="F3145" s="111" t="s">
        <v>11275</v>
      </c>
      <c r="G3145" s="117" t="str">
        <f>HYPERLINK("http://nsgreg.nga.mil/genc/view?v=203404&amp;end_month=3&amp;end_day=31&amp;end_year=2014","Z̧ufār")</f>
        <v>Z̧ufār</v>
      </c>
      <c r="H3145" s="89" t="str">
        <f>HYPERLINK("http://api.nsgreg.nga.mil/geo-division/GENC/6/ed2/OM-ZU","OM-ZU")</f>
        <v>OM-ZU</v>
      </c>
    </row>
    <row r="3146" spans="1:8" x14ac:dyDescent="0.2">
      <c r="A3146" s="156" t="str">
        <f>HYPERLINK("[#]Geopolitical_Entities!A196:I196","PAKISTAN")</f>
        <v>PAKISTAN</v>
      </c>
      <c r="B3146" s="52" t="s">
        <v>11276</v>
      </c>
      <c r="C3146" s="52" t="s">
        <v>11277</v>
      </c>
      <c r="D3146" s="52" t="s">
        <v>11278</v>
      </c>
      <c r="E3146" s="60" t="b">
        <v>1</v>
      </c>
      <c r="F3146" s="110" t="s">
        <v>11279</v>
      </c>
      <c r="G3146" s="118" t="str">
        <f>HYPERLINK("http://nsgreg.nga.mil/genc/view?v=202581&amp;end_month=3&amp;end_day=31&amp;end_year=2014","Azad Kashmir")</f>
        <v>Azad Kashmir</v>
      </c>
      <c r="H3146" s="91" t="str">
        <f>HYPERLINK("http://api.nsgreg.nga.mil/geo-division/GENC/6/ed2/PK-JK","PK-JK")</f>
        <v>PK-JK</v>
      </c>
    </row>
    <row r="3147" spans="1:8" x14ac:dyDescent="0.2">
      <c r="A3147" s="157"/>
      <c r="B3147" s="31" t="s">
        <v>11280</v>
      </c>
      <c r="C3147" s="31" t="s">
        <v>11281</v>
      </c>
      <c r="D3147" s="31" t="s">
        <v>1920</v>
      </c>
      <c r="E3147" s="61" t="b">
        <v>1</v>
      </c>
      <c r="F3147" s="107" t="s">
        <v>11282</v>
      </c>
      <c r="G3147" s="116" t="str">
        <f>HYPERLINK("http://nsgreg.nga.mil/genc/view?v=202578&amp;end_month=3&amp;end_day=31&amp;end_year=2014","Balochistān")</f>
        <v>Balochistān</v>
      </c>
      <c r="H3147" s="87" t="str">
        <f>HYPERLINK("http://api.nsgreg.nga.mil/geo-division/GENC/6/ed2/PK-BA","PK-BA")</f>
        <v>PK-BA</v>
      </c>
    </row>
    <row r="3148" spans="1:8" x14ac:dyDescent="0.2">
      <c r="A3148" s="157"/>
      <c r="B3148" s="31" t="s">
        <v>11283</v>
      </c>
      <c r="C3148" s="31" t="s">
        <v>11284</v>
      </c>
      <c r="D3148" s="31" t="s">
        <v>2508</v>
      </c>
      <c r="E3148" s="61" t="b">
        <v>1</v>
      </c>
      <c r="F3148" s="107" t="s">
        <v>11285</v>
      </c>
      <c r="G3148" s="116" t="str">
        <f>HYPERLINK("http://nsgreg.nga.mil/genc/view?v=202585&amp;end_month=3&amp;end_day=31&amp;end_year=2014","Federally Administered Tribal Areas")</f>
        <v>Federally Administered Tribal Areas</v>
      </c>
      <c r="H3148" s="87" t="str">
        <f>HYPERLINK("http://api.nsgreg.nga.mil/geo-division/GENC/6/ed2/PK-TA","PK-TA")</f>
        <v>PK-TA</v>
      </c>
    </row>
    <row r="3149" spans="1:8" x14ac:dyDescent="0.2">
      <c r="A3149" s="157"/>
      <c r="B3149" s="31" t="s">
        <v>11286</v>
      </c>
      <c r="C3149" s="31" t="s">
        <v>11287</v>
      </c>
      <c r="D3149" s="31" t="s">
        <v>11278</v>
      </c>
      <c r="E3149" s="61" t="b">
        <v>1</v>
      </c>
      <c r="F3149" s="107" t="s">
        <v>11288</v>
      </c>
      <c r="G3149" s="116" t="str">
        <f>HYPERLINK("http://nsgreg.nga.mil/genc/view?v=202579&amp;end_month=3&amp;end_day=31&amp;end_year=2014","Gilgit-Baltistan")</f>
        <v>Gilgit-Baltistan</v>
      </c>
      <c r="H3149" s="87" t="str">
        <f>HYPERLINK("http://api.nsgreg.nga.mil/geo-division/GENC/6/ed2/PK-GB","PK-GB")</f>
        <v>PK-GB</v>
      </c>
    </row>
    <row r="3150" spans="1:8" x14ac:dyDescent="0.2">
      <c r="A3150" s="157"/>
      <c r="B3150" s="31" t="s">
        <v>11289</v>
      </c>
      <c r="C3150" s="31" t="s">
        <v>11290</v>
      </c>
      <c r="D3150" s="31" t="s">
        <v>11109</v>
      </c>
      <c r="E3150" s="61" t="b">
        <v>1</v>
      </c>
      <c r="F3150" s="107" t="s">
        <v>11291</v>
      </c>
      <c r="G3150" s="116" t="str">
        <f>HYPERLINK("http://nsgreg.nga.mil/genc/view?v=202580&amp;end_month=3&amp;end_day=31&amp;end_year=2014","Islāmābād")</f>
        <v>Islāmābād</v>
      </c>
      <c r="H3150" s="87" t="str">
        <f>HYPERLINK("http://api.nsgreg.nga.mil/geo-division/GENC/6/ed2/PK-IS","PK-IS")</f>
        <v>PK-IS</v>
      </c>
    </row>
    <row r="3151" spans="1:8" x14ac:dyDescent="0.2">
      <c r="A3151" s="157"/>
      <c r="B3151" s="31" t="s">
        <v>11292</v>
      </c>
      <c r="C3151" s="31" t="s">
        <v>11293</v>
      </c>
      <c r="D3151" s="31" t="s">
        <v>1920</v>
      </c>
      <c r="E3151" s="61" t="b">
        <v>1</v>
      </c>
      <c r="F3151" s="107" t="s">
        <v>11294</v>
      </c>
      <c r="G3151" s="116" t="str">
        <f>HYPERLINK("http://nsgreg.nga.mil/genc/view?v=202582&amp;end_month=3&amp;end_day=31&amp;end_year=2014","Khyber Pakhtunkhwa")</f>
        <v>Khyber Pakhtunkhwa</v>
      </c>
      <c r="H3151" s="87" t="str">
        <f>HYPERLINK("http://api.nsgreg.nga.mil/geo-division/GENC/6/ed2/PK-KP","PK-KP")</f>
        <v>PK-KP</v>
      </c>
    </row>
    <row r="3152" spans="1:8" x14ac:dyDescent="0.2">
      <c r="A3152" s="157"/>
      <c r="B3152" s="31" t="s">
        <v>11295</v>
      </c>
      <c r="C3152" s="31" t="s">
        <v>7024</v>
      </c>
      <c r="D3152" s="31" t="s">
        <v>1920</v>
      </c>
      <c r="E3152" s="61" t="b">
        <v>1</v>
      </c>
      <c r="F3152" s="107" t="s">
        <v>11296</v>
      </c>
      <c r="G3152" s="116" t="str">
        <f>HYPERLINK("http://nsgreg.nga.mil/genc/view?v=202583&amp;end_month=3&amp;end_day=31&amp;end_year=2014","Punjab")</f>
        <v>Punjab</v>
      </c>
      <c r="H3152" s="87" t="str">
        <f>HYPERLINK("http://api.nsgreg.nga.mil/geo-division/GENC/6/ed2/PK-PB","PK-PB")</f>
        <v>PK-PB</v>
      </c>
    </row>
    <row r="3153" spans="1:8" x14ac:dyDescent="0.2">
      <c r="A3153" s="158"/>
      <c r="B3153" s="58" t="s">
        <v>11297</v>
      </c>
      <c r="C3153" s="58" t="s">
        <v>11298</v>
      </c>
      <c r="D3153" s="58" t="s">
        <v>1920</v>
      </c>
      <c r="E3153" s="62" t="b">
        <v>1</v>
      </c>
      <c r="F3153" s="111" t="s">
        <v>11299</v>
      </c>
      <c r="G3153" s="117" t="str">
        <f>HYPERLINK("http://nsgreg.nga.mil/genc/view?v=202584&amp;end_month=3&amp;end_day=31&amp;end_year=2014","Sindh")</f>
        <v>Sindh</v>
      </c>
      <c r="H3153" s="89" t="str">
        <f>HYPERLINK("http://api.nsgreg.nga.mil/geo-division/GENC/6/ed2/PK-SD","PK-SD")</f>
        <v>PK-SD</v>
      </c>
    </row>
    <row r="3154" spans="1:8" x14ac:dyDescent="0.2">
      <c r="A3154" s="156" t="str">
        <f>HYPERLINK("[#]Geopolitical_Entities!A197:I197","PALAU")</f>
        <v>PALAU</v>
      </c>
      <c r="B3154" s="52" t="s">
        <v>11300</v>
      </c>
      <c r="C3154" s="52" t="s">
        <v>11301</v>
      </c>
      <c r="D3154" s="52" t="s">
        <v>2512</v>
      </c>
      <c r="E3154" s="60" t="b">
        <v>1</v>
      </c>
      <c r="F3154" s="110" t="s">
        <v>11302</v>
      </c>
      <c r="G3154" s="118" t="str">
        <f>HYPERLINK("http://nsgreg.nga.mil/genc/view?v=202606&amp;end_month=3&amp;end_day=31&amp;end_year=2014","Aimeliik")</f>
        <v>Aimeliik</v>
      </c>
      <c r="H3154" s="91" t="str">
        <f>HYPERLINK("http://api.nsgreg.nga.mil/geo-division/GENC/6/ed2/PW-002","PW-002")</f>
        <v>PW-002</v>
      </c>
    </row>
    <row r="3155" spans="1:8" x14ac:dyDescent="0.2">
      <c r="A3155" s="157"/>
      <c r="B3155" s="31" t="s">
        <v>11303</v>
      </c>
      <c r="C3155" s="31" t="s">
        <v>11304</v>
      </c>
      <c r="D3155" s="31" t="s">
        <v>2512</v>
      </c>
      <c r="E3155" s="61" t="b">
        <v>1</v>
      </c>
      <c r="F3155" s="107" t="s">
        <v>11305</v>
      </c>
      <c r="G3155" s="116" t="str">
        <f>HYPERLINK("http://nsgreg.nga.mil/genc/view?v=202607&amp;end_month=3&amp;end_day=31&amp;end_year=2014","Airai")</f>
        <v>Airai</v>
      </c>
      <c r="H3155" s="87" t="str">
        <f>HYPERLINK("http://api.nsgreg.nga.mil/geo-division/GENC/6/ed2/PW-004","PW-004")</f>
        <v>PW-004</v>
      </c>
    </row>
    <row r="3156" spans="1:8" x14ac:dyDescent="0.2">
      <c r="A3156" s="157"/>
      <c r="B3156" s="31" t="s">
        <v>11306</v>
      </c>
      <c r="C3156" s="31" t="s">
        <v>11307</v>
      </c>
      <c r="D3156" s="31" t="s">
        <v>2512</v>
      </c>
      <c r="E3156" s="61" t="b">
        <v>1</v>
      </c>
      <c r="F3156" s="107" t="s">
        <v>11308</v>
      </c>
      <c r="G3156" s="116" t="str">
        <f>HYPERLINK("http://nsgreg.nga.mil/genc/view?v=202608&amp;end_month=3&amp;end_day=31&amp;end_year=2014","Angaur")</f>
        <v>Angaur</v>
      </c>
      <c r="H3156" s="87" t="str">
        <f>HYPERLINK("http://api.nsgreg.nga.mil/geo-division/GENC/6/ed2/PW-010","PW-010")</f>
        <v>PW-010</v>
      </c>
    </row>
    <row r="3157" spans="1:8" x14ac:dyDescent="0.2">
      <c r="A3157" s="157"/>
      <c r="B3157" s="31" t="s">
        <v>11309</v>
      </c>
      <c r="C3157" s="31" t="s">
        <v>11310</v>
      </c>
      <c r="D3157" s="31" t="s">
        <v>2512</v>
      </c>
      <c r="E3157" s="61" t="b">
        <v>1</v>
      </c>
      <c r="F3157" s="107" t="s">
        <v>11311</v>
      </c>
      <c r="G3157" s="116" t="str">
        <f>HYPERLINK("http://nsgreg.nga.mil/genc/view?v=202609&amp;end_month=3&amp;end_day=31&amp;end_year=2014","Hatohobei")</f>
        <v>Hatohobei</v>
      </c>
      <c r="H3157" s="87" t="str">
        <f>HYPERLINK("http://api.nsgreg.nga.mil/geo-division/GENC/6/ed2/PW-050","PW-050")</f>
        <v>PW-050</v>
      </c>
    </row>
    <row r="3158" spans="1:8" x14ac:dyDescent="0.2">
      <c r="A3158" s="157"/>
      <c r="B3158" s="31" t="s">
        <v>11312</v>
      </c>
      <c r="C3158" s="31" t="s">
        <v>11313</v>
      </c>
      <c r="D3158" s="31" t="s">
        <v>2512</v>
      </c>
      <c r="E3158" s="61" t="b">
        <v>1</v>
      </c>
      <c r="F3158" s="107" t="s">
        <v>11314</v>
      </c>
      <c r="G3158" s="116" t="str">
        <f>HYPERLINK("http://nsgreg.nga.mil/genc/view?v=202610&amp;end_month=3&amp;end_day=31&amp;end_year=2014","Kayangel")</f>
        <v>Kayangel</v>
      </c>
      <c r="H3158" s="87" t="str">
        <f>HYPERLINK("http://api.nsgreg.nga.mil/geo-division/GENC/6/ed2/PW-100","PW-100")</f>
        <v>PW-100</v>
      </c>
    </row>
    <row r="3159" spans="1:8" x14ac:dyDescent="0.2">
      <c r="A3159" s="157"/>
      <c r="B3159" s="31" t="s">
        <v>11315</v>
      </c>
      <c r="C3159" s="31" t="s">
        <v>11316</v>
      </c>
      <c r="D3159" s="31" t="s">
        <v>2512</v>
      </c>
      <c r="E3159" s="61" t="b">
        <v>1</v>
      </c>
      <c r="F3159" s="107" t="s">
        <v>11317</v>
      </c>
      <c r="G3159" s="116" t="str">
        <f>HYPERLINK("http://nsgreg.nga.mil/genc/view?v=202611&amp;end_month=3&amp;end_day=31&amp;end_year=2014","Koror")</f>
        <v>Koror</v>
      </c>
      <c r="H3159" s="87" t="str">
        <f>HYPERLINK("http://api.nsgreg.nga.mil/geo-division/GENC/6/ed2/PW-150","PW-150")</f>
        <v>PW-150</v>
      </c>
    </row>
    <row r="3160" spans="1:8" x14ac:dyDescent="0.2">
      <c r="A3160" s="157"/>
      <c r="B3160" s="31" t="s">
        <v>11318</v>
      </c>
      <c r="C3160" s="31" t="s">
        <v>11319</v>
      </c>
      <c r="D3160" s="31" t="s">
        <v>2512</v>
      </c>
      <c r="E3160" s="61" t="b">
        <v>1</v>
      </c>
      <c r="F3160" s="107" t="s">
        <v>11320</v>
      </c>
      <c r="G3160" s="116" t="str">
        <f>HYPERLINK("http://nsgreg.nga.mil/genc/view?v=202612&amp;end_month=3&amp;end_day=31&amp;end_year=2014","Melekeok")</f>
        <v>Melekeok</v>
      </c>
      <c r="H3160" s="87" t="str">
        <f>HYPERLINK("http://api.nsgreg.nga.mil/geo-division/GENC/6/ed2/PW-212","PW-212")</f>
        <v>PW-212</v>
      </c>
    </row>
    <row r="3161" spans="1:8" x14ac:dyDescent="0.2">
      <c r="A3161" s="157"/>
      <c r="B3161" s="31" t="s">
        <v>11321</v>
      </c>
      <c r="C3161" s="31" t="s">
        <v>11322</v>
      </c>
      <c r="D3161" s="31" t="s">
        <v>2512</v>
      </c>
      <c r="E3161" s="61" t="b">
        <v>1</v>
      </c>
      <c r="F3161" s="107" t="s">
        <v>11323</v>
      </c>
      <c r="G3161" s="116" t="str">
        <f>HYPERLINK("http://nsgreg.nga.mil/genc/view?v=202613&amp;end_month=3&amp;end_day=31&amp;end_year=2014","Ngaraard")</f>
        <v>Ngaraard</v>
      </c>
      <c r="H3161" s="87" t="str">
        <f>HYPERLINK("http://api.nsgreg.nga.mil/geo-division/GENC/6/ed2/PW-214","PW-214")</f>
        <v>PW-214</v>
      </c>
    </row>
    <row r="3162" spans="1:8" x14ac:dyDescent="0.2">
      <c r="A3162" s="157"/>
      <c r="B3162" s="31" t="s">
        <v>11324</v>
      </c>
      <c r="C3162" s="31" t="s">
        <v>11325</v>
      </c>
      <c r="D3162" s="31" t="s">
        <v>2512</v>
      </c>
      <c r="E3162" s="61" t="b">
        <v>1</v>
      </c>
      <c r="F3162" s="107" t="s">
        <v>11326</v>
      </c>
      <c r="G3162" s="116" t="str">
        <f>HYPERLINK("http://nsgreg.nga.mil/genc/view?v=202614&amp;end_month=3&amp;end_day=31&amp;end_year=2014","Ngarchelong")</f>
        <v>Ngarchelong</v>
      </c>
      <c r="H3162" s="87" t="str">
        <f>HYPERLINK("http://api.nsgreg.nga.mil/geo-division/GENC/6/ed2/PW-218","PW-218")</f>
        <v>PW-218</v>
      </c>
    </row>
    <row r="3163" spans="1:8" x14ac:dyDescent="0.2">
      <c r="A3163" s="157"/>
      <c r="B3163" s="31" t="s">
        <v>11327</v>
      </c>
      <c r="C3163" s="31" t="s">
        <v>11328</v>
      </c>
      <c r="D3163" s="31" t="s">
        <v>2512</v>
      </c>
      <c r="E3163" s="61" t="b">
        <v>1</v>
      </c>
      <c r="F3163" s="107" t="s">
        <v>11329</v>
      </c>
      <c r="G3163" s="116" t="str">
        <f>HYPERLINK("http://nsgreg.nga.mil/genc/view?v=202615&amp;end_month=3&amp;end_day=31&amp;end_year=2014","Ngardmau")</f>
        <v>Ngardmau</v>
      </c>
      <c r="H3163" s="87" t="str">
        <f>HYPERLINK("http://api.nsgreg.nga.mil/geo-division/GENC/6/ed2/PW-222","PW-222")</f>
        <v>PW-222</v>
      </c>
    </row>
    <row r="3164" spans="1:8" x14ac:dyDescent="0.2">
      <c r="A3164" s="157"/>
      <c r="B3164" s="31" t="s">
        <v>11330</v>
      </c>
      <c r="C3164" s="31" t="s">
        <v>11331</v>
      </c>
      <c r="D3164" s="31" t="s">
        <v>2512</v>
      </c>
      <c r="E3164" s="61" t="b">
        <v>1</v>
      </c>
      <c r="F3164" s="107" t="s">
        <v>11332</v>
      </c>
      <c r="G3164" s="116" t="str">
        <f>HYPERLINK("http://nsgreg.nga.mil/genc/view?v=202616&amp;end_month=3&amp;end_day=31&amp;end_year=2014","Ngatpang")</f>
        <v>Ngatpang</v>
      </c>
      <c r="H3164" s="87" t="str">
        <f>HYPERLINK("http://api.nsgreg.nga.mil/geo-division/GENC/6/ed2/PW-224","PW-224")</f>
        <v>PW-224</v>
      </c>
    </row>
    <row r="3165" spans="1:8" x14ac:dyDescent="0.2">
      <c r="A3165" s="157"/>
      <c r="B3165" s="31" t="s">
        <v>11333</v>
      </c>
      <c r="C3165" s="31" t="s">
        <v>11334</v>
      </c>
      <c r="D3165" s="31" t="s">
        <v>2512</v>
      </c>
      <c r="E3165" s="61" t="b">
        <v>1</v>
      </c>
      <c r="F3165" s="107" t="s">
        <v>11335</v>
      </c>
      <c r="G3165" s="116" t="str">
        <f>HYPERLINK("http://nsgreg.nga.mil/genc/view?v=202617&amp;end_month=3&amp;end_day=31&amp;end_year=2014","Ngchesar")</f>
        <v>Ngchesar</v>
      </c>
      <c r="H3165" s="87" t="str">
        <f>HYPERLINK("http://api.nsgreg.nga.mil/geo-division/GENC/6/ed2/PW-226","PW-226")</f>
        <v>PW-226</v>
      </c>
    </row>
    <row r="3166" spans="1:8" x14ac:dyDescent="0.2">
      <c r="A3166" s="157"/>
      <c r="B3166" s="31" t="s">
        <v>11336</v>
      </c>
      <c r="C3166" s="31" t="s">
        <v>11337</v>
      </c>
      <c r="D3166" s="31" t="s">
        <v>2512</v>
      </c>
      <c r="E3166" s="61" t="b">
        <v>1</v>
      </c>
      <c r="F3166" s="107" t="s">
        <v>11338</v>
      </c>
      <c r="G3166" s="116" t="str">
        <f>HYPERLINK("http://nsgreg.nga.mil/genc/view?v=202618&amp;end_month=3&amp;end_day=31&amp;end_year=2014","Ngeremlengui")</f>
        <v>Ngeremlengui</v>
      </c>
      <c r="H3166" s="87" t="str">
        <f>HYPERLINK("http://api.nsgreg.nga.mil/geo-division/GENC/6/ed2/PW-227","PW-227")</f>
        <v>PW-227</v>
      </c>
    </row>
    <row r="3167" spans="1:8" x14ac:dyDescent="0.2">
      <c r="A3167" s="157"/>
      <c r="B3167" s="31" t="s">
        <v>11339</v>
      </c>
      <c r="C3167" s="31" t="s">
        <v>11340</v>
      </c>
      <c r="D3167" s="31" t="s">
        <v>2512</v>
      </c>
      <c r="E3167" s="61" t="b">
        <v>1</v>
      </c>
      <c r="F3167" s="107" t="s">
        <v>11341</v>
      </c>
      <c r="G3167" s="116" t="str">
        <f>HYPERLINK("http://nsgreg.nga.mil/genc/view?v=202619&amp;end_month=3&amp;end_day=31&amp;end_year=2014","Ngiwal")</f>
        <v>Ngiwal</v>
      </c>
      <c r="H3167" s="87" t="str">
        <f>HYPERLINK("http://api.nsgreg.nga.mil/geo-division/GENC/6/ed2/PW-228","PW-228")</f>
        <v>PW-228</v>
      </c>
    </row>
    <row r="3168" spans="1:8" x14ac:dyDescent="0.2">
      <c r="A3168" s="157"/>
      <c r="B3168" s="31" t="s">
        <v>11342</v>
      </c>
      <c r="C3168" s="31" t="s">
        <v>11343</v>
      </c>
      <c r="D3168" s="31" t="s">
        <v>2512</v>
      </c>
      <c r="E3168" s="61" t="b">
        <v>1</v>
      </c>
      <c r="F3168" s="107" t="s">
        <v>11344</v>
      </c>
      <c r="G3168" s="116" t="str">
        <f>HYPERLINK("http://nsgreg.nga.mil/genc/view?v=202620&amp;end_month=3&amp;end_day=31&amp;end_year=2014","Peleliu")</f>
        <v>Peleliu</v>
      </c>
      <c r="H3168" s="87" t="str">
        <f>HYPERLINK("http://api.nsgreg.nga.mil/geo-division/GENC/6/ed2/PW-350","PW-350")</f>
        <v>PW-350</v>
      </c>
    </row>
    <row r="3169" spans="1:8" x14ac:dyDescent="0.2">
      <c r="A3169" s="158"/>
      <c r="B3169" s="58" t="s">
        <v>11345</v>
      </c>
      <c r="C3169" s="58" t="s">
        <v>11346</v>
      </c>
      <c r="D3169" s="58" t="s">
        <v>2512</v>
      </c>
      <c r="E3169" s="62" t="b">
        <v>1</v>
      </c>
      <c r="F3169" s="111" t="s">
        <v>11347</v>
      </c>
      <c r="G3169" s="117" t="str">
        <f>HYPERLINK("http://nsgreg.nga.mil/genc/view?v=202621&amp;end_month=3&amp;end_day=31&amp;end_year=2014","Sonsorol")</f>
        <v>Sonsorol</v>
      </c>
      <c r="H3169" s="89" t="str">
        <f>HYPERLINK("http://api.nsgreg.nga.mil/geo-division/GENC/6/ed2/PW-370","PW-370")</f>
        <v>PW-370</v>
      </c>
    </row>
    <row r="3170" spans="1:8" x14ac:dyDescent="0.2">
      <c r="A3170" s="156" t="str">
        <f>HYPERLINK("[#]Geopolitical_Entities!A199:I199","PANAMA")</f>
        <v>PANAMA</v>
      </c>
      <c r="B3170" s="52" t="s">
        <v>11348</v>
      </c>
      <c r="C3170" s="52" t="s">
        <v>11349</v>
      </c>
      <c r="D3170" s="52" t="s">
        <v>1920</v>
      </c>
      <c r="E3170" s="60" t="b">
        <v>1</v>
      </c>
      <c r="F3170" s="109" t="s">
        <v>11350</v>
      </c>
      <c r="G3170" s="118" t="str">
        <f>HYPERLINK("http://nsgreg.nga.mil/genc/view?v=115314&amp;gencs=T&amp;end_month=3&amp;end_day=31&amp;end_year=2014","Bocas del Toro")</f>
        <v>Bocas del Toro</v>
      </c>
      <c r="H3170" s="91" t="str">
        <f>HYPERLINK("http://api.nsgreg.nga.mil/geo-division/ISO3166-2/6/ed3/PA-1","PA-1")</f>
        <v>PA-1</v>
      </c>
    </row>
    <row r="3171" spans="1:8" x14ac:dyDescent="0.2">
      <c r="A3171" s="157"/>
      <c r="B3171" s="31" t="s">
        <v>11351</v>
      </c>
      <c r="C3171" s="31" t="s">
        <v>11352</v>
      </c>
      <c r="D3171" s="31" t="s">
        <v>1920</v>
      </c>
      <c r="E3171" s="61" t="b">
        <v>1</v>
      </c>
      <c r="F3171" s="106" t="s">
        <v>11353</v>
      </c>
      <c r="G3171" s="116" t="str">
        <f>HYPERLINK("http://nsgreg.nga.mil/genc/view?v=115317&amp;gencs=T&amp;end_month=3&amp;end_day=31&amp;end_year=2014","Chiriquí")</f>
        <v>Chiriquí</v>
      </c>
      <c r="H3171" s="87" t="str">
        <f>HYPERLINK("http://api.nsgreg.nga.mil/geo-division/ISO3166-2/6/ed3/PA-4","PA-4")</f>
        <v>PA-4</v>
      </c>
    </row>
    <row r="3172" spans="1:8" x14ac:dyDescent="0.2">
      <c r="A3172" s="157"/>
      <c r="B3172" s="31" t="s">
        <v>11354</v>
      </c>
      <c r="C3172" s="31" t="s">
        <v>11355</v>
      </c>
      <c r="D3172" s="31" t="s">
        <v>1920</v>
      </c>
      <c r="E3172" s="61" t="b">
        <v>1</v>
      </c>
      <c r="F3172" s="106" t="s">
        <v>11356</v>
      </c>
      <c r="G3172" s="116" t="str">
        <f>HYPERLINK("http://nsgreg.nga.mil/genc/view?v=115315&amp;gencs=T&amp;end_month=3&amp;end_day=31&amp;end_year=2014","Coclé")</f>
        <v>Coclé</v>
      </c>
      <c r="H3172" s="87" t="str">
        <f>HYPERLINK("http://api.nsgreg.nga.mil/geo-division/ISO3166-2/6/ed3/PA-2","PA-2")</f>
        <v>PA-2</v>
      </c>
    </row>
    <row r="3173" spans="1:8" x14ac:dyDescent="0.2">
      <c r="A3173" s="157"/>
      <c r="B3173" s="31" t="s">
        <v>11357</v>
      </c>
      <c r="C3173" s="31" t="s">
        <v>6738</v>
      </c>
      <c r="D3173" s="31" t="s">
        <v>1920</v>
      </c>
      <c r="E3173" s="61" t="b">
        <v>1</v>
      </c>
      <c r="F3173" s="106" t="s">
        <v>11358</v>
      </c>
      <c r="G3173" s="116" t="str">
        <f>HYPERLINK("http://nsgreg.nga.mil/genc/view?v=115316&amp;gencs=T&amp;end_month=3&amp;end_day=31&amp;end_year=2014","Colón")</f>
        <v>Colón</v>
      </c>
      <c r="H3173" s="87" t="str">
        <f>HYPERLINK("http://api.nsgreg.nga.mil/geo-division/ISO3166-2/6/ed3/PA-3","PA-3")</f>
        <v>PA-3</v>
      </c>
    </row>
    <row r="3174" spans="1:8" x14ac:dyDescent="0.2">
      <c r="A3174" s="157"/>
      <c r="B3174" s="31" t="s">
        <v>11359</v>
      </c>
      <c r="C3174" s="31" t="s">
        <v>11360</v>
      </c>
      <c r="D3174" s="31" t="s">
        <v>1920</v>
      </c>
      <c r="E3174" s="61" t="b">
        <v>1</v>
      </c>
      <c r="F3174" s="106" t="s">
        <v>11361</v>
      </c>
      <c r="G3174" s="116" t="str">
        <f>HYPERLINK("http://nsgreg.nga.mil/genc/view?v=115318&amp;gencs=T&amp;end_month=3&amp;end_day=31&amp;end_year=2014","Darién")</f>
        <v>Darién</v>
      </c>
      <c r="H3174" s="87" t="str">
        <f>HYPERLINK("http://api.nsgreg.nga.mil/geo-division/ISO3166-2/6/ed3/PA-5","PA-5")</f>
        <v>PA-5</v>
      </c>
    </row>
    <row r="3175" spans="1:8" x14ac:dyDescent="0.2">
      <c r="A3175" s="157"/>
      <c r="B3175" s="31" t="s">
        <v>11362</v>
      </c>
      <c r="C3175" s="31" t="s">
        <v>11363</v>
      </c>
      <c r="D3175" s="31" t="s">
        <v>2023</v>
      </c>
      <c r="E3175" s="61" t="b">
        <v>1</v>
      </c>
      <c r="F3175" s="107" t="s">
        <v>11364</v>
      </c>
      <c r="G3175" s="116" t="str">
        <f>HYPERLINK("http://nsgreg.nga.mil/genc/view?v=202392&amp;end_month=3&amp;end_day=31&amp;end_year=2014","Emberá-Wounaan")</f>
        <v>Emberá-Wounaan</v>
      </c>
      <c r="H3175" s="87" t="str">
        <f>HYPERLINK("http://api.nsgreg.nga.mil/geo-division/GENC/6/ed2/PA-EM","PA-EM")</f>
        <v>PA-EM</v>
      </c>
    </row>
    <row r="3176" spans="1:8" x14ac:dyDescent="0.2">
      <c r="A3176" s="157"/>
      <c r="B3176" s="31" t="s">
        <v>11365</v>
      </c>
      <c r="C3176" s="31" t="s">
        <v>11366</v>
      </c>
      <c r="D3176" s="31" t="s">
        <v>1920</v>
      </c>
      <c r="E3176" s="61" t="b">
        <v>1</v>
      </c>
      <c r="F3176" s="106" t="s">
        <v>11367</v>
      </c>
      <c r="G3176" s="116" t="str">
        <f>HYPERLINK("http://nsgreg.nga.mil/genc/view?v=115319&amp;gencs=T&amp;end_month=3&amp;end_day=31&amp;end_year=2014","Herrera")</f>
        <v>Herrera</v>
      </c>
      <c r="H3176" s="87" t="str">
        <f>HYPERLINK("http://api.nsgreg.nga.mil/geo-division/ISO3166-2/6/ed3/PA-6","PA-6")</f>
        <v>PA-6</v>
      </c>
    </row>
    <row r="3177" spans="1:8" x14ac:dyDescent="0.2">
      <c r="A3177" s="157"/>
      <c r="B3177" s="31" t="s">
        <v>11368</v>
      </c>
      <c r="C3177" s="31" t="s">
        <v>11369</v>
      </c>
      <c r="D3177" s="31" t="s">
        <v>2023</v>
      </c>
      <c r="E3177" s="61" t="b">
        <v>1</v>
      </c>
      <c r="F3177" s="107" t="s">
        <v>11370</v>
      </c>
      <c r="G3177" s="116" t="str">
        <f>HYPERLINK("http://nsgreg.nga.mil/genc/view?v=202393&amp;end_month=3&amp;end_day=31&amp;end_year=2014","Kuna Yala")</f>
        <v>Kuna Yala</v>
      </c>
      <c r="H3177" s="87" t="str">
        <f>HYPERLINK("http://api.nsgreg.nga.mil/geo-division/GENC/6/ed2/PA-KY","PA-KY")</f>
        <v>PA-KY</v>
      </c>
    </row>
    <row r="3178" spans="1:8" x14ac:dyDescent="0.2">
      <c r="A3178" s="157"/>
      <c r="B3178" s="31" t="s">
        <v>11371</v>
      </c>
      <c r="C3178" s="31" t="s">
        <v>11372</v>
      </c>
      <c r="D3178" s="31" t="s">
        <v>1920</v>
      </c>
      <c r="E3178" s="61" t="b">
        <v>1</v>
      </c>
      <c r="F3178" s="106" t="s">
        <v>11373</v>
      </c>
      <c r="G3178" s="116" t="str">
        <f>HYPERLINK("http://nsgreg.nga.mil/genc/view?v=115320&amp;gencs=T&amp;end_month=3&amp;end_day=31&amp;end_year=2014","Los Santos")</f>
        <v>Los Santos</v>
      </c>
      <c r="H3178" s="87" t="str">
        <f>HYPERLINK("http://api.nsgreg.nga.mil/geo-division/ISO3166-2/6/ed3/PA-7","PA-7")</f>
        <v>PA-7</v>
      </c>
    </row>
    <row r="3179" spans="1:8" x14ac:dyDescent="0.2">
      <c r="A3179" s="157"/>
      <c r="B3179" s="31" t="s">
        <v>11374</v>
      </c>
      <c r="C3179" s="31" t="s">
        <v>11375</v>
      </c>
      <c r="D3179" s="31" t="s">
        <v>2023</v>
      </c>
      <c r="E3179" s="61" t="b">
        <v>1</v>
      </c>
      <c r="F3179" s="107" t="s">
        <v>11376</v>
      </c>
      <c r="G3179" s="116" t="str">
        <f>HYPERLINK("http://nsgreg.nga.mil/genc/view?v=202394&amp;end_month=3&amp;end_day=31&amp;end_year=2014","Ngöbe-Buglé")</f>
        <v>Ngöbe-Buglé</v>
      </c>
      <c r="H3179" s="87" t="str">
        <f>HYPERLINK("http://api.nsgreg.nga.mil/geo-division/GENC/6/ed2/PA-NB","PA-NB")</f>
        <v>PA-NB</v>
      </c>
    </row>
    <row r="3180" spans="1:8" x14ac:dyDescent="0.2">
      <c r="A3180" s="157"/>
      <c r="B3180" s="31" t="s">
        <v>11377</v>
      </c>
      <c r="C3180" s="31" t="s">
        <v>11378</v>
      </c>
      <c r="D3180" s="31" t="s">
        <v>1920</v>
      </c>
      <c r="E3180" s="61" t="b">
        <v>1</v>
      </c>
      <c r="F3180" s="106" t="s">
        <v>11379</v>
      </c>
      <c r="G3180" s="116" t="str">
        <f>HYPERLINK("http://nsgreg.nga.mil/genc/view?v=115321&amp;gencs=T&amp;end_month=3&amp;end_day=31&amp;end_year=2014","Panamá")</f>
        <v>Panamá</v>
      </c>
      <c r="H3180" s="87" t="str">
        <f>HYPERLINK("http://api.nsgreg.nga.mil/geo-division/ISO3166-2/6/ed3/PA-8","PA-8")</f>
        <v>PA-8</v>
      </c>
    </row>
    <row r="3181" spans="1:8" x14ac:dyDescent="0.2">
      <c r="A3181" s="158"/>
      <c r="B3181" s="58" t="s">
        <v>11380</v>
      </c>
      <c r="C3181" s="58" t="s">
        <v>11381</v>
      </c>
      <c r="D3181" s="58" t="s">
        <v>1920</v>
      </c>
      <c r="E3181" s="62" t="b">
        <v>1</v>
      </c>
      <c r="F3181" s="108" t="s">
        <v>11382</v>
      </c>
      <c r="G3181" s="117" t="str">
        <f>HYPERLINK("http://nsgreg.nga.mil/genc/view?v=115322&amp;gencs=T&amp;end_month=3&amp;end_day=31&amp;end_year=2014","Veraguas")</f>
        <v>Veraguas</v>
      </c>
      <c r="H3181" s="89" t="str">
        <f>HYPERLINK("http://api.nsgreg.nga.mil/geo-division/ISO3166-2/6/ed3/PA-9","PA-9")</f>
        <v>PA-9</v>
      </c>
    </row>
    <row r="3182" spans="1:8" x14ac:dyDescent="0.2">
      <c r="A3182" s="156" t="str">
        <f>HYPERLINK("[#]Geopolitical_Entities!A200:I200","PAPUA NEW GUINEA")</f>
        <v>PAPUA NEW GUINEA</v>
      </c>
      <c r="B3182" s="52" t="s">
        <v>11383</v>
      </c>
      <c r="C3182" s="52" t="s">
        <v>11384</v>
      </c>
      <c r="D3182" s="52" t="s">
        <v>4316</v>
      </c>
      <c r="E3182" s="60" t="b">
        <v>1</v>
      </c>
      <c r="F3182" s="109" t="s">
        <v>11385</v>
      </c>
      <c r="G3182" s="118" t="str">
        <f>HYPERLINK("http://nsgreg.nga.mil/genc/view?v=115366&amp;gencs=T&amp;end_month=3&amp;end_day=31&amp;end_year=2014","Bougainville")</f>
        <v>Bougainville</v>
      </c>
      <c r="H3182" s="91" t="str">
        <f>HYPERLINK("http://api.nsgreg.nga.mil/geo-division/ISO3166-2/6/ed3/PG-NSB","PG-NSB")</f>
        <v>PG-NSB</v>
      </c>
    </row>
    <row r="3183" spans="1:8" x14ac:dyDescent="0.2">
      <c r="A3183" s="157"/>
      <c r="B3183" s="31" t="s">
        <v>11386</v>
      </c>
      <c r="C3183" s="31" t="s">
        <v>3420</v>
      </c>
      <c r="D3183" s="31" t="s">
        <v>1920</v>
      </c>
      <c r="E3183" s="61" t="b">
        <v>1</v>
      </c>
      <c r="F3183" s="107" t="s">
        <v>11387</v>
      </c>
      <c r="G3183" s="116" t="str">
        <f>HYPERLINK("http://nsgreg.nga.mil/genc/view?v=202422&amp;end_month=3&amp;end_day=31&amp;end_year=2014","Central")</f>
        <v>Central</v>
      </c>
      <c r="H3183" s="87" t="str">
        <f>HYPERLINK("http://api.nsgreg.nga.mil/geo-division/GENC/6/ed2/PG-CPM","PG-CPM")</f>
        <v>PG-CPM</v>
      </c>
    </row>
    <row r="3184" spans="1:8" x14ac:dyDescent="0.2">
      <c r="A3184" s="157"/>
      <c r="B3184" s="31" t="s">
        <v>11388</v>
      </c>
      <c r="C3184" s="31" t="s">
        <v>11389</v>
      </c>
      <c r="D3184" s="31" t="s">
        <v>1920</v>
      </c>
      <c r="E3184" s="61" t="b">
        <v>1</v>
      </c>
      <c r="F3184" s="107" t="s">
        <v>11390</v>
      </c>
      <c r="G3184" s="116" t="str">
        <f>HYPERLINK("http://nsgreg.nga.mil/genc/view?v=202421&amp;end_month=3&amp;end_day=31&amp;end_year=2014","Chimbu")</f>
        <v>Chimbu</v>
      </c>
      <c r="H3184" s="87" t="str">
        <f>HYPERLINK("http://api.nsgreg.nga.mil/geo-division/GENC/6/ed2/PG-CPK","PG-CPK")</f>
        <v>PG-CPK</v>
      </c>
    </row>
    <row r="3185" spans="1:8" x14ac:dyDescent="0.2">
      <c r="A3185" s="157"/>
      <c r="B3185" s="31" t="s">
        <v>11391</v>
      </c>
      <c r="C3185" s="31" t="s">
        <v>11392</v>
      </c>
      <c r="D3185" s="31" t="s">
        <v>1920</v>
      </c>
      <c r="E3185" s="61" t="b">
        <v>1</v>
      </c>
      <c r="F3185" s="107" t="s">
        <v>11393</v>
      </c>
      <c r="G3185" s="116" t="str">
        <f>HYPERLINK("http://nsgreg.nga.mil/genc/view?v=202424&amp;end_month=3&amp;end_day=31&amp;end_year=2014","Eastern Highlands")</f>
        <v>Eastern Highlands</v>
      </c>
      <c r="H3185" s="87" t="str">
        <f>HYPERLINK("http://api.nsgreg.nga.mil/geo-division/GENC/6/ed2/PG-EHG","PG-EHG")</f>
        <v>PG-EHG</v>
      </c>
    </row>
    <row r="3186" spans="1:8" x14ac:dyDescent="0.2">
      <c r="A3186" s="157"/>
      <c r="B3186" s="31" t="s">
        <v>11394</v>
      </c>
      <c r="C3186" s="31" t="s">
        <v>11395</v>
      </c>
      <c r="D3186" s="31" t="s">
        <v>1920</v>
      </c>
      <c r="E3186" s="61" t="b">
        <v>1</v>
      </c>
      <c r="F3186" s="107" t="s">
        <v>11396</v>
      </c>
      <c r="G3186" s="116" t="str">
        <f>HYPERLINK("http://nsgreg.nga.mil/genc/view?v=202423&amp;end_month=3&amp;end_day=31&amp;end_year=2014","East New Britain")</f>
        <v>East New Britain</v>
      </c>
      <c r="H3186" s="87" t="str">
        <f>HYPERLINK("http://api.nsgreg.nga.mil/geo-division/GENC/6/ed2/PG-EBR","PG-EBR")</f>
        <v>PG-EBR</v>
      </c>
    </row>
    <row r="3187" spans="1:8" x14ac:dyDescent="0.2">
      <c r="A3187" s="157"/>
      <c r="B3187" s="31" t="s">
        <v>11397</v>
      </c>
      <c r="C3187" s="31" t="s">
        <v>11398</v>
      </c>
      <c r="D3187" s="31" t="s">
        <v>1920</v>
      </c>
      <c r="E3187" s="61" t="b">
        <v>1</v>
      </c>
      <c r="F3187" s="107" t="s">
        <v>11399</v>
      </c>
      <c r="G3187" s="116" t="str">
        <f>HYPERLINK("http://nsgreg.nga.mil/genc/view?v=202426&amp;end_month=3&amp;end_day=31&amp;end_year=2014","East Sepik")</f>
        <v>East Sepik</v>
      </c>
      <c r="H3187" s="87" t="str">
        <f>HYPERLINK("http://api.nsgreg.nga.mil/geo-division/GENC/6/ed2/PG-ESW","PG-ESW")</f>
        <v>PG-ESW</v>
      </c>
    </row>
    <row r="3188" spans="1:8" x14ac:dyDescent="0.2">
      <c r="A3188" s="157"/>
      <c r="B3188" s="31" t="s">
        <v>11400</v>
      </c>
      <c r="C3188" s="31" t="s">
        <v>11401</v>
      </c>
      <c r="D3188" s="31" t="s">
        <v>1920</v>
      </c>
      <c r="E3188" s="61" t="b">
        <v>1</v>
      </c>
      <c r="F3188" s="107" t="s">
        <v>11402</v>
      </c>
      <c r="G3188" s="116" t="str">
        <f>HYPERLINK("http://nsgreg.nga.mil/genc/view?v=202425&amp;end_month=3&amp;end_day=31&amp;end_year=2014","Enga")</f>
        <v>Enga</v>
      </c>
      <c r="H3188" s="87" t="str">
        <f>HYPERLINK("http://api.nsgreg.nga.mil/geo-division/GENC/6/ed2/PG-EPW","PG-EPW")</f>
        <v>PG-EPW</v>
      </c>
    </row>
    <row r="3189" spans="1:8" x14ac:dyDescent="0.2">
      <c r="A3189" s="157"/>
      <c r="B3189" s="31" t="s">
        <v>11403</v>
      </c>
      <c r="C3189" s="31" t="s">
        <v>11404</v>
      </c>
      <c r="D3189" s="31" t="s">
        <v>1920</v>
      </c>
      <c r="E3189" s="61" t="b">
        <v>1</v>
      </c>
      <c r="F3189" s="107" t="s">
        <v>11405</v>
      </c>
      <c r="G3189" s="116" t="str">
        <f>HYPERLINK("http://nsgreg.nga.mil/genc/view?v=202427&amp;end_month=3&amp;end_day=31&amp;end_year=2014","Gulf")</f>
        <v>Gulf</v>
      </c>
      <c r="H3189" s="87" t="str">
        <f>HYPERLINK("http://api.nsgreg.nga.mil/geo-division/GENC/6/ed2/PG-GPK","PG-GPK")</f>
        <v>PG-GPK</v>
      </c>
    </row>
    <row r="3190" spans="1:8" x14ac:dyDescent="0.2">
      <c r="A3190" s="157"/>
      <c r="B3190" s="31" t="s">
        <v>11406</v>
      </c>
      <c r="C3190" s="31" t="s">
        <v>11407</v>
      </c>
      <c r="D3190" s="31" t="s">
        <v>1920</v>
      </c>
      <c r="E3190" s="61" t="b">
        <v>1</v>
      </c>
      <c r="F3190" s="107" t="s">
        <v>11408</v>
      </c>
      <c r="G3190" s="116" t="str">
        <f>HYPERLINK("http://nsgreg.nga.mil/genc/view?v=202428&amp;end_month=3&amp;end_day=31&amp;end_year=2014","Hela")</f>
        <v>Hela</v>
      </c>
      <c r="H3190" s="87" t="str">
        <f>HYPERLINK("http://api.nsgreg.nga.mil/geo-division/GENC/6/ed2/PG-HLA","PG-HLA")</f>
        <v>PG-HLA</v>
      </c>
    </row>
    <row r="3191" spans="1:8" x14ac:dyDescent="0.2">
      <c r="A3191" s="157"/>
      <c r="B3191" s="31" t="s">
        <v>11409</v>
      </c>
      <c r="C3191" s="31" t="s">
        <v>11410</v>
      </c>
      <c r="D3191" s="31" t="s">
        <v>1920</v>
      </c>
      <c r="E3191" s="61" t="b">
        <v>1</v>
      </c>
      <c r="F3191" s="107" t="s">
        <v>11411</v>
      </c>
      <c r="G3191" s="116" t="str">
        <f>HYPERLINK("http://nsgreg.nga.mil/genc/view?v=202429&amp;end_month=3&amp;end_day=31&amp;end_year=2014","Jiwaka")</f>
        <v>Jiwaka</v>
      </c>
      <c r="H3191" s="87" t="str">
        <f>HYPERLINK("http://api.nsgreg.nga.mil/geo-division/GENC/6/ed2/PG-JWK","PG-JWK")</f>
        <v>PG-JWK</v>
      </c>
    </row>
    <row r="3192" spans="1:8" x14ac:dyDescent="0.2">
      <c r="A3192" s="157"/>
      <c r="B3192" s="31" t="s">
        <v>11412</v>
      </c>
      <c r="C3192" s="31" t="s">
        <v>11413</v>
      </c>
      <c r="D3192" s="31" t="s">
        <v>1920</v>
      </c>
      <c r="E3192" s="61" t="b">
        <v>1</v>
      </c>
      <c r="F3192" s="107" t="s">
        <v>11414</v>
      </c>
      <c r="G3192" s="116" t="str">
        <f>HYPERLINK("http://nsgreg.nga.mil/genc/view?v=202432&amp;end_month=3&amp;end_day=31&amp;end_year=2014","Madang")</f>
        <v>Madang</v>
      </c>
      <c r="H3192" s="87" t="str">
        <f>HYPERLINK("http://api.nsgreg.nga.mil/geo-division/GENC/6/ed2/PG-MPM","PG-MPM")</f>
        <v>PG-MPM</v>
      </c>
    </row>
    <row r="3193" spans="1:8" x14ac:dyDescent="0.2">
      <c r="A3193" s="157"/>
      <c r="B3193" s="31" t="s">
        <v>11415</v>
      </c>
      <c r="C3193" s="31" t="s">
        <v>11416</v>
      </c>
      <c r="D3193" s="31" t="s">
        <v>1920</v>
      </c>
      <c r="E3193" s="61" t="b">
        <v>1</v>
      </c>
      <c r="F3193" s="107" t="s">
        <v>11417</v>
      </c>
      <c r="G3193" s="116" t="str">
        <f>HYPERLINK("http://nsgreg.nga.mil/genc/view?v=202433&amp;end_month=3&amp;end_day=31&amp;end_year=2014","Manus")</f>
        <v>Manus</v>
      </c>
      <c r="H3193" s="87" t="str">
        <f>HYPERLINK("http://api.nsgreg.nga.mil/geo-division/GENC/6/ed2/PG-MRL","PG-MRL")</f>
        <v>PG-MRL</v>
      </c>
    </row>
    <row r="3194" spans="1:8" x14ac:dyDescent="0.2">
      <c r="A3194" s="157"/>
      <c r="B3194" s="31" t="s">
        <v>11418</v>
      </c>
      <c r="C3194" s="31" t="s">
        <v>11419</v>
      </c>
      <c r="D3194" s="31" t="s">
        <v>1920</v>
      </c>
      <c r="E3194" s="61" t="b">
        <v>1</v>
      </c>
      <c r="F3194" s="107" t="s">
        <v>11420</v>
      </c>
      <c r="G3194" s="116" t="str">
        <f>HYPERLINK("http://nsgreg.nga.mil/genc/view?v=202430&amp;end_month=3&amp;end_day=31&amp;end_year=2014","Milne Bay")</f>
        <v>Milne Bay</v>
      </c>
      <c r="H3194" s="87" t="str">
        <f>HYPERLINK("http://api.nsgreg.nga.mil/geo-division/GENC/6/ed2/PG-MBA","PG-MBA")</f>
        <v>PG-MBA</v>
      </c>
    </row>
    <row r="3195" spans="1:8" x14ac:dyDescent="0.2">
      <c r="A3195" s="157"/>
      <c r="B3195" s="31" t="s">
        <v>11421</v>
      </c>
      <c r="C3195" s="31" t="s">
        <v>11422</v>
      </c>
      <c r="D3195" s="31" t="s">
        <v>1920</v>
      </c>
      <c r="E3195" s="61" t="b">
        <v>1</v>
      </c>
      <c r="F3195" s="107" t="s">
        <v>11423</v>
      </c>
      <c r="G3195" s="116" t="str">
        <f>HYPERLINK("http://nsgreg.nga.mil/genc/view?v=202431&amp;end_month=3&amp;end_day=31&amp;end_year=2014","Morobe")</f>
        <v>Morobe</v>
      </c>
      <c r="H3195" s="87" t="str">
        <f>HYPERLINK("http://api.nsgreg.nga.mil/geo-division/GENC/6/ed2/PG-MPL","PG-MPL")</f>
        <v>PG-MPL</v>
      </c>
    </row>
    <row r="3196" spans="1:8" x14ac:dyDescent="0.2">
      <c r="A3196" s="157"/>
      <c r="B3196" s="31" t="s">
        <v>11424</v>
      </c>
      <c r="C3196" s="31" t="s">
        <v>11425</v>
      </c>
      <c r="D3196" s="31" t="s">
        <v>1920</v>
      </c>
      <c r="E3196" s="61" t="b">
        <v>1</v>
      </c>
      <c r="F3196" s="107" t="s">
        <v>11426</v>
      </c>
      <c r="G3196" s="116" t="str">
        <f>HYPERLINK("http://nsgreg.nga.mil/genc/view?v=202434&amp;end_month=3&amp;end_day=31&amp;end_year=2014","National Capital")</f>
        <v>National Capital</v>
      </c>
      <c r="H3196" s="87" t="str">
        <f>HYPERLINK("http://api.nsgreg.nga.mil/geo-division/GENC/6/ed2/PG-NCD","PG-NCD")</f>
        <v>PG-NCD</v>
      </c>
    </row>
    <row r="3197" spans="1:8" x14ac:dyDescent="0.2">
      <c r="A3197" s="157"/>
      <c r="B3197" s="31" t="s">
        <v>11427</v>
      </c>
      <c r="C3197" s="31" t="s">
        <v>11428</v>
      </c>
      <c r="D3197" s="31" t="s">
        <v>1920</v>
      </c>
      <c r="E3197" s="61" t="b">
        <v>1</v>
      </c>
      <c r="F3197" s="107" t="s">
        <v>11429</v>
      </c>
      <c r="G3197" s="116" t="str">
        <f>HYPERLINK("http://nsgreg.nga.mil/genc/view?v=202435&amp;end_month=3&amp;end_day=31&amp;end_year=2014","New Ireland")</f>
        <v>New Ireland</v>
      </c>
      <c r="H3197" s="87" t="str">
        <f>HYPERLINK("http://api.nsgreg.nga.mil/geo-division/GENC/6/ed2/PG-NIK","PG-NIK")</f>
        <v>PG-NIK</v>
      </c>
    </row>
    <row r="3198" spans="1:8" x14ac:dyDescent="0.2">
      <c r="A3198" s="157"/>
      <c r="B3198" s="31" t="s">
        <v>11430</v>
      </c>
      <c r="C3198" s="31" t="s">
        <v>5625</v>
      </c>
      <c r="D3198" s="31" t="s">
        <v>1920</v>
      </c>
      <c r="E3198" s="61" t="b">
        <v>1</v>
      </c>
      <c r="F3198" s="107" t="s">
        <v>11431</v>
      </c>
      <c r="G3198" s="116" t="str">
        <f>HYPERLINK("http://nsgreg.nga.mil/genc/view?v=202436&amp;end_month=3&amp;end_day=31&amp;end_year=2014","Northern")</f>
        <v>Northern</v>
      </c>
      <c r="H3198" s="87" t="str">
        <f>HYPERLINK("http://api.nsgreg.nga.mil/geo-division/GENC/6/ed2/PG-NPP","PG-NPP")</f>
        <v>PG-NPP</v>
      </c>
    </row>
    <row r="3199" spans="1:8" x14ac:dyDescent="0.2">
      <c r="A3199" s="157"/>
      <c r="B3199" s="31" t="s">
        <v>11432</v>
      </c>
      <c r="C3199" s="31" t="s">
        <v>11433</v>
      </c>
      <c r="D3199" s="31" t="s">
        <v>1920</v>
      </c>
      <c r="E3199" s="61" t="b">
        <v>1</v>
      </c>
      <c r="F3199" s="107" t="s">
        <v>11434</v>
      </c>
      <c r="G3199" s="116" t="str">
        <f>HYPERLINK("http://nsgreg.nga.mil/genc/view?v=202438&amp;end_month=3&amp;end_day=31&amp;end_year=2014","Southern Highlands")</f>
        <v>Southern Highlands</v>
      </c>
      <c r="H3199" s="87" t="str">
        <f>HYPERLINK("http://api.nsgreg.nga.mil/geo-division/GENC/6/ed2/PG-SHM","PG-SHM")</f>
        <v>PG-SHM</v>
      </c>
    </row>
    <row r="3200" spans="1:8" x14ac:dyDescent="0.2">
      <c r="A3200" s="157"/>
      <c r="B3200" s="31" t="s">
        <v>11435</v>
      </c>
      <c r="C3200" s="31" t="s">
        <v>5631</v>
      </c>
      <c r="D3200" s="31" t="s">
        <v>1920</v>
      </c>
      <c r="E3200" s="61" t="b">
        <v>1</v>
      </c>
      <c r="F3200" s="107" t="s">
        <v>11436</v>
      </c>
      <c r="G3200" s="116" t="str">
        <f>HYPERLINK("http://nsgreg.nga.mil/genc/view?v=202441&amp;end_month=3&amp;end_day=31&amp;end_year=2014","Western")</f>
        <v>Western</v>
      </c>
      <c r="H3200" s="87" t="str">
        <f>HYPERLINK("http://api.nsgreg.nga.mil/geo-division/GENC/6/ed2/PG-WPD","PG-WPD")</f>
        <v>PG-WPD</v>
      </c>
    </row>
    <row r="3201" spans="1:8" x14ac:dyDescent="0.2">
      <c r="A3201" s="157"/>
      <c r="B3201" s="31" t="s">
        <v>11437</v>
      </c>
      <c r="C3201" s="31" t="s">
        <v>11438</v>
      </c>
      <c r="D3201" s="31" t="s">
        <v>1920</v>
      </c>
      <c r="E3201" s="61" t="b">
        <v>1</v>
      </c>
      <c r="F3201" s="107" t="s">
        <v>11439</v>
      </c>
      <c r="G3201" s="116" t="str">
        <f>HYPERLINK("http://nsgreg.nga.mil/genc/view?v=202440&amp;end_month=3&amp;end_day=31&amp;end_year=2014","Western Highlands")</f>
        <v>Western Highlands</v>
      </c>
      <c r="H3201" s="87" t="str">
        <f>HYPERLINK("http://api.nsgreg.nga.mil/geo-division/GENC/6/ed2/PG-WHM","PG-WHM")</f>
        <v>PG-WHM</v>
      </c>
    </row>
    <row r="3202" spans="1:8" x14ac:dyDescent="0.2">
      <c r="A3202" s="157"/>
      <c r="B3202" s="31" t="s">
        <v>11440</v>
      </c>
      <c r="C3202" s="31" t="s">
        <v>11441</v>
      </c>
      <c r="D3202" s="31" t="s">
        <v>1920</v>
      </c>
      <c r="E3202" s="61" t="b">
        <v>1</v>
      </c>
      <c r="F3202" s="107" t="s">
        <v>11442</v>
      </c>
      <c r="G3202" s="116" t="str">
        <f>HYPERLINK("http://nsgreg.nga.mil/genc/view?v=202439&amp;end_month=3&amp;end_day=31&amp;end_year=2014","West New Britain")</f>
        <v>West New Britain</v>
      </c>
      <c r="H3202" s="87" t="str">
        <f>HYPERLINK("http://api.nsgreg.nga.mil/geo-division/GENC/6/ed2/PG-WBK","PG-WBK")</f>
        <v>PG-WBK</v>
      </c>
    </row>
    <row r="3203" spans="1:8" x14ac:dyDescent="0.2">
      <c r="A3203" s="158"/>
      <c r="B3203" s="58" t="s">
        <v>11443</v>
      </c>
      <c r="C3203" s="58" t="s">
        <v>11444</v>
      </c>
      <c r="D3203" s="58" t="s">
        <v>1920</v>
      </c>
      <c r="E3203" s="62" t="b">
        <v>1</v>
      </c>
      <c r="F3203" s="111" t="s">
        <v>11445</v>
      </c>
      <c r="G3203" s="117" t="str">
        <f>HYPERLINK("http://nsgreg.nga.mil/genc/view?v=202437&amp;end_month=3&amp;end_day=31&amp;end_year=2014","West Sepik")</f>
        <v>West Sepik</v>
      </c>
      <c r="H3203" s="89" t="str">
        <f>HYPERLINK("http://api.nsgreg.nga.mil/geo-division/GENC/6/ed2/PG-SAN","PG-SAN")</f>
        <v>PG-SAN</v>
      </c>
    </row>
    <row r="3204" spans="1:8" x14ac:dyDescent="0.2">
      <c r="A3204" s="156" t="str">
        <f>HYPERLINK("[#]Geopolitical_Entities!A202:I202","PARAGUAY")</f>
        <v>PARAGUAY</v>
      </c>
      <c r="B3204" s="52" t="s">
        <v>11446</v>
      </c>
      <c r="C3204" s="52" t="s">
        <v>11447</v>
      </c>
      <c r="D3204" s="52" t="s">
        <v>3214</v>
      </c>
      <c r="E3204" s="60" t="b">
        <v>1</v>
      </c>
      <c r="F3204" s="109" t="s">
        <v>11448</v>
      </c>
      <c r="G3204" s="118" t="str">
        <f>HYPERLINK("http://nsgreg.nga.mil/genc/view?v=115552&amp;gencs=T&amp;end_month=3&amp;end_day=31&amp;end_year=2014","Alto Paraguay")</f>
        <v>Alto Paraguay</v>
      </c>
      <c r="H3204" s="91" t="str">
        <f>HYPERLINK("http://api.nsgreg.nga.mil/geo-division/ISO3166-2/6/ed3/PY-16","PY-16")</f>
        <v>PY-16</v>
      </c>
    </row>
    <row r="3205" spans="1:8" x14ac:dyDescent="0.2">
      <c r="A3205" s="157"/>
      <c r="B3205" s="31" t="s">
        <v>11449</v>
      </c>
      <c r="C3205" s="31" t="s">
        <v>11450</v>
      </c>
      <c r="D3205" s="31" t="s">
        <v>3214</v>
      </c>
      <c r="E3205" s="61" t="b">
        <v>1</v>
      </c>
      <c r="F3205" s="106" t="s">
        <v>11451</v>
      </c>
      <c r="G3205" s="116" t="str">
        <f>HYPERLINK("http://nsgreg.nga.mil/genc/view?v=115546&amp;gencs=T&amp;end_month=3&amp;end_day=31&amp;end_year=2014","Alto Paraná")</f>
        <v>Alto Paraná</v>
      </c>
      <c r="H3205" s="87" t="str">
        <f>HYPERLINK("http://api.nsgreg.nga.mil/geo-division/ISO3166-2/6/ed3/PY-10","PY-10")</f>
        <v>PY-10</v>
      </c>
    </row>
    <row r="3206" spans="1:8" x14ac:dyDescent="0.2">
      <c r="A3206" s="157"/>
      <c r="B3206" s="31" t="s">
        <v>11452</v>
      </c>
      <c r="C3206" s="31" t="s">
        <v>11453</v>
      </c>
      <c r="D3206" s="31" t="s">
        <v>3214</v>
      </c>
      <c r="E3206" s="61" t="b">
        <v>1</v>
      </c>
      <c r="F3206" s="106" t="s">
        <v>11454</v>
      </c>
      <c r="G3206" s="116" t="str">
        <f>HYPERLINK("http://nsgreg.nga.mil/genc/view?v=115549&amp;gencs=T&amp;end_month=3&amp;end_day=31&amp;end_year=2014","Amambay")</f>
        <v>Amambay</v>
      </c>
      <c r="H3206" s="87" t="str">
        <f>HYPERLINK("http://api.nsgreg.nga.mil/geo-division/ISO3166-2/6/ed3/PY-13","PY-13")</f>
        <v>PY-13</v>
      </c>
    </row>
    <row r="3207" spans="1:8" x14ac:dyDescent="0.2">
      <c r="A3207" s="157"/>
      <c r="B3207" s="31" t="s">
        <v>11455</v>
      </c>
      <c r="C3207" s="31" t="s">
        <v>11456</v>
      </c>
      <c r="D3207" s="31" t="s">
        <v>4411</v>
      </c>
      <c r="E3207" s="61" t="b">
        <v>1</v>
      </c>
      <c r="F3207" s="107" t="s">
        <v>11457</v>
      </c>
      <c r="G3207" s="116" t="str">
        <f>HYPERLINK("http://nsgreg.nga.mil/genc/view?v=202622&amp;end_month=3&amp;end_day=31&amp;end_year=2014","Asunción")</f>
        <v>Asunción</v>
      </c>
      <c r="H3207" s="87" t="str">
        <f>HYPERLINK("http://api.nsgreg.nga.mil/geo-division/GENC/6/ed2/PY-ASU","PY-ASU")</f>
        <v>PY-ASU</v>
      </c>
    </row>
    <row r="3208" spans="1:8" x14ac:dyDescent="0.2">
      <c r="A3208" s="157"/>
      <c r="B3208" s="31" t="s">
        <v>11458</v>
      </c>
      <c r="C3208" s="31" t="s">
        <v>11459</v>
      </c>
      <c r="D3208" s="31" t="s">
        <v>3214</v>
      </c>
      <c r="E3208" s="61" t="b">
        <v>1</v>
      </c>
      <c r="F3208" s="106" t="s">
        <v>11460</v>
      </c>
      <c r="G3208" s="116" t="str">
        <f>HYPERLINK("http://nsgreg.nga.mil/genc/view?v=115553&amp;gencs=T&amp;end_month=3&amp;end_day=31&amp;end_year=2014","Boquerón")</f>
        <v>Boquerón</v>
      </c>
      <c r="H3208" s="87" t="str">
        <f>HYPERLINK("http://api.nsgreg.nga.mil/geo-division/ISO3166-2/6/ed3/PY-19","PY-19")</f>
        <v>PY-19</v>
      </c>
    </row>
    <row r="3209" spans="1:8" x14ac:dyDescent="0.2">
      <c r="A3209" s="157"/>
      <c r="B3209" s="31" t="s">
        <v>11461</v>
      </c>
      <c r="C3209" s="31" t="s">
        <v>11462</v>
      </c>
      <c r="D3209" s="31" t="s">
        <v>3214</v>
      </c>
      <c r="E3209" s="61" t="b">
        <v>1</v>
      </c>
      <c r="F3209" s="106" t="s">
        <v>11463</v>
      </c>
      <c r="G3209" s="116" t="str">
        <f>HYPERLINK("http://nsgreg.nga.mil/genc/view?v=115557&amp;gencs=T&amp;end_month=3&amp;end_day=31&amp;end_year=2014","Caaguazú")</f>
        <v>Caaguazú</v>
      </c>
      <c r="H3209" s="87" t="str">
        <f>HYPERLINK("http://api.nsgreg.nga.mil/geo-division/ISO3166-2/6/ed3/PY-5","PY-5")</f>
        <v>PY-5</v>
      </c>
    </row>
    <row r="3210" spans="1:8" x14ac:dyDescent="0.2">
      <c r="A3210" s="157"/>
      <c r="B3210" s="31" t="s">
        <v>11464</v>
      </c>
      <c r="C3210" s="31" t="s">
        <v>11465</v>
      </c>
      <c r="D3210" s="31" t="s">
        <v>3214</v>
      </c>
      <c r="E3210" s="61" t="b">
        <v>1</v>
      </c>
      <c r="F3210" s="106" t="s">
        <v>11466</v>
      </c>
      <c r="G3210" s="116" t="str">
        <f>HYPERLINK("http://nsgreg.nga.mil/genc/view?v=115558&amp;gencs=T&amp;end_month=3&amp;end_day=31&amp;end_year=2014","Caazapá")</f>
        <v>Caazapá</v>
      </c>
      <c r="H3210" s="87" t="str">
        <f>HYPERLINK("http://api.nsgreg.nga.mil/geo-division/ISO3166-2/6/ed3/PY-6","PY-6")</f>
        <v>PY-6</v>
      </c>
    </row>
    <row r="3211" spans="1:8" x14ac:dyDescent="0.2">
      <c r="A3211" s="157"/>
      <c r="B3211" s="31" t="s">
        <v>11467</v>
      </c>
      <c r="C3211" s="31" t="s">
        <v>11468</v>
      </c>
      <c r="D3211" s="31" t="s">
        <v>3214</v>
      </c>
      <c r="E3211" s="61" t="b">
        <v>1</v>
      </c>
      <c r="F3211" s="106" t="s">
        <v>11469</v>
      </c>
      <c r="G3211" s="116" t="str">
        <f>HYPERLINK("http://nsgreg.nga.mil/genc/view?v=115550&amp;gencs=T&amp;end_month=3&amp;end_day=31&amp;end_year=2014","Canindeyú")</f>
        <v>Canindeyú</v>
      </c>
      <c r="H3211" s="87" t="str">
        <f>HYPERLINK("http://api.nsgreg.nga.mil/geo-division/ISO3166-2/6/ed3/PY-14","PY-14")</f>
        <v>PY-14</v>
      </c>
    </row>
    <row r="3212" spans="1:8" x14ac:dyDescent="0.2">
      <c r="A3212" s="157"/>
      <c r="B3212" s="31" t="s">
        <v>11470</v>
      </c>
      <c r="C3212" s="31" t="s">
        <v>3420</v>
      </c>
      <c r="D3212" s="31" t="s">
        <v>3214</v>
      </c>
      <c r="E3212" s="61" t="b">
        <v>1</v>
      </c>
      <c r="F3212" s="106" t="s">
        <v>11471</v>
      </c>
      <c r="G3212" s="116" t="str">
        <f>HYPERLINK("http://nsgreg.nga.mil/genc/view?v=115547&amp;gencs=T&amp;end_month=3&amp;end_day=31&amp;end_year=2014","Central")</f>
        <v>Central</v>
      </c>
      <c r="H3212" s="87" t="str">
        <f>HYPERLINK("http://api.nsgreg.nga.mil/geo-division/ISO3166-2/6/ed3/PY-11","PY-11")</f>
        <v>PY-11</v>
      </c>
    </row>
    <row r="3213" spans="1:8" x14ac:dyDescent="0.2">
      <c r="A3213" s="157"/>
      <c r="B3213" s="31" t="s">
        <v>11472</v>
      </c>
      <c r="C3213" s="31" t="s">
        <v>11473</v>
      </c>
      <c r="D3213" s="31" t="s">
        <v>3214</v>
      </c>
      <c r="E3213" s="61" t="b">
        <v>1</v>
      </c>
      <c r="F3213" s="106" t="s">
        <v>11474</v>
      </c>
      <c r="G3213" s="116" t="str">
        <f>HYPERLINK("http://nsgreg.nga.mil/genc/view?v=115545&amp;gencs=T&amp;end_month=3&amp;end_day=31&amp;end_year=2014","Concepción")</f>
        <v>Concepción</v>
      </c>
      <c r="H3213" s="87" t="str">
        <f>HYPERLINK("http://api.nsgreg.nga.mil/geo-division/ISO3166-2/6/ed3/PY-1","PY-1")</f>
        <v>PY-1</v>
      </c>
    </row>
    <row r="3214" spans="1:8" x14ac:dyDescent="0.2">
      <c r="A3214" s="157"/>
      <c r="B3214" s="31" t="s">
        <v>11475</v>
      </c>
      <c r="C3214" s="31" t="s">
        <v>11476</v>
      </c>
      <c r="D3214" s="31" t="s">
        <v>3214</v>
      </c>
      <c r="E3214" s="61" t="b">
        <v>1</v>
      </c>
      <c r="F3214" s="106" t="s">
        <v>11477</v>
      </c>
      <c r="G3214" s="116" t="str">
        <f>HYPERLINK("http://nsgreg.nga.mil/genc/view?v=115555&amp;gencs=T&amp;end_month=3&amp;end_day=31&amp;end_year=2014","Cordillera")</f>
        <v>Cordillera</v>
      </c>
      <c r="H3214" s="87" t="str">
        <f>HYPERLINK("http://api.nsgreg.nga.mil/geo-division/ISO3166-2/6/ed3/PY-3","PY-3")</f>
        <v>PY-3</v>
      </c>
    </row>
    <row r="3215" spans="1:8" x14ac:dyDescent="0.2">
      <c r="A3215" s="157"/>
      <c r="B3215" s="31" t="s">
        <v>11478</v>
      </c>
      <c r="C3215" s="31" t="s">
        <v>11479</v>
      </c>
      <c r="D3215" s="31" t="s">
        <v>3214</v>
      </c>
      <c r="E3215" s="61" t="b">
        <v>1</v>
      </c>
      <c r="F3215" s="106" t="s">
        <v>11480</v>
      </c>
      <c r="G3215" s="116" t="str">
        <f>HYPERLINK("http://nsgreg.nga.mil/genc/view?v=115556&amp;gencs=T&amp;end_month=3&amp;end_day=31&amp;end_year=2014","Guairá")</f>
        <v>Guairá</v>
      </c>
      <c r="H3215" s="87" t="str">
        <f>HYPERLINK("http://api.nsgreg.nga.mil/geo-division/ISO3166-2/6/ed3/PY-4","PY-4")</f>
        <v>PY-4</v>
      </c>
    </row>
    <row r="3216" spans="1:8" x14ac:dyDescent="0.2">
      <c r="A3216" s="157"/>
      <c r="B3216" s="31" t="s">
        <v>11481</v>
      </c>
      <c r="C3216" s="31" t="s">
        <v>11482</v>
      </c>
      <c r="D3216" s="31" t="s">
        <v>3214</v>
      </c>
      <c r="E3216" s="61" t="b">
        <v>1</v>
      </c>
      <c r="F3216" s="106" t="s">
        <v>11483</v>
      </c>
      <c r="G3216" s="116" t="str">
        <f>HYPERLINK("http://nsgreg.nga.mil/genc/view?v=115559&amp;gencs=T&amp;end_month=3&amp;end_day=31&amp;end_year=2014","Itapúa")</f>
        <v>Itapúa</v>
      </c>
      <c r="H3216" s="87" t="str">
        <f>HYPERLINK("http://api.nsgreg.nga.mil/geo-division/ISO3166-2/6/ed3/PY-7","PY-7")</f>
        <v>PY-7</v>
      </c>
    </row>
    <row r="3217" spans="1:8" x14ac:dyDescent="0.2">
      <c r="A3217" s="157"/>
      <c r="B3217" s="31" t="s">
        <v>11484</v>
      </c>
      <c r="C3217" s="31" t="s">
        <v>2441</v>
      </c>
      <c r="D3217" s="31" t="s">
        <v>3214</v>
      </c>
      <c r="E3217" s="61" t="b">
        <v>1</v>
      </c>
      <c r="F3217" s="106" t="s">
        <v>11485</v>
      </c>
      <c r="G3217" s="116" t="str">
        <f>HYPERLINK("http://nsgreg.nga.mil/genc/view?v=115560&amp;gencs=T&amp;end_month=3&amp;end_day=31&amp;end_year=2014","Misiones")</f>
        <v>Misiones</v>
      </c>
      <c r="H3217" s="87" t="str">
        <f>HYPERLINK("http://api.nsgreg.nga.mil/geo-division/ISO3166-2/6/ed3/PY-8","PY-8")</f>
        <v>PY-8</v>
      </c>
    </row>
    <row r="3218" spans="1:8" x14ac:dyDescent="0.2">
      <c r="A3218" s="157"/>
      <c r="B3218" s="31" t="s">
        <v>11486</v>
      </c>
      <c r="C3218" s="31" t="s">
        <v>11487</v>
      </c>
      <c r="D3218" s="31" t="s">
        <v>3214</v>
      </c>
      <c r="E3218" s="61" t="b">
        <v>1</v>
      </c>
      <c r="F3218" s="106" t="s">
        <v>11488</v>
      </c>
      <c r="G3218" s="116" t="str">
        <f>HYPERLINK("http://nsgreg.nga.mil/genc/view?v=115548&amp;gencs=T&amp;end_month=3&amp;end_day=31&amp;end_year=2014","Ñeembucú")</f>
        <v>Ñeembucú</v>
      </c>
      <c r="H3218" s="87" t="str">
        <f>HYPERLINK("http://api.nsgreg.nga.mil/geo-division/ISO3166-2/6/ed3/PY-12","PY-12")</f>
        <v>PY-12</v>
      </c>
    </row>
    <row r="3219" spans="1:8" x14ac:dyDescent="0.2">
      <c r="A3219" s="157"/>
      <c r="B3219" s="31" t="s">
        <v>11489</v>
      </c>
      <c r="C3219" s="31" t="s">
        <v>11490</v>
      </c>
      <c r="D3219" s="31" t="s">
        <v>3214</v>
      </c>
      <c r="E3219" s="61" t="b">
        <v>1</v>
      </c>
      <c r="F3219" s="106" t="s">
        <v>11491</v>
      </c>
      <c r="G3219" s="116" t="str">
        <f>HYPERLINK("http://nsgreg.nga.mil/genc/view?v=115561&amp;gencs=T&amp;end_month=3&amp;end_day=31&amp;end_year=2014","Paraguarí")</f>
        <v>Paraguarí</v>
      </c>
      <c r="H3219" s="87" t="str">
        <f>HYPERLINK("http://api.nsgreg.nga.mil/geo-division/ISO3166-2/6/ed3/PY-9","PY-9")</f>
        <v>PY-9</v>
      </c>
    </row>
    <row r="3220" spans="1:8" x14ac:dyDescent="0.2">
      <c r="A3220" s="157"/>
      <c r="B3220" s="31" t="s">
        <v>11492</v>
      </c>
      <c r="C3220" s="31" t="s">
        <v>11493</v>
      </c>
      <c r="D3220" s="31" t="s">
        <v>3214</v>
      </c>
      <c r="E3220" s="61" t="b">
        <v>1</v>
      </c>
      <c r="F3220" s="106" t="s">
        <v>11494</v>
      </c>
      <c r="G3220" s="116" t="str">
        <f>HYPERLINK("http://nsgreg.nga.mil/genc/view?v=115551&amp;gencs=T&amp;end_month=3&amp;end_day=31&amp;end_year=2014","Presidente Hayes")</f>
        <v>Presidente Hayes</v>
      </c>
      <c r="H3220" s="87" t="str">
        <f>HYPERLINK("http://api.nsgreg.nga.mil/geo-division/ISO3166-2/6/ed3/PY-15","PY-15")</f>
        <v>PY-15</v>
      </c>
    </row>
    <row r="3221" spans="1:8" x14ac:dyDescent="0.2">
      <c r="A3221" s="158"/>
      <c r="B3221" s="58" t="s">
        <v>11495</v>
      </c>
      <c r="C3221" s="58" t="s">
        <v>11496</v>
      </c>
      <c r="D3221" s="58" t="s">
        <v>3214</v>
      </c>
      <c r="E3221" s="62" t="b">
        <v>1</v>
      </c>
      <c r="F3221" s="108" t="s">
        <v>11497</v>
      </c>
      <c r="G3221" s="117" t="str">
        <f>HYPERLINK("http://nsgreg.nga.mil/genc/view?v=115554&amp;gencs=T&amp;end_month=3&amp;end_day=31&amp;end_year=2014","San Pedro")</f>
        <v>San Pedro</v>
      </c>
      <c r="H3221" s="89" t="str">
        <f>HYPERLINK("http://api.nsgreg.nga.mil/geo-division/ISO3166-2/6/ed3/PY-2","PY-2")</f>
        <v>PY-2</v>
      </c>
    </row>
    <row r="3222" spans="1:8" x14ac:dyDescent="0.2">
      <c r="A3222" s="156" t="str">
        <f>HYPERLINK("[#]Geopolitical_Entities!A203:I203","PERU")</f>
        <v>PERU</v>
      </c>
      <c r="B3222" s="52" t="s">
        <v>11498</v>
      </c>
      <c r="C3222" s="52" t="s">
        <v>3478</v>
      </c>
      <c r="D3222" s="52" t="s">
        <v>3137</v>
      </c>
      <c r="E3222" s="60" t="b">
        <v>1</v>
      </c>
      <c r="F3222" s="110" t="s">
        <v>11499</v>
      </c>
      <c r="G3222" s="118" t="str">
        <f>HYPERLINK("http://nsgreg.nga.mil/genc/view?v=202395&amp;end_month=3&amp;end_day=31&amp;end_year=2014","Amazonas")</f>
        <v>Amazonas</v>
      </c>
      <c r="H3222" s="91" t="str">
        <f>HYPERLINK("http://api.nsgreg.nga.mil/geo-division/GENC/6/ed2/PE-AMA","PE-AMA")</f>
        <v>PE-AMA</v>
      </c>
    </row>
    <row r="3223" spans="1:8" x14ac:dyDescent="0.2">
      <c r="A3223" s="157"/>
      <c r="B3223" s="31" t="s">
        <v>11500</v>
      </c>
      <c r="C3223" s="31" t="s">
        <v>11501</v>
      </c>
      <c r="D3223" s="31" t="s">
        <v>3137</v>
      </c>
      <c r="E3223" s="61" t="b">
        <v>1</v>
      </c>
      <c r="F3223" s="107" t="s">
        <v>11502</v>
      </c>
      <c r="G3223" s="116" t="str">
        <f>HYPERLINK("http://nsgreg.nga.mil/genc/view?v=202396&amp;end_month=3&amp;end_day=31&amp;end_year=2014","Ancash")</f>
        <v>Ancash</v>
      </c>
      <c r="H3223" s="87" t="str">
        <f>HYPERLINK("http://api.nsgreg.nga.mil/geo-division/GENC/6/ed2/PE-ANC","PE-ANC")</f>
        <v>PE-ANC</v>
      </c>
    </row>
    <row r="3224" spans="1:8" x14ac:dyDescent="0.2">
      <c r="A3224" s="157"/>
      <c r="B3224" s="31" t="s">
        <v>11503</v>
      </c>
      <c r="C3224" s="31" t="s">
        <v>11504</v>
      </c>
      <c r="D3224" s="31" t="s">
        <v>3137</v>
      </c>
      <c r="E3224" s="61" t="b">
        <v>1</v>
      </c>
      <c r="F3224" s="107" t="s">
        <v>11505</v>
      </c>
      <c r="G3224" s="116" t="str">
        <f>HYPERLINK("http://nsgreg.nga.mil/genc/view?v=202397&amp;end_month=3&amp;end_day=31&amp;end_year=2014","Apurímac")</f>
        <v>Apurímac</v>
      </c>
      <c r="H3224" s="87" t="str">
        <f>HYPERLINK("http://api.nsgreg.nga.mil/geo-division/GENC/6/ed2/PE-APU","PE-APU")</f>
        <v>PE-APU</v>
      </c>
    </row>
    <row r="3225" spans="1:8" x14ac:dyDescent="0.2">
      <c r="A3225" s="157"/>
      <c r="B3225" s="31" t="s">
        <v>11506</v>
      </c>
      <c r="C3225" s="31" t="s">
        <v>11507</v>
      </c>
      <c r="D3225" s="31" t="s">
        <v>3137</v>
      </c>
      <c r="E3225" s="61" t="b">
        <v>1</v>
      </c>
      <c r="F3225" s="107" t="s">
        <v>11508</v>
      </c>
      <c r="G3225" s="116" t="str">
        <f>HYPERLINK("http://nsgreg.nga.mil/genc/view?v=202398&amp;end_month=3&amp;end_day=31&amp;end_year=2014","Arequipa")</f>
        <v>Arequipa</v>
      </c>
      <c r="H3225" s="87" t="str">
        <f>HYPERLINK("http://api.nsgreg.nga.mil/geo-division/GENC/6/ed2/PE-ARE","PE-ARE")</f>
        <v>PE-ARE</v>
      </c>
    </row>
    <row r="3226" spans="1:8" x14ac:dyDescent="0.2">
      <c r="A3226" s="157"/>
      <c r="B3226" s="31" t="s">
        <v>11509</v>
      </c>
      <c r="C3226" s="31" t="s">
        <v>11510</v>
      </c>
      <c r="D3226" s="31" t="s">
        <v>3137</v>
      </c>
      <c r="E3226" s="61" t="b">
        <v>1</v>
      </c>
      <c r="F3226" s="107" t="s">
        <v>11511</v>
      </c>
      <c r="G3226" s="116" t="str">
        <f>HYPERLINK("http://nsgreg.nga.mil/genc/view?v=202399&amp;end_month=3&amp;end_day=31&amp;end_year=2014","Ayacucho")</f>
        <v>Ayacucho</v>
      </c>
      <c r="H3226" s="87" t="str">
        <f>HYPERLINK("http://api.nsgreg.nga.mil/geo-division/GENC/6/ed2/PE-AYA","PE-AYA")</f>
        <v>PE-AYA</v>
      </c>
    </row>
    <row r="3227" spans="1:8" x14ac:dyDescent="0.2">
      <c r="A3227" s="157"/>
      <c r="B3227" s="31" t="s">
        <v>11512</v>
      </c>
      <c r="C3227" s="31" t="s">
        <v>11513</v>
      </c>
      <c r="D3227" s="31" t="s">
        <v>3137</v>
      </c>
      <c r="E3227" s="61" t="b">
        <v>1</v>
      </c>
      <c r="F3227" s="107" t="s">
        <v>11514</v>
      </c>
      <c r="G3227" s="116" t="str">
        <f>HYPERLINK("http://nsgreg.nga.mil/genc/view?v=202400&amp;end_month=3&amp;end_day=31&amp;end_year=2014","Cajamarca")</f>
        <v>Cajamarca</v>
      </c>
      <c r="H3227" s="87" t="str">
        <f>HYPERLINK("http://api.nsgreg.nga.mil/geo-division/GENC/6/ed2/PE-CAJ","PE-CAJ")</f>
        <v>PE-CAJ</v>
      </c>
    </row>
    <row r="3228" spans="1:8" x14ac:dyDescent="0.2">
      <c r="A3228" s="157"/>
      <c r="B3228" s="31" t="s">
        <v>11515</v>
      </c>
      <c r="C3228" s="31" t="s">
        <v>11516</v>
      </c>
      <c r="D3228" s="31" t="s">
        <v>3137</v>
      </c>
      <c r="E3228" s="61" t="b">
        <v>1</v>
      </c>
      <c r="F3228" s="107" t="s">
        <v>11517</v>
      </c>
      <c r="G3228" s="116" t="str">
        <f>HYPERLINK("http://nsgreg.nga.mil/genc/view?v=202401&amp;end_month=3&amp;end_day=31&amp;end_year=2014","Callao")</f>
        <v>Callao</v>
      </c>
      <c r="H3228" s="87" t="str">
        <f>HYPERLINK("http://api.nsgreg.nga.mil/geo-division/GENC/6/ed2/PE-CAL","PE-CAL")</f>
        <v>PE-CAL</v>
      </c>
    </row>
    <row r="3229" spans="1:8" x14ac:dyDescent="0.2">
      <c r="A3229" s="157"/>
      <c r="B3229" s="31" t="s">
        <v>11518</v>
      </c>
      <c r="C3229" s="31" t="s">
        <v>11519</v>
      </c>
      <c r="D3229" s="31" t="s">
        <v>3137</v>
      </c>
      <c r="E3229" s="61" t="b">
        <v>1</v>
      </c>
      <c r="F3229" s="107" t="s">
        <v>11520</v>
      </c>
      <c r="G3229" s="116" t="str">
        <f>HYPERLINK("http://nsgreg.nga.mil/genc/view?v=202402&amp;end_month=3&amp;end_day=31&amp;end_year=2014","Cusco")</f>
        <v>Cusco</v>
      </c>
      <c r="H3229" s="87" t="str">
        <f>HYPERLINK("http://api.nsgreg.nga.mil/geo-division/GENC/6/ed2/PE-CUS","PE-CUS")</f>
        <v>PE-CUS</v>
      </c>
    </row>
    <row r="3230" spans="1:8" x14ac:dyDescent="0.2">
      <c r="A3230" s="157"/>
      <c r="B3230" s="31" t="s">
        <v>11521</v>
      </c>
      <c r="C3230" s="31" t="s">
        <v>11522</v>
      </c>
      <c r="D3230" s="31" t="s">
        <v>3137</v>
      </c>
      <c r="E3230" s="61" t="b">
        <v>1</v>
      </c>
      <c r="F3230" s="107" t="s">
        <v>11523</v>
      </c>
      <c r="G3230" s="116" t="str">
        <f>HYPERLINK("http://nsgreg.nga.mil/genc/view?v=202404&amp;end_month=3&amp;end_day=31&amp;end_year=2014","Huancavelica")</f>
        <v>Huancavelica</v>
      </c>
      <c r="H3230" s="87" t="str">
        <f>HYPERLINK("http://api.nsgreg.nga.mil/geo-division/GENC/6/ed2/PE-HUV","PE-HUV")</f>
        <v>PE-HUV</v>
      </c>
    </row>
    <row r="3231" spans="1:8" x14ac:dyDescent="0.2">
      <c r="A3231" s="157"/>
      <c r="B3231" s="31" t="s">
        <v>11524</v>
      </c>
      <c r="C3231" s="31" t="s">
        <v>11525</v>
      </c>
      <c r="D3231" s="31" t="s">
        <v>3137</v>
      </c>
      <c r="E3231" s="61" t="b">
        <v>1</v>
      </c>
      <c r="F3231" s="107" t="s">
        <v>11526</v>
      </c>
      <c r="G3231" s="116" t="str">
        <f>HYPERLINK("http://nsgreg.nga.mil/genc/view?v=202403&amp;end_month=3&amp;end_day=31&amp;end_year=2014","Huánuco")</f>
        <v>Huánuco</v>
      </c>
      <c r="H3231" s="87" t="str">
        <f>HYPERLINK("http://api.nsgreg.nga.mil/geo-division/GENC/6/ed2/PE-HUC","PE-HUC")</f>
        <v>PE-HUC</v>
      </c>
    </row>
    <row r="3232" spans="1:8" x14ac:dyDescent="0.2">
      <c r="A3232" s="157"/>
      <c r="B3232" s="31" t="s">
        <v>11527</v>
      </c>
      <c r="C3232" s="31" t="s">
        <v>11528</v>
      </c>
      <c r="D3232" s="31" t="s">
        <v>3137</v>
      </c>
      <c r="E3232" s="61" t="b">
        <v>1</v>
      </c>
      <c r="F3232" s="107" t="s">
        <v>11529</v>
      </c>
      <c r="G3232" s="116" t="str">
        <f>HYPERLINK("http://nsgreg.nga.mil/genc/view?v=202405&amp;end_month=3&amp;end_day=31&amp;end_year=2014","Ica")</f>
        <v>Ica</v>
      </c>
      <c r="H3232" s="87" t="str">
        <f>HYPERLINK("http://api.nsgreg.nga.mil/geo-division/GENC/6/ed2/PE-ICA","PE-ICA")</f>
        <v>PE-ICA</v>
      </c>
    </row>
    <row r="3233" spans="1:8" x14ac:dyDescent="0.2">
      <c r="A3233" s="157"/>
      <c r="B3233" s="31" t="s">
        <v>11530</v>
      </c>
      <c r="C3233" s="31" t="s">
        <v>11531</v>
      </c>
      <c r="D3233" s="31" t="s">
        <v>3137</v>
      </c>
      <c r="E3233" s="61" t="b">
        <v>1</v>
      </c>
      <c r="F3233" s="107" t="s">
        <v>11532</v>
      </c>
      <c r="G3233" s="116" t="str">
        <f>HYPERLINK("http://nsgreg.nga.mil/genc/view?v=202406&amp;end_month=3&amp;end_day=31&amp;end_year=2014","Junín")</f>
        <v>Junín</v>
      </c>
      <c r="H3233" s="87" t="str">
        <f>HYPERLINK("http://api.nsgreg.nga.mil/geo-division/GENC/6/ed2/PE-JUN","PE-JUN")</f>
        <v>PE-JUN</v>
      </c>
    </row>
    <row r="3234" spans="1:8" x14ac:dyDescent="0.2">
      <c r="A3234" s="157"/>
      <c r="B3234" s="31" t="s">
        <v>11533</v>
      </c>
      <c r="C3234" s="31" t="s">
        <v>5468</v>
      </c>
      <c r="D3234" s="31" t="s">
        <v>3137</v>
      </c>
      <c r="E3234" s="61" t="b">
        <v>1</v>
      </c>
      <c r="F3234" s="107" t="s">
        <v>11534</v>
      </c>
      <c r="G3234" s="116" t="str">
        <f>HYPERLINK("http://nsgreg.nga.mil/genc/view?v=202407&amp;end_month=3&amp;end_day=31&amp;end_year=2014","La Libertad")</f>
        <v>La Libertad</v>
      </c>
      <c r="H3234" s="87" t="str">
        <f>HYPERLINK("http://api.nsgreg.nga.mil/geo-division/GENC/6/ed2/PE-LAL","PE-LAL")</f>
        <v>PE-LAL</v>
      </c>
    </row>
    <row r="3235" spans="1:8" x14ac:dyDescent="0.2">
      <c r="A3235" s="157"/>
      <c r="B3235" s="31" t="s">
        <v>11535</v>
      </c>
      <c r="C3235" s="31" t="s">
        <v>11536</v>
      </c>
      <c r="D3235" s="31" t="s">
        <v>3137</v>
      </c>
      <c r="E3235" s="61" t="b">
        <v>1</v>
      </c>
      <c r="F3235" s="107" t="s">
        <v>11537</v>
      </c>
      <c r="G3235" s="116" t="str">
        <f>HYPERLINK("http://nsgreg.nga.mil/genc/view?v=202408&amp;end_month=3&amp;end_day=31&amp;end_year=2014","Lambayeque")</f>
        <v>Lambayeque</v>
      </c>
      <c r="H3235" s="87" t="str">
        <f>HYPERLINK("http://api.nsgreg.nga.mil/geo-division/GENC/6/ed2/PE-LAM","PE-LAM")</f>
        <v>PE-LAM</v>
      </c>
    </row>
    <row r="3236" spans="1:8" x14ac:dyDescent="0.2">
      <c r="A3236" s="157"/>
      <c r="B3236" s="31" t="s">
        <v>11538</v>
      </c>
      <c r="C3236" s="31" t="s">
        <v>11539</v>
      </c>
      <c r="D3236" s="31" t="s">
        <v>1920</v>
      </c>
      <c r="E3236" s="61" t="b">
        <v>1</v>
      </c>
      <c r="F3236" s="107" t="s">
        <v>11540</v>
      </c>
      <c r="G3236" s="116" t="str">
        <f>HYPERLINK("http://nsgreg.nga.mil/genc/view?v=202410&amp;end_month=3&amp;end_day=31&amp;end_year=2014","Lima")</f>
        <v>Lima</v>
      </c>
      <c r="H3236" s="87" t="str">
        <f>HYPERLINK("http://api.nsgreg.nga.mil/geo-division/GENC/6/ed2/PE-LMA","PE-LMA")</f>
        <v>PE-LMA</v>
      </c>
    </row>
    <row r="3237" spans="1:8" x14ac:dyDescent="0.2">
      <c r="A3237" s="157"/>
      <c r="B3237" s="31" t="s">
        <v>11541</v>
      </c>
      <c r="C3237" s="31" t="s">
        <v>11539</v>
      </c>
      <c r="D3237" s="31" t="s">
        <v>3137</v>
      </c>
      <c r="E3237" s="61" t="b">
        <v>1</v>
      </c>
      <c r="F3237" s="107" t="s">
        <v>11542</v>
      </c>
      <c r="G3237" s="116" t="str">
        <f>HYPERLINK("http://nsgreg.nga.mil/genc/view?v=202409&amp;end_month=3&amp;end_day=31&amp;end_year=2014","Lima")</f>
        <v>Lima</v>
      </c>
      <c r="H3237" s="87" t="str">
        <f>HYPERLINK("http://api.nsgreg.nga.mil/geo-division/GENC/6/ed2/PE-LIM","PE-LIM")</f>
        <v>PE-LIM</v>
      </c>
    </row>
    <row r="3238" spans="1:8" x14ac:dyDescent="0.2">
      <c r="A3238" s="157"/>
      <c r="B3238" s="31" t="s">
        <v>11543</v>
      </c>
      <c r="C3238" s="31" t="s">
        <v>11544</v>
      </c>
      <c r="D3238" s="31" t="s">
        <v>3137</v>
      </c>
      <c r="E3238" s="61" t="b">
        <v>1</v>
      </c>
      <c r="F3238" s="107" t="s">
        <v>11545</v>
      </c>
      <c r="G3238" s="116" t="str">
        <f>HYPERLINK("http://nsgreg.nga.mil/genc/view?v=202411&amp;end_month=3&amp;end_day=31&amp;end_year=2014","Loreto")</f>
        <v>Loreto</v>
      </c>
      <c r="H3238" s="87" t="str">
        <f>HYPERLINK("http://api.nsgreg.nga.mil/geo-division/GENC/6/ed2/PE-LOR","PE-LOR")</f>
        <v>PE-LOR</v>
      </c>
    </row>
    <row r="3239" spans="1:8" x14ac:dyDescent="0.2">
      <c r="A3239" s="157"/>
      <c r="B3239" s="31" t="s">
        <v>11546</v>
      </c>
      <c r="C3239" s="31" t="s">
        <v>11547</v>
      </c>
      <c r="D3239" s="31" t="s">
        <v>3137</v>
      </c>
      <c r="E3239" s="61" t="b">
        <v>1</v>
      </c>
      <c r="F3239" s="107" t="s">
        <v>11548</v>
      </c>
      <c r="G3239" s="116" t="str">
        <f>HYPERLINK("http://nsgreg.nga.mil/genc/view?v=202412&amp;end_month=3&amp;end_day=31&amp;end_year=2014","Madre de Dios")</f>
        <v>Madre de Dios</v>
      </c>
      <c r="H3239" s="87" t="str">
        <f>HYPERLINK("http://api.nsgreg.nga.mil/geo-division/GENC/6/ed2/PE-MDD","PE-MDD")</f>
        <v>PE-MDD</v>
      </c>
    </row>
    <row r="3240" spans="1:8" x14ac:dyDescent="0.2">
      <c r="A3240" s="157"/>
      <c r="B3240" s="31" t="s">
        <v>11549</v>
      </c>
      <c r="C3240" s="31" t="s">
        <v>11550</v>
      </c>
      <c r="D3240" s="31" t="s">
        <v>3137</v>
      </c>
      <c r="E3240" s="61" t="b">
        <v>1</v>
      </c>
      <c r="F3240" s="107" t="s">
        <v>11551</v>
      </c>
      <c r="G3240" s="116" t="str">
        <f>HYPERLINK("http://nsgreg.nga.mil/genc/view?v=202413&amp;end_month=3&amp;end_day=31&amp;end_year=2014","Moquegua")</f>
        <v>Moquegua</v>
      </c>
      <c r="H3240" s="87" t="str">
        <f>HYPERLINK("http://api.nsgreg.nga.mil/geo-division/GENC/6/ed2/PE-MOQ","PE-MOQ")</f>
        <v>PE-MOQ</v>
      </c>
    </row>
    <row r="3241" spans="1:8" x14ac:dyDescent="0.2">
      <c r="A3241" s="157"/>
      <c r="B3241" s="31" t="s">
        <v>11552</v>
      </c>
      <c r="C3241" s="31" t="s">
        <v>11553</v>
      </c>
      <c r="D3241" s="31" t="s">
        <v>3137</v>
      </c>
      <c r="E3241" s="61" t="b">
        <v>1</v>
      </c>
      <c r="F3241" s="107" t="s">
        <v>11554</v>
      </c>
      <c r="G3241" s="116" t="str">
        <f>HYPERLINK("http://nsgreg.nga.mil/genc/view?v=202414&amp;end_month=3&amp;end_day=31&amp;end_year=2014","Pasco")</f>
        <v>Pasco</v>
      </c>
      <c r="H3241" s="87" t="str">
        <f>HYPERLINK("http://api.nsgreg.nga.mil/geo-division/GENC/6/ed2/PE-PAS","PE-PAS")</f>
        <v>PE-PAS</v>
      </c>
    </row>
    <row r="3242" spans="1:8" x14ac:dyDescent="0.2">
      <c r="A3242" s="157"/>
      <c r="B3242" s="31" t="s">
        <v>11555</v>
      </c>
      <c r="C3242" s="31" t="s">
        <v>11556</v>
      </c>
      <c r="D3242" s="31" t="s">
        <v>3137</v>
      </c>
      <c r="E3242" s="61" t="b">
        <v>1</v>
      </c>
      <c r="F3242" s="107" t="s">
        <v>11557</v>
      </c>
      <c r="G3242" s="116" t="str">
        <f>HYPERLINK("http://nsgreg.nga.mil/genc/view?v=202415&amp;end_month=3&amp;end_day=31&amp;end_year=2014","Piura")</f>
        <v>Piura</v>
      </c>
      <c r="H3242" s="87" t="str">
        <f>HYPERLINK("http://api.nsgreg.nga.mil/geo-division/GENC/6/ed2/PE-PIU","PE-PIU")</f>
        <v>PE-PIU</v>
      </c>
    </row>
    <row r="3243" spans="1:8" x14ac:dyDescent="0.2">
      <c r="A3243" s="157"/>
      <c r="B3243" s="31" t="s">
        <v>11558</v>
      </c>
      <c r="C3243" s="31" t="s">
        <v>11559</v>
      </c>
      <c r="D3243" s="31" t="s">
        <v>3137</v>
      </c>
      <c r="E3243" s="61" t="b">
        <v>1</v>
      </c>
      <c r="F3243" s="107" t="s">
        <v>11560</v>
      </c>
      <c r="G3243" s="116" t="str">
        <f>HYPERLINK("http://nsgreg.nga.mil/genc/view?v=202416&amp;end_month=3&amp;end_day=31&amp;end_year=2014","Puno")</f>
        <v>Puno</v>
      </c>
      <c r="H3243" s="87" t="str">
        <f>HYPERLINK("http://api.nsgreg.nga.mil/geo-division/GENC/6/ed2/PE-PUN","PE-PUN")</f>
        <v>PE-PUN</v>
      </c>
    </row>
    <row r="3244" spans="1:8" x14ac:dyDescent="0.2">
      <c r="A3244" s="157"/>
      <c r="B3244" s="31" t="s">
        <v>11561</v>
      </c>
      <c r="C3244" s="31" t="s">
        <v>11562</v>
      </c>
      <c r="D3244" s="31" t="s">
        <v>3137</v>
      </c>
      <c r="E3244" s="61" t="b">
        <v>1</v>
      </c>
      <c r="F3244" s="107" t="s">
        <v>11563</v>
      </c>
      <c r="G3244" s="116" t="str">
        <f>HYPERLINK("http://nsgreg.nga.mil/genc/view?v=202417&amp;end_month=3&amp;end_day=31&amp;end_year=2014","San Martín")</f>
        <v>San Martín</v>
      </c>
      <c r="H3244" s="87" t="str">
        <f>HYPERLINK("http://api.nsgreg.nga.mil/geo-division/GENC/6/ed2/PE-SAM","PE-SAM")</f>
        <v>PE-SAM</v>
      </c>
    </row>
    <row r="3245" spans="1:8" x14ac:dyDescent="0.2">
      <c r="A3245" s="157"/>
      <c r="B3245" s="31" t="s">
        <v>11564</v>
      </c>
      <c r="C3245" s="31" t="s">
        <v>11565</v>
      </c>
      <c r="D3245" s="31" t="s">
        <v>3137</v>
      </c>
      <c r="E3245" s="61" t="b">
        <v>1</v>
      </c>
      <c r="F3245" s="107" t="s">
        <v>11566</v>
      </c>
      <c r="G3245" s="116" t="str">
        <f>HYPERLINK("http://nsgreg.nga.mil/genc/view?v=202418&amp;end_month=3&amp;end_day=31&amp;end_year=2014","Tacna")</f>
        <v>Tacna</v>
      </c>
      <c r="H3245" s="87" t="str">
        <f>HYPERLINK("http://api.nsgreg.nga.mil/geo-division/GENC/6/ed2/PE-TAC","PE-TAC")</f>
        <v>PE-TAC</v>
      </c>
    </row>
    <row r="3246" spans="1:8" x14ac:dyDescent="0.2">
      <c r="A3246" s="157"/>
      <c r="B3246" s="31" t="s">
        <v>11567</v>
      </c>
      <c r="C3246" s="31" t="s">
        <v>11568</v>
      </c>
      <c r="D3246" s="31" t="s">
        <v>3137</v>
      </c>
      <c r="E3246" s="61" t="b">
        <v>1</v>
      </c>
      <c r="F3246" s="107" t="s">
        <v>11569</v>
      </c>
      <c r="G3246" s="116" t="str">
        <f>HYPERLINK("http://nsgreg.nga.mil/genc/view?v=202419&amp;end_month=3&amp;end_day=31&amp;end_year=2014","Tumbes")</f>
        <v>Tumbes</v>
      </c>
      <c r="H3246" s="87" t="str">
        <f>HYPERLINK("http://api.nsgreg.nga.mil/geo-division/GENC/6/ed2/PE-TUM","PE-TUM")</f>
        <v>PE-TUM</v>
      </c>
    </row>
    <row r="3247" spans="1:8" x14ac:dyDescent="0.2">
      <c r="A3247" s="158"/>
      <c r="B3247" s="58" t="s">
        <v>11570</v>
      </c>
      <c r="C3247" s="58" t="s">
        <v>11571</v>
      </c>
      <c r="D3247" s="58" t="s">
        <v>3137</v>
      </c>
      <c r="E3247" s="62" t="b">
        <v>1</v>
      </c>
      <c r="F3247" s="111" t="s">
        <v>11572</v>
      </c>
      <c r="G3247" s="117" t="str">
        <f>HYPERLINK("http://nsgreg.nga.mil/genc/view?v=202420&amp;end_month=3&amp;end_day=31&amp;end_year=2014","Ucayali")</f>
        <v>Ucayali</v>
      </c>
      <c r="H3247" s="89" t="str">
        <f>HYPERLINK("http://api.nsgreg.nga.mil/geo-division/GENC/6/ed2/PE-UCA","PE-UCA")</f>
        <v>PE-UCA</v>
      </c>
    </row>
    <row r="3248" spans="1:8" x14ac:dyDescent="0.2">
      <c r="A3248" s="156" t="str">
        <f>HYPERLINK("[#]Geopolitical_Entities!A204:I204","PHILIPPINES")</f>
        <v>PHILIPPINES</v>
      </c>
      <c r="B3248" s="52" t="s">
        <v>11573</v>
      </c>
      <c r="C3248" s="52" t="s">
        <v>11574</v>
      </c>
      <c r="D3248" s="52" t="s">
        <v>1920</v>
      </c>
      <c r="E3248" s="60" t="b">
        <v>1</v>
      </c>
      <c r="F3248" s="110" t="s">
        <v>11575</v>
      </c>
      <c r="G3248" s="118" t="str">
        <f>HYPERLINK("http://nsgreg.nga.mil/genc/view?v=202459&amp;end_month=3&amp;end_day=31&amp;end_year=2014","Abra")</f>
        <v>Abra</v>
      </c>
      <c r="H3248" s="91" t="str">
        <f>HYPERLINK("http://api.nsgreg.nga.mil/geo-division/GENC/6/ed2/PH-ABR","PH-ABR")</f>
        <v>PH-ABR</v>
      </c>
    </row>
    <row r="3249" spans="1:8" x14ac:dyDescent="0.2">
      <c r="A3249" s="157"/>
      <c r="B3249" s="31" t="s">
        <v>11576</v>
      </c>
      <c r="C3249" s="31" t="s">
        <v>11577</v>
      </c>
      <c r="D3249" s="31" t="s">
        <v>1920</v>
      </c>
      <c r="E3249" s="61" t="b">
        <v>1</v>
      </c>
      <c r="F3249" s="107" t="s">
        <v>11578</v>
      </c>
      <c r="G3249" s="116" t="str">
        <f>HYPERLINK("http://nsgreg.nga.mil/genc/view?v=202460&amp;end_month=3&amp;end_day=31&amp;end_year=2014","Agusan del Norte")</f>
        <v>Agusan del Norte</v>
      </c>
      <c r="H3249" s="87" t="str">
        <f>HYPERLINK("http://api.nsgreg.nga.mil/geo-division/GENC/6/ed2/PH-AGN","PH-AGN")</f>
        <v>PH-AGN</v>
      </c>
    </row>
    <row r="3250" spans="1:8" x14ac:dyDescent="0.2">
      <c r="A3250" s="157"/>
      <c r="B3250" s="31" t="s">
        <v>11579</v>
      </c>
      <c r="C3250" s="31" t="s">
        <v>11580</v>
      </c>
      <c r="D3250" s="31" t="s">
        <v>1920</v>
      </c>
      <c r="E3250" s="61" t="b">
        <v>1</v>
      </c>
      <c r="F3250" s="107" t="s">
        <v>11581</v>
      </c>
      <c r="G3250" s="116" t="str">
        <f>HYPERLINK("http://nsgreg.nga.mil/genc/view?v=202461&amp;end_month=3&amp;end_day=31&amp;end_year=2014","Agusan del Sur")</f>
        <v>Agusan del Sur</v>
      </c>
      <c r="H3250" s="87" t="str">
        <f>HYPERLINK("http://api.nsgreg.nga.mil/geo-division/GENC/6/ed2/PH-AGS","PH-AGS")</f>
        <v>PH-AGS</v>
      </c>
    </row>
    <row r="3251" spans="1:8" x14ac:dyDescent="0.2">
      <c r="A3251" s="157"/>
      <c r="B3251" s="31" t="s">
        <v>11582</v>
      </c>
      <c r="C3251" s="31" t="s">
        <v>11583</v>
      </c>
      <c r="D3251" s="31" t="s">
        <v>1920</v>
      </c>
      <c r="E3251" s="61" t="b">
        <v>1</v>
      </c>
      <c r="F3251" s="107" t="s">
        <v>11584</v>
      </c>
      <c r="G3251" s="116" t="str">
        <f>HYPERLINK("http://nsgreg.nga.mil/genc/view?v=202462&amp;end_month=3&amp;end_day=31&amp;end_year=2014","Aklan")</f>
        <v>Aklan</v>
      </c>
      <c r="H3251" s="87" t="str">
        <f>HYPERLINK("http://api.nsgreg.nga.mil/geo-division/GENC/6/ed2/PH-AKL","PH-AKL")</f>
        <v>PH-AKL</v>
      </c>
    </row>
    <row r="3252" spans="1:8" x14ac:dyDescent="0.2">
      <c r="A3252" s="157"/>
      <c r="B3252" s="31" t="s">
        <v>11585</v>
      </c>
      <c r="C3252" s="31" t="s">
        <v>11586</v>
      </c>
      <c r="D3252" s="31" t="s">
        <v>1920</v>
      </c>
      <c r="E3252" s="61" t="b">
        <v>1</v>
      </c>
      <c r="F3252" s="107" t="s">
        <v>11587</v>
      </c>
      <c r="G3252" s="116" t="str">
        <f>HYPERLINK("http://nsgreg.nga.mil/genc/view?v=202463&amp;end_month=3&amp;end_day=31&amp;end_year=2014","Albay")</f>
        <v>Albay</v>
      </c>
      <c r="H3252" s="87" t="str">
        <f>HYPERLINK("http://api.nsgreg.nga.mil/geo-division/GENC/6/ed2/PH-ALB","PH-ALB")</f>
        <v>PH-ALB</v>
      </c>
    </row>
    <row r="3253" spans="1:8" x14ac:dyDescent="0.2">
      <c r="A3253" s="157"/>
      <c r="B3253" s="31" t="s">
        <v>11588</v>
      </c>
      <c r="C3253" s="31" t="s">
        <v>11589</v>
      </c>
      <c r="D3253" s="31" t="s">
        <v>11590</v>
      </c>
      <c r="E3253" s="61" t="b">
        <v>1</v>
      </c>
      <c r="F3253" s="107" t="s">
        <v>11591</v>
      </c>
      <c r="G3253" s="116" t="str">
        <f>HYPERLINK("http://nsgreg.nga.mil/genc/view?v=202464&amp;end_month=3&amp;end_day=31&amp;end_year=2014","Angeles")</f>
        <v>Angeles</v>
      </c>
      <c r="H3253" s="87" t="str">
        <f>HYPERLINK("http://api.nsgreg.nga.mil/geo-division/GENC/6/ed2/PH-ANG","PH-ANG")</f>
        <v>PH-ANG</v>
      </c>
    </row>
    <row r="3254" spans="1:8" x14ac:dyDescent="0.2">
      <c r="A3254" s="157"/>
      <c r="B3254" s="31" t="s">
        <v>11592</v>
      </c>
      <c r="C3254" s="31" t="s">
        <v>11593</v>
      </c>
      <c r="D3254" s="31" t="s">
        <v>11594</v>
      </c>
      <c r="E3254" s="61" t="b">
        <v>1</v>
      </c>
      <c r="F3254" s="107" t="s">
        <v>11595</v>
      </c>
      <c r="G3254" s="116" t="str">
        <f>HYPERLINK("http://nsgreg.nga.mil/genc/view?v=202467&amp;end_month=3&amp;end_day=31&amp;end_year=2014","Antipolo")</f>
        <v>Antipolo</v>
      </c>
      <c r="H3254" s="87" t="str">
        <f>HYPERLINK("http://api.nsgreg.nga.mil/geo-division/GENC/6/ed2/PH-ATP","PH-ATP")</f>
        <v>PH-ATP</v>
      </c>
    </row>
    <row r="3255" spans="1:8" x14ac:dyDescent="0.2">
      <c r="A3255" s="157"/>
      <c r="B3255" s="31" t="s">
        <v>11596</v>
      </c>
      <c r="C3255" s="31" t="s">
        <v>11597</v>
      </c>
      <c r="D3255" s="31" t="s">
        <v>1920</v>
      </c>
      <c r="E3255" s="61" t="b">
        <v>1</v>
      </c>
      <c r="F3255" s="107" t="s">
        <v>11598</v>
      </c>
      <c r="G3255" s="116" t="str">
        <f>HYPERLINK("http://nsgreg.nga.mil/genc/view?v=202465&amp;end_month=3&amp;end_day=31&amp;end_year=2014","Antique")</f>
        <v>Antique</v>
      </c>
      <c r="H3255" s="87" t="str">
        <f>HYPERLINK("http://api.nsgreg.nga.mil/geo-division/GENC/6/ed2/PH-ANT","PH-ANT")</f>
        <v>PH-ANT</v>
      </c>
    </row>
    <row r="3256" spans="1:8" x14ac:dyDescent="0.2">
      <c r="A3256" s="157"/>
      <c r="B3256" s="31" t="s">
        <v>11599</v>
      </c>
      <c r="C3256" s="31" t="s">
        <v>11600</v>
      </c>
      <c r="D3256" s="31" t="s">
        <v>1920</v>
      </c>
      <c r="E3256" s="61" t="b">
        <v>1</v>
      </c>
      <c r="F3256" s="107" t="s">
        <v>11601</v>
      </c>
      <c r="G3256" s="116" t="str">
        <f>HYPERLINK("http://nsgreg.nga.mil/genc/view?v=202466&amp;end_month=3&amp;end_day=31&amp;end_year=2014","Apayao")</f>
        <v>Apayao</v>
      </c>
      <c r="H3256" s="87" t="str">
        <f>HYPERLINK("http://api.nsgreg.nga.mil/geo-division/GENC/6/ed2/PH-APA","PH-APA")</f>
        <v>PH-APA</v>
      </c>
    </row>
    <row r="3257" spans="1:8" x14ac:dyDescent="0.2">
      <c r="A3257" s="157"/>
      <c r="B3257" s="31" t="s">
        <v>11602</v>
      </c>
      <c r="C3257" s="31" t="s">
        <v>11603</v>
      </c>
      <c r="D3257" s="31" t="s">
        <v>1920</v>
      </c>
      <c r="E3257" s="61" t="b">
        <v>1</v>
      </c>
      <c r="F3257" s="107" t="s">
        <v>11604</v>
      </c>
      <c r="G3257" s="116" t="str">
        <f>HYPERLINK("http://nsgreg.nga.mil/genc/view?v=202468&amp;end_month=3&amp;end_day=31&amp;end_year=2014","Aurora")</f>
        <v>Aurora</v>
      </c>
      <c r="H3257" s="87" t="str">
        <f>HYPERLINK("http://api.nsgreg.nga.mil/geo-division/GENC/6/ed2/PH-AUR","PH-AUR")</f>
        <v>PH-AUR</v>
      </c>
    </row>
    <row r="3258" spans="1:8" x14ac:dyDescent="0.2">
      <c r="A3258" s="157"/>
      <c r="B3258" s="31" t="s">
        <v>11605</v>
      </c>
      <c r="C3258" s="31" t="s">
        <v>11606</v>
      </c>
      <c r="D3258" s="98" t="s">
        <v>3137</v>
      </c>
      <c r="E3258" s="99" t="b">
        <v>0</v>
      </c>
      <c r="F3258" s="107" t="s">
        <v>11607</v>
      </c>
      <c r="G3258" s="116" t="str">
        <f>HYPERLINK("http://nsgreg.nga.mil/genc/view?v=202455&amp;end_month=3&amp;end_day=31&amp;end_year=2014","Autonomous Region in Muslim Mindanao (ARMM)")</f>
        <v>Autonomous Region in Muslim Mindanao (ARMM)</v>
      </c>
      <c r="H3258" s="87" t="str">
        <f>HYPERLINK("http://api.nsgreg.nga.mil/geo-division/GENC/6/ed2/PH-14","PH-14")</f>
        <v>PH-14</v>
      </c>
    </row>
    <row r="3259" spans="1:8" x14ac:dyDescent="0.2">
      <c r="A3259" s="157"/>
      <c r="B3259" s="31" t="s">
        <v>11608</v>
      </c>
      <c r="C3259" s="31" t="s">
        <v>11609</v>
      </c>
      <c r="D3259" s="31" t="s">
        <v>11590</v>
      </c>
      <c r="E3259" s="61" t="b">
        <v>1</v>
      </c>
      <c r="F3259" s="107" t="s">
        <v>11610</v>
      </c>
      <c r="G3259" s="116" t="str">
        <f>HYPERLINK("http://nsgreg.nga.mil/genc/view?v=202469&amp;end_month=3&amp;end_day=31&amp;end_year=2014","Bacolod")</f>
        <v>Bacolod</v>
      </c>
      <c r="H3259" s="87" t="str">
        <f>HYPERLINK("http://api.nsgreg.nga.mil/geo-division/GENC/6/ed2/PH-BAC","PH-BAC")</f>
        <v>PH-BAC</v>
      </c>
    </row>
    <row r="3260" spans="1:8" x14ac:dyDescent="0.2">
      <c r="A3260" s="157"/>
      <c r="B3260" s="31" t="s">
        <v>11611</v>
      </c>
      <c r="C3260" s="31" t="s">
        <v>11612</v>
      </c>
      <c r="D3260" s="31" t="s">
        <v>11590</v>
      </c>
      <c r="E3260" s="61" t="b">
        <v>1</v>
      </c>
      <c r="F3260" s="107" t="s">
        <v>11613</v>
      </c>
      <c r="G3260" s="116" t="str">
        <f>HYPERLINK("http://nsgreg.nga.mil/genc/view?v=202470&amp;end_month=3&amp;end_day=31&amp;end_year=2014","Baguio")</f>
        <v>Baguio</v>
      </c>
      <c r="H3260" s="87" t="str">
        <f>HYPERLINK("http://api.nsgreg.nga.mil/geo-division/GENC/6/ed2/PH-BAG","PH-BAG")</f>
        <v>PH-BAG</v>
      </c>
    </row>
    <row r="3261" spans="1:8" x14ac:dyDescent="0.2">
      <c r="A3261" s="157"/>
      <c r="B3261" s="31" t="s">
        <v>11614</v>
      </c>
      <c r="C3261" s="31" t="s">
        <v>11615</v>
      </c>
      <c r="D3261" s="31" t="s">
        <v>1920</v>
      </c>
      <c r="E3261" s="61" t="b">
        <v>1</v>
      </c>
      <c r="F3261" s="107" t="s">
        <v>11616</v>
      </c>
      <c r="G3261" s="116" t="str">
        <f>HYPERLINK("http://nsgreg.nga.mil/genc/view?v=202472&amp;end_month=3&amp;end_day=31&amp;end_year=2014","Basilan")</f>
        <v>Basilan</v>
      </c>
      <c r="H3261" s="87" t="str">
        <f>HYPERLINK("http://api.nsgreg.nga.mil/geo-division/GENC/6/ed2/PH-BAS","PH-BAS")</f>
        <v>PH-BAS</v>
      </c>
    </row>
    <row r="3262" spans="1:8" x14ac:dyDescent="0.2">
      <c r="A3262" s="157"/>
      <c r="B3262" s="31" t="s">
        <v>11617</v>
      </c>
      <c r="C3262" s="31" t="s">
        <v>11618</v>
      </c>
      <c r="D3262" s="31" t="s">
        <v>1920</v>
      </c>
      <c r="E3262" s="61" t="b">
        <v>1</v>
      </c>
      <c r="F3262" s="107" t="s">
        <v>11619</v>
      </c>
      <c r="G3262" s="116" t="str">
        <f>HYPERLINK("http://nsgreg.nga.mil/genc/view?v=202471&amp;end_month=3&amp;end_day=31&amp;end_year=2014","Bataan")</f>
        <v>Bataan</v>
      </c>
      <c r="H3262" s="87" t="str">
        <f>HYPERLINK("http://api.nsgreg.nga.mil/geo-division/GENC/6/ed2/PH-BAN","PH-BAN")</f>
        <v>PH-BAN</v>
      </c>
    </row>
    <row r="3263" spans="1:8" x14ac:dyDescent="0.2">
      <c r="A3263" s="157"/>
      <c r="B3263" s="31" t="s">
        <v>11620</v>
      </c>
      <c r="C3263" s="31" t="s">
        <v>11621</v>
      </c>
      <c r="D3263" s="31" t="s">
        <v>1920</v>
      </c>
      <c r="E3263" s="61" t="b">
        <v>1</v>
      </c>
      <c r="F3263" s="107" t="s">
        <v>11622</v>
      </c>
      <c r="G3263" s="116" t="str">
        <f>HYPERLINK("http://nsgreg.nga.mil/genc/view?v=202477&amp;end_month=3&amp;end_day=31&amp;end_year=2014","Batanes")</f>
        <v>Batanes</v>
      </c>
      <c r="H3263" s="87" t="str">
        <f>HYPERLINK("http://api.nsgreg.nga.mil/geo-division/GENC/6/ed2/PH-BTN","PH-BTN")</f>
        <v>PH-BTN</v>
      </c>
    </row>
    <row r="3264" spans="1:8" x14ac:dyDescent="0.2">
      <c r="A3264" s="157"/>
      <c r="B3264" s="31" t="s">
        <v>11623</v>
      </c>
      <c r="C3264" s="31" t="s">
        <v>11624</v>
      </c>
      <c r="D3264" s="31" t="s">
        <v>1920</v>
      </c>
      <c r="E3264" s="61" t="b">
        <v>1</v>
      </c>
      <c r="F3264" s="107" t="s">
        <v>11625</v>
      </c>
      <c r="G3264" s="116" t="str">
        <f>HYPERLINK("http://nsgreg.nga.mil/genc/view?v=202476&amp;end_month=3&amp;end_day=31&amp;end_year=2014","Batangas")</f>
        <v>Batangas</v>
      </c>
      <c r="H3264" s="87" t="str">
        <f>HYPERLINK("http://api.nsgreg.nga.mil/geo-division/GENC/6/ed2/PH-BTG","PH-BTG")</f>
        <v>PH-BTG</v>
      </c>
    </row>
    <row r="3265" spans="1:8" x14ac:dyDescent="0.2">
      <c r="A3265" s="157"/>
      <c r="B3265" s="31" t="s">
        <v>11626</v>
      </c>
      <c r="C3265" s="31" t="s">
        <v>11627</v>
      </c>
      <c r="D3265" s="31" t="s">
        <v>1920</v>
      </c>
      <c r="E3265" s="61" t="b">
        <v>1</v>
      </c>
      <c r="F3265" s="107" t="s">
        <v>11628</v>
      </c>
      <c r="G3265" s="116" t="str">
        <f>HYPERLINK("http://nsgreg.nga.mil/genc/view?v=202473&amp;end_month=3&amp;end_day=31&amp;end_year=2014","Benguet")</f>
        <v>Benguet</v>
      </c>
      <c r="H3265" s="87" t="str">
        <f>HYPERLINK("http://api.nsgreg.nga.mil/geo-division/GENC/6/ed2/PH-BEN","PH-BEN")</f>
        <v>PH-BEN</v>
      </c>
    </row>
    <row r="3266" spans="1:8" x14ac:dyDescent="0.2">
      <c r="A3266" s="157"/>
      <c r="B3266" s="31" t="s">
        <v>11629</v>
      </c>
      <c r="C3266" s="31" t="s">
        <v>11630</v>
      </c>
      <c r="D3266" s="98" t="s">
        <v>3137</v>
      </c>
      <c r="E3266" s="99" t="b">
        <v>0</v>
      </c>
      <c r="F3266" s="107" t="s">
        <v>11631</v>
      </c>
      <c r="G3266" s="116" t="str">
        <f>HYPERLINK("http://nsgreg.nga.mil/genc/view?v=202446&amp;end_month=3&amp;end_day=31&amp;end_year=2014","Bicol Region")</f>
        <v>Bicol Region</v>
      </c>
      <c r="H3266" s="87" t="str">
        <f>HYPERLINK("http://api.nsgreg.nga.mil/geo-division/GENC/6/ed2/PH-05","PH-05")</f>
        <v>PH-05</v>
      </c>
    </row>
    <row r="3267" spans="1:8" x14ac:dyDescent="0.2">
      <c r="A3267" s="157"/>
      <c r="B3267" s="31" t="s">
        <v>11632</v>
      </c>
      <c r="C3267" s="31" t="s">
        <v>11633</v>
      </c>
      <c r="D3267" s="31" t="s">
        <v>1920</v>
      </c>
      <c r="E3267" s="61" t="b">
        <v>1</v>
      </c>
      <c r="F3267" s="107" t="s">
        <v>11634</v>
      </c>
      <c r="G3267" s="116" t="str">
        <f>HYPERLINK("http://nsgreg.nga.mil/genc/view?v=202474&amp;end_month=3&amp;end_day=31&amp;end_year=2014","Biliran")</f>
        <v>Biliran</v>
      </c>
      <c r="H3267" s="87" t="str">
        <f>HYPERLINK("http://api.nsgreg.nga.mil/geo-division/GENC/6/ed2/PH-BIL","PH-BIL")</f>
        <v>PH-BIL</v>
      </c>
    </row>
    <row r="3268" spans="1:8" x14ac:dyDescent="0.2">
      <c r="A3268" s="157"/>
      <c r="B3268" s="31" t="s">
        <v>11635</v>
      </c>
      <c r="C3268" s="31" t="s">
        <v>11636</v>
      </c>
      <c r="D3268" s="31" t="s">
        <v>1920</v>
      </c>
      <c r="E3268" s="61" t="b">
        <v>1</v>
      </c>
      <c r="F3268" s="107" t="s">
        <v>11637</v>
      </c>
      <c r="G3268" s="116" t="str">
        <f>HYPERLINK("http://nsgreg.nga.mil/genc/view?v=202475&amp;end_month=3&amp;end_day=31&amp;end_year=2014","Bohol")</f>
        <v>Bohol</v>
      </c>
      <c r="H3268" s="87" t="str">
        <f>HYPERLINK("http://api.nsgreg.nga.mil/geo-division/GENC/6/ed2/PH-BOH","PH-BOH")</f>
        <v>PH-BOH</v>
      </c>
    </row>
    <row r="3269" spans="1:8" x14ac:dyDescent="0.2">
      <c r="A3269" s="157"/>
      <c r="B3269" s="31" t="s">
        <v>11638</v>
      </c>
      <c r="C3269" s="31" t="s">
        <v>11639</v>
      </c>
      <c r="D3269" s="31" t="s">
        <v>1920</v>
      </c>
      <c r="E3269" s="61" t="b">
        <v>1</v>
      </c>
      <c r="F3269" s="107" t="s">
        <v>11640</v>
      </c>
      <c r="G3269" s="116" t="str">
        <f>HYPERLINK("http://nsgreg.nga.mil/genc/view?v=202478&amp;end_month=3&amp;end_day=31&amp;end_year=2014","Bukidnon")</f>
        <v>Bukidnon</v>
      </c>
      <c r="H3269" s="87" t="str">
        <f>HYPERLINK("http://api.nsgreg.nga.mil/geo-division/GENC/6/ed2/PH-BUK","PH-BUK")</f>
        <v>PH-BUK</v>
      </c>
    </row>
    <row r="3270" spans="1:8" x14ac:dyDescent="0.2">
      <c r="A3270" s="157"/>
      <c r="B3270" s="31" t="s">
        <v>11641</v>
      </c>
      <c r="C3270" s="31" t="s">
        <v>11642</v>
      </c>
      <c r="D3270" s="31" t="s">
        <v>1920</v>
      </c>
      <c r="E3270" s="61" t="b">
        <v>1</v>
      </c>
      <c r="F3270" s="107" t="s">
        <v>11643</v>
      </c>
      <c r="G3270" s="116" t="str">
        <f>HYPERLINK("http://nsgreg.nga.mil/genc/view?v=202479&amp;end_month=3&amp;end_day=31&amp;end_year=2014","Bulacan")</f>
        <v>Bulacan</v>
      </c>
      <c r="H3270" s="87" t="str">
        <f>HYPERLINK("http://api.nsgreg.nga.mil/geo-division/GENC/6/ed2/PH-BUL","PH-BUL")</f>
        <v>PH-BUL</v>
      </c>
    </row>
    <row r="3271" spans="1:8" x14ac:dyDescent="0.2">
      <c r="A3271" s="157"/>
      <c r="B3271" s="31" t="s">
        <v>11644</v>
      </c>
      <c r="C3271" s="31" t="s">
        <v>11645</v>
      </c>
      <c r="D3271" s="31" t="s">
        <v>11590</v>
      </c>
      <c r="E3271" s="61" t="b">
        <v>1</v>
      </c>
      <c r="F3271" s="107" t="s">
        <v>11646</v>
      </c>
      <c r="G3271" s="116" t="str">
        <f>HYPERLINK("http://nsgreg.nga.mil/genc/view?v=202480&amp;end_month=3&amp;end_day=31&amp;end_year=2014","Butuan")</f>
        <v>Butuan</v>
      </c>
      <c r="H3271" s="87" t="str">
        <f>HYPERLINK("http://api.nsgreg.nga.mil/geo-division/GENC/6/ed2/PH-BUT","PH-BUT")</f>
        <v>PH-BUT</v>
      </c>
    </row>
    <row r="3272" spans="1:8" x14ac:dyDescent="0.2">
      <c r="A3272" s="157"/>
      <c r="B3272" s="31" t="s">
        <v>11647</v>
      </c>
      <c r="C3272" s="31" t="s">
        <v>11648</v>
      </c>
      <c r="D3272" s="31" t="s">
        <v>1920</v>
      </c>
      <c r="E3272" s="61" t="b">
        <v>1</v>
      </c>
      <c r="F3272" s="107" t="s">
        <v>11649</v>
      </c>
      <c r="G3272" s="116" t="str">
        <f>HYPERLINK("http://nsgreg.nga.mil/genc/view?v=202481&amp;end_month=3&amp;end_day=31&amp;end_year=2014","Cagayan")</f>
        <v>Cagayan</v>
      </c>
      <c r="H3272" s="87" t="str">
        <f>HYPERLINK("http://api.nsgreg.nga.mil/geo-division/GENC/6/ed2/PH-CAG","PH-CAG")</f>
        <v>PH-CAG</v>
      </c>
    </row>
    <row r="3273" spans="1:8" x14ac:dyDescent="0.2">
      <c r="A3273" s="157"/>
      <c r="B3273" s="31" t="s">
        <v>11650</v>
      </c>
      <c r="C3273" s="31" t="s">
        <v>11651</v>
      </c>
      <c r="D3273" s="31" t="s">
        <v>11590</v>
      </c>
      <c r="E3273" s="61" t="b">
        <v>1</v>
      </c>
      <c r="F3273" s="107" t="s">
        <v>11652</v>
      </c>
      <c r="G3273" s="116" t="str">
        <f>HYPERLINK("http://nsgreg.nga.mil/genc/view?v=202491&amp;end_month=3&amp;end_day=31&amp;end_year=2014","Cagayan de Oro")</f>
        <v>Cagayan de Oro</v>
      </c>
      <c r="H3273" s="87" t="str">
        <f>HYPERLINK("http://api.nsgreg.nga.mil/geo-division/GENC/6/ed2/PH-CGO","PH-CGO")</f>
        <v>PH-CGO</v>
      </c>
    </row>
    <row r="3274" spans="1:8" x14ac:dyDescent="0.2">
      <c r="A3274" s="157"/>
      <c r="B3274" s="31" t="s">
        <v>11653</v>
      </c>
      <c r="C3274" s="31" t="s">
        <v>11654</v>
      </c>
      <c r="D3274" s="98" t="s">
        <v>3137</v>
      </c>
      <c r="E3274" s="99" t="b">
        <v>0</v>
      </c>
      <c r="F3274" s="107" t="s">
        <v>11655</v>
      </c>
      <c r="G3274" s="116" t="str">
        <f>HYPERLINK("http://nsgreg.nga.mil/genc/view?v=202444&amp;end_month=3&amp;end_day=31&amp;end_year=2014","Cagayan Valley")</f>
        <v>Cagayan Valley</v>
      </c>
      <c r="H3274" s="87" t="str">
        <f>HYPERLINK("http://api.nsgreg.nga.mil/geo-division/GENC/6/ed2/PH-02","PH-02")</f>
        <v>PH-02</v>
      </c>
    </row>
    <row r="3275" spans="1:8" x14ac:dyDescent="0.2">
      <c r="A3275" s="157"/>
      <c r="B3275" s="31" t="s">
        <v>11656</v>
      </c>
      <c r="C3275" s="31" t="s">
        <v>11657</v>
      </c>
      <c r="D3275" s="98" t="s">
        <v>3137</v>
      </c>
      <c r="E3275" s="99" t="b">
        <v>0</v>
      </c>
      <c r="F3275" s="107" t="s">
        <v>11658</v>
      </c>
      <c r="G3275" s="116" t="str">
        <f>HYPERLINK("http://nsgreg.nga.mil/genc/view?v=202457&amp;end_month=3&amp;end_day=31&amp;end_year=2014","CALABARZON")</f>
        <v>CALABARZON</v>
      </c>
      <c r="H3275" s="87" t="str">
        <f>HYPERLINK("http://api.nsgreg.nga.mil/geo-division/GENC/6/ed2/PH-40","PH-40")</f>
        <v>PH-40</v>
      </c>
    </row>
    <row r="3276" spans="1:8" x14ac:dyDescent="0.2">
      <c r="A3276" s="157"/>
      <c r="B3276" s="31" t="s">
        <v>11659</v>
      </c>
      <c r="C3276" s="31" t="s">
        <v>11660</v>
      </c>
      <c r="D3276" s="31" t="s">
        <v>11590</v>
      </c>
      <c r="E3276" s="61" t="b">
        <v>1</v>
      </c>
      <c r="F3276" s="107" t="s">
        <v>11661</v>
      </c>
      <c r="G3276" s="116" t="str">
        <f>HYPERLINK("http://nsgreg.nga.mil/genc/view?v=202482&amp;end_month=3&amp;end_day=31&amp;end_year=2014","Caloocan")</f>
        <v>Caloocan</v>
      </c>
      <c r="H3276" s="87" t="str">
        <f>HYPERLINK("http://api.nsgreg.nga.mil/geo-division/GENC/6/ed2/PH-CAL","PH-CAL")</f>
        <v>PH-CAL</v>
      </c>
    </row>
    <row r="3277" spans="1:8" x14ac:dyDescent="0.2">
      <c r="A3277" s="157"/>
      <c r="B3277" s="31" t="s">
        <v>11662</v>
      </c>
      <c r="C3277" s="31" t="s">
        <v>11663</v>
      </c>
      <c r="D3277" s="31" t="s">
        <v>1920</v>
      </c>
      <c r="E3277" s="61" t="b">
        <v>1</v>
      </c>
      <c r="F3277" s="107" t="s">
        <v>11664</v>
      </c>
      <c r="G3277" s="116" t="str">
        <f>HYPERLINK("http://nsgreg.nga.mil/genc/view?v=202484&amp;end_month=3&amp;end_day=31&amp;end_year=2014","Camarines Norte")</f>
        <v>Camarines Norte</v>
      </c>
      <c r="H3277" s="87" t="str">
        <f>HYPERLINK("http://api.nsgreg.nga.mil/geo-division/GENC/6/ed2/PH-CAN","PH-CAN")</f>
        <v>PH-CAN</v>
      </c>
    </row>
    <row r="3278" spans="1:8" x14ac:dyDescent="0.2">
      <c r="A3278" s="157"/>
      <c r="B3278" s="31" t="s">
        <v>11665</v>
      </c>
      <c r="C3278" s="31" t="s">
        <v>11666</v>
      </c>
      <c r="D3278" s="31" t="s">
        <v>1920</v>
      </c>
      <c r="E3278" s="61" t="b">
        <v>1</v>
      </c>
      <c r="F3278" s="107" t="s">
        <v>11667</v>
      </c>
      <c r="G3278" s="116" t="str">
        <f>HYPERLINK("http://nsgreg.nga.mil/genc/view?v=202486&amp;end_month=3&amp;end_day=31&amp;end_year=2014","Camarines Sur")</f>
        <v>Camarines Sur</v>
      </c>
      <c r="H3278" s="87" t="str">
        <f>HYPERLINK("http://api.nsgreg.nga.mil/geo-division/GENC/6/ed2/PH-CAS","PH-CAS")</f>
        <v>PH-CAS</v>
      </c>
    </row>
    <row r="3279" spans="1:8" x14ac:dyDescent="0.2">
      <c r="A3279" s="157"/>
      <c r="B3279" s="31" t="s">
        <v>11668</v>
      </c>
      <c r="C3279" s="31" t="s">
        <v>11669</v>
      </c>
      <c r="D3279" s="31" t="s">
        <v>1920</v>
      </c>
      <c r="E3279" s="61" t="b">
        <v>1</v>
      </c>
      <c r="F3279" s="107" t="s">
        <v>11670</v>
      </c>
      <c r="G3279" s="116" t="str">
        <f>HYPERLINK("http://nsgreg.nga.mil/genc/view?v=202483&amp;end_month=3&amp;end_day=31&amp;end_year=2014","Camiguin")</f>
        <v>Camiguin</v>
      </c>
      <c r="H3279" s="87" t="str">
        <f>HYPERLINK("http://api.nsgreg.nga.mil/geo-division/GENC/6/ed2/PH-CAM","PH-CAM")</f>
        <v>PH-CAM</v>
      </c>
    </row>
    <row r="3280" spans="1:8" x14ac:dyDescent="0.2">
      <c r="A3280" s="157"/>
      <c r="B3280" s="31" t="s">
        <v>11671</v>
      </c>
      <c r="C3280" s="31" t="s">
        <v>11672</v>
      </c>
      <c r="D3280" s="31" t="s">
        <v>1920</v>
      </c>
      <c r="E3280" s="61" t="b">
        <v>1</v>
      </c>
      <c r="F3280" s="107" t="s">
        <v>11673</v>
      </c>
      <c r="G3280" s="116" t="str">
        <f>HYPERLINK("http://nsgreg.nga.mil/genc/view?v=202485&amp;end_month=3&amp;end_day=31&amp;end_year=2014","Capiz")</f>
        <v>Capiz</v>
      </c>
      <c r="H3280" s="87" t="str">
        <f>HYPERLINK("http://api.nsgreg.nga.mil/geo-division/GENC/6/ed2/PH-CAP","PH-CAP")</f>
        <v>PH-CAP</v>
      </c>
    </row>
    <row r="3281" spans="1:8" x14ac:dyDescent="0.2">
      <c r="A3281" s="157"/>
      <c r="B3281" s="31" t="s">
        <v>11674</v>
      </c>
      <c r="C3281" s="31" t="s">
        <v>11675</v>
      </c>
      <c r="D3281" s="98" t="s">
        <v>3137</v>
      </c>
      <c r="E3281" s="99" t="b">
        <v>0</v>
      </c>
      <c r="F3281" s="107" t="s">
        <v>11676</v>
      </c>
      <c r="G3281" s="116" t="str">
        <f>HYPERLINK("http://nsgreg.nga.mil/genc/view?v=202454&amp;end_month=3&amp;end_day=31&amp;end_year=2014","CARAGA Region")</f>
        <v>CARAGA Region</v>
      </c>
      <c r="H3281" s="87" t="str">
        <f>HYPERLINK("http://api.nsgreg.nga.mil/geo-division/GENC/6/ed2/PH-13","PH-13")</f>
        <v>PH-13</v>
      </c>
    </row>
    <row r="3282" spans="1:8" x14ac:dyDescent="0.2">
      <c r="A3282" s="157"/>
      <c r="B3282" s="31" t="s">
        <v>11677</v>
      </c>
      <c r="C3282" s="31" t="s">
        <v>11678</v>
      </c>
      <c r="D3282" s="31" t="s">
        <v>1920</v>
      </c>
      <c r="E3282" s="61" t="b">
        <v>1</v>
      </c>
      <c r="F3282" s="107" t="s">
        <v>11679</v>
      </c>
      <c r="G3282" s="116" t="str">
        <f>HYPERLINK("http://nsgreg.nga.mil/genc/view?v=202487&amp;end_month=3&amp;end_day=31&amp;end_year=2014","Catanduanes")</f>
        <v>Catanduanes</v>
      </c>
      <c r="H3282" s="87" t="str">
        <f>HYPERLINK("http://api.nsgreg.nga.mil/geo-division/GENC/6/ed2/PH-CAT","PH-CAT")</f>
        <v>PH-CAT</v>
      </c>
    </row>
    <row r="3283" spans="1:8" x14ac:dyDescent="0.2">
      <c r="A3283" s="157"/>
      <c r="B3283" s="31" t="s">
        <v>11680</v>
      </c>
      <c r="C3283" s="31" t="s">
        <v>11681</v>
      </c>
      <c r="D3283" s="31" t="s">
        <v>1920</v>
      </c>
      <c r="E3283" s="61" t="b">
        <v>1</v>
      </c>
      <c r="F3283" s="107" t="s">
        <v>11682</v>
      </c>
      <c r="G3283" s="116" t="str">
        <f>HYPERLINK("http://nsgreg.nga.mil/genc/view?v=202488&amp;end_month=3&amp;end_day=31&amp;end_year=2014","Cavite")</f>
        <v>Cavite</v>
      </c>
      <c r="H3283" s="87" t="str">
        <f>HYPERLINK("http://api.nsgreg.nga.mil/geo-division/GENC/6/ed2/PH-CAV","PH-CAV")</f>
        <v>PH-CAV</v>
      </c>
    </row>
    <row r="3284" spans="1:8" x14ac:dyDescent="0.2">
      <c r="A3284" s="157"/>
      <c r="B3284" s="31" t="s">
        <v>11683</v>
      </c>
      <c r="C3284" s="31" t="s">
        <v>11684</v>
      </c>
      <c r="D3284" s="31" t="s">
        <v>11590</v>
      </c>
      <c r="E3284" s="61" t="b">
        <v>1</v>
      </c>
      <c r="F3284" s="107" t="s">
        <v>11685</v>
      </c>
      <c r="G3284" s="116" t="str">
        <f>HYPERLINK("http://nsgreg.nga.mil/genc/view?v=202489&amp;end_month=3&amp;end_day=31&amp;end_year=2014","Cebu")</f>
        <v>Cebu</v>
      </c>
      <c r="H3284" s="87" t="str">
        <f>HYPERLINK("http://api.nsgreg.nga.mil/geo-division/GENC/6/ed2/PH-CBU","PH-CBU")</f>
        <v>PH-CBU</v>
      </c>
    </row>
    <row r="3285" spans="1:8" x14ac:dyDescent="0.2">
      <c r="A3285" s="157"/>
      <c r="B3285" s="31" t="s">
        <v>11686</v>
      </c>
      <c r="C3285" s="31" t="s">
        <v>11684</v>
      </c>
      <c r="D3285" s="31" t="s">
        <v>1920</v>
      </c>
      <c r="E3285" s="61" t="b">
        <v>1</v>
      </c>
      <c r="F3285" s="107" t="s">
        <v>11687</v>
      </c>
      <c r="G3285" s="116" t="str">
        <f>HYPERLINK("http://nsgreg.nga.mil/genc/view?v=202490&amp;end_month=3&amp;end_day=31&amp;end_year=2014","Cebu")</f>
        <v>Cebu</v>
      </c>
      <c r="H3285" s="87" t="str">
        <f>HYPERLINK("http://api.nsgreg.nga.mil/geo-division/GENC/6/ed2/PH-CEB","PH-CEB")</f>
        <v>PH-CEB</v>
      </c>
    </row>
    <row r="3286" spans="1:8" x14ac:dyDescent="0.2">
      <c r="A3286" s="157"/>
      <c r="B3286" s="31" t="s">
        <v>11688</v>
      </c>
      <c r="C3286" s="31" t="s">
        <v>11689</v>
      </c>
      <c r="D3286" s="98" t="s">
        <v>3137</v>
      </c>
      <c r="E3286" s="99" t="b">
        <v>0</v>
      </c>
      <c r="F3286" s="107" t="s">
        <v>11690</v>
      </c>
      <c r="G3286" s="116" t="str">
        <f>HYPERLINK("http://nsgreg.nga.mil/genc/view?v=202445&amp;end_month=3&amp;end_day=31&amp;end_year=2014","Central Luzon")</f>
        <v>Central Luzon</v>
      </c>
      <c r="H3286" s="87" t="str">
        <f>HYPERLINK("http://api.nsgreg.nga.mil/geo-division/GENC/6/ed2/PH-03","PH-03")</f>
        <v>PH-03</v>
      </c>
    </row>
    <row r="3287" spans="1:8" x14ac:dyDescent="0.2">
      <c r="A3287" s="157"/>
      <c r="B3287" s="31" t="s">
        <v>11691</v>
      </c>
      <c r="C3287" s="31" t="s">
        <v>11692</v>
      </c>
      <c r="D3287" s="98" t="s">
        <v>3137</v>
      </c>
      <c r="E3287" s="99" t="b">
        <v>0</v>
      </c>
      <c r="F3287" s="107" t="s">
        <v>11693</v>
      </c>
      <c r="G3287" s="116" t="str">
        <f>HYPERLINK("http://nsgreg.nga.mil/genc/view?v=202448&amp;end_month=3&amp;end_day=31&amp;end_year=2014","Central Visayas")</f>
        <v>Central Visayas</v>
      </c>
      <c r="H3287" s="87" t="str">
        <f>HYPERLINK("http://api.nsgreg.nga.mil/geo-division/GENC/6/ed2/PH-07","PH-07")</f>
        <v>PH-07</v>
      </c>
    </row>
    <row r="3288" spans="1:8" x14ac:dyDescent="0.2">
      <c r="A3288" s="157"/>
      <c r="B3288" s="31" t="s">
        <v>11694</v>
      </c>
      <c r="C3288" s="31" t="s">
        <v>11695</v>
      </c>
      <c r="D3288" s="31" t="s">
        <v>1920</v>
      </c>
      <c r="E3288" s="61" t="b">
        <v>1</v>
      </c>
      <c r="F3288" s="107" t="s">
        <v>11696</v>
      </c>
      <c r="G3288" s="116" t="str">
        <f>HYPERLINK("http://nsgreg.nga.mil/genc/view?v=202492&amp;end_month=3&amp;end_day=31&amp;end_year=2014","Compostela Valley")</f>
        <v>Compostela Valley</v>
      </c>
      <c r="H3288" s="87" t="str">
        <f>HYPERLINK("http://api.nsgreg.nga.mil/geo-division/GENC/6/ed2/PH-COM","PH-COM")</f>
        <v>PH-COM</v>
      </c>
    </row>
    <row r="3289" spans="1:8" x14ac:dyDescent="0.2">
      <c r="A3289" s="157"/>
      <c r="B3289" s="31" t="s">
        <v>11697</v>
      </c>
      <c r="C3289" s="31" t="s">
        <v>11698</v>
      </c>
      <c r="D3289" s="98" t="s">
        <v>3137</v>
      </c>
      <c r="E3289" s="99" t="b">
        <v>0</v>
      </c>
      <c r="F3289" s="107" t="s">
        <v>11699</v>
      </c>
      <c r="G3289" s="116" t="str">
        <f>HYPERLINK("http://nsgreg.nga.mil/genc/view?v=202456&amp;end_month=3&amp;end_day=31&amp;end_year=2014","Cordillera Administrative Region")</f>
        <v>Cordillera Administrative Region</v>
      </c>
      <c r="H3289" s="87" t="str">
        <f>HYPERLINK("http://api.nsgreg.nga.mil/geo-division/GENC/6/ed2/PH-15","PH-15")</f>
        <v>PH-15</v>
      </c>
    </row>
    <row r="3290" spans="1:8" x14ac:dyDescent="0.2">
      <c r="A3290" s="157"/>
      <c r="B3290" s="31" t="s">
        <v>11700</v>
      </c>
      <c r="C3290" s="31" t="s">
        <v>11701</v>
      </c>
      <c r="D3290" s="31" t="s">
        <v>11594</v>
      </c>
      <c r="E3290" s="61" t="b">
        <v>1</v>
      </c>
      <c r="F3290" s="107" t="s">
        <v>11702</v>
      </c>
      <c r="G3290" s="116" t="str">
        <f>HYPERLINK("http://nsgreg.nga.mil/genc/view?v=202493&amp;end_month=3&amp;end_day=31&amp;end_year=2014","Cotabato")</f>
        <v>Cotabato</v>
      </c>
      <c r="H3290" s="87" t="str">
        <f>HYPERLINK("http://api.nsgreg.nga.mil/geo-division/GENC/6/ed2/PH-COT","PH-COT")</f>
        <v>PH-COT</v>
      </c>
    </row>
    <row r="3291" spans="1:8" x14ac:dyDescent="0.2">
      <c r="A3291" s="157"/>
      <c r="B3291" s="31" t="s">
        <v>11703</v>
      </c>
      <c r="C3291" s="31" t="s">
        <v>11701</v>
      </c>
      <c r="D3291" s="31" t="s">
        <v>1920</v>
      </c>
      <c r="E3291" s="61" t="b">
        <v>1</v>
      </c>
      <c r="F3291" s="107" t="s">
        <v>11704</v>
      </c>
      <c r="G3291" s="116" t="str">
        <f>HYPERLINK("http://nsgreg.nga.mil/genc/view?v=202536&amp;end_month=3&amp;end_day=31&amp;end_year=2014","Cotabato")</f>
        <v>Cotabato</v>
      </c>
      <c r="H3291" s="87" t="str">
        <f>HYPERLINK("http://api.nsgreg.nga.mil/geo-division/GENC/6/ed2/PH-NCO","PH-NCO")</f>
        <v>PH-NCO</v>
      </c>
    </row>
    <row r="3292" spans="1:8" x14ac:dyDescent="0.2">
      <c r="A3292" s="157"/>
      <c r="B3292" s="31" t="s">
        <v>11705</v>
      </c>
      <c r="C3292" s="31" t="s">
        <v>11706</v>
      </c>
      <c r="D3292" s="31" t="s">
        <v>11594</v>
      </c>
      <c r="E3292" s="61" t="b">
        <v>1</v>
      </c>
      <c r="F3292" s="107" t="s">
        <v>11707</v>
      </c>
      <c r="G3292" s="116" t="str">
        <f>HYPERLINK("http://nsgreg.nga.mil/genc/view?v=202494&amp;end_month=3&amp;end_day=31&amp;end_year=2014","Dagupan")</f>
        <v>Dagupan</v>
      </c>
      <c r="H3292" s="87" t="str">
        <f>HYPERLINK("http://api.nsgreg.nga.mil/geo-division/GENC/6/ed2/PH-DAG","PH-DAG")</f>
        <v>PH-DAG</v>
      </c>
    </row>
    <row r="3293" spans="1:8" x14ac:dyDescent="0.2">
      <c r="A3293" s="157"/>
      <c r="B3293" s="31" t="s">
        <v>11708</v>
      </c>
      <c r="C3293" s="31" t="s">
        <v>11709</v>
      </c>
      <c r="D3293" s="31" t="s">
        <v>11590</v>
      </c>
      <c r="E3293" s="61" t="b">
        <v>1</v>
      </c>
      <c r="F3293" s="107" t="s">
        <v>11710</v>
      </c>
      <c r="G3293" s="116" t="str">
        <f>HYPERLINK("http://nsgreg.nga.mil/genc/view?v=202499&amp;end_month=3&amp;end_day=31&amp;end_year=2014","Davao")</f>
        <v>Davao</v>
      </c>
      <c r="H3293" s="87" t="str">
        <f>HYPERLINK("http://api.nsgreg.nga.mil/geo-division/GENC/6/ed2/PH-DVO","PH-DVO")</f>
        <v>PH-DVO</v>
      </c>
    </row>
    <row r="3294" spans="1:8" x14ac:dyDescent="0.2">
      <c r="A3294" s="157"/>
      <c r="B3294" s="31" t="s">
        <v>11711</v>
      </c>
      <c r="C3294" s="31" t="s">
        <v>11709</v>
      </c>
      <c r="D3294" s="98" t="s">
        <v>3137</v>
      </c>
      <c r="E3294" s="99" t="b">
        <v>0</v>
      </c>
      <c r="F3294" s="107" t="s">
        <v>11712</v>
      </c>
      <c r="G3294" s="116" t="str">
        <f>HYPERLINK("http://nsgreg.nga.mil/genc/view?v=202452&amp;end_month=3&amp;end_day=31&amp;end_year=2014","Davao")</f>
        <v>Davao</v>
      </c>
      <c r="H3294" s="87" t="str">
        <f>HYPERLINK("http://api.nsgreg.nga.mil/geo-division/GENC/6/ed2/PH-11","PH-11")</f>
        <v>PH-11</v>
      </c>
    </row>
    <row r="3295" spans="1:8" x14ac:dyDescent="0.2">
      <c r="A3295" s="157"/>
      <c r="B3295" s="31" t="s">
        <v>11713</v>
      </c>
      <c r="C3295" s="31" t="s">
        <v>11714</v>
      </c>
      <c r="D3295" s="31" t="s">
        <v>1920</v>
      </c>
      <c r="E3295" s="61" t="b">
        <v>1</v>
      </c>
      <c r="F3295" s="107" t="s">
        <v>11715</v>
      </c>
      <c r="G3295" s="116" t="str">
        <f>HYPERLINK("http://nsgreg.nga.mil/genc/view?v=202497&amp;end_month=3&amp;end_day=31&amp;end_year=2014","Davao del Norte")</f>
        <v>Davao del Norte</v>
      </c>
      <c r="H3295" s="87" t="str">
        <f>HYPERLINK("http://api.nsgreg.nga.mil/geo-division/GENC/6/ed2/PH-DAV","PH-DAV")</f>
        <v>PH-DAV</v>
      </c>
    </row>
    <row r="3296" spans="1:8" x14ac:dyDescent="0.2">
      <c r="A3296" s="157"/>
      <c r="B3296" s="31" t="s">
        <v>11716</v>
      </c>
      <c r="C3296" s="31" t="s">
        <v>11717</v>
      </c>
      <c r="D3296" s="31" t="s">
        <v>1920</v>
      </c>
      <c r="E3296" s="61" t="b">
        <v>1</v>
      </c>
      <c r="F3296" s="107" t="s">
        <v>11718</v>
      </c>
      <c r="G3296" s="116" t="str">
        <f>HYPERLINK("http://nsgreg.nga.mil/genc/view?v=202496&amp;end_month=3&amp;end_day=31&amp;end_year=2014","Davao del Sur")</f>
        <v>Davao del Sur</v>
      </c>
      <c r="H3296" s="87" t="str">
        <f>HYPERLINK("http://api.nsgreg.nga.mil/geo-division/GENC/6/ed2/PH-DAS","PH-DAS")</f>
        <v>PH-DAS</v>
      </c>
    </row>
    <row r="3297" spans="1:8" x14ac:dyDescent="0.2">
      <c r="A3297" s="157"/>
      <c r="B3297" s="31" t="s">
        <v>11719</v>
      </c>
      <c r="C3297" s="31" t="s">
        <v>11720</v>
      </c>
      <c r="D3297" s="31" t="s">
        <v>1920</v>
      </c>
      <c r="E3297" s="61" t="b">
        <v>1</v>
      </c>
      <c r="F3297" s="107" t="s">
        <v>11721</v>
      </c>
      <c r="G3297" s="116" t="str">
        <f>HYPERLINK("http://nsgreg.nga.mil/genc/view?v=202495&amp;end_month=3&amp;end_day=31&amp;end_year=2014","Davao Oriental")</f>
        <v>Davao Oriental</v>
      </c>
      <c r="H3297" s="87" t="str">
        <f>HYPERLINK("http://api.nsgreg.nga.mil/geo-division/GENC/6/ed2/PH-DAO","PH-DAO")</f>
        <v>PH-DAO</v>
      </c>
    </row>
    <row r="3298" spans="1:8" x14ac:dyDescent="0.2">
      <c r="A3298" s="157"/>
      <c r="B3298" s="31" t="s">
        <v>11722</v>
      </c>
      <c r="C3298" s="31" t="s">
        <v>11723</v>
      </c>
      <c r="D3298" s="31" t="s">
        <v>1920</v>
      </c>
      <c r="E3298" s="61" t="b">
        <v>1</v>
      </c>
      <c r="F3298" s="107" t="s">
        <v>11724</v>
      </c>
      <c r="G3298" s="116" t="str">
        <f>HYPERLINK("http://nsgreg.nga.mil/genc/view?v=202498&amp;end_month=3&amp;end_day=31&amp;end_year=2014","Dinagat Islands")</f>
        <v>Dinagat Islands</v>
      </c>
      <c r="H3298" s="87" t="str">
        <f>HYPERLINK("http://api.nsgreg.nga.mil/geo-division/GENC/6/ed2/PH-DIN","PH-DIN")</f>
        <v>PH-DIN</v>
      </c>
    </row>
    <row r="3299" spans="1:8" x14ac:dyDescent="0.2">
      <c r="A3299" s="157"/>
      <c r="B3299" s="31" t="s">
        <v>11725</v>
      </c>
      <c r="C3299" s="31" t="s">
        <v>11726</v>
      </c>
      <c r="D3299" s="31" t="s">
        <v>1920</v>
      </c>
      <c r="E3299" s="61" t="b">
        <v>1</v>
      </c>
      <c r="F3299" s="107" t="s">
        <v>11727</v>
      </c>
      <c r="G3299" s="116" t="str">
        <f>HYPERLINK("http://nsgreg.nga.mil/genc/view?v=202500&amp;end_month=3&amp;end_day=31&amp;end_year=2014","Eastern Samar")</f>
        <v>Eastern Samar</v>
      </c>
      <c r="H3299" s="87" t="str">
        <f>HYPERLINK("http://api.nsgreg.nga.mil/geo-division/GENC/6/ed2/PH-EAS","PH-EAS")</f>
        <v>PH-EAS</v>
      </c>
    </row>
    <row r="3300" spans="1:8" x14ac:dyDescent="0.2">
      <c r="A3300" s="157"/>
      <c r="B3300" s="31" t="s">
        <v>11728</v>
      </c>
      <c r="C3300" s="31" t="s">
        <v>11729</v>
      </c>
      <c r="D3300" s="98" t="s">
        <v>3137</v>
      </c>
      <c r="E3300" s="99" t="b">
        <v>0</v>
      </c>
      <c r="F3300" s="107" t="s">
        <v>11730</v>
      </c>
      <c r="G3300" s="116" t="str">
        <f>HYPERLINK("http://nsgreg.nga.mil/genc/view?v=202449&amp;end_month=3&amp;end_day=31&amp;end_year=2014","Eastern Visayas")</f>
        <v>Eastern Visayas</v>
      </c>
      <c r="H3300" s="87" t="str">
        <f>HYPERLINK("http://api.nsgreg.nga.mil/geo-division/GENC/6/ed2/PH-08","PH-08")</f>
        <v>PH-08</v>
      </c>
    </row>
    <row r="3301" spans="1:8" x14ac:dyDescent="0.2">
      <c r="A3301" s="157"/>
      <c r="B3301" s="31" t="s">
        <v>11731</v>
      </c>
      <c r="C3301" s="31" t="s">
        <v>11732</v>
      </c>
      <c r="D3301" s="31" t="s">
        <v>11590</v>
      </c>
      <c r="E3301" s="61" t="b">
        <v>1</v>
      </c>
      <c r="F3301" s="107" t="s">
        <v>11733</v>
      </c>
      <c r="G3301" s="116" t="str">
        <f>HYPERLINK("http://nsgreg.nga.mil/genc/view?v=202501&amp;end_month=3&amp;end_day=31&amp;end_year=2014","General Santos")</f>
        <v>General Santos</v>
      </c>
      <c r="H3301" s="87" t="str">
        <f>HYPERLINK("http://api.nsgreg.nga.mil/geo-division/GENC/6/ed2/PH-GNS","PH-GNS")</f>
        <v>PH-GNS</v>
      </c>
    </row>
    <row r="3302" spans="1:8" x14ac:dyDescent="0.2">
      <c r="A3302" s="157"/>
      <c r="B3302" s="31" t="s">
        <v>11734</v>
      </c>
      <c r="C3302" s="31" t="s">
        <v>11735</v>
      </c>
      <c r="D3302" s="31" t="s">
        <v>1920</v>
      </c>
      <c r="E3302" s="61" t="b">
        <v>1</v>
      </c>
      <c r="F3302" s="107" t="s">
        <v>11736</v>
      </c>
      <c r="G3302" s="116" t="str">
        <f>HYPERLINK("http://nsgreg.nga.mil/genc/view?v=202502&amp;end_month=3&amp;end_day=31&amp;end_year=2014","Guimaras")</f>
        <v>Guimaras</v>
      </c>
      <c r="H3302" s="87" t="str">
        <f>HYPERLINK("http://api.nsgreg.nga.mil/geo-division/GENC/6/ed2/PH-GUI","PH-GUI")</f>
        <v>PH-GUI</v>
      </c>
    </row>
    <row r="3303" spans="1:8" x14ac:dyDescent="0.2">
      <c r="A3303" s="157"/>
      <c r="B3303" s="31" t="s">
        <v>11737</v>
      </c>
      <c r="C3303" s="31" t="s">
        <v>11738</v>
      </c>
      <c r="D3303" s="31" t="s">
        <v>1920</v>
      </c>
      <c r="E3303" s="61" t="b">
        <v>1</v>
      </c>
      <c r="F3303" s="107" t="s">
        <v>11739</v>
      </c>
      <c r="G3303" s="116" t="str">
        <f>HYPERLINK("http://nsgreg.nga.mil/genc/view?v=202503&amp;end_month=3&amp;end_day=31&amp;end_year=2014","Ifugao")</f>
        <v>Ifugao</v>
      </c>
      <c r="H3303" s="87" t="str">
        <f>HYPERLINK("http://api.nsgreg.nga.mil/geo-division/GENC/6/ed2/PH-IFU","PH-IFU")</f>
        <v>PH-IFU</v>
      </c>
    </row>
    <row r="3304" spans="1:8" x14ac:dyDescent="0.2">
      <c r="A3304" s="157"/>
      <c r="B3304" s="31" t="s">
        <v>11740</v>
      </c>
      <c r="C3304" s="31" t="s">
        <v>11741</v>
      </c>
      <c r="D3304" s="31" t="s">
        <v>11590</v>
      </c>
      <c r="E3304" s="61" t="b">
        <v>1</v>
      </c>
      <c r="F3304" s="107" t="s">
        <v>11742</v>
      </c>
      <c r="G3304" s="116" t="str">
        <f>HYPERLINK("http://nsgreg.nga.mil/genc/view?v=202504&amp;end_month=3&amp;end_day=31&amp;end_year=2014","Iligan")</f>
        <v>Iligan</v>
      </c>
      <c r="H3304" s="87" t="str">
        <f>HYPERLINK("http://api.nsgreg.nga.mil/geo-division/GENC/6/ed2/PH-ILG","PH-ILG")</f>
        <v>PH-ILG</v>
      </c>
    </row>
    <row r="3305" spans="1:8" x14ac:dyDescent="0.2">
      <c r="A3305" s="157"/>
      <c r="B3305" s="31" t="s">
        <v>11743</v>
      </c>
      <c r="C3305" s="31" t="s">
        <v>11744</v>
      </c>
      <c r="D3305" s="98" t="s">
        <v>3137</v>
      </c>
      <c r="E3305" s="99" t="b">
        <v>0</v>
      </c>
      <c r="F3305" s="107" t="s">
        <v>11745</v>
      </c>
      <c r="G3305" s="116" t="str">
        <f>HYPERLINK("http://nsgreg.nga.mil/genc/view?v=202443&amp;end_month=3&amp;end_day=31&amp;end_year=2014","Ilocos")</f>
        <v>Ilocos</v>
      </c>
      <c r="H3305" s="87" t="str">
        <f>HYPERLINK("http://api.nsgreg.nga.mil/geo-division/GENC/6/ed2/PH-01","PH-01")</f>
        <v>PH-01</v>
      </c>
    </row>
    <row r="3306" spans="1:8" x14ac:dyDescent="0.2">
      <c r="A3306" s="157"/>
      <c r="B3306" s="31" t="s">
        <v>11746</v>
      </c>
      <c r="C3306" s="31" t="s">
        <v>11747</v>
      </c>
      <c r="D3306" s="31" t="s">
        <v>1920</v>
      </c>
      <c r="E3306" s="61" t="b">
        <v>1</v>
      </c>
      <c r="F3306" s="107" t="s">
        <v>11748</v>
      </c>
      <c r="G3306" s="116" t="str">
        <f>HYPERLINK("http://nsgreg.nga.mil/genc/view?v=202506&amp;end_month=3&amp;end_day=31&amp;end_year=2014","Ilocos Norte")</f>
        <v>Ilocos Norte</v>
      </c>
      <c r="H3306" s="87" t="str">
        <f>HYPERLINK("http://api.nsgreg.nga.mil/geo-division/GENC/6/ed2/PH-ILN","PH-ILN")</f>
        <v>PH-ILN</v>
      </c>
    </row>
    <row r="3307" spans="1:8" x14ac:dyDescent="0.2">
      <c r="A3307" s="157"/>
      <c r="B3307" s="31" t="s">
        <v>11749</v>
      </c>
      <c r="C3307" s="31" t="s">
        <v>11750</v>
      </c>
      <c r="D3307" s="31" t="s">
        <v>1920</v>
      </c>
      <c r="E3307" s="61" t="b">
        <v>1</v>
      </c>
      <c r="F3307" s="107" t="s">
        <v>11751</v>
      </c>
      <c r="G3307" s="116" t="str">
        <f>HYPERLINK("http://nsgreg.nga.mil/genc/view?v=202509&amp;end_month=3&amp;end_day=31&amp;end_year=2014","Ilocos Sur")</f>
        <v>Ilocos Sur</v>
      </c>
      <c r="H3307" s="87" t="str">
        <f>HYPERLINK("http://api.nsgreg.nga.mil/geo-division/GENC/6/ed2/PH-ILS","PH-ILS")</f>
        <v>PH-ILS</v>
      </c>
    </row>
    <row r="3308" spans="1:8" x14ac:dyDescent="0.2">
      <c r="A3308" s="157"/>
      <c r="B3308" s="31" t="s">
        <v>11752</v>
      </c>
      <c r="C3308" s="31" t="s">
        <v>11753</v>
      </c>
      <c r="D3308" s="31" t="s">
        <v>11590</v>
      </c>
      <c r="E3308" s="61" t="b">
        <v>1</v>
      </c>
      <c r="F3308" s="107" t="s">
        <v>11754</v>
      </c>
      <c r="G3308" s="116" t="str">
        <f>HYPERLINK("http://nsgreg.nga.mil/genc/view?v=202507&amp;end_month=3&amp;end_day=31&amp;end_year=2014","Iloilo")</f>
        <v>Iloilo</v>
      </c>
      <c r="H3308" s="87" t="str">
        <f>HYPERLINK("http://api.nsgreg.nga.mil/geo-division/GENC/6/ed2/PH-ILO","PH-ILO")</f>
        <v>PH-ILO</v>
      </c>
    </row>
    <row r="3309" spans="1:8" x14ac:dyDescent="0.2">
      <c r="A3309" s="157"/>
      <c r="B3309" s="31" t="s">
        <v>11755</v>
      </c>
      <c r="C3309" s="31" t="s">
        <v>11753</v>
      </c>
      <c r="D3309" s="31" t="s">
        <v>1920</v>
      </c>
      <c r="E3309" s="61" t="b">
        <v>1</v>
      </c>
      <c r="F3309" s="107" t="s">
        <v>11756</v>
      </c>
      <c r="G3309" s="116" t="str">
        <f>HYPERLINK("http://nsgreg.nga.mil/genc/view?v=202505&amp;end_month=3&amp;end_day=31&amp;end_year=2014","Iloilo")</f>
        <v>Iloilo</v>
      </c>
      <c r="H3309" s="87" t="str">
        <f>HYPERLINK("http://api.nsgreg.nga.mil/geo-division/GENC/6/ed2/PH-ILI","PH-ILI")</f>
        <v>PH-ILI</v>
      </c>
    </row>
    <row r="3310" spans="1:8" x14ac:dyDescent="0.2">
      <c r="A3310" s="157"/>
      <c r="B3310" s="31" t="s">
        <v>11757</v>
      </c>
      <c r="C3310" s="31" t="s">
        <v>11758</v>
      </c>
      <c r="D3310" s="31" t="s">
        <v>1920</v>
      </c>
      <c r="E3310" s="61" t="b">
        <v>1</v>
      </c>
      <c r="F3310" s="107" t="s">
        <v>11759</v>
      </c>
      <c r="G3310" s="116" t="str">
        <f>HYPERLINK("http://nsgreg.nga.mil/genc/view?v=202510&amp;end_month=3&amp;end_day=31&amp;end_year=2014","Isabela")</f>
        <v>Isabela</v>
      </c>
      <c r="H3310" s="87" t="str">
        <f>HYPERLINK("http://api.nsgreg.nga.mil/geo-division/GENC/6/ed2/PH-ISA","PH-ISA")</f>
        <v>PH-ISA</v>
      </c>
    </row>
    <row r="3311" spans="1:8" x14ac:dyDescent="0.2">
      <c r="A3311" s="157"/>
      <c r="B3311" s="31" t="s">
        <v>11760</v>
      </c>
      <c r="C3311" s="31" t="s">
        <v>11761</v>
      </c>
      <c r="D3311" s="31" t="s">
        <v>1920</v>
      </c>
      <c r="E3311" s="61" t="b">
        <v>1</v>
      </c>
      <c r="F3311" s="107" t="s">
        <v>11762</v>
      </c>
      <c r="G3311" s="116" t="str">
        <f>HYPERLINK("http://nsgreg.nga.mil/genc/view?v=202511&amp;end_month=3&amp;end_day=31&amp;end_year=2014","Kalinga")</f>
        <v>Kalinga</v>
      </c>
      <c r="H3311" s="87" t="str">
        <f>HYPERLINK("http://api.nsgreg.nga.mil/geo-division/GENC/6/ed2/PH-KAL","PH-KAL")</f>
        <v>PH-KAL</v>
      </c>
    </row>
    <row r="3312" spans="1:8" x14ac:dyDescent="0.2">
      <c r="A3312" s="157"/>
      <c r="B3312" s="31" t="s">
        <v>11763</v>
      </c>
      <c r="C3312" s="31" t="s">
        <v>11764</v>
      </c>
      <c r="D3312" s="31" t="s">
        <v>1920</v>
      </c>
      <c r="E3312" s="61" t="b">
        <v>1</v>
      </c>
      <c r="F3312" s="107" t="s">
        <v>11765</v>
      </c>
      <c r="G3312" s="116" t="str">
        <f>HYPERLINK("http://nsgreg.nga.mil/genc/view?v=202512&amp;end_month=3&amp;end_day=31&amp;end_year=2014","Laguna")</f>
        <v>Laguna</v>
      </c>
      <c r="H3312" s="87" t="str">
        <f>HYPERLINK("http://api.nsgreg.nga.mil/geo-division/GENC/6/ed2/PH-LAG","PH-LAG")</f>
        <v>PH-LAG</v>
      </c>
    </row>
    <row r="3313" spans="1:8" x14ac:dyDescent="0.2">
      <c r="A3313" s="157"/>
      <c r="B3313" s="31" t="s">
        <v>11766</v>
      </c>
      <c r="C3313" s="31" t="s">
        <v>11767</v>
      </c>
      <c r="D3313" s="31" t="s">
        <v>1920</v>
      </c>
      <c r="E3313" s="61" t="b">
        <v>1</v>
      </c>
      <c r="F3313" s="107" t="s">
        <v>11768</v>
      </c>
      <c r="G3313" s="116" t="str">
        <f>HYPERLINK("http://nsgreg.nga.mil/genc/view?v=202513&amp;end_month=3&amp;end_day=31&amp;end_year=2014","Lanao del Norte")</f>
        <v>Lanao del Norte</v>
      </c>
      <c r="H3313" s="87" t="str">
        <f>HYPERLINK("http://api.nsgreg.nga.mil/geo-division/GENC/6/ed2/PH-LAN","PH-LAN")</f>
        <v>PH-LAN</v>
      </c>
    </row>
    <row r="3314" spans="1:8" x14ac:dyDescent="0.2">
      <c r="A3314" s="157"/>
      <c r="B3314" s="31" t="s">
        <v>11769</v>
      </c>
      <c r="C3314" s="31" t="s">
        <v>11770</v>
      </c>
      <c r="D3314" s="31" t="s">
        <v>1920</v>
      </c>
      <c r="E3314" s="61" t="b">
        <v>1</v>
      </c>
      <c r="F3314" s="107" t="s">
        <v>11771</v>
      </c>
      <c r="G3314" s="116" t="str">
        <f>HYPERLINK("http://nsgreg.nga.mil/genc/view?v=202515&amp;end_month=3&amp;end_day=31&amp;end_year=2014","Lanao del Sur")</f>
        <v>Lanao del Sur</v>
      </c>
      <c r="H3314" s="87" t="str">
        <f>HYPERLINK("http://api.nsgreg.nga.mil/geo-division/GENC/6/ed2/PH-LAS","PH-LAS")</f>
        <v>PH-LAS</v>
      </c>
    </row>
    <row r="3315" spans="1:8" x14ac:dyDescent="0.2">
      <c r="A3315" s="157"/>
      <c r="B3315" s="31" t="s">
        <v>11772</v>
      </c>
      <c r="C3315" s="31" t="s">
        <v>11773</v>
      </c>
      <c r="D3315" s="31" t="s">
        <v>11590</v>
      </c>
      <c r="E3315" s="61" t="b">
        <v>1</v>
      </c>
      <c r="F3315" s="107" t="s">
        <v>11774</v>
      </c>
      <c r="G3315" s="116" t="str">
        <f>HYPERLINK("http://nsgreg.nga.mil/genc/view?v=202514&amp;end_month=3&amp;end_day=31&amp;end_year=2014","Lapu-Lapu")</f>
        <v>Lapu-Lapu</v>
      </c>
      <c r="H3315" s="87" t="str">
        <f>HYPERLINK("http://api.nsgreg.nga.mil/geo-division/GENC/6/ed2/PH-LAP","PH-LAP")</f>
        <v>PH-LAP</v>
      </c>
    </row>
    <row r="3316" spans="1:8" x14ac:dyDescent="0.2">
      <c r="A3316" s="157"/>
      <c r="B3316" s="31" t="s">
        <v>11775</v>
      </c>
      <c r="C3316" s="31" t="s">
        <v>11776</v>
      </c>
      <c r="D3316" s="31" t="s">
        <v>11590</v>
      </c>
      <c r="E3316" s="61" t="b">
        <v>1</v>
      </c>
      <c r="F3316" s="107" t="s">
        <v>11777</v>
      </c>
      <c r="G3316" s="116" t="str">
        <f>HYPERLINK("http://nsgreg.nga.mil/genc/view?v=202508&amp;end_month=3&amp;end_day=31&amp;end_year=2014","Las Piñas")</f>
        <v>Las Piñas</v>
      </c>
      <c r="H3316" s="87" t="str">
        <f>HYPERLINK("http://api.nsgreg.nga.mil/geo-division/GENC/6/ed2/PH-ILP","PH-ILP")</f>
        <v>PH-ILP</v>
      </c>
    </row>
    <row r="3317" spans="1:8" x14ac:dyDescent="0.2">
      <c r="A3317" s="157"/>
      <c r="B3317" s="31" t="s">
        <v>11778</v>
      </c>
      <c r="C3317" s="31" t="s">
        <v>11779</v>
      </c>
      <c r="D3317" s="31" t="s">
        <v>1920</v>
      </c>
      <c r="E3317" s="61" t="b">
        <v>1</v>
      </c>
      <c r="F3317" s="107" t="s">
        <v>11780</v>
      </c>
      <c r="G3317" s="116" t="str">
        <f>HYPERLINK("http://nsgreg.nga.mil/genc/view?v=202518&amp;end_month=3&amp;end_day=31&amp;end_year=2014","La Union")</f>
        <v>La Union</v>
      </c>
      <c r="H3317" s="87" t="str">
        <f>HYPERLINK("http://api.nsgreg.nga.mil/geo-division/GENC/6/ed2/PH-LUN","PH-LUN")</f>
        <v>PH-LUN</v>
      </c>
    </row>
    <row r="3318" spans="1:8" x14ac:dyDescent="0.2">
      <c r="A3318" s="157"/>
      <c r="B3318" s="31" t="s">
        <v>11781</v>
      </c>
      <c r="C3318" s="31" t="s">
        <v>11782</v>
      </c>
      <c r="D3318" s="31" t="s">
        <v>1920</v>
      </c>
      <c r="E3318" s="61" t="b">
        <v>1</v>
      </c>
      <c r="F3318" s="107" t="s">
        <v>11783</v>
      </c>
      <c r="G3318" s="116" t="str">
        <f>HYPERLINK("http://nsgreg.nga.mil/genc/view?v=202516&amp;end_month=3&amp;end_day=31&amp;end_year=2014","Leyte")</f>
        <v>Leyte</v>
      </c>
      <c r="H3318" s="87" t="str">
        <f>HYPERLINK("http://api.nsgreg.nga.mil/geo-division/GENC/6/ed2/PH-LEY","PH-LEY")</f>
        <v>PH-LEY</v>
      </c>
    </row>
    <row r="3319" spans="1:8" x14ac:dyDescent="0.2">
      <c r="A3319" s="157"/>
      <c r="B3319" s="31" t="s">
        <v>11784</v>
      </c>
      <c r="C3319" s="31" t="s">
        <v>11785</v>
      </c>
      <c r="D3319" s="31" t="s">
        <v>11590</v>
      </c>
      <c r="E3319" s="61" t="b">
        <v>1</v>
      </c>
      <c r="F3319" s="107" t="s">
        <v>11786</v>
      </c>
      <c r="G3319" s="116" t="str">
        <f>HYPERLINK("http://nsgreg.nga.mil/genc/view?v=202517&amp;end_month=3&amp;end_day=31&amp;end_year=2014","Lucena")</f>
        <v>Lucena</v>
      </c>
      <c r="H3319" s="87" t="str">
        <f>HYPERLINK("http://api.nsgreg.nga.mil/geo-division/GENC/6/ed2/PH-LUC","PH-LUC")</f>
        <v>PH-LUC</v>
      </c>
    </row>
    <row r="3320" spans="1:8" x14ac:dyDescent="0.2">
      <c r="A3320" s="157"/>
      <c r="B3320" s="31" t="s">
        <v>11787</v>
      </c>
      <c r="C3320" s="31" t="s">
        <v>11788</v>
      </c>
      <c r="D3320" s="31" t="s">
        <v>1920</v>
      </c>
      <c r="E3320" s="61" t="b">
        <v>1</v>
      </c>
      <c r="F3320" s="107" t="s">
        <v>11789</v>
      </c>
      <c r="G3320" s="116" t="str">
        <f>HYPERLINK("http://nsgreg.nga.mil/genc/view?v=202520&amp;end_month=3&amp;end_day=31&amp;end_year=2014","Maguindanao")</f>
        <v>Maguindanao</v>
      </c>
      <c r="H3320" s="87" t="str">
        <f>HYPERLINK("http://api.nsgreg.nga.mil/geo-division/GENC/6/ed2/PH-MAG","PH-MAG")</f>
        <v>PH-MAG</v>
      </c>
    </row>
    <row r="3321" spans="1:8" x14ac:dyDescent="0.2">
      <c r="A3321" s="157"/>
      <c r="B3321" s="31" t="s">
        <v>11790</v>
      </c>
      <c r="C3321" s="31" t="s">
        <v>11791</v>
      </c>
      <c r="D3321" s="31" t="s">
        <v>11590</v>
      </c>
      <c r="E3321" s="61" t="b">
        <v>1</v>
      </c>
      <c r="F3321" s="107" t="s">
        <v>11792</v>
      </c>
      <c r="G3321" s="116" t="str">
        <f>HYPERLINK("http://nsgreg.nga.mil/genc/view?v=202521&amp;end_month=3&amp;end_day=31&amp;end_year=2014","Makati")</f>
        <v>Makati</v>
      </c>
      <c r="H3321" s="87" t="str">
        <f>HYPERLINK("http://api.nsgreg.nga.mil/geo-division/GENC/6/ed2/PH-MAK","PH-MAK")</f>
        <v>PH-MAK</v>
      </c>
    </row>
    <row r="3322" spans="1:8" x14ac:dyDescent="0.2">
      <c r="A3322" s="157"/>
      <c r="B3322" s="31" t="s">
        <v>11793</v>
      </c>
      <c r="C3322" s="31" t="s">
        <v>11794</v>
      </c>
      <c r="D3322" s="31" t="s">
        <v>11590</v>
      </c>
      <c r="E3322" s="61" t="b">
        <v>1</v>
      </c>
      <c r="F3322" s="107" t="s">
        <v>11795</v>
      </c>
      <c r="G3322" s="116" t="str">
        <f>HYPERLINK("http://nsgreg.nga.mil/genc/view?v=202522&amp;end_month=3&amp;end_day=31&amp;end_year=2014","Malabon")</f>
        <v>Malabon</v>
      </c>
      <c r="H3322" s="87" t="str">
        <f>HYPERLINK("http://api.nsgreg.nga.mil/geo-division/GENC/6/ed2/PH-MAL","PH-MAL")</f>
        <v>PH-MAL</v>
      </c>
    </row>
    <row r="3323" spans="1:8" x14ac:dyDescent="0.2">
      <c r="A3323" s="157"/>
      <c r="B3323" s="31" t="s">
        <v>11796</v>
      </c>
      <c r="C3323" s="31" t="s">
        <v>11797</v>
      </c>
      <c r="D3323" s="31" t="s">
        <v>11590</v>
      </c>
      <c r="E3323" s="61" t="b">
        <v>1</v>
      </c>
      <c r="F3323" s="107" t="s">
        <v>11798</v>
      </c>
      <c r="G3323" s="116" t="str">
        <f>HYPERLINK("http://nsgreg.nga.mil/genc/view?v=202529&amp;end_month=3&amp;end_day=31&amp;end_year=2014","Mandaluyong")</f>
        <v>Mandaluyong</v>
      </c>
      <c r="H3323" s="87" t="str">
        <f>HYPERLINK("http://api.nsgreg.nga.mil/geo-division/GENC/6/ed2/PH-MDY","PH-MDY")</f>
        <v>PH-MDY</v>
      </c>
    </row>
    <row r="3324" spans="1:8" x14ac:dyDescent="0.2">
      <c r="A3324" s="157"/>
      <c r="B3324" s="31" t="s">
        <v>11799</v>
      </c>
      <c r="C3324" s="31" t="s">
        <v>11800</v>
      </c>
      <c r="D3324" s="31" t="s">
        <v>11590</v>
      </c>
      <c r="E3324" s="61" t="b">
        <v>1</v>
      </c>
      <c r="F3324" s="107" t="s">
        <v>11801</v>
      </c>
      <c r="G3324" s="116" t="str">
        <f>HYPERLINK("http://nsgreg.nga.mil/genc/view?v=202528&amp;end_month=3&amp;end_day=31&amp;end_year=2014","Mandaue")</f>
        <v>Mandaue</v>
      </c>
      <c r="H3324" s="87" t="str">
        <f>HYPERLINK("http://api.nsgreg.nga.mil/geo-division/GENC/6/ed2/PH-MDU","PH-MDU")</f>
        <v>PH-MDU</v>
      </c>
    </row>
    <row r="3325" spans="1:8" x14ac:dyDescent="0.2">
      <c r="A3325" s="157"/>
      <c r="B3325" s="31" t="s">
        <v>11802</v>
      </c>
      <c r="C3325" s="31" t="s">
        <v>11803</v>
      </c>
      <c r="D3325" s="31" t="s">
        <v>11590</v>
      </c>
      <c r="E3325" s="61" t="b">
        <v>1</v>
      </c>
      <c r="F3325" s="107" t="s">
        <v>11804</v>
      </c>
      <c r="G3325" s="116" t="str">
        <f>HYPERLINK("http://nsgreg.nga.mil/genc/view?v=202523&amp;end_month=3&amp;end_day=31&amp;end_year=2014","Manila")</f>
        <v>Manila</v>
      </c>
      <c r="H3325" s="87" t="str">
        <f>HYPERLINK("http://api.nsgreg.nga.mil/geo-division/GENC/6/ed2/PH-MAN","PH-MAN")</f>
        <v>PH-MAN</v>
      </c>
    </row>
    <row r="3326" spans="1:8" x14ac:dyDescent="0.2">
      <c r="A3326" s="157"/>
      <c r="B3326" s="31" t="s">
        <v>11805</v>
      </c>
      <c r="C3326" s="31" t="s">
        <v>11806</v>
      </c>
      <c r="D3326" s="31" t="s">
        <v>11590</v>
      </c>
      <c r="E3326" s="61" t="b">
        <v>1</v>
      </c>
      <c r="F3326" s="107" t="s">
        <v>11807</v>
      </c>
      <c r="G3326" s="116" t="str">
        <f>HYPERLINK("http://nsgreg.nga.mil/genc/view?v=202524&amp;end_month=3&amp;end_day=31&amp;end_year=2014","Marikina")</f>
        <v>Marikina</v>
      </c>
      <c r="H3326" s="87" t="str">
        <f>HYPERLINK("http://api.nsgreg.nga.mil/geo-division/GENC/6/ed2/PH-MAR","PH-MAR")</f>
        <v>PH-MAR</v>
      </c>
    </row>
    <row r="3327" spans="1:8" x14ac:dyDescent="0.2">
      <c r="A3327" s="157"/>
      <c r="B3327" s="31" t="s">
        <v>11808</v>
      </c>
      <c r="C3327" s="31" t="s">
        <v>11809</v>
      </c>
      <c r="D3327" s="31" t="s">
        <v>1920</v>
      </c>
      <c r="E3327" s="61" t="b">
        <v>1</v>
      </c>
      <c r="F3327" s="107" t="s">
        <v>11810</v>
      </c>
      <c r="G3327" s="116" t="str">
        <f>HYPERLINK("http://nsgreg.nga.mil/genc/view?v=202519&amp;end_month=3&amp;end_day=31&amp;end_year=2014","Marinduque")</f>
        <v>Marinduque</v>
      </c>
      <c r="H3327" s="87" t="str">
        <f>HYPERLINK("http://api.nsgreg.nga.mil/geo-division/GENC/6/ed2/PH-MAD","PH-MAD")</f>
        <v>PH-MAD</v>
      </c>
    </row>
    <row r="3328" spans="1:8" x14ac:dyDescent="0.2">
      <c r="A3328" s="157"/>
      <c r="B3328" s="31" t="s">
        <v>11811</v>
      </c>
      <c r="C3328" s="31" t="s">
        <v>11812</v>
      </c>
      <c r="D3328" s="31" t="s">
        <v>1920</v>
      </c>
      <c r="E3328" s="61" t="b">
        <v>1</v>
      </c>
      <c r="F3328" s="107" t="s">
        <v>11813</v>
      </c>
      <c r="G3328" s="116" t="str">
        <f>HYPERLINK("http://nsgreg.nga.mil/genc/view?v=202525&amp;end_month=3&amp;end_day=31&amp;end_year=2014","Masbate")</f>
        <v>Masbate</v>
      </c>
      <c r="H3328" s="87" t="str">
        <f>HYPERLINK("http://api.nsgreg.nga.mil/geo-division/GENC/6/ed2/PH-MAS","PH-MAS")</f>
        <v>PH-MAS</v>
      </c>
    </row>
    <row r="3329" spans="1:8" x14ac:dyDescent="0.2">
      <c r="A3329" s="157"/>
      <c r="B3329" s="31" t="s">
        <v>11814</v>
      </c>
      <c r="C3329" s="31" t="s">
        <v>11815</v>
      </c>
      <c r="D3329" s="98" t="s">
        <v>3137</v>
      </c>
      <c r="E3329" s="99" t="b">
        <v>0</v>
      </c>
      <c r="F3329" s="107" t="s">
        <v>11816</v>
      </c>
      <c r="G3329" s="116" t="str">
        <f>HYPERLINK("http://nsgreg.nga.mil/genc/view?v=202458&amp;end_month=3&amp;end_day=31&amp;end_year=2014","MIMAROPA")</f>
        <v>MIMAROPA</v>
      </c>
      <c r="H3329" s="87" t="str">
        <f>HYPERLINK("http://api.nsgreg.nga.mil/geo-division/GENC/6/ed2/PH-41","PH-41")</f>
        <v>PH-41</v>
      </c>
    </row>
    <row r="3330" spans="1:8" x14ac:dyDescent="0.2">
      <c r="A3330" s="157"/>
      <c r="B3330" s="31" t="s">
        <v>11817</v>
      </c>
      <c r="C3330" s="31" t="s">
        <v>11818</v>
      </c>
      <c r="D3330" s="31" t="s">
        <v>1920</v>
      </c>
      <c r="E3330" s="61" t="b">
        <v>1</v>
      </c>
      <c r="F3330" s="107" t="s">
        <v>11819</v>
      </c>
      <c r="G3330" s="116" t="str">
        <f>HYPERLINK("http://nsgreg.nga.mil/genc/view?v=202531&amp;end_month=3&amp;end_day=31&amp;end_year=2014","Misamis Occidental")</f>
        <v>Misamis Occidental</v>
      </c>
      <c r="H3330" s="87" t="str">
        <f>HYPERLINK("http://api.nsgreg.nga.mil/geo-division/GENC/6/ed2/PH-MSC","PH-MSC")</f>
        <v>PH-MSC</v>
      </c>
    </row>
    <row r="3331" spans="1:8" x14ac:dyDescent="0.2">
      <c r="A3331" s="157"/>
      <c r="B3331" s="31" t="s">
        <v>11820</v>
      </c>
      <c r="C3331" s="31" t="s">
        <v>11821</v>
      </c>
      <c r="D3331" s="31" t="s">
        <v>1920</v>
      </c>
      <c r="E3331" s="61" t="b">
        <v>1</v>
      </c>
      <c r="F3331" s="107" t="s">
        <v>11822</v>
      </c>
      <c r="G3331" s="116" t="str">
        <f>HYPERLINK("http://nsgreg.nga.mil/genc/view?v=202532&amp;end_month=3&amp;end_day=31&amp;end_year=2014","Misamis Oriental")</f>
        <v>Misamis Oriental</v>
      </c>
      <c r="H3331" s="87" t="str">
        <f>HYPERLINK("http://api.nsgreg.nga.mil/geo-division/GENC/6/ed2/PH-MSR","PH-MSR")</f>
        <v>PH-MSR</v>
      </c>
    </row>
    <row r="3332" spans="1:8" x14ac:dyDescent="0.2">
      <c r="A3332" s="157"/>
      <c r="B3332" s="31" t="s">
        <v>11823</v>
      </c>
      <c r="C3332" s="31" t="s">
        <v>11824</v>
      </c>
      <c r="D3332" s="31" t="s">
        <v>1920</v>
      </c>
      <c r="E3332" s="61" t="b">
        <v>1</v>
      </c>
      <c r="F3332" s="107" t="s">
        <v>11825</v>
      </c>
      <c r="G3332" s="116" t="str">
        <f>HYPERLINK("http://nsgreg.nga.mil/genc/view?v=202530&amp;end_month=3&amp;end_day=31&amp;end_year=2014","Mountain")</f>
        <v>Mountain</v>
      </c>
      <c r="H3332" s="87" t="str">
        <f>HYPERLINK("http://api.nsgreg.nga.mil/geo-division/GENC/6/ed2/PH-MOU","PH-MOU")</f>
        <v>PH-MOU</v>
      </c>
    </row>
    <row r="3333" spans="1:8" x14ac:dyDescent="0.2">
      <c r="A3333" s="157"/>
      <c r="B3333" s="31" t="s">
        <v>11826</v>
      </c>
      <c r="C3333" s="31" t="s">
        <v>11827</v>
      </c>
      <c r="D3333" s="31" t="s">
        <v>11590</v>
      </c>
      <c r="E3333" s="61" t="b">
        <v>1</v>
      </c>
      <c r="F3333" s="107" t="s">
        <v>11828</v>
      </c>
      <c r="G3333" s="116" t="str">
        <f>HYPERLINK("http://nsgreg.nga.mil/genc/view?v=202533&amp;end_month=3&amp;end_day=31&amp;end_year=2014","Muntinlupa")</f>
        <v>Muntinlupa</v>
      </c>
      <c r="H3333" s="87" t="str">
        <f>HYPERLINK("http://api.nsgreg.nga.mil/geo-division/GENC/6/ed2/PH-MUN","PH-MUN")</f>
        <v>PH-MUN</v>
      </c>
    </row>
    <row r="3334" spans="1:8" x14ac:dyDescent="0.2">
      <c r="A3334" s="157"/>
      <c r="B3334" s="31" t="s">
        <v>11829</v>
      </c>
      <c r="C3334" s="31" t="s">
        <v>11830</v>
      </c>
      <c r="D3334" s="31" t="s">
        <v>11594</v>
      </c>
      <c r="E3334" s="61" t="b">
        <v>1</v>
      </c>
      <c r="F3334" s="107" t="s">
        <v>11831</v>
      </c>
      <c r="G3334" s="116" t="str">
        <f>HYPERLINK("http://nsgreg.nga.mil/genc/view?v=202534&amp;end_month=3&amp;end_day=31&amp;end_year=2014","Naga")</f>
        <v>Naga</v>
      </c>
      <c r="H3334" s="87" t="str">
        <f>HYPERLINK("http://api.nsgreg.nga.mil/geo-division/GENC/6/ed2/PH-NAG","PH-NAG")</f>
        <v>PH-NAG</v>
      </c>
    </row>
    <row r="3335" spans="1:8" x14ac:dyDescent="0.2">
      <c r="A3335" s="157"/>
      <c r="B3335" s="31" t="s">
        <v>11832</v>
      </c>
      <c r="C3335" s="31" t="s">
        <v>11833</v>
      </c>
      <c r="D3335" s="98" t="s">
        <v>3137</v>
      </c>
      <c r="E3335" s="99" t="b">
        <v>0</v>
      </c>
      <c r="F3335" s="107" t="s">
        <v>11834</v>
      </c>
      <c r="G3335" s="116" t="str">
        <f>HYPERLINK("http://nsgreg.nga.mil/genc/view?v=202442&amp;end_month=3&amp;end_day=31&amp;end_year=2014","National Capital Region")</f>
        <v>National Capital Region</v>
      </c>
      <c r="H3335" s="87" t="str">
        <f>HYPERLINK("http://api.nsgreg.nga.mil/geo-division/GENC/6/ed2/PH-00","PH-00")</f>
        <v>PH-00</v>
      </c>
    </row>
    <row r="3336" spans="1:8" x14ac:dyDescent="0.2">
      <c r="A3336" s="157"/>
      <c r="B3336" s="31" t="s">
        <v>11835</v>
      </c>
      <c r="C3336" s="31" t="s">
        <v>11836</v>
      </c>
      <c r="D3336" s="31" t="s">
        <v>11590</v>
      </c>
      <c r="E3336" s="61" t="b">
        <v>1</v>
      </c>
      <c r="F3336" s="107" t="s">
        <v>11837</v>
      </c>
      <c r="G3336" s="116" t="str">
        <f>HYPERLINK("http://nsgreg.nga.mil/genc/view?v=202535&amp;end_month=3&amp;end_day=31&amp;end_year=2014","Navotas")</f>
        <v>Navotas</v>
      </c>
      <c r="H3336" s="87" t="str">
        <f>HYPERLINK("http://api.nsgreg.nga.mil/geo-division/GENC/6/ed2/PH-NAV","PH-NAV")</f>
        <v>PH-NAV</v>
      </c>
    </row>
    <row r="3337" spans="1:8" x14ac:dyDescent="0.2">
      <c r="A3337" s="157"/>
      <c r="B3337" s="31" t="s">
        <v>11838</v>
      </c>
      <c r="C3337" s="31" t="s">
        <v>11839</v>
      </c>
      <c r="D3337" s="31" t="s">
        <v>1920</v>
      </c>
      <c r="E3337" s="61" t="b">
        <v>1</v>
      </c>
      <c r="F3337" s="107" t="s">
        <v>11840</v>
      </c>
      <c r="G3337" s="116" t="str">
        <f>HYPERLINK("http://nsgreg.nga.mil/genc/view?v=202537&amp;end_month=3&amp;end_day=31&amp;end_year=2014","Negros Occidental")</f>
        <v>Negros Occidental</v>
      </c>
      <c r="H3337" s="87" t="str">
        <f>HYPERLINK("http://api.nsgreg.nga.mil/geo-division/GENC/6/ed2/PH-NEC","PH-NEC")</f>
        <v>PH-NEC</v>
      </c>
    </row>
    <row r="3338" spans="1:8" x14ac:dyDescent="0.2">
      <c r="A3338" s="157"/>
      <c r="B3338" s="31" t="s">
        <v>11841</v>
      </c>
      <c r="C3338" s="31" t="s">
        <v>11842</v>
      </c>
      <c r="D3338" s="31" t="s">
        <v>1920</v>
      </c>
      <c r="E3338" s="61" t="b">
        <v>1</v>
      </c>
      <c r="F3338" s="107" t="s">
        <v>11843</v>
      </c>
      <c r="G3338" s="116" t="str">
        <f>HYPERLINK("http://nsgreg.nga.mil/genc/view?v=202538&amp;end_month=3&amp;end_day=31&amp;end_year=2014","Negros Oriental")</f>
        <v>Negros Oriental</v>
      </c>
      <c r="H3338" s="87" t="str">
        <f>HYPERLINK("http://api.nsgreg.nga.mil/geo-division/GENC/6/ed2/PH-NER","PH-NER")</f>
        <v>PH-NER</v>
      </c>
    </row>
    <row r="3339" spans="1:8" x14ac:dyDescent="0.2">
      <c r="A3339" s="157"/>
      <c r="B3339" s="31" t="s">
        <v>11844</v>
      </c>
      <c r="C3339" s="31" t="s">
        <v>11845</v>
      </c>
      <c r="D3339" s="98" t="s">
        <v>3137</v>
      </c>
      <c r="E3339" s="99" t="b">
        <v>0</v>
      </c>
      <c r="F3339" s="107" t="s">
        <v>11846</v>
      </c>
      <c r="G3339" s="116" t="str">
        <f>HYPERLINK("http://nsgreg.nga.mil/genc/view?v=202451&amp;end_month=3&amp;end_day=31&amp;end_year=2014","Northern Mindanao")</f>
        <v>Northern Mindanao</v>
      </c>
      <c r="H3339" s="87" t="str">
        <f>HYPERLINK("http://api.nsgreg.nga.mil/geo-division/GENC/6/ed2/PH-10","PH-10")</f>
        <v>PH-10</v>
      </c>
    </row>
    <row r="3340" spans="1:8" x14ac:dyDescent="0.2">
      <c r="A3340" s="157"/>
      <c r="B3340" s="31" t="s">
        <v>11847</v>
      </c>
      <c r="C3340" s="31" t="s">
        <v>11848</v>
      </c>
      <c r="D3340" s="31" t="s">
        <v>1920</v>
      </c>
      <c r="E3340" s="61" t="b">
        <v>1</v>
      </c>
      <c r="F3340" s="107" t="s">
        <v>11849</v>
      </c>
      <c r="G3340" s="116" t="str">
        <f>HYPERLINK("http://nsgreg.nga.mil/genc/view?v=202539&amp;end_month=3&amp;end_day=31&amp;end_year=2014","Northern Samar")</f>
        <v>Northern Samar</v>
      </c>
      <c r="H3340" s="87" t="str">
        <f>HYPERLINK("http://api.nsgreg.nga.mil/geo-division/GENC/6/ed2/PH-NSA","PH-NSA")</f>
        <v>PH-NSA</v>
      </c>
    </row>
    <row r="3341" spans="1:8" x14ac:dyDescent="0.2">
      <c r="A3341" s="157"/>
      <c r="B3341" s="31" t="s">
        <v>11850</v>
      </c>
      <c r="C3341" s="31" t="s">
        <v>11851</v>
      </c>
      <c r="D3341" s="31" t="s">
        <v>1920</v>
      </c>
      <c r="E3341" s="61" t="b">
        <v>1</v>
      </c>
      <c r="F3341" s="107" t="s">
        <v>11852</v>
      </c>
      <c r="G3341" s="116" t="str">
        <f>HYPERLINK("http://nsgreg.nga.mil/genc/view?v=202540&amp;end_month=3&amp;end_day=31&amp;end_year=2014","Nueva Ecija")</f>
        <v>Nueva Ecija</v>
      </c>
      <c r="H3341" s="87" t="str">
        <f>HYPERLINK("http://api.nsgreg.nga.mil/geo-division/GENC/6/ed2/PH-NUE","PH-NUE")</f>
        <v>PH-NUE</v>
      </c>
    </row>
    <row r="3342" spans="1:8" x14ac:dyDescent="0.2">
      <c r="A3342" s="157"/>
      <c r="B3342" s="31" t="s">
        <v>11853</v>
      </c>
      <c r="C3342" s="31" t="s">
        <v>11854</v>
      </c>
      <c r="D3342" s="31" t="s">
        <v>1920</v>
      </c>
      <c r="E3342" s="61" t="b">
        <v>1</v>
      </c>
      <c r="F3342" s="107" t="s">
        <v>11855</v>
      </c>
      <c r="G3342" s="116" t="str">
        <f>HYPERLINK("http://nsgreg.nga.mil/genc/view?v=202541&amp;end_month=3&amp;end_day=31&amp;end_year=2014","Nueva Vizcaya")</f>
        <v>Nueva Vizcaya</v>
      </c>
      <c r="H3342" s="87" t="str">
        <f>HYPERLINK("http://api.nsgreg.nga.mil/geo-division/GENC/6/ed2/PH-NUV","PH-NUV")</f>
        <v>PH-NUV</v>
      </c>
    </row>
    <row r="3343" spans="1:8" x14ac:dyDescent="0.2">
      <c r="A3343" s="157"/>
      <c r="B3343" s="31" t="s">
        <v>11856</v>
      </c>
      <c r="C3343" s="31" t="s">
        <v>11857</v>
      </c>
      <c r="D3343" s="31" t="s">
        <v>1920</v>
      </c>
      <c r="E3343" s="61" t="b">
        <v>1</v>
      </c>
      <c r="F3343" s="107" t="s">
        <v>11858</v>
      </c>
      <c r="G3343" s="116" t="str">
        <f>HYPERLINK("http://nsgreg.nga.mil/genc/view?v=202526&amp;end_month=3&amp;end_day=31&amp;end_year=2014","Occidental Mindoro")</f>
        <v>Occidental Mindoro</v>
      </c>
      <c r="H3343" s="87" t="str">
        <f>HYPERLINK("http://api.nsgreg.nga.mil/geo-division/GENC/6/ed2/PH-MDC","PH-MDC")</f>
        <v>PH-MDC</v>
      </c>
    </row>
    <row r="3344" spans="1:8" x14ac:dyDescent="0.2">
      <c r="A3344" s="157"/>
      <c r="B3344" s="31" t="s">
        <v>11859</v>
      </c>
      <c r="C3344" s="31" t="s">
        <v>11860</v>
      </c>
      <c r="D3344" s="31" t="s">
        <v>11590</v>
      </c>
      <c r="E3344" s="61" t="b">
        <v>1</v>
      </c>
      <c r="F3344" s="107" t="s">
        <v>11861</v>
      </c>
      <c r="G3344" s="116" t="str">
        <f>HYPERLINK("http://nsgreg.nga.mil/genc/view?v=202542&amp;end_month=3&amp;end_day=31&amp;end_year=2014","Olongapo")</f>
        <v>Olongapo</v>
      </c>
      <c r="H3344" s="87" t="str">
        <f>HYPERLINK("http://api.nsgreg.nga.mil/geo-division/GENC/6/ed2/PH-OLG","PH-OLG")</f>
        <v>PH-OLG</v>
      </c>
    </row>
    <row r="3345" spans="1:8" x14ac:dyDescent="0.2">
      <c r="A3345" s="157"/>
      <c r="B3345" s="31" t="s">
        <v>11862</v>
      </c>
      <c r="C3345" s="31" t="s">
        <v>11863</v>
      </c>
      <c r="D3345" s="31" t="s">
        <v>1920</v>
      </c>
      <c r="E3345" s="61" t="b">
        <v>1</v>
      </c>
      <c r="F3345" s="107" t="s">
        <v>11864</v>
      </c>
      <c r="G3345" s="116" t="str">
        <f>HYPERLINK("http://nsgreg.nga.mil/genc/view?v=202527&amp;end_month=3&amp;end_day=31&amp;end_year=2014","Oriental Mindoro")</f>
        <v>Oriental Mindoro</v>
      </c>
      <c r="H3345" s="87" t="str">
        <f>HYPERLINK("http://api.nsgreg.nga.mil/geo-division/GENC/6/ed2/PH-MDR","PH-MDR")</f>
        <v>PH-MDR</v>
      </c>
    </row>
    <row r="3346" spans="1:8" x14ac:dyDescent="0.2">
      <c r="A3346" s="157"/>
      <c r="B3346" s="31" t="s">
        <v>11865</v>
      </c>
      <c r="C3346" s="31" t="s">
        <v>11866</v>
      </c>
      <c r="D3346" s="31" t="s">
        <v>11594</v>
      </c>
      <c r="E3346" s="61" t="b">
        <v>1</v>
      </c>
      <c r="F3346" s="107" t="s">
        <v>11867</v>
      </c>
      <c r="G3346" s="116" t="str">
        <f>HYPERLINK("http://nsgreg.nga.mil/genc/view?v=202543&amp;end_month=3&amp;end_day=31&amp;end_year=2014","Ormoc")</f>
        <v>Ormoc</v>
      </c>
      <c r="H3346" s="87" t="str">
        <f>HYPERLINK("http://api.nsgreg.nga.mil/geo-division/GENC/6/ed2/PH-ORM","PH-ORM")</f>
        <v>PH-ORM</v>
      </c>
    </row>
    <row r="3347" spans="1:8" x14ac:dyDescent="0.2">
      <c r="A3347" s="157"/>
      <c r="B3347" s="31" t="s">
        <v>11868</v>
      </c>
      <c r="C3347" s="31" t="s">
        <v>11869</v>
      </c>
      <c r="D3347" s="31" t="s">
        <v>1920</v>
      </c>
      <c r="E3347" s="61" t="b">
        <v>1</v>
      </c>
      <c r="F3347" s="107" t="s">
        <v>11870</v>
      </c>
      <c r="G3347" s="116" t="str">
        <f>HYPERLINK("http://nsgreg.nga.mil/genc/view?v=202548&amp;end_month=3&amp;end_day=31&amp;end_year=2014","Palawan")</f>
        <v>Palawan</v>
      </c>
      <c r="H3347" s="87" t="str">
        <f>HYPERLINK("http://api.nsgreg.nga.mil/geo-division/GENC/6/ed2/PH-PLW","PH-PLW")</f>
        <v>PH-PLW</v>
      </c>
    </row>
    <row r="3348" spans="1:8" x14ac:dyDescent="0.2">
      <c r="A3348" s="157"/>
      <c r="B3348" s="31" t="s">
        <v>11871</v>
      </c>
      <c r="C3348" s="31" t="s">
        <v>11872</v>
      </c>
      <c r="D3348" s="31" t="s">
        <v>1920</v>
      </c>
      <c r="E3348" s="61" t="b">
        <v>1</v>
      </c>
      <c r="F3348" s="107" t="s">
        <v>11873</v>
      </c>
      <c r="G3348" s="116" t="str">
        <f>HYPERLINK("http://nsgreg.nga.mil/genc/view?v=202544&amp;end_month=3&amp;end_day=31&amp;end_year=2014","Pampanga")</f>
        <v>Pampanga</v>
      </c>
      <c r="H3348" s="87" t="str">
        <f>HYPERLINK("http://api.nsgreg.nga.mil/geo-division/GENC/6/ed2/PH-PAM","PH-PAM")</f>
        <v>PH-PAM</v>
      </c>
    </row>
    <row r="3349" spans="1:8" x14ac:dyDescent="0.2">
      <c r="A3349" s="157"/>
      <c r="B3349" s="31" t="s">
        <v>11874</v>
      </c>
      <c r="C3349" s="31" t="s">
        <v>11875</v>
      </c>
      <c r="D3349" s="31" t="s">
        <v>1920</v>
      </c>
      <c r="E3349" s="61" t="b">
        <v>1</v>
      </c>
      <c r="F3349" s="107" t="s">
        <v>11876</v>
      </c>
      <c r="G3349" s="116" t="str">
        <f>HYPERLINK("http://nsgreg.nga.mil/genc/view?v=202545&amp;end_month=3&amp;end_day=31&amp;end_year=2014","Pangasinan")</f>
        <v>Pangasinan</v>
      </c>
      <c r="H3349" s="87" t="str">
        <f>HYPERLINK("http://api.nsgreg.nga.mil/geo-division/GENC/6/ed2/PH-PAN","PH-PAN")</f>
        <v>PH-PAN</v>
      </c>
    </row>
    <row r="3350" spans="1:8" x14ac:dyDescent="0.2">
      <c r="A3350" s="157"/>
      <c r="B3350" s="31" t="s">
        <v>11877</v>
      </c>
      <c r="C3350" s="31" t="s">
        <v>11878</v>
      </c>
      <c r="D3350" s="31" t="s">
        <v>11590</v>
      </c>
      <c r="E3350" s="61" t="b">
        <v>1</v>
      </c>
      <c r="F3350" s="107" t="s">
        <v>11879</v>
      </c>
      <c r="G3350" s="116" t="str">
        <f>HYPERLINK("http://nsgreg.nga.mil/genc/view?v=202546&amp;end_month=3&amp;end_day=31&amp;end_year=2014","Parañaque")</f>
        <v>Parañaque</v>
      </c>
      <c r="H3350" s="87" t="str">
        <f>HYPERLINK("http://api.nsgreg.nga.mil/geo-division/GENC/6/ed2/PH-PAR","PH-PAR")</f>
        <v>PH-PAR</v>
      </c>
    </row>
    <row r="3351" spans="1:8" x14ac:dyDescent="0.2">
      <c r="A3351" s="157"/>
      <c r="B3351" s="31" t="s">
        <v>11880</v>
      </c>
      <c r="C3351" s="31" t="s">
        <v>11881</v>
      </c>
      <c r="D3351" s="31" t="s">
        <v>11590</v>
      </c>
      <c r="E3351" s="61" t="b">
        <v>1</v>
      </c>
      <c r="F3351" s="107" t="s">
        <v>11882</v>
      </c>
      <c r="G3351" s="116" t="str">
        <f>HYPERLINK("http://nsgreg.nga.mil/genc/view?v=202547&amp;end_month=3&amp;end_day=31&amp;end_year=2014","Pasay")</f>
        <v>Pasay</v>
      </c>
      <c r="H3351" s="87" t="str">
        <f>HYPERLINK("http://api.nsgreg.nga.mil/geo-division/GENC/6/ed2/PH-PAS","PH-PAS")</f>
        <v>PH-PAS</v>
      </c>
    </row>
    <row r="3352" spans="1:8" x14ac:dyDescent="0.2">
      <c r="A3352" s="157"/>
      <c r="B3352" s="31" t="s">
        <v>11883</v>
      </c>
      <c r="C3352" s="31" t="s">
        <v>11884</v>
      </c>
      <c r="D3352" s="31" t="s">
        <v>11590</v>
      </c>
      <c r="E3352" s="61" t="b">
        <v>1</v>
      </c>
      <c r="F3352" s="107" t="s">
        <v>11885</v>
      </c>
      <c r="G3352" s="116" t="str">
        <f>HYPERLINK("http://nsgreg.nga.mil/genc/view?v=202550&amp;end_month=3&amp;end_day=31&amp;end_year=2014","Pasig")</f>
        <v>Pasig</v>
      </c>
      <c r="H3352" s="87" t="str">
        <f>HYPERLINK("http://api.nsgreg.nga.mil/geo-division/GENC/6/ed2/PH-PSG","PH-PSG")</f>
        <v>PH-PSG</v>
      </c>
    </row>
    <row r="3353" spans="1:8" x14ac:dyDescent="0.2">
      <c r="A3353" s="157"/>
      <c r="B3353" s="31" t="s">
        <v>11886</v>
      </c>
      <c r="C3353" s="31" t="s">
        <v>11887</v>
      </c>
      <c r="D3353" s="31" t="s">
        <v>11590</v>
      </c>
      <c r="E3353" s="61" t="b">
        <v>1</v>
      </c>
      <c r="F3353" s="107" t="s">
        <v>11888</v>
      </c>
      <c r="G3353" s="116" t="str">
        <f>HYPERLINK("http://nsgreg.nga.mil/genc/view?v=202549&amp;end_month=3&amp;end_day=31&amp;end_year=2014","Puerto Princesa")</f>
        <v>Puerto Princesa</v>
      </c>
      <c r="H3353" s="87" t="str">
        <f>HYPERLINK("http://api.nsgreg.nga.mil/geo-division/GENC/6/ed2/PH-PPR","PH-PPR")</f>
        <v>PH-PPR</v>
      </c>
    </row>
    <row r="3354" spans="1:8" x14ac:dyDescent="0.2">
      <c r="A3354" s="157"/>
      <c r="B3354" s="31" t="s">
        <v>11889</v>
      </c>
      <c r="C3354" s="31" t="s">
        <v>11890</v>
      </c>
      <c r="D3354" s="31" t="s">
        <v>11590</v>
      </c>
      <c r="E3354" s="61" t="b">
        <v>1</v>
      </c>
      <c r="F3354" s="107" t="s">
        <v>11891</v>
      </c>
      <c r="G3354" s="116" t="str">
        <f>HYPERLINK("http://nsgreg.nga.mil/genc/view?v=202553&amp;end_month=3&amp;end_day=31&amp;end_year=2014","Quezon")</f>
        <v>Quezon</v>
      </c>
      <c r="H3354" s="87" t="str">
        <f>HYPERLINK("http://api.nsgreg.nga.mil/geo-division/GENC/6/ed2/PH-QZN","PH-QZN")</f>
        <v>PH-QZN</v>
      </c>
    </row>
    <row r="3355" spans="1:8" x14ac:dyDescent="0.2">
      <c r="A3355" s="157"/>
      <c r="B3355" s="31" t="s">
        <v>11892</v>
      </c>
      <c r="C3355" s="31" t="s">
        <v>11890</v>
      </c>
      <c r="D3355" s="31" t="s">
        <v>1920</v>
      </c>
      <c r="E3355" s="61" t="b">
        <v>1</v>
      </c>
      <c r="F3355" s="107" t="s">
        <v>11893</v>
      </c>
      <c r="G3355" s="116" t="str">
        <f>HYPERLINK("http://nsgreg.nga.mil/genc/view?v=202551&amp;end_month=3&amp;end_day=31&amp;end_year=2014","Quezon")</f>
        <v>Quezon</v>
      </c>
      <c r="H3355" s="87" t="str">
        <f>HYPERLINK("http://api.nsgreg.nga.mil/geo-division/GENC/6/ed2/PH-QUE","PH-QUE")</f>
        <v>PH-QUE</v>
      </c>
    </row>
    <row r="3356" spans="1:8" x14ac:dyDescent="0.2">
      <c r="A3356" s="157"/>
      <c r="B3356" s="31" t="s">
        <v>11894</v>
      </c>
      <c r="C3356" s="31" t="s">
        <v>11895</v>
      </c>
      <c r="D3356" s="31" t="s">
        <v>1920</v>
      </c>
      <c r="E3356" s="61" t="b">
        <v>1</v>
      </c>
      <c r="F3356" s="107" t="s">
        <v>11896</v>
      </c>
      <c r="G3356" s="116" t="str">
        <f>HYPERLINK("http://nsgreg.nga.mil/genc/view?v=202552&amp;end_month=3&amp;end_day=31&amp;end_year=2014","Quirino")</f>
        <v>Quirino</v>
      </c>
      <c r="H3356" s="87" t="str">
        <f>HYPERLINK("http://api.nsgreg.nga.mil/geo-division/GENC/6/ed2/PH-QUI","PH-QUI")</f>
        <v>PH-QUI</v>
      </c>
    </row>
    <row r="3357" spans="1:8" x14ac:dyDescent="0.2">
      <c r="A3357" s="157"/>
      <c r="B3357" s="31" t="s">
        <v>11897</v>
      </c>
      <c r="C3357" s="31" t="s">
        <v>11898</v>
      </c>
      <c r="D3357" s="31" t="s">
        <v>1920</v>
      </c>
      <c r="E3357" s="61" t="b">
        <v>1</v>
      </c>
      <c r="F3357" s="107" t="s">
        <v>11899</v>
      </c>
      <c r="G3357" s="116" t="str">
        <f>HYPERLINK("http://nsgreg.nga.mil/genc/view?v=202554&amp;end_month=3&amp;end_day=31&amp;end_year=2014","Rizal")</f>
        <v>Rizal</v>
      </c>
      <c r="H3357" s="87" t="str">
        <f>HYPERLINK("http://api.nsgreg.nga.mil/geo-division/GENC/6/ed2/PH-RIZ","PH-RIZ")</f>
        <v>PH-RIZ</v>
      </c>
    </row>
    <row r="3358" spans="1:8" x14ac:dyDescent="0.2">
      <c r="A3358" s="157"/>
      <c r="B3358" s="31" t="s">
        <v>11900</v>
      </c>
      <c r="C3358" s="31" t="s">
        <v>11901</v>
      </c>
      <c r="D3358" s="31" t="s">
        <v>1920</v>
      </c>
      <c r="E3358" s="61" t="b">
        <v>1</v>
      </c>
      <c r="F3358" s="107" t="s">
        <v>11902</v>
      </c>
      <c r="G3358" s="116" t="str">
        <f>HYPERLINK("http://nsgreg.nga.mil/genc/view?v=202555&amp;end_month=3&amp;end_day=31&amp;end_year=2014","Romblon")</f>
        <v>Romblon</v>
      </c>
      <c r="H3358" s="87" t="str">
        <f>HYPERLINK("http://api.nsgreg.nga.mil/geo-division/GENC/6/ed2/PH-ROM","PH-ROM")</f>
        <v>PH-ROM</v>
      </c>
    </row>
    <row r="3359" spans="1:8" x14ac:dyDescent="0.2">
      <c r="A3359" s="157"/>
      <c r="B3359" s="31" t="s">
        <v>11903</v>
      </c>
      <c r="C3359" s="31" t="s">
        <v>11904</v>
      </c>
      <c r="D3359" s="31" t="s">
        <v>1920</v>
      </c>
      <c r="E3359" s="61" t="b">
        <v>1</v>
      </c>
      <c r="F3359" s="107" t="s">
        <v>11905</v>
      </c>
      <c r="G3359" s="116" t="str">
        <f>HYPERLINK("http://nsgreg.nga.mil/genc/view?v=202572&amp;end_month=3&amp;end_day=31&amp;end_year=2014","Samar")</f>
        <v>Samar</v>
      </c>
      <c r="H3359" s="87" t="str">
        <f>HYPERLINK("http://api.nsgreg.nga.mil/geo-division/GENC/6/ed2/PH-WSA","PH-WSA")</f>
        <v>PH-WSA</v>
      </c>
    </row>
    <row r="3360" spans="1:8" x14ac:dyDescent="0.2">
      <c r="A3360" s="157"/>
      <c r="B3360" s="31" t="s">
        <v>11906</v>
      </c>
      <c r="C3360" s="31" t="s">
        <v>2453</v>
      </c>
      <c r="D3360" s="31" t="s">
        <v>11590</v>
      </c>
      <c r="E3360" s="61" t="b">
        <v>1</v>
      </c>
      <c r="F3360" s="107" t="s">
        <v>11907</v>
      </c>
      <c r="G3360" s="116" t="str">
        <f>HYPERLINK("http://nsgreg.nga.mil/genc/view?v=202562&amp;end_month=3&amp;end_day=31&amp;end_year=2014","San Juan")</f>
        <v>San Juan</v>
      </c>
      <c r="H3360" s="87" t="str">
        <f>HYPERLINK("http://api.nsgreg.nga.mil/geo-division/GENC/6/ed2/PH-SNJ","PH-SNJ")</f>
        <v>PH-SNJ</v>
      </c>
    </row>
    <row r="3361" spans="1:8" x14ac:dyDescent="0.2">
      <c r="A3361" s="157"/>
      <c r="B3361" s="31" t="s">
        <v>11908</v>
      </c>
      <c r="C3361" s="31" t="s">
        <v>5281</v>
      </c>
      <c r="D3361" s="31" t="s">
        <v>11594</v>
      </c>
      <c r="E3361" s="61" t="b">
        <v>1</v>
      </c>
      <c r="F3361" s="107" t="s">
        <v>11909</v>
      </c>
      <c r="G3361" s="116" t="str">
        <f>HYPERLINK("http://nsgreg.nga.mil/genc/view?v=202556&amp;end_month=3&amp;end_day=31&amp;end_year=2014","Santiago")</f>
        <v>Santiago</v>
      </c>
      <c r="H3361" s="87" t="str">
        <f>HYPERLINK("http://api.nsgreg.nga.mil/geo-division/GENC/6/ed2/PH-SAN","PH-SAN")</f>
        <v>PH-SAN</v>
      </c>
    </row>
    <row r="3362" spans="1:8" x14ac:dyDescent="0.2">
      <c r="A3362" s="157"/>
      <c r="B3362" s="31" t="s">
        <v>11910</v>
      </c>
      <c r="C3362" s="31" t="s">
        <v>11911</v>
      </c>
      <c r="D3362" s="31" t="s">
        <v>1920</v>
      </c>
      <c r="E3362" s="61" t="b">
        <v>1</v>
      </c>
      <c r="F3362" s="107" t="s">
        <v>11912</v>
      </c>
      <c r="G3362" s="116" t="str">
        <f>HYPERLINK("http://nsgreg.nga.mil/genc/view?v=202557&amp;end_month=3&amp;end_day=31&amp;end_year=2014","Sarangani")</f>
        <v>Sarangani</v>
      </c>
      <c r="H3362" s="87" t="str">
        <f>HYPERLINK("http://api.nsgreg.nga.mil/geo-division/GENC/6/ed2/PH-SAR","PH-SAR")</f>
        <v>PH-SAR</v>
      </c>
    </row>
    <row r="3363" spans="1:8" x14ac:dyDescent="0.2">
      <c r="A3363" s="157"/>
      <c r="B3363" s="31" t="s">
        <v>11913</v>
      </c>
      <c r="C3363" s="31" t="s">
        <v>11914</v>
      </c>
      <c r="D3363" s="31" t="s">
        <v>1920</v>
      </c>
      <c r="E3363" s="61" t="b">
        <v>1</v>
      </c>
      <c r="F3363" s="107" t="s">
        <v>11915</v>
      </c>
      <c r="G3363" s="116" t="str">
        <f>HYPERLINK("http://nsgreg.nga.mil/genc/view?v=202559&amp;end_month=3&amp;end_day=31&amp;end_year=2014","Siquijor")</f>
        <v>Siquijor</v>
      </c>
      <c r="H3363" s="87" t="str">
        <f>HYPERLINK("http://api.nsgreg.nga.mil/geo-division/GENC/6/ed2/PH-SIG","PH-SIG")</f>
        <v>PH-SIG</v>
      </c>
    </row>
    <row r="3364" spans="1:8" x14ac:dyDescent="0.2">
      <c r="A3364" s="157"/>
      <c r="B3364" s="31" t="s">
        <v>11916</v>
      </c>
      <c r="C3364" s="31" t="s">
        <v>11917</v>
      </c>
      <c r="D3364" s="98" t="s">
        <v>3137</v>
      </c>
      <c r="E3364" s="99" t="b">
        <v>0</v>
      </c>
      <c r="F3364" s="107" t="s">
        <v>11918</v>
      </c>
      <c r="G3364" s="116" t="str">
        <f>HYPERLINK("http://nsgreg.nga.mil/genc/view?v=202453&amp;end_month=3&amp;end_day=31&amp;end_year=2014","SOCCSKSARGEN Region")</f>
        <v>SOCCSKSARGEN Region</v>
      </c>
      <c r="H3364" s="87" t="str">
        <f>HYPERLINK("http://api.nsgreg.nga.mil/geo-division/GENC/6/ed2/PH-12","PH-12")</f>
        <v>PH-12</v>
      </c>
    </row>
    <row r="3365" spans="1:8" x14ac:dyDescent="0.2">
      <c r="A3365" s="157"/>
      <c r="B3365" s="31" t="s">
        <v>11919</v>
      </c>
      <c r="C3365" s="31" t="s">
        <v>11920</v>
      </c>
      <c r="D3365" s="31" t="s">
        <v>1920</v>
      </c>
      <c r="E3365" s="61" t="b">
        <v>1</v>
      </c>
      <c r="F3365" s="107" t="s">
        <v>11921</v>
      </c>
      <c r="G3365" s="116" t="str">
        <f>HYPERLINK("http://nsgreg.nga.mil/genc/view?v=202563&amp;end_month=3&amp;end_day=31&amp;end_year=2014","Sorsogon")</f>
        <v>Sorsogon</v>
      </c>
      <c r="H3365" s="87" t="str">
        <f>HYPERLINK("http://api.nsgreg.nga.mil/geo-division/GENC/6/ed2/PH-SOR","PH-SOR")</f>
        <v>PH-SOR</v>
      </c>
    </row>
    <row r="3366" spans="1:8" x14ac:dyDescent="0.2">
      <c r="A3366" s="157"/>
      <c r="B3366" s="31" t="s">
        <v>11922</v>
      </c>
      <c r="C3366" s="31" t="s">
        <v>11923</v>
      </c>
      <c r="D3366" s="31" t="s">
        <v>1920</v>
      </c>
      <c r="E3366" s="61" t="b">
        <v>1</v>
      </c>
      <c r="F3366" s="107" t="s">
        <v>11924</v>
      </c>
      <c r="G3366" s="116" t="str">
        <f>HYPERLINK("http://nsgreg.nga.mil/genc/view?v=202558&amp;end_month=3&amp;end_day=31&amp;end_year=2014","South Cotabato")</f>
        <v>South Cotabato</v>
      </c>
      <c r="H3366" s="87" t="str">
        <f>HYPERLINK("http://api.nsgreg.nga.mil/geo-division/GENC/6/ed2/PH-SCO","PH-SCO")</f>
        <v>PH-SCO</v>
      </c>
    </row>
    <row r="3367" spans="1:8" x14ac:dyDescent="0.2">
      <c r="A3367" s="157"/>
      <c r="B3367" s="31" t="s">
        <v>11925</v>
      </c>
      <c r="C3367" s="31" t="s">
        <v>11926</v>
      </c>
      <c r="D3367" s="31" t="s">
        <v>1920</v>
      </c>
      <c r="E3367" s="61" t="b">
        <v>1</v>
      </c>
      <c r="F3367" s="107" t="s">
        <v>11927</v>
      </c>
      <c r="G3367" s="116" t="str">
        <f>HYPERLINK("http://nsgreg.nga.mil/genc/view?v=202560&amp;end_month=3&amp;end_day=31&amp;end_year=2014","Southern Leyte")</f>
        <v>Southern Leyte</v>
      </c>
      <c r="H3367" s="87" t="str">
        <f>HYPERLINK("http://api.nsgreg.nga.mil/geo-division/GENC/6/ed2/PH-SLE","PH-SLE")</f>
        <v>PH-SLE</v>
      </c>
    </row>
    <row r="3368" spans="1:8" x14ac:dyDescent="0.2">
      <c r="A3368" s="157"/>
      <c r="B3368" s="31" t="s">
        <v>11928</v>
      </c>
      <c r="C3368" s="31" t="s">
        <v>11929</v>
      </c>
      <c r="D3368" s="31" t="s">
        <v>1920</v>
      </c>
      <c r="E3368" s="61" t="b">
        <v>1</v>
      </c>
      <c r="F3368" s="107" t="s">
        <v>11930</v>
      </c>
      <c r="G3368" s="116" t="str">
        <f>HYPERLINK("http://nsgreg.nga.mil/genc/view?v=202564&amp;end_month=3&amp;end_day=31&amp;end_year=2014","Sultan Kudarat")</f>
        <v>Sultan Kudarat</v>
      </c>
      <c r="H3368" s="87" t="str">
        <f>HYPERLINK("http://api.nsgreg.nga.mil/geo-division/GENC/6/ed2/PH-SUK","PH-SUK")</f>
        <v>PH-SUK</v>
      </c>
    </row>
    <row r="3369" spans="1:8" x14ac:dyDescent="0.2">
      <c r="A3369" s="157"/>
      <c r="B3369" s="31" t="s">
        <v>11931</v>
      </c>
      <c r="C3369" s="31" t="s">
        <v>11932</v>
      </c>
      <c r="D3369" s="31" t="s">
        <v>1920</v>
      </c>
      <c r="E3369" s="61" t="b">
        <v>1</v>
      </c>
      <c r="F3369" s="107" t="s">
        <v>11933</v>
      </c>
      <c r="G3369" s="116" t="str">
        <f>HYPERLINK("http://nsgreg.nga.mil/genc/view?v=202561&amp;end_month=3&amp;end_day=31&amp;end_year=2014","Sulu")</f>
        <v>Sulu</v>
      </c>
      <c r="H3369" s="87" t="str">
        <f>HYPERLINK("http://api.nsgreg.nga.mil/geo-division/GENC/6/ed2/PH-SLU","PH-SLU")</f>
        <v>PH-SLU</v>
      </c>
    </row>
    <row r="3370" spans="1:8" x14ac:dyDescent="0.2">
      <c r="A3370" s="157"/>
      <c r="B3370" s="31" t="s">
        <v>11934</v>
      </c>
      <c r="C3370" s="31" t="s">
        <v>11935</v>
      </c>
      <c r="D3370" s="31" t="s">
        <v>1920</v>
      </c>
      <c r="E3370" s="61" t="b">
        <v>1</v>
      </c>
      <c r="F3370" s="107" t="s">
        <v>11936</v>
      </c>
      <c r="G3370" s="116" t="str">
        <f>HYPERLINK("http://nsgreg.nga.mil/genc/view?v=202565&amp;end_month=3&amp;end_day=31&amp;end_year=2014","Surigao del Norte")</f>
        <v>Surigao del Norte</v>
      </c>
      <c r="H3370" s="87" t="str">
        <f>HYPERLINK("http://api.nsgreg.nga.mil/geo-division/GENC/6/ed2/PH-SUN","PH-SUN")</f>
        <v>PH-SUN</v>
      </c>
    </row>
    <row r="3371" spans="1:8" x14ac:dyDescent="0.2">
      <c r="A3371" s="157"/>
      <c r="B3371" s="31" t="s">
        <v>11937</v>
      </c>
      <c r="C3371" s="31" t="s">
        <v>11938</v>
      </c>
      <c r="D3371" s="31" t="s">
        <v>1920</v>
      </c>
      <c r="E3371" s="61" t="b">
        <v>1</v>
      </c>
      <c r="F3371" s="107" t="s">
        <v>11939</v>
      </c>
      <c r="G3371" s="116" t="str">
        <f>HYPERLINK("http://nsgreg.nga.mil/genc/view?v=202566&amp;end_month=3&amp;end_day=31&amp;end_year=2014","Surigao del Sur")</f>
        <v>Surigao del Sur</v>
      </c>
      <c r="H3371" s="87" t="str">
        <f>HYPERLINK("http://api.nsgreg.nga.mil/geo-division/GENC/6/ed2/PH-SUR","PH-SUR")</f>
        <v>PH-SUR</v>
      </c>
    </row>
    <row r="3372" spans="1:8" x14ac:dyDescent="0.2">
      <c r="A3372" s="157"/>
      <c r="B3372" s="31" t="s">
        <v>11940</v>
      </c>
      <c r="C3372" s="31" t="s">
        <v>11941</v>
      </c>
      <c r="D3372" s="31" t="s">
        <v>11590</v>
      </c>
      <c r="E3372" s="61" t="b">
        <v>1</v>
      </c>
      <c r="F3372" s="107" t="s">
        <v>11942</v>
      </c>
      <c r="G3372" s="116" t="str">
        <f>HYPERLINK("http://nsgreg.nga.mil/genc/view?v=202567&amp;end_month=3&amp;end_day=31&amp;end_year=2014","Tacloban")</f>
        <v>Tacloban</v>
      </c>
      <c r="H3372" s="87" t="str">
        <f>HYPERLINK("http://api.nsgreg.nga.mil/geo-division/GENC/6/ed2/PH-TAC","PH-TAC")</f>
        <v>PH-TAC</v>
      </c>
    </row>
    <row r="3373" spans="1:8" x14ac:dyDescent="0.2">
      <c r="A3373" s="157"/>
      <c r="B3373" s="31" t="s">
        <v>11943</v>
      </c>
      <c r="C3373" s="31" t="s">
        <v>11944</v>
      </c>
      <c r="D3373" s="31" t="s">
        <v>11590</v>
      </c>
      <c r="E3373" s="61" t="b">
        <v>1</v>
      </c>
      <c r="F3373" s="107" t="s">
        <v>11945</v>
      </c>
      <c r="G3373" s="116" t="str">
        <f>HYPERLINK("http://nsgreg.nga.mil/genc/view?v=202568&amp;end_month=3&amp;end_day=31&amp;end_year=2014","Taguig")</f>
        <v>Taguig</v>
      </c>
      <c r="H3373" s="87" t="str">
        <f>HYPERLINK("http://api.nsgreg.nga.mil/geo-division/GENC/6/ed2/PH-TAG","PH-TAG")</f>
        <v>PH-TAG</v>
      </c>
    </row>
    <row r="3374" spans="1:8" x14ac:dyDescent="0.2">
      <c r="A3374" s="157"/>
      <c r="B3374" s="31" t="s">
        <v>11946</v>
      </c>
      <c r="C3374" s="31" t="s">
        <v>11947</v>
      </c>
      <c r="D3374" s="31" t="s">
        <v>1920</v>
      </c>
      <c r="E3374" s="61" t="b">
        <v>1</v>
      </c>
      <c r="F3374" s="107" t="s">
        <v>11948</v>
      </c>
      <c r="G3374" s="116" t="str">
        <f>HYPERLINK("http://nsgreg.nga.mil/genc/view?v=202569&amp;end_month=3&amp;end_day=31&amp;end_year=2014","Tarlac")</f>
        <v>Tarlac</v>
      </c>
      <c r="H3374" s="87" t="str">
        <f>HYPERLINK("http://api.nsgreg.nga.mil/geo-division/GENC/6/ed2/PH-TAR","PH-TAR")</f>
        <v>PH-TAR</v>
      </c>
    </row>
    <row r="3375" spans="1:8" x14ac:dyDescent="0.2">
      <c r="A3375" s="157"/>
      <c r="B3375" s="31" t="s">
        <v>11949</v>
      </c>
      <c r="C3375" s="31" t="s">
        <v>11950</v>
      </c>
      <c r="D3375" s="31" t="s">
        <v>1920</v>
      </c>
      <c r="E3375" s="61" t="b">
        <v>1</v>
      </c>
      <c r="F3375" s="107" t="s">
        <v>11951</v>
      </c>
      <c r="G3375" s="116" t="str">
        <f>HYPERLINK("http://nsgreg.nga.mil/genc/view?v=202570&amp;end_month=3&amp;end_day=31&amp;end_year=2014","Tawi-Tawi")</f>
        <v>Tawi-Tawi</v>
      </c>
      <c r="H3375" s="87" t="str">
        <f>HYPERLINK("http://api.nsgreg.nga.mil/geo-division/GENC/6/ed2/PH-TAW","PH-TAW")</f>
        <v>PH-TAW</v>
      </c>
    </row>
    <row r="3376" spans="1:8" x14ac:dyDescent="0.2">
      <c r="A3376" s="157"/>
      <c r="B3376" s="31" t="s">
        <v>11952</v>
      </c>
      <c r="C3376" s="31" t="s">
        <v>11953</v>
      </c>
      <c r="D3376" s="31" t="s">
        <v>11590</v>
      </c>
      <c r="E3376" s="61" t="b">
        <v>1</v>
      </c>
      <c r="F3376" s="107" t="s">
        <v>11954</v>
      </c>
      <c r="G3376" s="116" t="str">
        <f>HYPERLINK("http://nsgreg.nga.mil/genc/view?v=202571&amp;end_month=3&amp;end_day=31&amp;end_year=2014","Valenzuela")</f>
        <v>Valenzuela</v>
      </c>
      <c r="H3376" s="87" t="str">
        <f>HYPERLINK("http://api.nsgreg.nga.mil/geo-division/GENC/6/ed2/PH-VAL","PH-VAL")</f>
        <v>PH-VAL</v>
      </c>
    </row>
    <row r="3377" spans="1:8" x14ac:dyDescent="0.2">
      <c r="A3377" s="157"/>
      <c r="B3377" s="31" t="s">
        <v>11955</v>
      </c>
      <c r="C3377" s="31" t="s">
        <v>11956</v>
      </c>
      <c r="D3377" s="98" t="s">
        <v>3137</v>
      </c>
      <c r="E3377" s="99" t="b">
        <v>0</v>
      </c>
      <c r="F3377" s="107" t="s">
        <v>11957</v>
      </c>
      <c r="G3377" s="116" t="str">
        <f>HYPERLINK("http://nsgreg.nga.mil/genc/view?v=202447&amp;end_month=3&amp;end_day=31&amp;end_year=2014","Western Visayas")</f>
        <v>Western Visayas</v>
      </c>
      <c r="H3377" s="87" t="str">
        <f>HYPERLINK("http://api.nsgreg.nga.mil/geo-division/GENC/6/ed2/PH-06","PH-06")</f>
        <v>PH-06</v>
      </c>
    </row>
    <row r="3378" spans="1:8" x14ac:dyDescent="0.2">
      <c r="A3378" s="157"/>
      <c r="B3378" s="31" t="s">
        <v>11958</v>
      </c>
      <c r="C3378" s="31" t="s">
        <v>11959</v>
      </c>
      <c r="D3378" s="31" t="s">
        <v>1920</v>
      </c>
      <c r="E3378" s="61" t="b">
        <v>1</v>
      </c>
      <c r="F3378" s="107" t="s">
        <v>11960</v>
      </c>
      <c r="G3378" s="116" t="str">
        <f>HYPERLINK("http://nsgreg.nga.mil/genc/view?v=202576&amp;end_month=3&amp;end_day=31&amp;end_year=2014","Zambales")</f>
        <v>Zambales</v>
      </c>
      <c r="H3378" s="87" t="str">
        <f>HYPERLINK("http://api.nsgreg.nga.mil/geo-division/GENC/6/ed2/PH-ZMB","PH-ZMB")</f>
        <v>PH-ZMB</v>
      </c>
    </row>
    <row r="3379" spans="1:8" x14ac:dyDescent="0.2">
      <c r="A3379" s="157"/>
      <c r="B3379" s="31" t="s">
        <v>11961</v>
      </c>
      <c r="C3379" s="31" t="s">
        <v>11962</v>
      </c>
      <c r="D3379" s="31" t="s">
        <v>11590</v>
      </c>
      <c r="E3379" s="61" t="b">
        <v>1</v>
      </c>
      <c r="F3379" s="107" t="s">
        <v>11963</v>
      </c>
      <c r="G3379" s="116" t="str">
        <f>HYPERLINK("http://nsgreg.nga.mil/genc/view?v=202573&amp;end_month=3&amp;end_day=31&amp;end_year=2014","Zamboanga")</f>
        <v>Zamboanga</v>
      </c>
      <c r="H3379" s="87" t="str">
        <f>HYPERLINK("http://api.nsgreg.nga.mil/geo-division/GENC/6/ed2/PH-ZAM","PH-ZAM")</f>
        <v>PH-ZAM</v>
      </c>
    </row>
    <row r="3380" spans="1:8" x14ac:dyDescent="0.2">
      <c r="A3380" s="157"/>
      <c r="B3380" s="31" t="s">
        <v>11964</v>
      </c>
      <c r="C3380" s="31" t="s">
        <v>11965</v>
      </c>
      <c r="D3380" s="31" t="s">
        <v>1920</v>
      </c>
      <c r="E3380" s="61" t="b">
        <v>1</v>
      </c>
      <c r="F3380" s="107" t="s">
        <v>11966</v>
      </c>
      <c r="G3380" s="116" t="str">
        <f>HYPERLINK("http://nsgreg.nga.mil/genc/view?v=202574&amp;end_month=3&amp;end_day=31&amp;end_year=2014","Zamboanga del Norte")</f>
        <v>Zamboanga del Norte</v>
      </c>
      <c r="H3380" s="87" t="str">
        <f>HYPERLINK("http://api.nsgreg.nga.mil/geo-division/GENC/6/ed2/PH-ZAN","PH-ZAN")</f>
        <v>PH-ZAN</v>
      </c>
    </row>
    <row r="3381" spans="1:8" x14ac:dyDescent="0.2">
      <c r="A3381" s="157"/>
      <c r="B3381" s="31" t="s">
        <v>11967</v>
      </c>
      <c r="C3381" s="31" t="s">
        <v>11968</v>
      </c>
      <c r="D3381" s="31" t="s">
        <v>1920</v>
      </c>
      <c r="E3381" s="61" t="b">
        <v>1</v>
      </c>
      <c r="F3381" s="107" t="s">
        <v>11969</v>
      </c>
      <c r="G3381" s="116" t="str">
        <f>HYPERLINK("http://nsgreg.nga.mil/genc/view?v=202575&amp;end_month=3&amp;end_day=31&amp;end_year=2014","Zamboanga del Sur")</f>
        <v>Zamboanga del Sur</v>
      </c>
      <c r="H3381" s="87" t="str">
        <f>HYPERLINK("http://api.nsgreg.nga.mil/geo-division/GENC/6/ed2/PH-ZAS","PH-ZAS")</f>
        <v>PH-ZAS</v>
      </c>
    </row>
    <row r="3382" spans="1:8" x14ac:dyDescent="0.2">
      <c r="A3382" s="157"/>
      <c r="B3382" s="31" t="s">
        <v>11970</v>
      </c>
      <c r="C3382" s="31" t="s">
        <v>11971</v>
      </c>
      <c r="D3382" s="98" t="s">
        <v>3137</v>
      </c>
      <c r="E3382" s="99" t="b">
        <v>0</v>
      </c>
      <c r="F3382" s="107" t="s">
        <v>11972</v>
      </c>
      <c r="G3382" s="116" t="str">
        <f>HYPERLINK("http://nsgreg.nga.mil/genc/view?v=202450&amp;end_month=3&amp;end_day=31&amp;end_year=2014","Zamboanga Peninsula")</f>
        <v>Zamboanga Peninsula</v>
      </c>
      <c r="H3382" s="87" t="str">
        <f>HYPERLINK("http://api.nsgreg.nga.mil/geo-division/GENC/6/ed2/PH-09","PH-09")</f>
        <v>PH-09</v>
      </c>
    </row>
    <row r="3383" spans="1:8" x14ac:dyDescent="0.2">
      <c r="A3383" s="158"/>
      <c r="B3383" s="58" t="s">
        <v>11973</v>
      </c>
      <c r="C3383" s="58" t="s">
        <v>11974</v>
      </c>
      <c r="D3383" s="58" t="s">
        <v>1920</v>
      </c>
      <c r="E3383" s="62" t="b">
        <v>1</v>
      </c>
      <c r="F3383" s="111" t="s">
        <v>11975</v>
      </c>
      <c r="G3383" s="117" t="str">
        <f>HYPERLINK("http://nsgreg.nga.mil/genc/view?v=202577&amp;end_month=3&amp;end_day=31&amp;end_year=2014","Zamboanga Sibugay")</f>
        <v>Zamboanga Sibugay</v>
      </c>
      <c r="H3383" s="89" t="str">
        <f>HYPERLINK("http://api.nsgreg.nga.mil/geo-division/GENC/6/ed2/PH-ZSI","PH-ZSI")</f>
        <v>PH-ZSI</v>
      </c>
    </row>
    <row r="3384" spans="1:8" x14ac:dyDescent="0.2">
      <c r="A3384" s="156" t="str">
        <f>HYPERLINK("[#]Geopolitical_Entities!A206:I206","POLAND")</f>
        <v>POLAND</v>
      </c>
      <c r="B3384" s="52" t="s">
        <v>11976</v>
      </c>
      <c r="C3384" s="52" t="s">
        <v>11977</v>
      </c>
      <c r="D3384" s="52" t="s">
        <v>1920</v>
      </c>
      <c r="E3384" s="60" t="b">
        <v>1</v>
      </c>
      <c r="F3384" s="109" t="s">
        <v>11978</v>
      </c>
      <c r="G3384" s="118" t="str">
        <f>HYPERLINK("http://nsgreg.nga.mil/genc/view?v=115477&amp;gencs=T&amp;end_month=3&amp;end_day=31&amp;end_year=2014","Dolnośląskie")</f>
        <v>Dolnośląskie</v>
      </c>
      <c r="H3384" s="91" t="str">
        <f>HYPERLINK("http://api.nsgreg.nga.mil/geo-division/ISO3166-2/6/ed3/PL-DS","PL-DS")</f>
        <v>PL-DS</v>
      </c>
    </row>
    <row r="3385" spans="1:8" x14ac:dyDescent="0.2">
      <c r="A3385" s="157"/>
      <c r="B3385" s="31" t="s">
        <v>11979</v>
      </c>
      <c r="C3385" s="31" t="s">
        <v>11980</v>
      </c>
      <c r="D3385" s="31" t="s">
        <v>1920</v>
      </c>
      <c r="E3385" s="61" t="b">
        <v>1</v>
      </c>
      <c r="F3385" s="107" t="s">
        <v>11981</v>
      </c>
      <c r="G3385" s="116" t="str">
        <f>HYPERLINK("http://nsgreg.nga.mil/genc/view?v=202586&amp;end_month=3&amp;end_day=31&amp;end_year=2014","Kujawsko-Pomorskie")</f>
        <v>Kujawsko-Pomorskie</v>
      </c>
      <c r="H3385" s="87" t="str">
        <f>HYPERLINK("http://api.nsgreg.nga.mil/geo-division/GENC/6/ed2/PL-KP","PL-KP")</f>
        <v>PL-KP</v>
      </c>
    </row>
    <row r="3386" spans="1:8" x14ac:dyDescent="0.2">
      <c r="A3386" s="157"/>
      <c r="B3386" s="31" t="s">
        <v>11982</v>
      </c>
      <c r="C3386" s="31" t="s">
        <v>11983</v>
      </c>
      <c r="D3386" s="31" t="s">
        <v>1920</v>
      </c>
      <c r="E3386" s="61" t="b">
        <v>1</v>
      </c>
      <c r="F3386" s="106" t="s">
        <v>11984</v>
      </c>
      <c r="G3386" s="116" t="str">
        <f>HYPERLINK("http://nsgreg.nga.mil/genc/view?v=115480&amp;gencs=T&amp;end_month=3&amp;end_day=31&amp;end_year=2014","Łódzkie")</f>
        <v>Łódzkie</v>
      </c>
      <c r="H3386" s="87" t="str">
        <f>HYPERLINK("http://api.nsgreg.nga.mil/geo-division/ISO3166-2/6/ed3/PL-LD","PL-LD")</f>
        <v>PL-LD</v>
      </c>
    </row>
    <row r="3387" spans="1:8" x14ac:dyDescent="0.2">
      <c r="A3387" s="157"/>
      <c r="B3387" s="31" t="s">
        <v>11985</v>
      </c>
      <c r="C3387" s="31" t="s">
        <v>11986</v>
      </c>
      <c r="D3387" s="31" t="s">
        <v>1920</v>
      </c>
      <c r="E3387" s="61" t="b">
        <v>1</v>
      </c>
      <c r="F3387" s="106" t="s">
        <v>11987</v>
      </c>
      <c r="G3387" s="116" t="str">
        <f>HYPERLINK("http://nsgreg.nga.mil/genc/view?v=115481&amp;gencs=T&amp;end_month=3&amp;end_day=31&amp;end_year=2014","Lubelskie")</f>
        <v>Lubelskie</v>
      </c>
      <c r="H3387" s="87" t="str">
        <f>HYPERLINK("http://api.nsgreg.nga.mil/geo-division/ISO3166-2/6/ed3/PL-LU","PL-LU")</f>
        <v>PL-LU</v>
      </c>
    </row>
    <row r="3388" spans="1:8" x14ac:dyDescent="0.2">
      <c r="A3388" s="157"/>
      <c r="B3388" s="31" t="s">
        <v>11988</v>
      </c>
      <c r="C3388" s="31" t="s">
        <v>11989</v>
      </c>
      <c r="D3388" s="31" t="s">
        <v>1920</v>
      </c>
      <c r="E3388" s="61" t="b">
        <v>1</v>
      </c>
      <c r="F3388" s="106" t="s">
        <v>11990</v>
      </c>
      <c r="G3388" s="116" t="str">
        <f>HYPERLINK("http://nsgreg.nga.mil/genc/view?v=115479&amp;gencs=T&amp;end_month=3&amp;end_day=31&amp;end_year=2014","Lubuskie")</f>
        <v>Lubuskie</v>
      </c>
      <c r="H3388" s="87" t="str">
        <f>HYPERLINK("http://api.nsgreg.nga.mil/geo-division/ISO3166-2/6/ed3/PL-LB","PL-LB")</f>
        <v>PL-LB</v>
      </c>
    </row>
    <row r="3389" spans="1:8" x14ac:dyDescent="0.2">
      <c r="A3389" s="157"/>
      <c r="B3389" s="31" t="s">
        <v>11991</v>
      </c>
      <c r="C3389" s="31" t="s">
        <v>11992</v>
      </c>
      <c r="D3389" s="31" t="s">
        <v>1920</v>
      </c>
      <c r="E3389" s="61" t="b">
        <v>1</v>
      </c>
      <c r="F3389" s="106" t="s">
        <v>11993</v>
      </c>
      <c r="G3389" s="116" t="str">
        <f>HYPERLINK("http://nsgreg.nga.mil/genc/view?v=115482&amp;gencs=T&amp;end_month=3&amp;end_day=31&amp;end_year=2014","Małopolskie")</f>
        <v>Małopolskie</v>
      </c>
      <c r="H3389" s="87" t="str">
        <f>HYPERLINK("http://api.nsgreg.nga.mil/geo-division/ISO3166-2/6/ed3/PL-MA","PL-MA")</f>
        <v>PL-MA</v>
      </c>
    </row>
    <row r="3390" spans="1:8" x14ac:dyDescent="0.2">
      <c r="A3390" s="157"/>
      <c r="B3390" s="31" t="s">
        <v>11994</v>
      </c>
      <c r="C3390" s="31" t="s">
        <v>11995</v>
      </c>
      <c r="D3390" s="31" t="s">
        <v>1920</v>
      </c>
      <c r="E3390" s="61" t="b">
        <v>1</v>
      </c>
      <c r="F3390" s="106" t="s">
        <v>11996</v>
      </c>
      <c r="G3390" s="116" t="str">
        <f>HYPERLINK("http://nsgreg.nga.mil/genc/view?v=115483&amp;gencs=T&amp;end_month=3&amp;end_day=31&amp;end_year=2014","Mazowieckie")</f>
        <v>Mazowieckie</v>
      </c>
      <c r="H3390" s="87" t="str">
        <f>HYPERLINK("http://api.nsgreg.nga.mil/geo-division/ISO3166-2/6/ed3/PL-MZ","PL-MZ")</f>
        <v>PL-MZ</v>
      </c>
    </row>
    <row r="3391" spans="1:8" x14ac:dyDescent="0.2">
      <c r="A3391" s="157"/>
      <c r="B3391" s="31" t="s">
        <v>11997</v>
      </c>
      <c r="C3391" s="31" t="s">
        <v>11998</v>
      </c>
      <c r="D3391" s="31" t="s">
        <v>1920</v>
      </c>
      <c r="E3391" s="61" t="b">
        <v>1</v>
      </c>
      <c r="F3391" s="106" t="s">
        <v>11999</v>
      </c>
      <c r="G3391" s="116" t="str">
        <f>HYPERLINK("http://nsgreg.nga.mil/genc/view?v=115484&amp;gencs=T&amp;end_month=3&amp;end_day=31&amp;end_year=2014","Opolskie")</f>
        <v>Opolskie</v>
      </c>
      <c r="H3391" s="87" t="str">
        <f>HYPERLINK("http://api.nsgreg.nga.mil/geo-division/ISO3166-2/6/ed3/PL-OP","PL-OP")</f>
        <v>PL-OP</v>
      </c>
    </row>
    <row r="3392" spans="1:8" x14ac:dyDescent="0.2">
      <c r="A3392" s="157"/>
      <c r="B3392" s="31" t="s">
        <v>12000</v>
      </c>
      <c r="C3392" s="31" t="s">
        <v>12001</v>
      </c>
      <c r="D3392" s="31" t="s">
        <v>1920</v>
      </c>
      <c r="E3392" s="61" t="b">
        <v>1</v>
      </c>
      <c r="F3392" s="106" t="s">
        <v>12002</v>
      </c>
      <c r="G3392" s="116" t="str">
        <f>HYPERLINK("http://nsgreg.nga.mil/genc/view?v=115486&amp;gencs=T&amp;end_month=3&amp;end_day=31&amp;end_year=2014","Podkarpackie")</f>
        <v>Podkarpackie</v>
      </c>
      <c r="H3392" s="87" t="str">
        <f>HYPERLINK("http://api.nsgreg.nga.mil/geo-division/ISO3166-2/6/ed3/PL-PK","PL-PK")</f>
        <v>PL-PK</v>
      </c>
    </row>
    <row r="3393" spans="1:8" x14ac:dyDescent="0.2">
      <c r="A3393" s="157"/>
      <c r="B3393" s="31" t="s">
        <v>12003</v>
      </c>
      <c r="C3393" s="31" t="s">
        <v>12004</v>
      </c>
      <c r="D3393" s="31" t="s">
        <v>1920</v>
      </c>
      <c r="E3393" s="61" t="b">
        <v>1</v>
      </c>
      <c r="F3393" s="106" t="s">
        <v>12005</v>
      </c>
      <c r="G3393" s="116" t="str">
        <f>HYPERLINK("http://nsgreg.nga.mil/genc/view?v=115485&amp;gencs=T&amp;end_month=3&amp;end_day=31&amp;end_year=2014","Podlaskie")</f>
        <v>Podlaskie</v>
      </c>
      <c r="H3393" s="87" t="str">
        <f>HYPERLINK("http://api.nsgreg.nga.mil/geo-division/ISO3166-2/6/ed3/PL-PD","PL-PD")</f>
        <v>PL-PD</v>
      </c>
    </row>
    <row r="3394" spans="1:8" x14ac:dyDescent="0.2">
      <c r="A3394" s="157"/>
      <c r="B3394" s="31" t="s">
        <v>12006</v>
      </c>
      <c r="C3394" s="31" t="s">
        <v>12007</v>
      </c>
      <c r="D3394" s="31" t="s">
        <v>1920</v>
      </c>
      <c r="E3394" s="61" t="b">
        <v>1</v>
      </c>
      <c r="F3394" s="106" t="s">
        <v>12008</v>
      </c>
      <c r="G3394" s="116" t="str">
        <f>HYPERLINK("http://nsgreg.nga.mil/genc/view?v=115487&amp;gencs=T&amp;end_month=3&amp;end_day=31&amp;end_year=2014","Pomorskie")</f>
        <v>Pomorskie</v>
      </c>
      <c r="H3394" s="87" t="str">
        <f>HYPERLINK("http://api.nsgreg.nga.mil/geo-division/ISO3166-2/6/ed3/PL-PM","PL-PM")</f>
        <v>PL-PM</v>
      </c>
    </row>
    <row r="3395" spans="1:8" x14ac:dyDescent="0.2">
      <c r="A3395" s="157"/>
      <c r="B3395" s="31" t="s">
        <v>12009</v>
      </c>
      <c r="C3395" s="31" t="s">
        <v>12010</v>
      </c>
      <c r="D3395" s="31" t="s">
        <v>1920</v>
      </c>
      <c r="E3395" s="61" t="b">
        <v>1</v>
      </c>
      <c r="F3395" s="106" t="s">
        <v>12011</v>
      </c>
      <c r="G3395" s="116" t="str">
        <f>HYPERLINK("http://nsgreg.nga.mil/genc/view?v=115489&amp;gencs=T&amp;end_month=3&amp;end_day=31&amp;end_year=2014","Śląskie")</f>
        <v>Śląskie</v>
      </c>
      <c r="H3395" s="87" t="str">
        <f>HYPERLINK("http://api.nsgreg.nga.mil/geo-division/ISO3166-2/6/ed3/PL-SL","PL-SL")</f>
        <v>PL-SL</v>
      </c>
    </row>
    <row r="3396" spans="1:8" x14ac:dyDescent="0.2">
      <c r="A3396" s="157"/>
      <c r="B3396" s="31" t="s">
        <v>12012</v>
      </c>
      <c r="C3396" s="31" t="s">
        <v>12013</v>
      </c>
      <c r="D3396" s="31" t="s">
        <v>1920</v>
      </c>
      <c r="E3396" s="61" t="b">
        <v>1</v>
      </c>
      <c r="F3396" s="106" t="s">
        <v>12014</v>
      </c>
      <c r="G3396" s="116" t="str">
        <f>HYPERLINK("http://nsgreg.nga.mil/genc/view?v=115488&amp;gencs=T&amp;end_month=3&amp;end_day=31&amp;end_year=2014","Świętokrzyskie")</f>
        <v>Świętokrzyskie</v>
      </c>
      <c r="H3396" s="87" t="str">
        <f>HYPERLINK("http://api.nsgreg.nga.mil/geo-division/ISO3166-2/6/ed3/PL-SK","PL-SK")</f>
        <v>PL-SK</v>
      </c>
    </row>
    <row r="3397" spans="1:8" x14ac:dyDescent="0.2">
      <c r="A3397" s="157"/>
      <c r="B3397" s="31" t="s">
        <v>12015</v>
      </c>
      <c r="C3397" s="31" t="s">
        <v>12016</v>
      </c>
      <c r="D3397" s="31" t="s">
        <v>1920</v>
      </c>
      <c r="E3397" s="61" t="b">
        <v>1</v>
      </c>
      <c r="F3397" s="107" t="s">
        <v>12017</v>
      </c>
      <c r="G3397" s="116" t="str">
        <f>HYPERLINK("http://nsgreg.nga.mil/genc/view?v=202587&amp;end_month=3&amp;end_day=31&amp;end_year=2014","Warmińsko-Mazurskie")</f>
        <v>Warmińsko-Mazurskie</v>
      </c>
      <c r="H3397" s="87" t="str">
        <f>HYPERLINK("http://api.nsgreg.nga.mil/geo-division/GENC/6/ed2/PL-WN","PL-WN")</f>
        <v>PL-WN</v>
      </c>
    </row>
    <row r="3398" spans="1:8" x14ac:dyDescent="0.2">
      <c r="A3398" s="157"/>
      <c r="B3398" s="31" t="s">
        <v>12018</v>
      </c>
      <c r="C3398" s="31" t="s">
        <v>12019</v>
      </c>
      <c r="D3398" s="31" t="s">
        <v>1920</v>
      </c>
      <c r="E3398" s="61" t="b">
        <v>1</v>
      </c>
      <c r="F3398" s="106" t="s">
        <v>12020</v>
      </c>
      <c r="G3398" s="116" t="str">
        <f>HYPERLINK("http://nsgreg.nga.mil/genc/view?v=115491&amp;gencs=T&amp;end_month=3&amp;end_day=31&amp;end_year=2014","Wielkopolskie")</f>
        <v>Wielkopolskie</v>
      </c>
      <c r="H3398" s="87" t="str">
        <f>HYPERLINK("http://api.nsgreg.nga.mil/geo-division/ISO3166-2/6/ed3/PL-WP","PL-WP")</f>
        <v>PL-WP</v>
      </c>
    </row>
    <row r="3399" spans="1:8" x14ac:dyDescent="0.2">
      <c r="A3399" s="158"/>
      <c r="B3399" s="58" t="s">
        <v>12021</v>
      </c>
      <c r="C3399" s="58" t="s">
        <v>12022</v>
      </c>
      <c r="D3399" s="58" t="s">
        <v>1920</v>
      </c>
      <c r="E3399" s="62" t="b">
        <v>1</v>
      </c>
      <c r="F3399" s="108" t="s">
        <v>12023</v>
      </c>
      <c r="G3399" s="117" t="str">
        <f>HYPERLINK("http://nsgreg.nga.mil/genc/view?v=115492&amp;gencs=T&amp;end_month=3&amp;end_day=31&amp;end_year=2014","Zachodniopomorskie")</f>
        <v>Zachodniopomorskie</v>
      </c>
      <c r="H3399" s="89" t="str">
        <f>HYPERLINK("http://api.nsgreg.nga.mil/geo-division/ISO3166-2/6/ed3/PL-ZP","PL-ZP")</f>
        <v>PL-ZP</v>
      </c>
    </row>
    <row r="3400" spans="1:8" x14ac:dyDescent="0.2">
      <c r="A3400" s="156" t="str">
        <f>HYPERLINK("[#]Geopolitical_Entities!A207:I207","PORTUGAL")</f>
        <v>PORTUGAL</v>
      </c>
      <c r="B3400" s="52" t="s">
        <v>12024</v>
      </c>
      <c r="C3400" s="52" t="s">
        <v>12025</v>
      </c>
      <c r="D3400" s="52" t="s">
        <v>2026</v>
      </c>
      <c r="E3400" s="60" t="b">
        <v>1</v>
      </c>
      <c r="F3400" s="109" t="s">
        <v>12026</v>
      </c>
      <c r="G3400" s="118" t="str">
        <f>HYPERLINK("http://nsgreg.nga.mil/genc/view?v=115509&amp;gencs=T&amp;end_month=3&amp;end_day=31&amp;end_year=2014","Aveiro")</f>
        <v>Aveiro</v>
      </c>
      <c r="H3400" s="91" t="str">
        <f>HYPERLINK("http://api.nsgreg.nga.mil/geo-division/ISO3166-2/6/ed3/PT-01","PT-01")</f>
        <v>PT-01</v>
      </c>
    </row>
    <row r="3401" spans="1:8" x14ac:dyDescent="0.2">
      <c r="A3401" s="157"/>
      <c r="B3401" s="31" t="s">
        <v>12027</v>
      </c>
      <c r="C3401" s="31" t="s">
        <v>12028</v>
      </c>
      <c r="D3401" s="31" t="s">
        <v>4316</v>
      </c>
      <c r="E3401" s="61" t="b">
        <v>1</v>
      </c>
      <c r="F3401" s="107" t="s">
        <v>12029</v>
      </c>
      <c r="G3401" s="116" t="str">
        <f>HYPERLINK("http://nsgreg.nga.mil/genc/view?v=202604&amp;end_month=3&amp;end_day=31&amp;end_year=2014","Azores")</f>
        <v>Azores</v>
      </c>
      <c r="H3401" s="87" t="str">
        <f>HYPERLINK("http://api.nsgreg.nga.mil/geo-division/GENC/6/ed2/PT-20","PT-20")</f>
        <v>PT-20</v>
      </c>
    </row>
    <row r="3402" spans="1:8" x14ac:dyDescent="0.2">
      <c r="A3402" s="157"/>
      <c r="B3402" s="31" t="s">
        <v>12030</v>
      </c>
      <c r="C3402" s="31" t="s">
        <v>12031</v>
      </c>
      <c r="D3402" s="31" t="s">
        <v>2026</v>
      </c>
      <c r="E3402" s="61" t="b">
        <v>1</v>
      </c>
      <c r="F3402" s="106" t="s">
        <v>12032</v>
      </c>
      <c r="G3402" s="116" t="str">
        <f>HYPERLINK("http://nsgreg.nga.mil/genc/view?v=115510&amp;gencs=T&amp;end_month=3&amp;end_day=31&amp;end_year=2014","Beja")</f>
        <v>Beja</v>
      </c>
      <c r="H3402" s="87" t="str">
        <f>HYPERLINK("http://api.nsgreg.nga.mil/geo-division/ISO3166-2/6/ed3/PT-02","PT-02")</f>
        <v>PT-02</v>
      </c>
    </row>
    <row r="3403" spans="1:8" x14ac:dyDescent="0.2">
      <c r="A3403" s="157"/>
      <c r="B3403" s="31" t="s">
        <v>12033</v>
      </c>
      <c r="C3403" s="31" t="s">
        <v>12034</v>
      </c>
      <c r="D3403" s="31" t="s">
        <v>2026</v>
      </c>
      <c r="E3403" s="61" t="b">
        <v>1</v>
      </c>
      <c r="F3403" s="106" t="s">
        <v>12035</v>
      </c>
      <c r="G3403" s="116" t="str">
        <f>HYPERLINK("http://nsgreg.nga.mil/genc/view?v=115511&amp;gencs=T&amp;end_month=3&amp;end_day=31&amp;end_year=2014","Braga")</f>
        <v>Braga</v>
      </c>
      <c r="H3403" s="87" t="str">
        <f>HYPERLINK("http://api.nsgreg.nga.mil/geo-division/ISO3166-2/6/ed3/PT-03","PT-03")</f>
        <v>PT-03</v>
      </c>
    </row>
    <row r="3404" spans="1:8" x14ac:dyDescent="0.2">
      <c r="A3404" s="157"/>
      <c r="B3404" s="31" t="s">
        <v>12036</v>
      </c>
      <c r="C3404" s="31" t="s">
        <v>12037</v>
      </c>
      <c r="D3404" s="31" t="s">
        <v>2026</v>
      </c>
      <c r="E3404" s="61" t="b">
        <v>1</v>
      </c>
      <c r="F3404" s="106" t="s">
        <v>12038</v>
      </c>
      <c r="G3404" s="116" t="str">
        <f>HYPERLINK("http://nsgreg.nga.mil/genc/view?v=115512&amp;gencs=T&amp;end_month=3&amp;end_day=31&amp;end_year=2014","Bragança")</f>
        <v>Bragança</v>
      </c>
      <c r="H3404" s="87" t="str">
        <f>HYPERLINK("http://api.nsgreg.nga.mil/geo-division/ISO3166-2/6/ed3/PT-04","PT-04")</f>
        <v>PT-04</v>
      </c>
    </row>
    <row r="3405" spans="1:8" x14ac:dyDescent="0.2">
      <c r="A3405" s="157"/>
      <c r="B3405" s="31" t="s">
        <v>12039</v>
      </c>
      <c r="C3405" s="31" t="s">
        <v>12040</v>
      </c>
      <c r="D3405" s="31" t="s">
        <v>2026</v>
      </c>
      <c r="E3405" s="61" t="b">
        <v>1</v>
      </c>
      <c r="F3405" s="106" t="s">
        <v>12041</v>
      </c>
      <c r="G3405" s="116" t="str">
        <f>HYPERLINK("http://nsgreg.nga.mil/genc/view?v=115513&amp;gencs=T&amp;end_month=3&amp;end_day=31&amp;end_year=2014","Castelo Branco")</f>
        <v>Castelo Branco</v>
      </c>
      <c r="H3405" s="87" t="str">
        <f>HYPERLINK("http://api.nsgreg.nga.mil/geo-division/ISO3166-2/6/ed3/PT-05","PT-05")</f>
        <v>PT-05</v>
      </c>
    </row>
    <row r="3406" spans="1:8" x14ac:dyDescent="0.2">
      <c r="A3406" s="157"/>
      <c r="B3406" s="31" t="s">
        <v>12042</v>
      </c>
      <c r="C3406" s="31" t="s">
        <v>12043</v>
      </c>
      <c r="D3406" s="31" t="s">
        <v>2026</v>
      </c>
      <c r="E3406" s="61" t="b">
        <v>1</v>
      </c>
      <c r="F3406" s="106" t="s">
        <v>12044</v>
      </c>
      <c r="G3406" s="116" t="str">
        <f>HYPERLINK("http://nsgreg.nga.mil/genc/view?v=115514&amp;gencs=T&amp;end_month=3&amp;end_day=31&amp;end_year=2014","Coimbra")</f>
        <v>Coimbra</v>
      </c>
      <c r="H3406" s="87" t="str">
        <f>HYPERLINK("http://api.nsgreg.nga.mil/geo-division/ISO3166-2/6/ed3/PT-06","PT-06")</f>
        <v>PT-06</v>
      </c>
    </row>
    <row r="3407" spans="1:8" x14ac:dyDescent="0.2">
      <c r="A3407" s="157"/>
      <c r="B3407" s="31" t="s">
        <v>12045</v>
      </c>
      <c r="C3407" s="31" t="s">
        <v>12046</v>
      </c>
      <c r="D3407" s="31" t="s">
        <v>2026</v>
      </c>
      <c r="E3407" s="61" t="b">
        <v>1</v>
      </c>
      <c r="F3407" s="106" t="s">
        <v>12047</v>
      </c>
      <c r="G3407" s="116" t="str">
        <f>HYPERLINK("http://nsgreg.nga.mil/genc/view?v=115515&amp;gencs=T&amp;end_month=3&amp;end_day=31&amp;end_year=2014","Évora")</f>
        <v>Évora</v>
      </c>
      <c r="H3407" s="87" t="str">
        <f>HYPERLINK("http://api.nsgreg.nga.mil/geo-division/ISO3166-2/6/ed3/PT-07","PT-07")</f>
        <v>PT-07</v>
      </c>
    </row>
    <row r="3408" spans="1:8" x14ac:dyDescent="0.2">
      <c r="A3408" s="157"/>
      <c r="B3408" s="31" t="s">
        <v>12048</v>
      </c>
      <c r="C3408" s="31" t="s">
        <v>12049</v>
      </c>
      <c r="D3408" s="31" t="s">
        <v>2026</v>
      </c>
      <c r="E3408" s="61" t="b">
        <v>1</v>
      </c>
      <c r="F3408" s="106" t="s">
        <v>12050</v>
      </c>
      <c r="G3408" s="116" t="str">
        <f>HYPERLINK("http://nsgreg.nga.mil/genc/view?v=115516&amp;gencs=T&amp;end_month=3&amp;end_day=31&amp;end_year=2014","Faro")</f>
        <v>Faro</v>
      </c>
      <c r="H3408" s="87" t="str">
        <f>HYPERLINK("http://api.nsgreg.nga.mil/geo-division/ISO3166-2/6/ed3/PT-08","PT-08")</f>
        <v>PT-08</v>
      </c>
    </row>
    <row r="3409" spans="1:8" x14ac:dyDescent="0.2">
      <c r="A3409" s="157"/>
      <c r="B3409" s="31" t="s">
        <v>12051</v>
      </c>
      <c r="C3409" s="31" t="s">
        <v>12052</v>
      </c>
      <c r="D3409" s="31" t="s">
        <v>2026</v>
      </c>
      <c r="E3409" s="61" t="b">
        <v>1</v>
      </c>
      <c r="F3409" s="106" t="s">
        <v>12053</v>
      </c>
      <c r="G3409" s="116" t="str">
        <f>HYPERLINK("http://nsgreg.nga.mil/genc/view?v=115517&amp;gencs=T&amp;end_month=3&amp;end_day=31&amp;end_year=2014","Guarda")</f>
        <v>Guarda</v>
      </c>
      <c r="H3409" s="87" t="str">
        <f>HYPERLINK("http://api.nsgreg.nga.mil/geo-division/ISO3166-2/6/ed3/PT-09","PT-09")</f>
        <v>PT-09</v>
      </c>
    </row>
    <row r="3410" spans="1:8" x14ac:dyDescent="0.2">
      <c r="A3410" s="157"/>
      <c r="B3410" s="31" t="s">
        <v>12054</v>
      </c>
      <c r="C3410" s="31" t="s">
        <v>12055</v>
      </c>
      <c r="D3410" s="31" t="s">
        <v>2026</v>
      </c>
      <c r="E3410" s="61" t="b">
        <v>1</v>
      </c>
      <c r="F3410" s="106" t="s">
        <v>12056</v>
      </c>
      <c r="G3410" s="116" t="str">
        <f>HYPERLINK("http://nsgreg.nga.mil/genc/view?v=115518&amp;gencs=T&amp;end_month=3&amp;end_day=31&amp;end_year=2014","Leiria")</f>
        <v>Leiria</v>
      </c>
      <c r="H3410" s="87" t="str">
        <f>HYPERLINK("http://api.nsgreg.nga.mil/geo-division/ISO3166-2/6/ed3/PT-10","PT-10")</f>
        <v>PT-10</v>
      </c>
    </row>
    <row r="3411" spans="1:8" x14ac:dyDescent="0.2">
      <c r="A3411" s="157"/>
      <c r="B3411" s="31" t="s">
        <v>12057</v>
      </c>
      <c r="C3411" s="31" t="s">
        <v>12058</v>
      </c>
      <c r="D3411" s="31" t="s">
        <v>2026</v>
      </c>
      <c r="E3411" s="61" t="b">
        <v>1</v>
      </c>
      <c r="F3411" s="106" t="s">
        <v>12059</v>
      </c>
      <c r="G3411" s="116" t="str">
        <f>HYPERLINK("http://nsgreg.nga.mil/genc/view?v=115519&amp;gencs=T&amp;end_month=3&amp;end_day=31&amp;end_year=2014","Lisboa")</f>
        <v>Lisboa</v>
      </c>
      <c r="H3411" s="87" t="str">
        <f>HYPERLINK("http://api.nsgreg.nga.mil/geo-division/ISO3166-2/6/ed3/PT-11","PT-11")</f>
        <v>PT-11</v>
      </c>
    </row>
    <row r="3412" spans="1:8" x14ac:dyDescent="0.2">
      <c r="A3412" s="157"/>
      <c r="B3412" s="31" t="s">
        <v>12060</v>
      </c>
      <c r="C3412" s="31" t="s">
        <v>12061</v>
      </c>
      <c r="D3412" s="31" t="s">
        <v>4316</v>
      </c>
      <c r="E3412" s="61" t="b">
        <v>1</v>
      </c>
      <c r="F3412" s="107" t="s">
        <v>12062</v>
      </c>
      <c r="G3412" s="116" t="str">
        <f>HYPERLINK("http://nsgreg.nga.mil/genc/view?v=202605&amp;end_month=3&amp;end_day=31&amp;end_year=2014","Madeira")</f>
        <v>Madeira</v>
      </c>
      <c r="H3412" s="87" t="str">
        <f>HYPERLINK("http://api.nsgreg.nga.mil/geo-division/GENC/6/ed2/PT-30","PT-30")</f>
        <v>PT-30</v>
      </c>
    </row>
    <row r="3413" spans="1:8" x14ac:dyDescent="0.2">
      <c r="A3413" s="157"/>
      <c r="B3413" s="31" t="s">
        <v>12063</v>
      </c>
      <c r="C3413" s="31" t="s">
        <v>12064</v>
      </c>
      <c r="D3413" s="31" t="s">
        <v>2026</v>
      </c>
      <c r="E3413" s="61" t="b">
        <v>1</v>
      </c>
      <c r="F3413" s="106" t="s">
        <v>12065</v>
      </c>
      <c r="G3413" s="116" t="str">
        <f>HYPERLINK("http://nsgreg.nga.mil/genc/view?v=115520&amp;gencs=T&amp;end_month=3&amp;end_day=31&amp;end_year=2014","Portalegre")</f>
        <v>Portalegre</v>
      </c>
      <c r="H3413" s="87" t="str">
        <f>HYPERLINK("http://api.nsgreg.nga.mil/geo-division/ISO3166-2/6/ed3/PT-12","PT-12")</f>
        <v>PT-12</v>
      </c>
    </row>
    <row r="3414" spans="1:8" x14ac:dyDescent="0.2">
      <c r="A3414" s="157"/>
      <c r="B3414" s="31" t="s">
        <v>12066</v>
      </c>
      <c r="C3414" s="31" t="s">
        <v>12067</v>
      </c>
      <c r="D3414" s="31" t="s">
        <v>2026</v>
      </c>
      <c r="E3414" s="61" t="b">
        <v>1</v>
      </c>
      <c r="F3414" s="106" t="s">
        <v>12068</v>
      </c>
      <c r="G3414" s="116" t="str">
        <f>HYPERLINK("http://nsgreg.nga.mil/genc/view?v=115521&amp;gencs=T&amp;end_month=3&amp;end_day=31&amp;end_year=2014","Porto")</f>
        <v>Porto</v>
      </c>
      <c r="H3414" s="87" t="str">
        <f>HYPERLINK("http://api.nsgreg.nga.mil/geo-division/ISO3166-2/6/ed3/PT-13","PT-13")</f>
        <v>PT-13</v>
      </c>
    </row>
    <row r="3415" spans="1:8" x14ac:dyDescent="0.2">
      <c r="A3415" s="157"/>
      <c r="B3415" s="31" t="s">
        <v>12069</v>
      </c>
      <c r="C3415" s="31" t="s">
        <v>12070</v>
      </c>
      <c r="D3415" s="31" t="s">
        <v>2026</v>
      </c>
      <c r="E3415" s="61" t="b">
        <v>1</v>
      </c>
      <c r="F3415" s="106" t="s">
        <v>12071</v>
      </c>
      <c r="G3415" s="116" t="str">
        <f>HYPERLINK("http://nsgreg.nga.mil/genc/view?v=115522&amp;gencs=T&amp;end_month=3&amp;end_day=31&amp;end_year=2014","Santarém")</f>
        <v>Santarém</v>
      </c>
      <c r="H3415" s="87" t="str">
        <f>HYPERLINK("http://api.nsgreg.nga.mil/geo-division/ISO3166-2/6/ed3/PT-14","PT-14")</f>
        <v>PT-14</v>
      </c>
    </row>
    <row r="3416" spans="1:8" x14ac:dyDescent="0.2">
      <c r="A3416" s="157"/>
      <c r="B3416" s="31" t="s">
        <v>12072</v>
      </c>
      <c r="C3416" s="31" t="s">
        <v>12073</v>
      </c>
      <c r="D3416" s="31" t="s">
        <v>2026</v>
      </c>
      <c r="E3416" s="61" t="b">
        <v>1</v>
      </c>
      <c r="F3416" s="106" t="s">
        <v>12074</v>
      </c>
      <c r="G3416" s="116" t="str">
        <f>HYPERLINK("http://nsgreg.nga.mil/genc/view?v=115523&amp;gencs=T&amp;end_month=3&amp;end_day=31&amp;end_year=2014","Setúbal")</f>
        <v>Setúbal</v>
      </c>
      <c r="H3416" s="87" t="str">
        <f>HYPERLINK("http://api.nsgreg.nga.mil/geo-division/ISO3166-2/6/ed3/PT-15","PT-15")</f>
        <v>PT-15</v>
      </c>
    </row>
    <row r="3417" spans="1:8" x14ac:dyDescent="0.2">
      <c r="A3417" s="157"/>
      <c r="B3417" s="31" t="s">
        <v>12075</v>
      </c>
      <c r="C3417" s="31" t="s">
        <v>12076</v>
      </c>
      <c r="D3417" s="31" t="s">
        <v>2026</v>
      </c>
      <c r="E3417" s="61" t="b">
        <v>1</v>
      </c>
      <c r="F3417" s="106" t="s">
        <v>12077</v>
      </c>
      <c r="G3417" s="116" t="str">
        <f>HYPERLINK("http://nsgreg.nga.mil/genc/view?v=115524&amp;gencs=T&amp;end_month=3&amp;end_day=31&amp;end_year=2014","Viana do Castelo")</f>
        <v>Viana do Castelo</v>
      </c>
      <c r="H3417" s="87" t="str">
        <f>HYPERLINK("http://api.nsgreg.nga.mil/geo-division/ISO3166-2/6/ed3/PT-16","PT-16")</f>
        <v>PT-16</v>
      </c>
    </row>
    <row r="3418" spans="1:8" x14ac:dyDescent="0.2">
      <c r="A3418" s="157"/>
      <c r="B3418" s="31" t="s">
        <v>12078</v>
      </c>
      <c r="C3418" s="31" t="s">
        <v>12079</v>
      </c>
      <c r="D3418" s="31" t="s">
        <v>2026</v>
      </c>
      <c r="E3418" s="61" t="b">
        <v>1</v>
      </c>
      <c r="F3418" s="106" t="s">
        <v>12080</v>
      </c>
      <c r="G3418" s="116" t="str">
        <f>HYPERLINK("http://nsgreg.nga.mil/genc/view?v=115525&amp;gencs=T&amp;end_month=3&amp;end_day=31&amp;end_year=2014","Vila Real")</f>
        <v>Vila Real</v>
      </c>
      <c r="H3418" s="87" t="str">
        <f>HYPERLINK("http://api.nsgreg.nga.mil/geo-division/ISO3166-2/6/ed3/PT-17","PT-17")</f>
        <v>PT-17</v>
      </c>
    </row>
    <row r="3419" spans="1:8" x14ac:dyDescent="0.2">
      <c r="A3419" s="158"/>
      <c r="B3419" s="58" t="s">
        <v>12081</v>
      </c>
      <c r="C3419" s="58" t="s">
        <v>12082</v>
      </c>
      <c r="D3419" s="58" t="s">
        <v>2026</v>
      </c>
      <c r="E3419" s="62" t="b">
        <v>1</v>
      </c>
      <c r="F3419" s="108" t="s">
        <v>12083</v>
      </c>
      <c r="G3419" s="117" t="str">
        <f>HYPERLINK("http://nsgreg.nga.mil/genc/view?v=115526&amp;gencs=T&amp;end_month=3&amp;end_day=31&amp;end_year=2014","Viseu")</f>
        <v>Viseu</v>
      </c>
      <c r="H3419" s="89" t="str">
        <f>HYPERLINK("http://api.nsgreg.nga.mil/geo-division/ISO3166-2/6/ed3/PT-18","PT-18")</f>
        <v>PT-18</v>
      </c>
    </row>
    <row r="3420" spans="1:8" x14ac:dyDescent="0.2">
      <c r="A3420" s="156" t="str">
        <f>HYPERLINK("[#]Geopolitical_Entities!A209:I209","QATAR")</f>
        <v>QATAR</v>
      </c>
      <c r="B3420" s="52" t="s">
        <v>12084</v>
      </c>
      <c r="C3420" s="52" t="s">
        <v>12085</v>
      </c>
      <c r="D3420" s="52" t="s">
        <v>3254</v>
      </c>
      <c r="E3420" s="60" t="b">
        <v>1</v>
      </c>
      <c r="F3420" s="109" t="s">
        <v>12086</v>
      </c>
      <c r="G3420" s="118" t="str">
        <f>HYPERLINK("http://nsgreg.nga.mil/genc/view?v=115563&amp;gencs=T&amp;end_month=3&amp;end_day=31&amp;end_year=2014","Ad Dawḩah")</f>
        <v>Ad Dawḩah</v>
      </c>
      <c r="H3420" s="91" t="str">
        <f>HYPERLINK("http://api.nsgreg.nga.mil/geo-division/ISO3166-2/6/ed3/QA-DA","QA-DA")</f>
        <v>QA-DA</v>
      </c>
    </row>
    <row r="3421" spans="1:8" x14ac:dyDescent="0.2">
      <c r="A3421" s="157"/>
      <c r="B3421" s="31" t="s">
        <v>12087</v>
      </c>
      <c r="C3421" s="31" t="s">
        <v>12088</v>
      </c>
      <c r="D3421" s="31" t="s">
        <v>3254</v>
      </c>
      <c r="E3421" s="61" t="b">
        <v>1</v>
      </c>
      <c r="F3421" s="106" t="s">
        <v>12089</v>
      </c>
      <c r="G3421" s="116" t="str">
        <f>HYPERLINK("http://nsgreg.nga.mil/genc/view?v=115564&amp;gencs=T&amp;end_month=3&amp;end_day=31&amp;end_year=2014","Al Khawr wa adh Dhakhīrah")</f>
        <v>Al Khawr wa adh Dhakhīrah</v>
      </c>
      <c r="H3421" s="87" t="str">
        <f>HYPERLINK("http://api.nsgreg.nga.mil/geo-division/ISO3166-2/6/ed3/QA-KH","QA-KH")</f>
        <v>QA-KH</v>
      </c>
    </row>
    <row r="3422" spans="1:8" x14ac:dyDescent="0.2">
      <c r="A3422" s="157"/>
      <c r="B3422" s="31" t="s">
        <v>12090</v>
      </c>
      <c r="C3422" s="31" t="s">
        <v>12091</v>
      </c>
      <c r="D3422" s="31" t="s">
        <v>3254</v>
      </c>
      <c r="E3422" s="61" t="b">
        <v>1</v>
      </c>
      <c r="F3422" s="106" t="s">
        <v>12092</v>
      </c>
      <c r="G3422" s="116" t="str">
        <f>HYPERLINK("http://nsgreg.nga.mil/genc/view?v=115568&amp;gencs=T&amp;end_month=3&amp;end_day=31&amp;end_year=2014","Al Wakrah")</f>
        <v>Al Wakrah</v>
      </c>
      <c r="H3422" s="87" t="str">
        <f>HYPERLINK("http://api.nsgreg.nga.mil/geo-division/ISO3166-2/6/ed3/QA-WA","QA-WA")</f>
        <v>QA-WA</v>
      </c>
    </row>
    <row r="3423" spans="1:8" x14ac:dyDescent="0.2">
      <c r="A3423" s="157"/>
      <c r="B3423" s="31" t="s">
        <v>12093</v>
      </c>
      <c r="C3423" s="31" t="s">
        <v>12094</v>
      </c>
      <c r="D3423" s="31" t="s">
        <v>3254</v>
      </c>
      <c r="E3423" s="61" t="b">
        <v>1</v>
      </c>
      <c r="F3423" s="106" t="s">
        <v>12095</v>
      </c>
      <c r="G3423" s="116" t="str">
        <f>HYPERLINK("http://nsgreg.nga.mil/genc/view?v=115566&amp;gencs=T&amp;end_month=3&amp;end_day=31&amp;end_year=2014","Ar Rayyān")</f>
        <v>Ar Rayyān</v>
      </c>
      <c r="H3423" s="87" t="str">
        <f>HYPERLINK("http://api.nsgreg.nga.mil/geo-division/ISO3166-2/6/ed3/QA-RA","QA-RA")</f>
        <v>QA-RA</v>
      </c>
    </row>
    <row r="3424" spans="1:8" x14ac:dyDescent="0.2">
      <c r="A3424" s="157"/>
      <c r="B3424" s="31" t="s">
        <v>12096</v>
      </c>
      <c r="C3424" s="31" t="s">
        <v>12097</v>
      </c>
      <c r="D3424" s="31" t="s">
        <v>3254</v>
      </c>
      <c r="E3424" s="61" t="b">
        <v>1</v>
      </c>
      <c r="F3424" s="106" t="s">
        <v>12098</v>
      </c>
      <c r="G3424" s="116" t="str">
        <f>HYPERLINK("http://nsgreg.nga.mil/genc/view?v=115565&amp;gencs=T&amp;end_month=3&amp;end_day=31&amp;end_year=2014","Ash Shamāl")</f>
        <v>Ash Shamāl</v>
      </c>
      <c r="H3424" s="87" t="str">
        <f>HYPERLINK("http://api.nsgreg.nga.mil/geo-division/ISO3166-2/6/ed3/QA-MS","QA-MS")</f>
        <v>QA-MS</v>
      </c>
    </row>
    <row r="3425" spans="1:8" x14ac:dyDescent="0.2">
      <c r="A3425" s="157"/>
      <c r="B3425" s="31" t="s">
        <v>12099</v>
      </c>
      <c r="C3425" s="31" t="s">
        <v>12100</v>
      </c>
      <c r="D3425" s="31" t="s">
        <v>3254</v>
      </c>
      <c r="E3425" s="61" t="b">
        <v>1</v>
      </c>
      <c r="F3425" s="106" t="s">
        <v>12101</v>
      </c>
      <c r="G3425" s="116" t="str">
        <f>HYPERLINK("http://nsgreg.nga.mil/genc/view?v=115569&amp;gencs=T&amp;end_month=3&amp;end_day=31&amp;end_year=2014","Az̧ Z̧a‘āyin")</f>
        <v>Az̧ Z̧a‘āyin</v>
      </c>
      <c r="H3425" s="87" t="str">
        <f>HYPERLINK("http://api.nsgreg.nga.mil/geo-division/ISO3166-2/6/ed3/QA-ZA","QA-ZA")</f>
        <v>QA-ZA</v>
      </c>
    </row>
    <row r="3426" spans="1:8" x14ac:dyDescent="0.2">
      <c r="A3426" s="158"/>
      <c r="B3426" s="58" t="s">
        <v>12102</v>
      </c>
      <c r="C3426" s="58" t="s">
        <v>12103</v>
      </c>
      <c r="D3426" s="58" t="s">
        <v>3254</v>
      </c>
      <c r="E3426" s="62" t="b">
        <v>1</v>
      </c>
      <c r="F3426" s="108" t="s">
        <v>12104</v>
      </c>
      <c r="G3426" s="117" t="str">
        <f>HYPERLINK("http://nsgreg.nga.mil/genc/view?v=115567&amp;gencs=T&amp;end_month=3&amp;end_day=31&amp;end_year=2014","Umm Şalāl")</f>
        <v>Umm Şalāl</v>
      </c>
      <c r="H3426" s="89" t="str">
        <f>HYPERLINK("http://api.nsgreg.nga.mil/geo-division/ISO3166-2/6/ed3/QA-US","QA-US")</f>
        <v>QA-US</v>
      </c>
    </row>
    <row r="3427" spans="1:8" x14ac:dyDescent="0.2">
      <c r="A3427" s="156" t="str">
        <f>HYPERLINK("[#]Geopolitical_Entities!A211:I211","ROMANIA")</f>
        <v>ROMANIA</v>
      </c>
      <c r="B3427" s="52" t="s">
        <v>12105</v>
      </c>
      <c r="C3427" s="52" t="s">
        <v>12106</v>
      </c>
      <c r="D3427" s="52" t="s">
        <v>2023</v>
      </c>
      <c r="E3427" s="60" t="b">
        <v>1</v>
      </c>
      <c r="F3427" s="110" t="s">
        <v>12107</v>
      </c>
      <c r="G3427" s="118" t="str">
        <f>HYPERLINK("http://nsgreg.nga.mil/genc/view?v=202623&amp;end_month=3&amp;end_day=31&amp;end_year=2014","Alba")</f>
        <v>Alba</v>
      </c>
      <c r="H3427" s="91" t="str">
        <f>HYPERLINK("http://api.nsgreg.nga.mil/geo-division/GENC/6/ed2/RO-AB","RO-AB")</f>
        <v>RO-AB</v>
      </c>
    </row>
    <row r="3428" spans="1:8" x14ac:dyDescent="0.2">
      <c r="A3428" s="157"/>
      <c r="B3428" s="31" t="s">
        <v>12108</v>
      </c>
      <c r="C3428" s="31" t="s">
        <v>12109</v>
      </c>
      <c r="D3428" s="31" t="s">
        <v>2023</v>
      </c>
      <c r="E3428" s="61" t="b">
        <v>1</v>
      </c>
      <c r="F3428" s="107" t="s">
        <v>12110</v>
      </c>
      <c r="G3428" s="116" t="str">
        <f>HYPERLINK("http://nsgreg.nga.mil/genc/view?v=202625&amp;end_month=3&amp;end_day=31&amp;end_year=2014","Arad")</f>
        <v>Arad</v>
      </c>
      <c r="H3428" s="87" t="str">
        <f>HYPERLINK("http://api.nsgreg.nga.mil/geo-division/GENC/6/ed2/RO-AR","RO-AR")</f>
        <v>RO-AR</v>
      </c>
    </row>
    <row r="3429" spans="1:8" x14ac:dyDescent="0.2">
      <c r="A3429" s="157"/>
      <c r="B3429" s="31" t="s">
        <v>12111</v>
      </c>
      <c r="C3429" s="31" t="s">
        <v>12112</v>
      </c>
      <c r="D3429" s="31" t="s">
        <v>2023</v>
      </c>
      <c r="E3429" s="61" t="b">
        <v>1</v>
      </c>
      <c r="F3429" s="107" t="s">
        <v>12113</v>
      </c>
      <c r="G3429" s="116" t="str">
        <f>HYPERLINK("http://nsgreg.nga.mil/genc/view?v=202624&amp;end_month=3&amp;end_day=31&amp;end_year=2014","Argeş")</f>
        <v>Argeş</v>
      </c>
      <c r="H3429" s="87" t="str">
        <f>HYPERLINK("http://api.nsgreg.nga.mil/geo-division/GENC/6/ed2/RO-AG","RO-AG")</f>
        <v>RO-AG</v>
      </c>
    </row>
    <row r="3430" spans="1:8" x14ac:dyDescent="0.2">
      <c r="A3430" s="157"/>
      <c r="B3430" s="31" t="s">
        <v>12114</v>
      </c>
      <c r="C3430" s="31" t="s">
        <v>12115</v>
      </c>
      <c r="D3430" s="31" t="s">
        <v>2023</v>
      </c>
      <c r="E3430" s="61" t="b">
        <v>1</v>
      </c>
      <c r="F3430" s="107" t="s">
        <v>12116</v>
      </c>
      <c r="G3430" s="116" t="str">
        <f>HYPERLINK("http://nsgreg.nga.mil/genc/view?v=202627&amp;end_month=3&amp;end_day=31&amp;end_year=2014","Bacău")</f>
        <v>Bacău</v>
      </c>
      <c r="H3430" s="87" t="str">
        <f>HYPERLINK("http://api.nsgreg.nga.mil/geo-division/GENC/6/ed2/RO-BC","RO-BC")</f>
        <v>RO-BC</v>
      </c>
    </row>
    <row r="3431" spans="1:8" x14ac:dyDescent="0.2">
      <c r="A3431" s="157"/>
      <c r="B3431" s="31" t="s">
        <v>12117</v>
      </c>
      <c r="C3431" s="31" t="s">
        <v>12118</v>
      </c>
      <c r="D3431" s="31" t="s">
        <v>2023</v>
      </c>
      <c r="E3431" s="61" t="b">
        <v>1</v>
      </c>
      <c r="F3431" s="107" t="s">
        <v>12119</v>
      </c>
      <c r="G3431" s="116" t="str">
        <f>HYPERLINK("http://nsgreg.nga.mil/genc/view?v=202628&amp;end_month=3&amp;end_day=31&amp;end_year=2014","Bihor")</f>
        <v>Bihor</v>
      </c>
      <c r="H3431" s="87" t="str">
        <f>HYPERLINK("http://api.nsgreg.nga.mil/geo-division/GENC/6/ed2/RO-BH","RO-BH")</f>
        <v>RO-BH</v>
      </c>
    </row>
    <row r="3432" spans="1:8" x14ac:dyDescent="0.2">
      <c r="A3432" s="157"/>
      <c r="B3432" s="31" t="s">
        <v>12120</v>
      </c>
      <c r="C3432" s="31" t="s">
        <v>12121</v>
      </c>
      <c r="D3432" s="31" t="s">
        <v>2023</v>
      </c>
      <c r="E3432" s="61" t="b">
        <v>1</v>
      </c>
      <c r="F3432" s="107" t="s">
        <v>12122</v>
      </c>
      <c r="G3432" s="116" t="str">
        <f>HYPERLINK("http://nsgreg.nga.mil/genc/view?v=202629&amp;end_month=3&amp;end_day=31&amp;end_year=2014","Bistriţa-Năsăud")</f>
        <v>Bistriţa-Năsăud</v>
      </c>
      <c r="H3432" s="87" t="str">
        <f>HYPERLINK("http://api.nsgreg.nga.mil/geo-division/GENC/6/ed2/RO-BN","RO-BN")</f>
        <v>RO-BN</v>
      </c>
    </row>
    <row r="3433" spans="1:8" x14ac:dyDescent="0.2">
      <c r="A3433" s="157"/>
      <c r="B3433" s="31" t="s">
        <v>12123</v>
      </c>
      <c r="C3433" s="31" t="s">
        <v>12124</v>
      </c>
      <c r="D3433" s="31" t="s">
        <v>2023</v>
      </c>
      <c r="E3433" s="61" t="b">
        <v>1</v>
      </c>
      <c r="F3433" s="107" t="s">
        <v>12125</v>
      </c>
      <c r="G3433" s="116" t="str">
        <f>HYPERLINK("http://nsgreg.nga.mil/genc/view?v=202631&amp;end_month=3&amp;end_day=31&amp;end_year=2014","Botoşani")</f>
        <v>Botoşani</v>
      </c>
      <c r="H3433" s="87" t="str">
        <f>HYPERLINK("http://api.nsgreg.nga.mil/geo-division/GENC/6/ed2/RO-BT","RO-BT")</f>
        <v>RO-BT</v>
      </c>
    </row>
    <row r="3434" spans="1:8" x14ac:dyDescent="0.2">
      <c r="A3434" s="157"/>
      <c r="B3434" s="31" t="s">
        <v>12126</v>
      </c>
      <c r="C3434" s="31" t="s">
        <v>12127</v>
      </c>
      <c r="D3434" s="31" t="s">
        <v>2023</v>
      </c>
      <c r="E3434" s="61" t="b">
        <v>1</v>
      </c>
      <c r="F3434" s="107" t="s">
        <v>12128</v>
      </c>
      <c r="G3434" s="116" t="str">
        <f>HYPERLINK("http://nsgreg.nga.mil/genc/view?v=202630&amp;end_month=3&amp;end_day=31&amp;end_year=2014","Brăila")</f>
        <v>Brăila</v>
      </c>
      <c r="H3434" s="87" t="str">
        <f>HYPERLINK("http://api.nsgreg.nga.mil/geo-division/GENC/6/ed2/RO-BR","RO-BR")</f>
        <v>RO-BR</v>
      </c>
    </row>
    <row r="3435" spans="1:8" x14ac:dyDescent="0.2">
      <c r="A3435" s="157"/>
      <c r="B3435" s="31" t="s">
        <v>12129</v>
      </c>
      <c r="C3435" s="31" t="s">
        <v>12130</v>
      </c>
      <c r="D3435" s="31" t="s">
        <v>2023</v>
      </c>
      <c r="E3435" s="61" t="b">
        <v>1</v>
      </c>
      <c r="F3435" s="107" t="s">
        <v>12131</v>
      </c>
      <c r="G3435" s="116" t="str">
        <f>HYPERLINK("http://nsgreg.nga.mil/genc/view?v=202632&amp;end_month=3&amp;end_day=31&amp;end_year=2014","Braşov")</f>
        <v>Braşov</v>
      </c>
      <c r="H3435" s="87" t="str">
        <f>HYPERLINK("http://api.nsgreg.nga.mil/geo-division/GENC/6/ed2/RO-BV","RO-BV")</f>
        <v>RO-BV</v>
      </c>
    </row>
    <row r="3436" spans="1:8" x14ac:dyDescent="0.2">
      <c r="A3436" s="157"/>
      <c r="B3436" s="31" t="s">
        <v>12132</v>
      </c>
      <c r="C3436" s="31" t="s">
        <v>12133</v>
      </c>
      <c r="D3436" s="31" t="s">
        <v>3254</v>
      </c>
      <c r="E3436" s="61" t="b">
        <v>1</v>
      </c>
      <c r="F3436" s="107" t="s">
        <v>12134</v>
      </c>
      <c r="G3436" s="116" t="str">
        <f>HYPERLINK("http://nsgreg.nga.mil/genc/view?v=202626&amp;end_month=3&amp;end_day=31&amp;end_year=2014","Bucureşti")</f>
        <v>Bucureşti</v>
      </c>
      <c r="H3436" s="87" t="str">
        <f>HYPERLINK("http://api.nsgreg.nga.mil/geo-division/GENC/6/ed2/RO-B","RO-B")</f>
        <v>RO-B</v>
      </c>
    </row>
    <row r="3437" spans="1:8" x14ac:dyDescent="0.2">
      <c r="A3437" s="157"/>
      <c r="B3437" s="31" t="s">
        <v>12135</v>
      </c>
      <c r="C3437" s="31" t="s">
        <v>12136</v>
      </c>
      <c r="D3437" s="31" t="s">
        <v>2023</v>
      </c>
      <c r="E3437" s="61" t="b">
        <v>1</v>
      </c>
      <c r="F3437" s="107" t="s">
        <v>12137</v>
      </c>
      <c r="G3437" s="116" t="str">
        <f>HYPERLINK("http://nsgreg.nga.mil/genc/view?v=202633&amp;end_month=3&amp;end_day=31&amp;end_year=2014","Buzău")</f>
        <v>Buzău</v>
      </c>
      <c r="H3437" s="87" t="str">
        <f>HYPERLINK("http://api.nsgreg.nga.mil/geo-division/GENC/6/ed2/RO-BZ","RO-BZ")</f>
        <v>RO-BZ</v>
      </c>
    </row>
    <row r="3438" spans="1:8" x14ac:dyDescent="0.2">
      <c r="A3438" s="157"/>
      <c r="B3438" s="31" t="s">
        <v>12138</v>
      </c>
      <c r="C3438" s="31" t="s">
        <v>10188</v>
      </c>
      <c r="D3438" s="31" t="s">
        <v>2023</v>
      </c>
      <c r="E3438" s="61" t="b">
        <v>1</v>
      </c>
      <c r="F3438" s="107" t="s">
        <v>12139</v>
      </c>
      <c r="G3438" s="116" t="str">
        <f>HYPERLINK("http://nsgreg.nga.mil/genc/view?v=202635&amp;end_month=3&amp;end_day=31&amp;end_year=2014","Călăraşi")</f>
        <v>Călăraşi</v>
      </c>
      <c r="H3438" s="87" t="str">
        <f>HYPERLINK("http://api.nsgreg.nga.mil/geo-division/GENC/6/ed2/RO-CL","RO-CL")</f>
        <v>RO-CL</v>
      </c>
    </row>
    <row r="3439" spans="1:8" x14ac:dyDescent="0.2">
      <c r="A3439" s="157"/>
      <c r="B3439" s="31" t="s">
        <v>12140</v>
      </c>
      <c r="C3439" s="31" t="s">
        <v>12141</v>
      </c>
      <c r="D3439" s="31" t="s">
        <v>2023</v>
      </c>
      <c r="E3439" s="61" t="b">
        <v>1</v>
      </c>
      <c r="F3439" s="107" t="s">
        <v>12142</v>
      </c>
      <c r="G3439" s="116" t="str">
        <f>HYPERLINK("http://nsgreg.nga.mil/genc/view?v=202636&amp;end_month=3&amp;end_day=31&amp;end_year=2014","Caraş-Severin")</f>
        <v>Caraş-Severin</v>
      </c>
      <c r="H3439" s="87" t="str">
        <f>HYPERLINK("http://api.nsgreg.nga.mil/geo-division/GENC/6/ed2/RO-CS","RO-CS")</f>
        <v>RO-CS</v>
      </c>
    </row>
    <row r="3440" spans="1:8" x14ac:dyDescent="0.2">
      <c r="A3440" s="157"/>
      <c r="B3440" s="31" t="s">
        <v>12143</v>
      </c>
      <c r="C3440" s="31" t="s">
        <v>12144</v>
      </c>
      <c r="D3440" s="31" t="s">
        <v>2023</v>
      </c>
      <c r="E3440" s="61" t="b">
        <v>1</v>
      </c>
      <c r="F3440" s="107" t="s">
        <v>12145</v>
      </c>
      <c r="G3440" s="116" t="str">
        <f>HYPERLINK("http://nsgreg.nga.mil/genc/view?v=202634&amp;end_month=3&amp;end_day=31&amp;end_year=2014","Cluj")</f>
        <v>Cluj</v>
      </c>
      <c r="H3440" s="87" t="str">
        <f>HYPERLINK("http://api.nsgreg.nga.mil/geo-division/GENC/6/ed2/RO-CJ","RO-CJ")</f>
        <v>RO-CJ</v>
      </c>
    </row>
    <row r="3441" spans="1:8" x14ac:dyDescent="0.2">
      <c r="A3441" s="157"/>
      <c r="B3441" s="31" t="s">
        <v>12146</v>
      </c>
      <c r="C3441" s="31" t="s">
        <v>12147</v>
      </c>
      <c r="D3441" s="31" t="s">
        <v>2023</v>
      </c>
      <c r="E3441" s="61" t="b">
        <v>1</v>
      </c>
      <c r="F3441" s="107" t="s">
        <v>12148</v>
      </c>
      <c r="G3441" s="116" t="str">
        <f>HYPERLINK("http://nsgreg.nga.mil/genc/view?v=202637&amp;end_month=3&amp;end_day=31&amp;end_year=2014","Constanţa")</f>
        <v>Constanţa</v>
      </c>
      <c r="H3441" s="87" t="str">
        <f>HYPERLINK("http://api.nsgreg.nga.mil/geo-division/GENC/6/ed2/RO-CT","RO-CT")</f>
        <v>RO-CT</v>
      </c>
    </row>
    <row r="3442" spans="1:8" x14ac:dyDescent="0.2">
      <c r="A3442" s="157"/>
      <c r="B3442" s="31" t="s">
        <v>12149</v>
      </c>
      <c r="C3442" s="31" t="s">
        <v>12150</v>
      </c>
      <c r="D3442" s="31" t="s">
        <v>2023</v>
      </c>
      <c r="E3442" s="61" t="b">
        <v>1</v>
      </c>
      <c r="F3442" s="107" t="s">
        <v>12151</v>
      </c>
      <c r="G3442" s="116" t="str">
        <f>HYPERLINK("http://nsgreg.nga.mil/genc/view?v=202638&amp;end_month=3&amp;end_day=31&amp;end_year=2014","Covasna")</f>
        <v>Covasna</v>
      </c>
      <c r="H3442" s="87" t="str">
        <f>HYPERLINK("http://api.nsgreg.nga.mil/geo-division/GENC/6/ed2/RO-CV","RO-CV")</f>
        <v>RO-CV</v>
      </c>
    </row>
    <row r="3443" spans="1:8" x14ac:dyDescent="0.2">
      <c r="A3443" s="157"/>
      <c r="B3443" s="31" t="s">
        <v>12152</v>
      </c>
      <c r="C3443" s="31" t="s">
        <v>12153</v>
      </c>
      <c r="D3443" s="31" t="s">
        <v>2023</v>
      </c>
      <c r="E3443" s="61" t="b">
        <v>1</v>
      </c>
      <c r="F3443" s="107" t="s">
        <v>12154</v>
      </c>
      <c r="G3443" s="116" t="str">
        <f>HYPERLINK("http://nsgreg.nga.mil/genc/view?v=202639&amp;end_month=3&amp;end_day=31&amp;end_year=2014","Dâmboviţa")</f>
        <v>Dâmboviţa</v>
      </c>
      <c r="H3443" s="87" t="str">
        <f>HYPERLINK("http://api.nsgreg.nga.mil/geo-division/GENC/6/ed2/RO-DB","RO-DB")</f>
        <v>RO-DB</v>
      </c>
    </row>
    <row r="3444" spans="1:8" x14ac:dyDescent="0.2">
      <c r="A3444" s="157"/>
      <c r="B3444" s="31" t="s">
        <v>12155</v>
      </c>
      <c r="C3444" s="31" t="s">
        <v>12156</v>
      </c>
      <c r="D3444" s="31" t="s">
        <v>2023</v>
      </c>
      <c r="E3444" s="61" t="b">
        <v>1</v>
      </c>
      <c r="F3444" s="107" t="s">
        <v>12157</v>
      </c>
      <c r="G3444" s="116" t="str">
        <f>HYPERLINK("http://nsgreg.nga.mil/genc/view?v=202640&amp;end_month=3&amp;end_day=31&amp;end_year=2014","Dolj")</f>
        <v>Dolj</v>
      </c>
      <c r="H3444" s="87" t="str">
        <f>HYPERLINK("http://api.nsgreg.nga.mil/geo-division/GENC/6/ed2/RO-DJ","RO-DJ")</f>
        <v>RO-DJ</v>
      </c>
    </row>
    <row r="3445" spans="1:8" x14ac:dyDescent="0.2">
      <c r="A3445" s="157"/>
      <c r="B3445" s="31" t="s">
        <v>12158</v>
      </c>
      <c r="C3445" s="31" t="s">
        <v>12159</v>
      </c>
      <c r="D3445" s="31" t="s">
        <v>2023</v>
      </c>
      <c r="E3445" s="61" t="b">
        <v>1</v>
      </c>
      <c r="F3445" s="107" t="s">
        <v>12160</v>
      </c>
      <c r="G3445" s="116" t="str">
        <f>HYPERLINK("http://nsgreg.nga.mil/genc/view?v=202642&amp;end_month=3&amp;end_day=31&amp;end_year=2014","Galaţi")</f>
        <v>Galaţi</v>
      </c>
      <c r="H3445" s="87" t="str">
        <f>HYPERLINK("http://api.nsgreg.nga.mil/geo-division/GENC/6/ed2/RO-GL","RO-GL")</f>
        <v>RO-GL</v>
      </c>
    </row>
    <row r="3446" spans="1:8" x14ac:dyDescent="0.2">
      <c r="A3446" s="157"/>
      <c r="B3446" s="31" t="s">
        <v>12161</v>
      </c>
      <c r="C3446" s="31" t="s">
        <v>12162</v>
      </c>
      <c r="D3446" s="31" t="s">
        <v>2023</v>
      </c>
      <c r="E3446" s="61" t="b">
        <v>1</v>
      </c>
      <c r="F3446" s="107" t="s">
        <v>12163</v>
      </c>
      <c r="G3446" s="116" t="str">
        <f>HYPERLINK("http://nsgreg.nga.mil/genc/view?v=202643&amp;end_month=3&amp;end_day=31&amp;end_year=2014","Giurgiu")</f>
        <v>Giurgiu</v>
      </c>
      <c r="H3446" s="87" t="str">
        <f>HYPERLINK("http://api.nsgreg.nga.mil/geo-division/GENC/6/ed2/RO-GR","RO-GR")</f>
        <v>RO-GR</v>
      </c>
    </row>
    <row r="3447" spans="1:8" x14ac:dyDescent="0.2">
      <c r="A3447" s="157"/>
      <c r="B3447" s="31" t="s">
        <v>12164</v>
      </c>
      <c r="C3447" s="31" t="s">
        <v>12165</v>
      </c>
      <c r="D3447" s="31" t="s">
        <v>2023</v>
      </c>
      <c r="E3447" s="61" t="b">
        <v>1</v>
      </c>
      <c r="F3447" s="107" t="s">
        <v>12166</v>
      </c>
      <c r="G3447" s="116" t="str">
        <f>HYPERLINK("http://nsgreg.nga.mil/genc/view?v=202641&amp;end_month=3&amp;end_day=31&amp;end_year=2014","Gorj")</f>
        <v>Gorj</v>
      </c>
      <c r="H3447" s="87" t="str">
        <f>HYPERLINK("http://api.nsgreg.nga.mil/geo-division/GENC/6/ed2/RO-GJ","RO-GJ")</f>
        <v>RO-GJ</v>
      </c>
    </row>
    <row r="3448" spans="1:8" x14ac:dyDescent="0.2">
      <c r="A3448" s="157"/>
      <c r="B3448" s="31" t="s">
        <v>12167</v>
      </c>
      <c r="C3448" s="31" t="s">
        <v>12168</v>
      </c>
      <c r="D3448" s="31" t="s">
        <v>2023</v>
      </c>
      <c r="E3448" s="61" t="b">
        <v>1</v>
      </c>
      <c r="F3448" s="107" t="s">
        <v>12169</v>
      </c>
      <c r="G3448" s="116" t="str">
        <f>HYPERLINK("http://nsgreg.nga.mil/genc/view?v=202645&amp;end_month=3&amp;end_day=31&amp;end_year=2014","Harghita")</f>
        <v>Harghita</v>
      </c>
      <c r="H3448" s="87" t="str">
        <f>HYPERLINK("http://api.nsgreg.nga.mil/geo-division/GENC/6/ed2/RO-HR","RO-HR")</f>
        <v>RO-HR</v>
      </c>
    </row>
    <row r="3449" spans="1:8" x14ac:dyDescent="0.2">
      <c r="A3449" s="157"/>
      <c r="B3449" s="31" t="s">
        <v>12170</v>
      </c>
      <c r="C3449" s="31" t="s">
        <v>12171</v>
      </c>
      <c r="D3449" s="31" t="s">
        <v>2023</v>
      </c>
      <c r="E3449" s="61" t="b">
        <v>1</v>
      </c>
      <c r="F3449" s="107" t="s">
        <v>12172</v>
      </c>
      <c r="G3449" s="116" t="str">
        <f>HYPERLINK("http://nsgreg.nga.mil/genc/view?v=202644&amp;end_month=3&amp;end_day=31&amp;end_year=2014","Hunedoara")</f>
        <v>Hunedoara</v>
      </c>
      <c r="H3449" s="87" t="str">
        <f>HYPERLINK("http://api.nsgreg.nga.mil/geo-division/GENC/6/ed2/RO-HD","RO-HD")</f>
        <v>RO-HD</v>
      </c>
    </row>
    <row r="3450" spans="1:8" x14ac:dyDescent="0.2">
      <c r="A3450" s="157"/>
      <c r="B3450" s="31" t="s">
        <v>12173</v>
      </c>
      <c r="C3450" s="31" t="s">
        <v>12174</v>
      </c>
      <c r="D3450" s="31" t="s">
        <v>2023</v>
      </c>
      <c r="E3450" s="61" t="b">
        <v>1</v>
      </c>
      <c r="F3450" s="107" t="s">
        <v>12175</v>
      </c>
      <c r="G3450" s="116" t="str">
        <f>HYPERLINK("http://nsgreg.nga.mil/genc/view?v=202647&amp;end_month=3&amp;end_day=31&amp;end_year=2014","Ialomiţa")</f>
        <v>Ialomiţa</v>
      </c>
      <c r="H3450" s="87" t="str">
        <f>HYPERLINK("http://api.nsgreg.nga.mil/geo-division/GENC/6/ed2/RO-IL","RO-IL")</f>
        <v>RO-IL</v>
      </c>
    </row>
    <row r="3451" spans="1:8" x14ac:dyDescent="0.2">
      <c r="A3451" s="157"/>
      <c r="B3451" s="31" t="s">
        <v>12176</v>
      </c>
      <c r="C3451" s="31" t="s">
        <v>12177</v>
      </c>
      <c r="D3451" s="31" t="s">
        <v>2023</v>
      </c>
      <c r="E3451" s="61" t="b">
        <v>1</v>
      </c>
      <c r="F3451" s="107" t="s">
        <v>12178</v>
      </c>
      <c r="G3451" s="116" t="str">
        <f>HYPERLINK("http://nsgreg.nga.mil/genc/view?v=202648&amp;end_month=3&amp;end_day=31&amp;end_year=2014","Iaşi")</f>
        <v>Iaşi</v>
      </c>
      <c r="H3451" s="87" t="str">
        <f>HYPERLINK("http://api.nsgreg.nga.mil/geo-division/GENC/6/ed2/RO-IS","RO-IS")</f>
        <v>RO-IS</v>
      </c>
    </row>
    <row r="3452" spans="1:8" x14ac:dyDescent="0.2">
      <c r="A3452" s="157"/>
      <c r="B3452" s="31" t="s">
        <v>12179</v>
      </c>
      <c r="C3452" s="31" t="s">
        <v>12180</v>
      </c>
      <c r="D3452" s="31" t="s">
        <v>2023</v>
      </c>
      <c r="E3452" s="61" t="b">
        <v>1</v>
      </c>
      <c r="F3452" s="107" t="s">
        <v>12181</v>
      </c>
      <c r="G3452" s="116" t="str">
        <f>HYPERLINK("http://nsgreg.nga.mil/genc/view?v=202646&amp;end_month=3&amp;end_day=31&amp;end_year=2014","Ilfov")</f>
        <v>Ilfov</v>
      </c>
      <c r="H3452" s="87" t="str">
        <f>HYPERLINK("http://api.nsgreg.nga.mil/geo-division/GENC/6/ed2/RO-IF","RO-IF")</f>
        <v>RO-IF</v>
      </c>
    </row>
    <row r="3453" spans="1:8" x14ac:dyDescent="0.2">
      <c r="A3453" s="157"/>
      <c r="B3453" s="31" t="s">
        <v>12182</v>
      </c>
      <c r="C3453" s="31" t="s">
        <v>12183</v>
      </c>
      <c r="D3453" s="31" t="s">
        <v>2023</v>
      </c>
      <c r="E3453" s="61" t="b">
        <v>1</v>
      </c>
      <c r="F3453" s="107" t="s">
        <v>12184</v>
      </c>
      <c r="G3453" s="116" t="str">
        <f>HYPERLINK("http://nsgreg.nga.mil/genc/view?v=202650&amp;end_month=3&amp;end_day=31&amp;end_year=2014","Maramureş")</f>
        <v>Maramureş</v>
      </c>
      <c r="H3453" s="87" t="str">
        <f>HYPERLINK("http://api.nsgreg.nga.mil/geo-division/GENC/6/ed2/RO-MM","RO-MM")</f>
        <v>RO-MM</v>
      </c>
    </row>
    <row r="3454" spans="1:8" x14ac:dyDescent="0.2">
      <c r="A3454" s="157"/>
      <c r="B3454" s="31" t="s">
        <v>12185</v>
      </c>
      <c r="C3454" s="31" t="s">
        <v>12186</v>
      </c>
      <c r="D3454" s="31" t="s">
        <v>2023</v>
      </c>
      <c r="E3454" s="61" t="b">
        <v>1</v>
      </c>
      <c r="F3454" s="107" t="s">
        <v>12187</v>
      </c>
      <c r="G3454" s="116" t="str">
        <f>HYPERLINK("http://nsgreg.nga.mil/genc/view?v=202649&amp;end_month=3&amp;end_day=31&amp;end_year=2014","Mehedinţi")</f>
        <v>Mehedinţi</v>
      </c>
      <c r="H3454" s="87" t="str">
        <f>HYPERLINK("http://api.nsgreg.nga.mil/geo-division/GENC/6/ed2/RO-MH","RO-MH")</f>
        <v>RO-MH</v>
      </c>
    </row>
    <row r="3455" spans="1:8" x14ac:dyDescent="0.2">
      <c r="A3455" s="157"/>
      <c r="B3455" s="31" t="s">
        <v>12188</v>
      </c>
      <c r="C3455" s="31" t="s">
        <v>12189</v>
      </c>
      <c r="D3455" s="31" t="s">
        <v>2023</v>
      </c>
      <c r="E3455" s="61" t="b">
        <v>1</v>
      </c>
      <c r="F3455" s="107" t="s">
        <v>12190</v>
      </c>
      <c r="G3455" s="116" t="str">
        <f>HYPERLINK("http://nsgreg.nga.mil/genc/view?v=202651&amp;end_month=3&amp;end_day=31&amp;end_year=2014","Mureş")</f>
        <v>Mureş</v>
      </c>
      <c r="H3455" s="87" t="str">
        <f>HYPERLINK("http://api.nsgreg.nga.mil/geo-division/GENC/6/ed2/RO-MS","RO-MS")</f>
        <v>RO-MS</v>
      </c>
    </row>
    <row r="3456" spans="1:8" x14ac:dyDescent="0.2">
      <c r="A3456" s="157"/>
      <c r="B3456" s="31" t="s">
        <v>12191</v>
      </c>
      <c r="C3456" s="31" t="s">
        <v>12192</v>
      </c>
      <c r="D3456" s="31" t="s">
        <v>2023</v>
      </c>
      <c r="E3456" s="61" t="b">
        <v>1</v>
      </c>
      <c r="F3456" s="107" t="s">
        <v>12193</v>
      </c>
      <c r="G3456" s="116" t="str">
        <f>HYPERLINK("http://nsgreg.nga.mil/genc/view?v=202652&amp;end_month=3&amp;end_day=31&amp;end_year=2014","Neamţ")</f>
        <v>Neamţ</v>
      </c>
      <c r="H3456" s="87" t="str">
        <f>HYPERLINK("http://api.nsgreg.nga.mil/geo-division/GENC/6/ed2/RO-NT","RO-NT")</f>
        <v>RO-NT</v>
      </c>
    </row>
    <row r="3457" spans="1:8" x14ac:dyDescent="0.2">
      <c r="A3457" s="157"/>
      <c r="B3457" s="31" t="s">
        <v>12194</v>
      </c>
      <c r="C3457" s="31" t="s">
        <v>12195</v>
      </c>
      <c r="D3457" s="31" t="s">
        <v>2023</v>
      </c>
      <c r="E3457" s="61" t="b">
        <v>1</v>
      </c>
      <c r="F3457" s="107" t="s">
        <v>12196</v>
      </c>
      <c r="G3457" s="116" t="str">
        <f>HYPERLINK("http://nsgreg.nga.mil/genc/view?v=202653&amp;end_month=3&amp;end_day=31&amp;end_year=2014","Olt")</f>
        <v>Olt</v>
      </c>
      <c r="H3457" s="87" t="str">
        <f>HYPERLINK("http://api.nsgreg.nga.mil/geo-division/GENC/6/ed2/RO-OT","RO-OT")</f>
        <v>RO-OT</v>
      </c>
    </row>
    <row r="3458" spans="1:8" x14ac:dyDescent="0.2">
      <c r="A3458" s="157"/>
      <c r="B3458" s="31" t="s">
        <v>12197</v>
      </c>
      <c r="C3458" s="31" t="s">
        <v>12198</v>
      </c>
      <c r="D3458" s="31" t="s">
        <v>2023</v>
      </c>
      <c r="E3458" s="61" t="b">
        <v>1</v>
      </c>
      <c r="F3458" s="107" t="s">
        <v>12199</v>
      </c>
      <c r="G3458" s="116" t="str">
        <f>HYPERLINK("http://nsgreg.nga.mil/genc/view?v=202654&amp;end_month=3&amp;end_day=31&amp;end_year=2014","Prahova")</f>
        <v>Prahova</v>
      </c>
      <c r="H3458" s="87" t="str">
        <f>HYPERLINK("http://api.nsgreg.nga.mil/geo-division/GENC/6/ed2/RO-PH","RO-PH")</f>
        <v>RO-PH</v>
      </c>
    </row>
    <row r="3459" spans="1:8" x14ac:dyDescent="0.2">
      <c r="A3459" s="157"/>
      <c r="B3459" s="31" t="s">
        <v>12200</v>
      </c>
      <c r="C3459" s="31" t="s">
        <v>12201</v>
      </c>
      <c r="D3459" s="31" t="s">
        <v>2023</v>
      </c>
      <c r="E3459" s="61" t="b">
        <v>1</v>
      </c>
      <c r="F3459" s="107" t="s">
        <v>12202</v>
      </c>
      <c r="G3459" s="116" t="str">
        <f>HYPERLINK("http://nsgreg.nga.mil/genc/view?v=202656&amp;end_month=3&amp;end_day=31&amp;end_year=2014","Sălaj")</f>
        <v>Sălaj</v>
      </c>
      <c r="H3459" s="87" t="str">
        <f>HYPERLINK("http://api.nsgreg.nga.mil/geo-division/GENC/6/ed2/RO-SJ","RO-SJ")</f>
        <v>RO-SJ</v>
      </c>
    </row>
    <row r="3460" spans="1:8" x14ac:dyDescent="0.2">
      <c r="A3460" s="157"/>
      <c r="B3460" s="31" t="s">
        <v>12203</v>
      </c>
      <c r="C3460" s="31" t="s">
        <v>12204</v>
      </c>
      <c r="D3460" s="31" t="s">
        <v>2023</v>
      </c>
      <c r="E3460" s="61" t="b">
        <v>1</v>
      </c>
      <c r="F3460" s="107" t="s">
        <v>12205</v>
      </c>
      <c r="G3460" s="116" t="str">
        <f>HYPERLINK("http://nsgreg.nga.mil/genc/view?v=202657&amp;end_month=3&amp;end_day=31&amp;end_year=2014","Satu Mare")</f>
        <v>Satu Mare</v>
      </c>
      <c r="H3460" s="87" t="str">
        <f>HYPERLINK("http://api.nsgreg.nga.mil/geo-division/GENC/6/ed2/RO-SM","RO-SM")</f>
        <v>RO-SM</v>
      </c>
    </row>
    <row r="3461" spans="1:8" x14ac:dyDescent="0.2">
      <c r="A3461" s="157"/>
      <c r="B3461" s="31" t="s">
        <v>12206</v>
      </c>
      <c r="C3461" s="31" t="s">
        <v>12207</v>
      </c>
      <c r="D3461" s="31" t="s">
        <v>2023</v>
      </c>
      <c r="E3461" s="61" t="b">
        <v>1</v>
      </c>
      <c r="F3461" s="107" t="s">
        <v>12208</v>
      </c>
      <c r="G3461" s="116" t="str">
        <f>HYPERLINK("http://nsgreg.nga.mil/genc/view?v=202655&amp;end_month=3&amp;end_day=31&amp;end_year=2014","Sibiu")</f>
        <v>Sibiu</v>
      </c>
      <c r="H3461" s="87" t="str">
        <f>HYPERLINK("http://api.nsgreg.nga.mil/geo-division/GENC/6/ed2/RO-SB","RO-SB")</f>
        <v>RO-SB</v>
      </c>
    </row>
    <row r="3462" spans="1:8" x14ac:dyDescent="0.2">
      <c r="A3462" s="157"/>
      <c r="B3462" s="31" t="s">
        <v>12209</v>
      </c>
      <c r="C3462" s="31" t="s">
        <v>12210</v>
      </c>
      <c r="D3462" s="31" t="s">
        <v>2023</v>
      </c>
      <c r="E3462" s="61" t="b">
        <v>1</v>
      </c>
      <c r="F3462" s="107" t="s">
        <v>12211</v>
      </c>
      <c r="G3462" s="116" t="str">
        <f>HYPERLINK("http://nsgreg.nga.mil/genc/view?v=202658&amp;end_month=3&amp;end_day=31&amp;end_year=2014","Suceava")</f>
        <v>Suceava</v>
      </c>
      <c r="H3462" s="87" t="str">
        <f>HYPERLINK("http://api.nsgreg.nga.mil/geo-division/GENC/6/ed2/RO-SV","RO-SV")</f>
        <v>RO-SV</v>
      </c>
    </row>
    <row r="3463" spans="1:8" x14ac:dyDescent="0.2">
      <c r="A3463" s="157"/>
      <c r="B3463" s="31" t="s">
        <v>12212</v>
      </c>
      <c r="C3463" s="31" t="s">
        <v>12213</v>
      </c>
      <c r="D3463" s="31" t="s">
        <v>2023</v>
      </c>
      <c r="E3463" s="61" t="b">
        <v>1</v>
      </c>
      <c r="F3463" s="107" t="s">
        <v>12214</v>
      </c>
      <c r="G3463" s="116" t="str">
        <f>HYPERLINK("http://nsgreg.nga.mil/genc/view?v=202661&amp;end_month=3&amp;end_day=31&amp;end_year=2014","Teleorman")</f>
        <v>Teleorman</v>
      </c>
      <c r="H3463" s="87" t="str">
        <f>HYPERLINK("http://api.nsgreg.nga.mil/geo-division/GENC/6/ed2/RO-TR","RO-TR")</f>
        <v>RO-TR</v>
      </c>
    </row>
    <row r="3464" spans="1:8" x14ac:dyDescent="0.2">
      <c r="A3464" s="157"/>
      <c r="B3464" s="31" t="s">
        <v>12215</v>
      </c>
      <c r="C3464" s="31" t="s">
        <v>12216</v>
      </c>
      <c r="D3464" s="31" t="s">
        <v>2023</v>
      </c>
      <c r="E3464" s="61" t="b">
        <v>1</v>
      </c>
      <c r="F3464" s="107" t="s">
        <v>12217</v>
      </c>
      <c r="G3464" s="116" t="str">
        <f>HYPERLINK("http://nsgreg.nga.mil/genc/view?v=202660&amp;end_month=3&amp;end_day=31&amp;end_year=2014","Timiş")</f>
        <v>Timiş</v>
      </c>
      <c r="H3464" s="87" t="str">
        <f>HYPERLINK("http://api.nsgreg.nga.mil/geo-division/GENC/6/ed2/RO-TM","RO-TM")</f>
        <v>RO-TM</v>
      </c>
    </row>
    <row r="3465" spans="1:8" x14ac:dyDescent="0.2">
      <c r="A3465" s="157"/>
      <c r="B3465" s="31" t="s">
        <v>12218</v>
      </c>
      <c r="C3465" s="31" t="s">
        <v>12219</v>
      </c>
      <c r="D3465" s="31" t="s">
        <v>2023</v>
      </c>
      <c r="E3465" s="61" t="b">
        <v>1</v>
      </c>
      <c r="F3465" s="107" t="s">
        <v>12220</v>
      </c>
      <c r="G3465" s="116" t="str">
        <f>HYPERLINK("http://nsgreg.nga.mil/genc/view?v=202659&amp;end_month=3&amp;end_day=31&amp;end_year=2014","Tulcea")</f>
        <v>Tulcea</v>
      </c>
      <c r="H3465" s="87" t="str">
        <f>HYPERLINK("http://api.nsgreg.nga.mil/geo-division/GENC/6/ed2/RO-TL","RO-TL")</f>
        <v>RO-TL</v>
      </c>
    </row>
    <row r="3466" spans="1:8" x14ac:dyDescent="0.2">
      <c r="A3466" s="157"/>
      <c r="B3466" s="31" t="s">
        <v>12221</v>
      </c>
      <c r="C3466" s="31" t="s">
        <v>12222</v>
      </c>
      <c r="D3466" s="31" t="s">
        <v>2023</v>
      </c>
      <c r="E3466" s="61" t="b">
        <v>1</v>
      </c>
      <c r="F3466" s="107" t="s">
        <v>12223</v>
      </c>
      <c r="G3466" s="116" t="str">
        <f>HYPERLINK("http://nsgreg.nga.mil/genc/view?v=202662&amp;end_month=3&amp;end_day=31&amp;end_year=2014","Vâlcea")</f>
        <v>Vâlcea</v>
      </c>
      <c r="H3466" s="87" t="str">
        <f>HYPERLINK("http://api.nsgreg.nga.mil/geo-division/GENC/6/ed2/RO-VL","RO-VL")</f>
        <v>RO-VL</v>
      </c>
    </row>
    <row r="3467" spans="1:8" x14ac:dyDescent="0.2">
      <c r="A3467" s="157"/>
      <c r="B3467" s="31" t="s">
        <v>12224</v>
      </c>
      <c r="C3467" s="31" t="s">
        <v>12225</v>
      </c>
      <c r="D3467" s="31" t="s">
        <v>2023</v>
      </c>
      <c r="E3467" s="61" t="b">
        <v>1</v>
      </c>
      <c r="F3467" s="107" t="s">
        <v>12226</v>
      </c>
      <c r="G3467" s="116" t="str">
        <f>HYPERLINK("http://nsgreg.nga.mil/genc/view?v=202664&amp;end_month=3&amp;end_day=31&amp;end_year=2014","Vaslui")</f>
        <v>Vaslui</v>
      </c>
      <c r="H3467" s="87" t="str">
        <f>HYPERLINK("http://api.nsgreg.nga.mil/geo-division/GENC/6/ed2/RO-VS","RO-VS")</f>
        <v>RO-VS</v>
      </c>
    </row>
    <row r="3468" spans="1:8" x14ac:dyDescent="0.2">
      <c r="A3468" s="158"/>
      <c r="B3468" s="58" t="s">
        <v>12227</v>
      </c>
      <c r="C3468" s="58" t="s">
        <v>12228</v>
      </c>
      <c r="D3468" s="58" t="s">
        <v>2023</v>
      </c>
      <c r="E3468" s="62" t="b">
        <v>1</v>
      </c>
      <c r="F3468" s="111" t="s">
        <v>12229</v>
      </c>
      <c r="G3468" s="117" t="str">
        <f>HYPERLINK("http://nsgreg.nga.mil/genc/view?v=202663&amp;end_month=3&amp;end_day=31&amp;end_year=2014","Vrancea")</f>
        <v>Vrancea</v>
      </c>
      <c r="H3468" s="89" t="str">
        <f>HYPERLINK("http://api.nsgreg.nga.mil/geo-division/GENC/6/ed2/RO-VN","RO-VN")</f>
        <v>RO-VN</v>
      </c>
    </row>
    <row r="3469" spans="1:8" x14ac:dyDescent="0.2">
      <c r="A3469" s="156" t="str">
        <f>HYPERLINK("[#]Geopolitical_Entities!A212:I212","RUSSIA")</f>
        <v>RUSSIA</v>
      </c>
      <c r="B3469" s="52" t="s">
        <v>12230</v>
      </c>
      <c r="C3469" s="52" t="s">
        <v>12231</v>
      </c>
      <c r="D3469" s="52" t="s">
        <v>3405</v>
      </c>
      <c r="E3469" s="60" t="b">
        <v>1</v>
      </c>
      <c r="F3469" s="110" t="s">
        <v>12232</v>
      </c>
      <c r="G3469" s="118" t="str">
        <f>HYPERLINK("http://nsgreg.nga.mil/genc/view?v=202839&amp;end_month=3&amp;end_day=31&amp;end_year=2014","Adygeya")</f>
        <v>Adygeya</v>
      </c>
      <c r="H3469" s="91" t="str">
        <f>HYPERLINK("http://api.nsgreg.nga.mil/geo-division/GENC/6/ed2/RU-AD","RU-AD")</f>
        <v>RU-AD</v>
      </c>
    </row>
    <row r="3470" spans="1:8" x14ac:dyDescent="0.2">
      <c r="A3470" s="157"/>
      <c r="B3470" s="31" t="s">
        <v>12233</v>
      </c>
      <c r="C3470" s="31" t="s">
        <v>12234</v>
      </c>
      <c r="D3470" s="31" t="s">
        <v>3405</v>
      </c>
      <c r="E3470" s="61" t="b">
        <v>1</v>
      </c>
      <c r="F3470" s="107" t="s">
        <v>12235</v>
      </c>
      <c r="G3470" s="116" t="str">
        <f>HYPERLINK("http://nsgreg.nga.mil/genc/view?v=202840&amp;end_month=3&amp;end_day=31&amp;end_year=2014","Altay")</f>
        <v>Altay</v>
      </c>
      <c r="H3470" s="87" t="str">
        <f>HYPERLINK("http://api.nsgreg.nga.mil/geo-division/GENC/6/ed2/RU-AL","RU-AL")</f>
        <v>RU-AL</v>
      </c>
    </row>
    <row r="3471" spans="1:8" x14ac:dyDescent="0.2">
      <c r="A3471" s="157"/>
      <c r="B3471" s="31" t="s">
        <v>12236</v>
      </c>
      <c r="C3471" s="31" t="s">
        <v>12237</v>
      </c>
      <c r="D3471" s="31" t="s">
        <v>2026</v>
      </c>
      <c r="E3471" s="61" t="b">
        <v>1</v>
      </c>
      <c r="F3471" s="107" t="s">
        <v>12238</v>
      </c>
      <c r="G3471" s="116" t="str">
        <f>HYPERLINK("http://nsgreg.nga.mil/genc/view?v=202841&amp;end_month=3&amp;end_day=31&amp;end_year=2014","Altayskiy Kray")</f>
        <v>Altayskiy Kray</v>
      </c>
      <c r="H3471" s="87" t="str">
        <f>HYPERLINK("http://api.nsgreg.nga.mil/geo-division/GENC/6/ed2/RU-ALT","RU-ALT")</f>
        <v>RU-ALT</v>
      </c>
    </row>
    <row r="3472" spans="1:8" x14ac:dyDescent="0.2">
      <c r="A3472" s="157"/>
      <c r="B3472" s="31" t="s">
        <v>12239</v>
      </c>
      <c r="C3472" s="31" t="s">
        <v>12240</v>
      </c>
      <c r="D3472" s="31" t="s">
        <v>1920</v>
      </c>
      <c r="E3472" s="61" t="b">
        <v>1</v>
      </c>
      <c r="F3472" s="107" t="s">
        <v>12241</v>
      </c>
      <c r="G3472" s="116" t="str">
        <f>HYPERLINK("http://nsgreg.nga.mil/genc/view?v=202842&amp;end_month=3&amp;end_day=31&amp;end_year=2014","Amurskaya Oblast’")</f>
        <v>Amurskaya Oblast’</v>
      </c>
      <c r="H3472" s="87" t="str">
        <f>HYPERLINK("http://api.nsgreg.nga.mil/geo-division/GENC/6/ed2/RU-AMU","RU-AMU")</f>
        <v>RU-AMU</v>
      </c>
    </row>
    <row r="3473" spans="1:8" x14ac:dyDescent="0.2">
      <c r="A3473" s="157"/>
      <c r="B3473" s="31" t="s">
        <v>12242</v>
      </c>
      <c r="C3473" s="31" t="s">
        <v>12243</v>
      </c>
      <c r="D3473" s="31" t="s">
        <v>1920</v>
      </c>
      <c r="E3473" s="61" t="b">
        <v>1</v>
      </c>
      <c r="F3473" s="107" t="s">
        <v>12244</v>
      </c>
      <c r="G3473" s="116" t="str">
        <f>HYPERLINK("http://nsgreg.nga.mil/genc/view?v=202843&amp;end_month=3&amp;end_day=31&amp;end_year=2014","Arkhangel’skaya Oblast’")</f>
        <v>Arkhangel’skaya Oblast’</v>
      </c>
      <c r="H3473" s="87" t="str">
        <f>HYPERLINK("http://api.nsgreg.nga.mil/geo-division/GENC/6/ed2/RU-ARK","RU-ARK")</f>
        <v>RU-ARK</v>
      </c>
    </row>
    <row r="3474" spans="1:8" x14ac:dyDescent="0.2">
      <c r="A3474" s="157"/>
      <c r="B3474" s="31" t="s">
        <v>12245</v>
      </c>
      <c r="C3474" s="31" t="s">
        <v>12246</v>
      </c>
      <c r="D3474" s="31" t="s">
        <v>1920</v>
      </c>
      <c r="E3474" s="61" t="b">
        <v>1</v>
      </c>
      <c r="F3474" s="107" t="s">
        <v>12247</v>
      </c>
      <c r="G3474" s="116" t="str">
        <f>HYPERLINK("http://nsgreg.nga.mil/genc/view?v=202844&amp;end_month=3&amp;end_day=31&amp;end_year=2014","Astrakhanskaya Oblast’")</f>
        <v>Astrakhanskaya Oblast’</v>
      </c>
      <c r="H3474" s="87" t="str">
        <f>HYPERLINK("http://api.nsgreg.nga.mil/geo-division/GENC/6/ed2/RU-AST","RU-AST")</f>
        <v>RU-AST</v>
      </c>
    </row>
    <row r="3475" spans="1:8" x14ac:dyDescent="0.2">
      <c r="A3475" s="157"/>
      <c r="B3475" s="31" t="s">
        <v>12248</v>
      </c>
      <c r="C3475" s="31" t="s">
        <v>12249</v>
      </c>
      <c r="D3475" s="31" t="s">
        <v>3405</v>
      </c>
      <c r="E3475" s="61" t="b">
        <v>1</v>
      </c>
      <c r="F3475" s="107" t="s">
        <v>12250</v>
      </c>
      <c r="G3475" s="116" t="str">
        <f>HYPERLINK("http://nsgreg.nga.mil/genc/view?v=202845&amp;end_month=3&amp;end_day=31&amp;end_year=2014","Bashkortostan")</f>
        <v>Bashkortostan</v>
      </c>
      <c r="H3475" s="87" t="str">
        <f>HYPERLINK("http://api.nsgreg.nga.mil/geo-division/GENC/6/ed2/RU-BA","RU-BA")</f>
        <v>RU-BA</v>
      </c>
    </row>
    <row r="3476" spans="1:8" x14ac:dyDescent="0.2">
      <c r="A3476" s="157"/>
      <c r="B3476" s="31" t="s">
        <v>12251</v>
      </c>
      <c r="C3476" s="31" t="s">
        <v>12252</v>
      </c>
      <c r="D3476" s="31" t="s">
        <v>1920</v>
      </c>
      <c r="E3476" s="61" t="b">
        <v>1</v>
      </c>
      <c r="F3476" s="107" t="s">
        <v>12253</v>
      </c>
      <c r="G3476" s="116" t="str">
        <f>HYPERLINK("http://nsgreg.nga.mil/genc/view?v=202846&amp;end_month=3&amp;end_day=31&amp;end_year=2014","Belgorodskaya Oblast’")</f>
        <v>Belgorodskaya Oblast’</v>
      </c>
      <c r="H3476" s="87" t="str">
        <f>HYPERLINK("http://api.nsgreg.nga.mil/geo-division/GENC/6/ed2/RU-BEL","RU-BEL")</f>
        <v>RU-BEL</v>
      </c>
    </row>
    <row r="3477" spans="1:8" x14ac:dyDescent="0.2">
      <c r="A3477" s="157"/>
      <c r="B3477" s="31" t="s">
        <v>12254</v>
      </c>
      <c r="C3477" s="31" t="s">
        <v>12255</v>
      </c>
      <c r="D3477" s="31" t="s">
        <v>1920</v>
      </c>
      <c r="E3477" s="61" t="b">
        <v>1</v>
      </c>
      <c r="F3477" s="107" t="s">
        <v>12256</v>
      </c>
      <c r="G3477" s="116" t="str">
        <f>HYPERLINK("http://nsgreg.nga.mil/genc/view?v=202847&amp;end_month=3&amp;end_day=31&amp;end_year=2014","Bryanskaya Oblast’")</f>
        <v>Bryanskaya Oblast’</v>
      </c>
      <c r="H3477" s="87" t="str">
        <f>HYPERLINK("http://api.nsgreg.nga.mil/geo-division/GENC/6/ed2/RU-BRY","RU-BRY")</f>
        <v>RU-BRY</v>
      </c>
    </row>
    <row r="3478" spans="1:8" x14ac:dyDescent="0.2">
      <c r="A3478" s="157"/>
      <c r="B3478" s="31" t="s">
        <v>12257</v>
      </c>
      <c r="C3478" s="31" t="s">
        <v>12258</v>
      </c>
      <c r="D3478" s="31" t="s">
        <v>3405</v>
      </c>
      <c r="E3478" s="61" t="b">
        <v>1</v>
      </c>
      <c r="F3478" s="107" t="s">
        <v>12259</v>
      </c>
      <c r="G3478" s="116" t="str">
        <f>HYPERLINK("http://nsgreg.nga.mil/genc/view?v=202848&amp;end_month=3&amp;end_day=31&amp;end_year=2014","Buryatiya")</f>
        <v>Buryatiya</v>
      </c>
      <c r="H3478" s="87" t="str">
        <f>HYPERLINK("http://api.nsgreg.nga.mil/geo-division/GENC/6/ed2/RU-BU","RU-BU")</f>
        <v>RU-BU</v>
      </c>
    </row>
    <row r="3479" spans="1:8" x14ac:dyDescent="0.2">
      <c r="A3479" s="157"/>
      <c r="B3479" s="31" t="s">
        <v>12260</v>
      </c>
      <c r="C3479" s="31" t="s">
        <v>12261</v>
      </c>
      <c r="D3479" s="31" t="s">
        <v>3405</v>
      </c>
      <c r="E3479" s="61" t="b">
        <v>1</v>
      </c>
      <c r="F3479" s="107" t="s">
        <v>12262</v>
      </c>
      <c r="G3479" s="116" t="str">
        <f>HYPERLINK("http://nsgreg.nga.mil/genc/view?v=202849&amp;end_month=3&amp;end_day=31&amp;end_year=2014","Chechnya")</f>
        <v>Chechnya</v>
      </c>
      <c r="H3479" s="87" t="str">
        <f>HYPERLINK("http://api.nsgreg.nga.mil/geo-division/GENC/6/ed2/RU-CE","RU-CE")</f>
        <v>RU-CE</v>
      </c>
    </row>
    <row r="3480" spans="1:8" x14ac:dyDescent="0.2">
      <c r="A3480" s="157"/>
      <c r="B3480" s="31" t="s">
        <v>12263</v>
      </c>
      <c r="C3480" s="31" t="s">
        <v>12264</v>
      </c>
      <c r="D3480" s="31" t="s">
        <v>1920</v>
      </c>
      <c r="E3480" s="61" t="b">
        <v>1</v>
      </c>
      <c r="F3480" s="107" t="s">
        <v>12265</v>
      </c>
      <c r="G3480" s="116" t="str">
        <f>HYPERLINK("http://nsgreg.nga.mil/genc/view?v=202850&amp;end_month=3&amp;end_day=31&amp;end_year=2014","Chelyabinskaya Oblast’")</f>
        <v>Chelyabinskaya Oblast’</v>
      </c>
      <c r="H3480" s="87" t="str">
        <f>HYPERLINK("http://api.nsgreg.nga.mil/geo-division/GENC/6/ed2/RU-CHE","RU-CHE")</f>
        <v>RU-CHE</v>
      </c>
    </row>
    <row r="3481" spans="1:8" x14ac:dyDescent="0.2">
      <c r="A3481" s="157"/>
      <c r="B3481" s="31" t="s">
        <v>12266</v>
      </c>
      <c r="C3481" s="31" t="s">
        <v>12267</v>
      </c>
      <c r="D3481" s="31" t="s">
        <v>4316</v>
      </c>
      <c r="E3481" s="61" t="b">
        <v>1</v>
      </c>
      <c r="F3481" s="107" t="s">
        <v>12268</v>
      </c>
      <c r="G3481" s="116" t="str">
        <f>HYPERLINK("http://nsgreg.nga.mil/genc/view?v=202851&amp;end_month=3&amp;end_day=31&amp;end_year=2014","Chukotskiy Avtonomnyy Okrug")</f>
        <v>Chukotskiy Avtonomnyy Okrug</v>
      </c>
      <c r="H3481" s="87" t="str">
        <f>HYPERLINK("http://api.nsgreg.nga.mil/geo-division/GENC/6/ed2/RU-CHU","RU-CHU")</f>
        <v>RU-CHU</v>
      </c>
    </row>
    <row r="3482" spans="1:8" x14ac:dyDescent="0.2">
      <c r="A3482" s="157"/>
      <c r="B3482" s="31" t="s">
        <v>12269</v>
      </c>
      <c r="C3482" s="31" t="s">
        <v>12270</v>
      </c>
      <c r="D3482" s="31" t="s">
        <v>3405</v>
      </c>
      <c r="E3482" s="61" t="b">
        <v>1</v>
      </c>
      <c r="F3482" s="107" t="s">
        <v>12271</v>
      </c>
      <c r="G3482" s="116" t="str">
        <f>HYPERLINK("http://nsgreg.nga.mil/genc/view?v=202852&amp;end_month=3&amp;end_day=31&amp;end_year=2014","Chuvashiya")</f>
        <v>Chuvashiya</v>
      </c>
      <c r="H3482" s="87" t="str">
        <f>HYPERLINK("http://api.nsgreg.nga.mil/geo-division/GENC/6/ed2/RU-CU","RU-CU")</f>
        <v>RU-CU</v>
      </c>
    </row>
    <row r="3483" spans="1:8" x14ac:dyDescent="0.2">
      <c r="A3483" s="157"/>
      <c r="B3483" s="31" t="s">
        <v>12272</v>
      </c>
      <c r="C3483" s="31" t="s">
        <v>12273</v>
      </c>
      <c r="D3483" s="31" t="s">
        <v>3405</v>
      </c>
      <c r="E3483" s="61" t="b">
        <v>1</v>
      </c>
      <c r="F3483" s="107" t="s">
        <v>12274</v>
      </c>
      <c r="G3483" s="116" t="str">
        <f>HYPERLINK("http://nsgreg.nga.mil/genc/view?v=202853&amp;end_month=3&amp;end_day=31&amp;end_year=2014","Dagestan")</f>
        <v>Dagestan</v>
      </c>
      <c r="H3483" s="87" t="str">
        <f>HYPERLINK("http://api.nsgreg.nga.mil/geo-division/GENC/6/ed2/RU-DA","RU-DA")</f>
        <v>RU-DA</v>
      </c>
    </row>
    <row r="3484" spans="1:8" x14ac:dyDescent="0.2">
      <c r="A3484" s="157"/>
      <c r="B3484" s="31" t="s">
        <v>12275</v>
      </c>
      <c r="C3484" s="31" t="s">
        <v>12276</v>
      </c>
      <c r="D3484" s="31" t="s">
        <v>3405</v>
      </c>
      <c r="E3484" s="61" t="b">
        <v>1</v>
      </c>
      <c r="F3484" s="107" t="s">
        <v>12277</v>
      </c>
      <c r="G3484" s="116" t="str">
        <f>HYPERLINK("http://nsgreg.nga.mil/genc/view?v=202854&amp;end_month=3&amp;end_day=31&amp;end_year=2014","Ingushetiya")</f>
        <v>Ingushetiya</v>
      </c>
      <c r="H3484" s="87" t="str">
        <f>HYPERLINK("http://api.nsgreg.nga.mil/geo-division/GENC/6/ed2/RU-IN","RU-IN")</f>
        <v>RU-IN</v>
      </c>
    </row>
    <row r="3485" spans="1:8" x14ac:dyDescent="0.2">
      <c r="A3485" s="157"/>
      <c r="B3485" s="31" t="s">
        <v>12278</v>
      </c>
      <c r="C3485" s="31" t="s">
        <v>12279</v>
      </c>
      <c r="D3485" s="31" t="s">
        <v>1920</v>
      </c>
      <c r="E3485" s="61" t="b">
        <v>1</v>
      </c>
      <c r="F3485" s="107" t="s">
        <v>12280</v>
      </c>
      <c r="G3485" s="116" t="str">
        <f>HYPERLINK("http://nsgreg.nga.mil/genc/view?v=202855&amp;end_month=3&amp;end_day=31&amp;end_year=2014","Irkutskaya Oblast’")</f>
        <v>Irkutskaya Oblast’</v>
      </c>
      <c r="H3485" s="87" t="str">
        <f>HYPERLINK("http://api.nsgreg.nga.mil/geo-division/GENC/6/ed2/RU-IRK","RU-IRK")</f>
        <v>RU-IRK</v>
      </c>
    </row>
    <row r="3486" spans="1:8" x14ac:dyDescent="0.2">
      <c r="A3486" s="157"/>
      <c r="B3486" s="31" t="s">
        <v>12281</v>
      </c>
      <c r="C3486" s="31" t="s">
        <v>12282</v>
      </c>
      <c r="D3486" s="31" t="s">
        <v>1920</v>
      </c>
      <c r="E3486" s="61" t="b">
        <v>1</v>
      </c>
      <c r="F3486" s="107" t="s">
        <v>12283</v>
      </c>
      <c r="G3486" s="116" t="str">
        <f>HYPERLINK("http://nsgreg.nga.mil/genc/view?v=202856&amp;end_month=3&amp;end_day=31&amp;end_year=2014","Ivanovskaya Oblast’")</f>
        <v>Ivanovskaya Oblast’</v>
      </c>
      <c r="H3486" s="87" t="str">
        <f>HYPERLINK("http://api.nsgreg.nga.mil/geo-division/GENC/6/ed2/RU-IVA","RU-IVA")</f>
        <v>RU-IVA</v>
      </c>
    </row>
    <row r="3487" spans="1:8" x14ac:dyDescent="0.2">
      <c r="A3487" s="157"/>
      <c r="B3487" s="31" t="s">
        <v>12284</v>
      </c>
      <c r="C3487" s="31" t="s">
        <v>12285</v>
      </c>
      <c r="D3487" s="31" t="s">
        <v>3405</v>
      </c>
      <c r="E3487" s="61" t="b">
        <v>1</v>
      </c>
      <c r="F3487" s="107" t="s">
        <v>12286</v>
      </c>
      <c r="G3487" s="116" t="str">
        <f>HYPERLINK("http://nsgreg.nga.mil/genc/view?v=202858&amp;end_month=3&amp;end_day=31&amp;end_year=2014","Kabardino-Balkariya")</f>
        <v>Kabardino-Balkariya</v>
      </c>
      <c r="H3487" s="87" t="str">
        <f>HYPERLINK("http://api.nsgreg.nga.mil/geo-division/GENC/6/ed2/RU-KB","RU-KB")</f>
        <v>RU-KB</v>
      </c>
    </row>
    <row r="3488" spans="1:8" x14ac:dyDescent="0.2">
      <c r="A3488" s="157"/>
      <c r="B3488" s="31" t="s">
        <v>12287</v>
      </c>
      <c r="C3488" s="31" t="s">
        <v>12288</v>
      </c>
      <c r="D3488" s="31" t="s">
        <v>1920</v>
      </c>
      <c r="E3488" s="61" t="b">
        <v>1</v>
      </c>
      <c r="F3488" s="107" t="s">
        <v>12289</v>
      </c>
      <c r="G3488" s="116" t="str">
        <f>HYPERLINK("http://nsgreg.nga.mil/genc/view?v=202862&amp;end_month=3&amp;end_day=31&amp;end_year=2014","Kaliningradskaya Oblast’")</f>
        <v>Kaliningradskaya Oblast’</v>
      </c>
      <c r="H3488" s="87" t="str">
        <f>HYPERLINK("http://api.nsgreg.nga.mil/geo-division/GENC/6/ed2/RU-KGD","RU-KGD")</f>
        <v>RU-KGD</v>
      </c>
    </row>
    <row r="3489" spans="1:8" x14ac:dyDescent="0.2">
      <c r="A3489" s="157"/>
      <c r="B3489" s="31" t="s">
        <v>12290</v>
      </c>
      <c r="C3489" s="31" t="s">
        <v>12291</v>
      </c>
      <c r="D3489" s="31" t="s">
        <v>3405</v>
      </c>
      <c r="E3489" s="61" t="b">
        <v>1</v>
      </c>
      <c r="F3489" s="107" t="s">
        <v>12292</v>
      </c>
      <c r="G3489" s="116" t="str">
        <f>HYPERLINK("http://nsgreg.nga.mil/genc/view?v=202868&amp;end_month=3&amp;end_day=31&amp;end_year=2014","Kalmykiya")</f>
        <v>Kalmykiya</v>
      </c>
      <c r="H3489" s="87" t="str">
        <f>HYPERLINK("http://api.nsgreg.nga.mil/geo-division/GENC/6/ed2/RU-KL","RU-KL")</f>
        <v>RU-KL</v>
      </c>
    </row>
    <row r="3490" spans="1:8" x14ac:dyDescent="0.2">
      <c r="A3490" s="157"/>
      <c r="B3490" s="31" t="s">
        <v>12293</v>
      </c>
      <c r="C3490" s="31" t="s">
        <v>12294</v>
      </c>
      <c r="D3490" s="31" t="s">
        <v>1920</v>
      </c>
      <c r="E3490" s="61" t="b">
        <v>1</v>
      </c>
      <c r="F3490" s="107" t="s">
        <v>12295</v>
      </c>
      <c r="G3490" s="116" t="str">
        <f>HYPERLINK("http://nsgreg.nga.mil/genc/view?v=202869&amp;end_month=3&amp;end_day=31&amp;end_year=2014","Kaluzhskaya Oblast’")</f>
        <v>Kaluzhskaya Oblast’</v>
      </c>
      <c r="H3490" s="87" t="str">
        <f>HYPERLINK("http://api.nsgreg.nga.mil/geo-division/GENC/6/ed2/RU-KLU","RU-KLU")</f>
        <v>RU-KLU</v>
      </c>
    </row>
    <row r="3491" spans="1:8" x14ac:dyDescent="0.2">
      <c r="A3491" s="157"/>
      <c r="B3491" s="31" t="s">
        <v>12296</v>
      </c>
      <c r="C3491" s="31" t="s">
        <v>12297</v>
      </c>
      <c r="D3491" s="31" t="s">
        <v>2026</v>
      </c>
      <c r="E3491" s="61" t="b">
        <v>1</v>
      </c>
      <c r="F3491" s="107" t="s">
        <v>12298</v>
      </c>
      <c r="G3491" s="116" t="str">
        <f>HYPERLINK("http://nsgreg.nga.mil/genc/view?v=202857&amp;end_month=3&amp;end_day=31&amp;end_year=2014","Kamchatskiy Kray")</f>
        <v>Kamchatskiy Kray</v>
      </c>
      <c r="H3491" s="87" t="str">
        <f>HYPERLINK("http://api.nsgreg.nga.mil/geo-division/GENC/6/ed2/RU-KAM","RU-KAM")</f>
        <v>RU-KAM</v>
      </c>
    </row>
    <row r="3492" spans="1:8" x14ac:dyDescent="0.2">
      <c r="A3492" s="157"/>
      <c r="B3492" s="31" t="s">
        <v>12299</v>
      </c>
      <c r="C3492" s="31" t="s">
        <v>12300</v>
      </c>
      <c r="D3492" s="31" t="s">
        <v>1920</v>
      </c>
      <c r="E3492" s="61" t="b">
        <v>1</v>
      </c>
      <c r="F3492" s="107" t="s">
        <v>12301</v>
      </c>
      <c r="G3492" s="116" t="str">
        <f>HYPERLINK("http://nsgreg.nga.mil/genc/view?v=202859&amp;end_month=3&amp;end_day=31&amp;end_year=2014","Karachayevo-Cherkesiya")</f>
        <v>Karachayevo-Cherkesiya</v>
      </c>
      <c r="H3492" s="87" t="str">
        <f>HYPERLINK("http://api.nsgreg.nga.mil/geo-division/GENC/6/ed2/RU-KC","RU-KC")</f>
        <v>RU-KC</v>
      </c>
    </row>
    <row r="3493" spans="1:8" x14ac:dyDescent="0.2">
      <c r="A3493" s="157"/>
      <c r="B3493" s="31" t="s">
        <v>12302</v>
      </c>
      <c r="C3493" s="31" t="s">
        <v>12303</v>
      </c>
      <c r="D3493" s="31" t="s">
        <v>3405</v>
      </c>
      <c r="E3493" s="61" t="b">
        <v>1</v>
      </c>
      <c r="F3493" s="107" t="s">
        <v>12304</v>
      </c>
      <c r="G3493" s="116" t="str">
        <f>HYPERLINK("http://nsgreg.nga.mil/genc/view?v=202872&amp;end_month=3&amp;end_day=31&amp;end_year=2014","Kareliya")</f>
        <v>Kareliya</v>
      </c>
      <c r="H3493" s="87" t="str">
        <f>HYPERLINK("http://api.nsgreg.nga.mil/geo-division/GENC/6/ed2/RU-KR","RU-KR")</f>
        <v>RU-KR</v>
      </c>
    </row>
    <row r="3494" spans="1:8" x14ac:dyDescent="0.2">
      <c r="A3494" s="157"/>
      <c r="B3494" s="31" t="s">
        <v>12305</v>
      </c>
      <c r="C3494" s="31" t="s">
        <v>12306</v>
      </c>
      <c r="D3494" s="31" t="s">
        <v>1920</v>
      </c>
      <c r="E3494" s="61" t="b">
        <v>1</v>
      </c>
      <c r="F3494" s="107" t="s">
        <v>12307</v>
      </c>
      <c r="G3494" s="116" t="str">
        <f>HYPERLINK("http://nsgreg.nga.mil/genc/view?v=202861&amp;end_month=3&amp;end_day=31&amp;end_year=2014","Kemerovskaya Oblast’")</f>
        <v>Kemerovskaya Oblast’</v>
      </c>
      <c r="H3494" s="87" t="str">
        <f>HYPERLINK("http://api.nsgreg.nga.mil/geo-division/GENC/6/ed2/RU-KEM","RU-KEM")</f>
        <v>RU-KEM</v>
      </c>
    </row>
    <row r="3495" spans="1:8" x14ac:dyDescent="0.2">
      <c r="A3495" s="157"/>
      <c r="B3495" s="31" t="s">
        <v>12308</v>
      </c>
      <c r="C3495" s="31" t="s">
        <v>12309</v>
      </c>
      <c r="D3495" s="31" t="s">
        <v>2026</v>
      </c>
      <c r="E3495" s="61" t="b">
        <v>1</v>
      </c>
      <c r="F3495" s="107" t="s">
        <v>12310</v>
      </c>
      <c r="G3495" s="116" t="str">
        <f>HYPERLINK("http://nsgreg.nga.mil/genc/view?v=202864&amp;end_month=3&amp;end_day=31&amp;end_year=2014","Khabarovskiy Kray")</f>
        <v>Khabarovskiy Kray</v>
      </c>
      <c r="H3495" s="87" t="str">
        <f>HYPERLINK("http://api.nsgreg.nga.mil/geo-division/GENC/6/ed2/RU-KHA","RU-KHA")</f>
        <v>RU-KHA</v>
      </c>
    </row>
    <row r="3496" spans="1:8" x14ac:dyDescent="0.2">
      <c r="A3496" s="157"/>
      <c r="B3496" s="31" t="s">
        <v>12311</v>
      </c>
      <c r="C3496" s="31" t="s">
        <v>12312</v>
      </c>
      <c r="D3496" s="31" t="s">
        <v>3405</v>
      </c>
      <c r="E3496" s="61" t="b">
        <v>1</v>
      </c>
      <c r="F3496" s="107" t="s">
        <v>12313</v>
      </c>
      <c r="G3496" s="116" t="str">
        <f>HYPERLINK("http://nsgreg.nga.mil/genc/view?v=202867&amp;end_month=3&amp;end_day=31&amp;end_year=2014","Khakasiya")</f>
        <v>Khakasiya</v>
      </c>
      <c r="H3496" s="87" t="str">
        <f>HYPERLINK("http://api.nsgreg.nga.mil/geo-division/GENC/6/ed2/RU-KK","RU-KK")</f>
        <v>RU-KK</v>
      </c>
    </row>
    <row r="3497" spans="1:8" x14ac:dyDescent="0.2">
      <c r="A3497" s="157"/>
      <c r="B3497" s="31" t="s">
        <v>12314</v>
      </c>
      <c r="C3497" s="31" t="s">
        <v>12315</v>
      </c>
      <c r="D3497" s="31" t="s">
        <v>4316</v>
      </c>
      <c r="E3497" s="61" t="b">
        <v>1</v>
      </c>
      <c r="F3497" s="107" t="s">
        <v>12316</v>
      </c>
      <c r="G3497" s="116" t="str">
        <f>HYPERLINK("http://nsgreg.nga.mil/genc/view?v=202865&amp;end_month=3&amp;end_day=31&amp;end_year=2014","Khanty-Mansiyskiy Avtonomnyy Okrug")</f>
        <v>Khanty-Mansiyskiy Avtonomnyy Okrug</v>
      </c>
      <c r="H3497" s="87" t="str">
        <f>HYPERLINK("http://api.nsgreg.nga.mil/geo-division/GENC/6/ed2/RU-KHM","RU-KHM")</f>
        <v>RU-KHM</v>
      </c>
    </row>
    <row r="3498" spans="1:8" x14ac:dyDescent="0.2">
      <c r="A3498" s="157"/>
      <c r="B3498" s="31" t="s">
        <v>12317</v>
      </c>
      <c r="C3498" s="31" t="s">
        <v>12318</v>
      </c>
      <c r="D3498" s="31" t="s">
        <v>1920</v>
      </c>
      <c r="E3498" s="61" t="b">
        <v>1</v>
      </c>
      <c r="F3498" s="107" t="s">
        <v>12319</v>
      </c>
      <c r="G3498" s="116" t="str">
        <f>HYPERLINK("http://nsgreg.nga.mil/genc/view?v=202866&amp;end_month=3&amp;end_day=31&amp;end_year=2014","Kirovskaya Oblast’")</f>
        <v>Kirovskaya Oblast’</v>
      </c>
      <c r="H3498" s="87" t="str">
        <f>HYPERLINK("http://api.nsgreg.nga.mil/geo-division/GENC/6/ed2/RU-KIR","RU-KIR")</f>
        <v>RU-KIR</v>
      </c>
    </row>
    <row r="3499" spans="1:8" x14ac:dyDescent="0.2">
      <c r="A3499" s="157"/>
      <c r="B3499" s="31" t="s">
        <v>12320</v>
      </c>
      <c r="C3499" s="31" t="s">
        <v>12321</v>
      </c>
      <c r="D3499" s="31" t="s">
        <v>3405</v>
      </c>
      <c r="E3499" s="61" t="b">
        <v>1</v>
      </c>
      <c r="F3499" s="107" t="s">
        <v>12322</v>
      </c>
      <c r="G3499" s="116" t="str">
        <f>HYPERLINK("http://nsgreg.nga.mil/genc/view?v=202870&amp;end_month=3&amp;end_day=31&amp;end_year=2014","Komi")</f>
        <v>Komi</v>
      </c>
      <c r="H3499" s="87" t="str">
        <f>HYPERLINK("http://api.nsgreg.nga.mil/geo-division/GENC/6/ed2/RU-KO","RU-KO")</f>
        <v>RU-KO</v>
      </c>
    </row>
    <row r="3500" spans="1:8" x14ac:dyDescent="0.2">
      <c r="A3500" s="157"/>
      <c r="B3500" s="31" t="s">
        <v>12323</v>
      </c>
      <c r="C3500" s="31" t="s">
        <v>12324</v>
      </c>
      <c r="D3500" s="31" t="s">
        <v>1920</v>
      </c>
      <c r="E3500" s="61" t="b">
        <v>1</v>
      </c>
      <c r="F3500" s="107" t="s">
        <v>12325</v>
      </c>
      <c r="G3500" s="116" t="str">
        <f>HYPERLINK("http://nsgreg.nga.mil/genc/view?v=202871&amp;end_month=3&amp;end_day=31&amp;end_year=2014","Kostromskaya Oblast’")</f>
        <v>Kostromskaya Oblast’</v>
      </c>
      <c r="H3500" s="87" t="str">
        <f>HYPERLINK("http://api.nsgreg.nga.mil/geo-division/GENC/6/ed2/RU-KOS","RU-KOS")</f>
        <v>RU-KOS</v>
      </c>
    </row>
    <row r="3501" spans="1:8" x14ac:dyDescent="0.2">
      <c r="A3501" s="157"/>
      <c r="B3501" s="31" t="s">
        <v>12326</v>
      </c>
      <c r="C3501" s="31" t="s">
        <v>12327</v>
      </c>
      <c r="D3501" s="31" t="s">
        <v>2026</v>
      </c>
      <c r="E3501" s="61" t="b">
        <v>1</v>
      </c>
      <c r="F3501" s="107" t="s">
        <v>12328</v>
      </c>
      <c r="G3501" s="116" t="str">
        <f>HYPERLINK("http://nsgreg.nga.mil/genc/view?v=202860&amp;end_month=3&amp;end_day=31&amp;end_year=2014","Krasnodarskiy Kray")</f>
        <v>Krasnodarskiy Kray</v>
      </c>
      <c r="H3501" s="87" t="str">
        <f>HYPERLINK("http://api.nsgreg.nga.mil/geo-division/GENC/6/ed2/RU-KDA","RU-KDA")</f>
        <v>RU-KDA</v>
      </c>
    </row>
    <row r="3502" spans="1:8" x14ac:dyDescent="0.2">
      <c r="A3502" s="157"/>
      <c r="B3502" s="31" t="s">
        <v>12329</v>
      </c>
      <c r="C3502" s="31" t="s">
        <v>12330</v>
      </c>
      <c r="D3502" s="31" t="s">
        <v>2026</v>
      </c>
      <c r="E3502" s="61" t="b">
        <v>1</v>
      </c>
      <c r="F3502" s="107" t="s">
        <v>12331</v>
      </c>
      <c r="G3502" s="116" t="str">
        <f>HYPERLINK("http://nsgreg.nga.mil/genc/view?v=202874&amp;end_month=3&amp;end_day=31&amp;end_year=2014","Krasnoyarskiy Kray")</f>
        <v>Krasnoyarskiy Kray</v>
      </c>
      <c r="H3502" s="87" t="str">
        <f>HYPERLINK("http://api.nsgreg.nga.mil/geo-division/GENC/6/ed2/RU-KYA","RU-KYA")</f>
        <v>RU-KYA</v>
      </c>
    </row>
    <row r="3503" spans="1:8" x14ac:dyDescent="0.2">
      <c r="A3503" s="157"/>
      <c r="B3503" s="31" t="s">
        <v>12332</v>
      </c>
      <c r="C3503" s="31" t="s">
        <v>12333</v>
      </c>
      <c r="D3503" s="31" t="s">
        <v>1920</v>
      </c>
      <c r="E3503" s="61" t="b">
        <v>1</v>
      </c>
      <c r="F3503" s="107" t="s">
        <v>12334</v>
      </c>
      <c r="G3503" s="116" t="str">
        <f>HYPERLINK("http://nsgreg.nga.mil/genc/view?v=202863&amp;end_month=3&amp;end_day=31&amp;end_year=2014","Kurganskaya Oblast’")</f>
        <v>Kurganskaya Oblast’</v>
      </c>
      <c r="H3503" s="87" t="str">
        <f>HYPERLINK("http://api.nsgreg.nga.mil/geo-division/GENC/6/ed2/RU-KGN","RU-KGN")</f>
        <v>RU-KGN</v>
      </c>
    </row>
    <row r="3504" spans="1:8" x14ac:dyDescent="0.2">
      <c r="A3504" s="157"/>
      <c r="B3504" s="31" t="s">
        <v>12335</v>
      </c>
      <c r="C3504" s="31" t="s">
        <v>12336</v>
      </c>
      <c r="D3504" s="31" t="s">
        <v>1920</v>
      </c>
      <c r="E3504" s="61" t="b">
        <v>1</v>
      </c>
      <c r="F3504" s="107" t="s">
        <v>12337</v>
      </c>
      <c r="G3504" s="116" t="str">
        <f>HYPERLINK("http://nsgreg.nga.mil/genc/view?v=202873&amp;end_month=3&amp;end_day=31&amp;end_year=2014","Kurskaya Oblast’")</f>
        <v>Kurskaya Oblast’</v>
      </c>
      <c r="H3504" s="87" t="str">
        <f>HYPERLINK("http://api.nsgreg.nga.mil/geo-division/GENC/6/ed2/RU-KRS","RU-KRS")</f>
        <v>RU-KRS</v>
      </c>
    </row>
    <row r="3505" spans="1:8" x14ac:dyDescent="0.2">
      <c r="A3505" s="157"/>
      <c r="B3505" s="31" t="s">
        <v>12338</v>
      </c>
      <c r="C3505" s="31" t="s">
        <v>12339</v>
      </c>
      <c r="D3505" s="31" t="s">
        <v>1920</v>
      </c>
      <c r="E3505" s="61" t="b">
        <v>1</v>
      </c>
      <c r="F3505" s="107" t="s">
        <v>12340</v>
      </c>
      <c r="G3505" s="116" t="str">
        <f>HYPERLINK("http://nsgreg.nga.mil/genc/view?v=202875&amp;end_month=3&amp;end_day=31&amp;end_year=2014","Leningradskaya Oblast’")</f>
        <v>Leningradskaya Oblast’</v>
      </c>
      <c r="H3505" s="87" t="str">
        <f>HYPERLINK("http://api.nsgreg.nga.mil/geo-division/GENC/6/ed2/RU-LEN","RU-LEN")</f>
        <v>RU-LEN</v>
      </c>
    </row>
    <row r="3506" spans="1:8" x14ac:dyDescent="0.2">
      <c r="A3506" s="157"/>
      <c r="B3506" s="31" t="s">
        <v>12341</v>
      </c>
      <c r="C3506" s="31" t="s">
        <v>12342</v>
      </c>
      <c r="D3506" s="31" t="s">
        <v>1920</v>
      </c>
      <c r="E3506" s="61" t="b">
        <v>1</v>
      </c>
      <c r="F3506" s="107" t="s">
        <v>12343</v>
      </c>
      <c r="G3506" s="116" t="str">
        <f>HYPERLINK("http://nsgreg.nga.mil/genc/view?v=202876&amp;end_month=3&amp;end_day=31&amp;end_year=2014","Lipetskaya Oblast’")</f>
        <v>Lipetskaya Oblast’</v>
      </c>
      <c r="H3506" s="87" t="str">
        <f>HYPERLINK("http://api.nsgreg.nga.mil/geo-division/GENC/6/ed2/RU-LIP","RU-LIP")</f>
        <v>RU-LIP</v>
      </c>
    </row>
    <row r="3507" spans="1:8" x14ac:dyDescent="0.2">
      <c r="A3507" s="157"/>
      <c r="B3507" s="31" t="s">
        <v>12344</v>
      </c>
      <c r="C3507" s="31" t="s">
        <v>12345</v>
      </c>
      <c r="D3507" s="31" t="s">
        <v>1920</v>
      </c>
      <c r="E3507" s="61" t="b">
        <v>1</v>
      </c>
      <c r="F3507" s="107" t="s">
        <v>12346</v>
      </c>
      <c r="G3507" s="116" t="str">
        <f>HYPERLINK("http://nsgreg.nga.mil/genc/view?v=202877&amp;end_month=3&amp;end_day=31&amp;end_year=2014","Magadanskaya Oblast’")</f>
        <v>Magadanskaya Oblast’</v>
      </c>
      <c r="H3507" s="87" t="str">
        <f>HYPERLINK("http://api.nsgreg.nga.mil/geo-division/GENC/6/ed2/RU-MAG","RU-MAG")</f>
        <v>RU-MAG</v>
      </c>
    </row>
    <row r="3508" spans="1:8" x14ac:dyDescent="0.2">
      <c r="A3508" s="157"/>
      <c r="B3508" s="31" t="s">
        <v>12347</v>
      </c>
      <c r="C3508" s="31" t="s">
        <v>12348</v>
      </c>
      <c r="D3508" s="31" t="s">
        <v>3405</v>
      </c>
      <c r="E3508" s="61" t="b">
        <v>1</v>
      </c>
      <c r="F3508" s="107" t="s">
        <v>12349</v>
      </c>
      <c r="G3508" s="116" t="str">
        <f>HYPERLINK("http://nsgreg.nga.mil/genc/view?v=202878&amp;end_month=3&amp;end_day=31&amp;end_year=2014","Mariy-El")</f>
        <v>Mariy-El</v>
      </c>
      <c r="H3508" s="87" t="str">
        <f>HYPERLINK("http://api.nsgreg.nga.mil/geo-division/GENC/6/ed2/RU-ME","RU-ME")</f>
        <v>RU-ME</v>
      </c>
    </row>
    <row r="3509" spans="1:8" x14ac:dyDescent="0.2">
      <c r="A3509" s="157"/>
      <c r="B3509" s="31" t="s">
        <v>12350</v>
      </c>
      <c r="C3509" s="31" t="s">
        <v>12351</v>
      </c>
      <c r="D3509" s="31" t="s">
        <v>3405</v>
      </c>
      <c r="E3509" s="61" t="b">
        <v>1</v>
      </c>
      <c r="F3509" s="107" t="s">
        <v>12352</v>
      </c>
      <c r="G3509" s="116" t="str">
        <f>HYPERLINK("http://nsgreg.nga.mil/genc/view?v=202879&amp;end_month=3&amp;end_day=31&amp;end_year=2014","Mordoviya")</f>
        <v>Mordoviya</v>
      </c>
      <c r="H3509" s="87" t="str">
        <f>HYPERLINK("http://api.nsgreg.nga.mil/geo-division/GENC/6/ed2/RU-MO","RU-MO")</f>
        <v>RU-MO</v>
      </c>
    </row>
    <row r="3510" spans="1:8" x14ac:dyDescent="0.2">
      <c r="A3510" s="157"/>
      <c r="B3510" s="31" t="s">
        <v>12353</v>
      </c>
      <c r="C3510" s="31" t="s">
        <v>12354</v>
      </c>
      <c r="D3510" s="31" t="s">
        <v>1920</v>
      </c>
      <c r="E3510" s="61" t="b">
        <v>1</v>
      </c>
      <c r="F3510" s="107" t="s">
        <v>12355</v>
      </c>
      <c r="G3510" s="116" t="str">
        <f>HYPERLINK("http://nsgreg.nga.mil/genc/view?v=202880&amp;end_month=3&amp;end_day=31&amp;end_year=2014","Moskovskaya Oblast’")</f>
        <v>Moskovskaya Oblast’</v>
      </c>
      <c r="H3510" s="87" t="str">
        <f>HYPERLINK("http://api.nsgreg.nga.mil/geo-division/GENC/6/ed2/RU-MOS","RU-MOS")</f>
        <v>RU-MOS</v>
      </c>
    </row>
    <row r="3511" spans="1:8" x14ac:dyDescent="0.2">
      <c r="A3511" s="157"/>
      <c r="B3511" s="31" t="s">
        <v>12356</v>
      </c>
      <c r="C3511" s="31" t="s">
        <v>12357</v>
      </c>
      <c r="D3511" s="31" t="s">
        <v>2405</v>
      </c>
      <c r="E3511" s="61" t="b">
        <v>1</v>
      </c>
      <c r="F3511" s="107" t="s">
        <v>12358</v>
      </c>
      <c r="G3511" s="116" t="str">
        <f>HYPERLINK("http://nsgreg.nga.mil/genc/view?v=202881&amp;end_month=3&amp;end_day=31&amp;end_year=2014","Moskva")</f>
        <v>Moskva</v>
      </c>
      <c r="H3511" s="87" t="str">
        <f>HYPERLINK("http://api.nsgreg.nga.mil/geo-division/GENC/6/ed2/RU-MOW","RU-MOW")</f>
        <v>RU-MOW</v>
      </c>
    </row>
    <row r="3512" spans="1:8" x14ac:dyDescent="0.2">
      <c r="A3512" s="157"/>
      <c r="B3512" s="31" t="s">
        <v>12359</v>
      </c>
      <c r="C3512" s="31" t="s">
        <v>12360</v>
      </c>
      <c r="D3512" s="31" t="s">
        <v>1920</v>
      </c>
      <c r="E3512" s="61" t="b">
        <v>1</v>
      </c>
      <c r="F3512" s="107" t="s">
        <v>12361</v>
      </c>
      <c r="G3512" s="116" t="str">
        <f>HYPERLINK("http://nsgreg.nga.mil/genc/view?v=202882&amp;end_month=3&amp;end_day=31&amp;end_year=2014","Murmanskaya Oblast’")</f>
        <v>Murmanskaya Oblast’</v>
      </c>
      <c r="H3512" s="87" t="str">
        <f>HYPERLINK("http://api.nsgreg.nga.mil/geo-division/GENC/6/ed2/RU-MUR","RU-MUR")</f>
        <v>RU-MUR</v>
      </c>
    </row>
    <row r="3513" spans="1:8" x14ac:dyDescent="0.2">
      <c r="A3513" s="157"/>
      <c r="B3513" s="31" t="s">
        <v>12362</v>
      </c>
      <c r="C3513" s="31" t="s">
        <v>12363</v>
      </c>
      <c r="D3513" s="31" t="s">
        <v>4316</v>
      </c>
      <c r="E3513" s="61" t="b">
        <v>1</v>
      </c>
      <c r="F3513" s="107" t="s">
        <v>12364</v>
      </c>
      <c r="G3513" s="116" t="str">
        <f>HYPERLINK("http://nsgreg.nga.mil/genc/view?v=202883&amp;end_month=3&amp;end_day=31&amp;end_year=2014","Nenetskiy Avtonomnyy Okrug")</f>
        <v>Nenetskiy Avtonomnyy Okrug</v>
      </c>
      <c r="H3513" s="87" t="str">
        <f>HYPERLINK("http://api.nsgreg.nga.mil/geo-division/GENC/6/ed2/RU-NEN","RU-NEN")</f>
        <v>RU-NEN</v>
      </c>
    </row>
    <row r="3514" spans="1:8" x14ac:dyDescent="0.2">
      <c r="A3514" s="157"/>
      <c r="B3514" s="31" t="s">
        <v>12365</v>
      </c>
      <c r="C3514" s="31" t="s">
        <v>12366</v>
      </c>
      <c r="D3514" s="31" t="s">
        <v>1920</v>
      </c>
      <c r="E3514" s="61" t="b">
        <v>1</v>
      </c>
      <c r="F3514" s="107" t="s">
        <v>12367</v>
      </c>
      <c r="G3514" s="116" t="str">
        <f>HYPERLINK("http://nsgreg.nga.mil/genc/view?v=202885&amp;end_month=3&amp;end_day=31&amp;end_year=2014","Nizhegorodskaya Oblast’")</f>
        <v>Nizhegorodskaya Oblast’</v>
      </c>
      <c r="H3514" s="87" t="str">
        <f>HYPERLINK("http://api.nsgreg.nga.mil/geo-division/GENC/6/ed2/RU-NIZ","RU-NIZ")</f>
        <v>RU-NIZ</v>
      </c>
    </row>
    <row r="3515" spans="1:8" x14ac:dyDescent="0.2">
      <c r="A3515" s="157"/>
      <c r="B3515" s="31" t="s">
        <v>12368</v>
      </c>
      <c r="C3515" s="31" t="s">
        <v>12369</v>
      </c>
      <c r="D3515" s="31" t="s">
        <v>3405</v>
      </c>
      <c r="E3515" s="61" t="b">
        <v>1</v>
      </c>
      <c r="F3515" s="107" t="s">
        <v>12370</v>
      </c>
      <c r="G3515" s="116" t="str">
        <f>HYPERLINK("http://nsgreg.nga.mil/genc/view?v=202900&amp;end_month=3&amp;end_day=31&amp;end_year=2014","North Ossetia")</f>
        <v>North Ossetia</v>
      </c>
      <c r="H3515" s="87" t="str">
        <f>HYPERLINK("http://api.nsgreg.nga.mil/geo-division/GENC/6/ed2/RU-SE","RU-SE")</f>
        <v>RU-SE</v>
      </c>
    </row>
    <row r="3516" spans="1:8" x14ac:dyDescent="0.2">
      <c r="A3516" s="157"/>
      <c r="B3516" s="31" t="s">
        <v>12371</v>
      </c>
      <c r="C3516" s="31" t="s">
        <v>12372</v>
      </c>
      <c r="D3516" s="31" t="s">
        <v>1920</v>
      </c>
      <c r="E3516" s="61" t="b">
        <v>1</v>
      </c>
      <c r="F3516" s="107" t="s">
        <v>12373</v>
      </c>
      <c r="G3516" s="116" t="str">
        <f>HYPERLINK("http://nsgreg.nga.mil/genc/view?v=202884&amp;end_month=3&amp;end_day=31&amp;end_year=2014","Novgorodskaya Oblast’")</f>
        <v>Novgorodskaya Oblast’</v>
      </c>
      <c r="H3516" s="87" t="str">
        <f>HYPERLINK("http://api.nsgreg.nga.mil/geo-division/GENC/6/ed2/RU-NGR","RU-NGR")</f>
        <v>RU-NGR</v>
      </c>
    </row>
    <row r="3517" spans="1:8" x14ac:dyDescent="0.2">
      <c r="A3517" s="157"/>
      <c r="B3517" s="31" t="s">
        <v>12374</v>
      </c>
      <c r="C3517" s="31" t="s">
        <v>12375</v>
      </c>
      <c r="D3517" s="31" t="s">
        <v>1920</v>
      </c>
      <c r="E3517" s="61" t="b">
        <v>1</v>
      </c>
      <c r="F3517" s="107" t="s">
        <v>12376</v>
      </c>
      <c r="G3517" s="116" t="str">
        <f>HYPERLINK("http://nsgreg.nga.mil/genc/view?v=202886&amp;end_month=3&amp;end_day=31&amp;end_year=2014","Novosibirskaya Oblast’")</f>
        <v>Novosibirskaya Oblast’</v>
      </c>
      <c r="H3517" s="87" t="str">
        <f>HYPERLINK("http://api.nsgreg.nga.mil/geo-division/GENC/6/ed2/RU-NVS","RU-NVS")</f>
        <v>RU-NVS</v>
      </c>
    </row>
    <row r="3518" spans="1:8" x14ac:dyDescent="0.2">
      <c r="A3518" s="157"/>
      <c r="B3518" s="31" t="s">
        <v>12377</v>
      </c>
      <c r="C3518" s="31" t="s">
        <v>12378</v>
      </c>
      <c r="D3518" s="31" t="s">
        <v>1920</v>
      </c>
      <c r="E3518" s="61" t="b">
        <v>1</v>
      </c>
      <c r="F3518" s="107" t="s">
        <v>12379</v>
      </c>
      <c r="G3518" s="116" t="str">
        <f>HYPERLINK("http://nsgreg.nga.mil/genc/view?v=202887&amp;end_month=3&amp;end_day=31&amp;end_year=2014","Omskaya Oblast’")</f>
        <v>Omskaya Oblast’</v>
      </c>
      <c r="H3518" s="87" t="str">
        <f>HYPERLINK("http://api.nsgreg.nga.mil/geo-division/GENC/6/ed2/RU-OMS","RU-OMS")</f>
        <v>RU-OMS</v>
      </c>
    </row>
    <row r="3519" spans="1:8" x14ac:dyDescent="0.2">
      <c r="A3519" s="157"/>
      <c r="B3519" s="31" t="s">
        <v>12380</v>
      </c>
      <c r="C3519" s="31" t="s">
        <v>12381</v>
      </c>
      <c r="D3519" s="31" t="s">
        <v>1920</v>
      </c>
      <c r="E3519" s="61" t="b">
        <v>1</v>
      </c>
      <c r="F3519" s="107" t="s">
        <v>12382</v>
      </c>
      <c r="G3519" s="116" t="str">
        <f>HYPERLINK("http://nsgreg.nga.mil/genc/view?v=202888&amp;end_month=3&amp;end_day=31&amp;end_year=2014","Orenburgskaya Oblast’")</f>
        <v>Orenburgskaya Oblast’</v>
      </c>
      <c r="H3519" s="87" t="str">
        <f>HYPERLINK("http://api.nsgreg.nga.mil/geo-division/GENC/6/ed2/RU-ORE","RU-ORE")</f>
        <v>RU-ORE</v>
      </c>
    </row>
    <row r="3520" spans="1:8" x14ac:dyDescent="0.2">
      <c r="A3520" s="157"/>
      <c r="B3520" s="31" t="s">
        <v>12383</v>
      </c>
      <c r="C3520" s="31" t="s">
        <v>12384</v>
      </c>
      <c r="D3520" s="31" t="s">
        <v>1920</v>
      </c>
      <c r="E3520" s="61" t="b">
        <v>1</v>
      </c>
      <c r="F3520" s="107" t="s">
        <v>12385</v>
      </c>
      <c r="G3520" s="116" t="str">
        <f>HYPERLINK("http://nsgreg.nga.mil/genc/view?v=202889&amp;end_month=3&amp;end_day=31&amp;end_year=2014","Orlovskaya Oblast’")</f>
        <v>Orlovskaya Oblast’</v>
      </c>
      <c r="H3520" s="87" t="str">
        <f>HYPERLINK("http://api.nsgreg.nga.mil/geo-division/GENC/6/ed2/RU-ORL","RU-ORL")</f>
        <v>RU-ORL</v>
      </c>
    </row>
    <row r="3521" spans="1:8" x14ac:dyDescent="0.2">
      <c r="A3521" s="157"/>
      <c r="B3521" s="31" t="s">
        <v>12386</v>
      </c>
      <c r="C3521" s="31" t="s">
        <v>12387</v>
      </c>
      <c r="D3521" s="31" t="s">
        <v>1920</v>
      </c>
      <c r="E3521" s="61" t="b">
        <v>1</v>
      </c>
      <c r="F3521" s="107" t="s">
        <v>12388</v>
      </c>
      <c r="G3521" s="116" t="str">
        <f>HYPERLINK("http://nsgreg.nga.mil/genc/view?v=202891&amp;end_month=3&amp;end_day=31&amp;end_year=2014","Penzenskaya Oblast’")</f>
        <v>Penzenskaya Oblast’</v>
      </c>
      <c r="H3521" s="87" t="str">
        <f>HYPERLINK("http://api.nsgreg.nga.mil/geo-division/GENC/6/ed2/RU-PNZ","RU-PNZ")</f>
        <v>RU-PNZ</v>
      </c>
    </row>
    <row r="3522" spans="1:8" x14ac:dyDescent="0.2">
      <c r="A3522" s="157"/>
      <c r="B3522" s="31" t="s">
        <v>12389</v>
      </c>
      <c r="C3522" s="31" t="s">
        <v>12390</v>
      </c>
      <c r="D3522" s="31" t="s">
        <v>2026</v>
      </c>
      <c r="E3522" s="61" t="b">
        <v>1</v>
      </c>
      <c r="F3522" s="107" t="s">
        <v>12391</v>
      </c>
      <c r="G3522" s="116" t="str">
        <f>HYPERLINK("http://nsgreg.nga.mil/genc/view?v=202890&amp;end_month=3&amp;end_day=31&amp;end_year=2014","Permskiy Kray")</f>
        <v>Permskiy Kray</v>
      </c>
      <c r="H3522" s="87" t="str">
        <f>HYPERLINK("http://api.nsgreg.nga.mil/geo-division/GENC/6/ed2/RU-PER","RU-PER")</f>
        <v>RU-PER</v>
      </c>
    </row>
    <row r="3523" spans="1:8" x14ac:dyDescent="0.2">
      <c r="A3523" s="157"/>
      <c r="B3523" s="31" t="s">
        <v>12392</v>
      </c>
      <c r="C3523" s="31" t="s">
        <v>12393</v>
      </c>
      <c r="D3523" s="31" t="s">
        <v>2026</v>
      </c>
      <c r="E3523" s="61" t="b">
        <v>1</v>
      </c>
      <c r="F3523" s="107" t="s">
        <v>12394</v>
      </c>
      <c r="G3523" s="116" t="str">
        <f>HYPERLINK("http://nsgreg.nga.mil/genc/view?v=202892&amp;end_month=3&amp;end_day=31&amp;end_year=2014","Primorskiy Kray")</f>
        <v>Primorskiy Kray</v>
      </c>
      <c r="H3523" s="87" t="str">
        <f>HYPERLINK("http://api.nsgreg.nga.mil/geo-division/GENC/6/ed2/RU-PRI","RU-PRI")</f>
        <v>RU-PRI</v>
      </c>
    </row>
    <row r="3524" spans="1:8" x14ac:dyDescent="0.2">
      <c r="A3524" s="157"/>
      <c r="B3524" s="31" t="s">
        <v>12395</v>
      </c>
      <c r="C3524" s="31" t="s">
        <v>12396</v>
      </c>
      <c r="D3524" s="31" t="s">
        <v>1920</v>
      </c>
      <c r="E3524" s="61" t="b">
        <v>1</v>
      </c>
      <c r="F3524" s="107" t="s">
        <v>12397</v>
      </c>
      <c r="G3524" s="116" t="str">
        <f>HYPERLINK("http://nsgreg.nga.mil/genc/view?v=202893&amp;end_month=3&amp;end_day=31&amp;end_year=2014","Pskovskaya Oblast’")</f>
        <v>Pskovskaya Oblast’</v>
      </c>
      <c r="H3524" s="87" t="str">
        <f>HYPERLINK("http://api.nsgreg.nga.mil/geo-division/GENC/6/ed2/RU-PSK","RU-PSK")</f>
        <v>RU-PSK</v>
      </c>
    </row>
    <row r="3525" spans="1:8" x14ac:dyDescent="0.2">
      <c r="A3525" s="157"/>
      <c r="B3525" s="31" t="s">
        <v>12398</v>
      </c>
      <c r="C3525" s="31" t="s">
        <v>12399</v>
      </c>
      <c r="D3525" s="31" t="s">
        <v>1920</v>
      </c>
      <c r="E3525" s="61" t="b">
        <v>1</v>
      </c>
      <c r="F3525" s="107" t="s">
        <v>12400</v>
      </c>
      <c r="G3525" s="116" t="str">
        <f>HYPERLINK("http://nsgreg.nga.mil/genc/view?v=202894&amp;end_month=3&amp;end_day=31&amp;end_year=2014","Rostovskaya Oblast’")</f>
        <v>Rostovskaya Oblast’</v>
      </c>
      <c r="H3525" s="87" t="str">
        <f>HYPERLINK("http://api.nsgreg.nga.mil/geo-division/GENC/6/ed2/RU-ROS","RU-ROS")</f>
        <v>RU-ROS</v>
      </c>
    </row>
    <row r="3526" spans="1:8" x14ac:dyDescent="0.2">
      <c r="A3526" s="157"/>
      <c r="B3526" s="31" t="s">
        <v>12401</v>
      </c>
      <c r="C3526" s="31" t="s">
        <v>12402</v>
      </c>
      <c r="D3526" s="31" t="s">
        <v>1920</v>
      </c>
      <c r="E3526" s="61" t="b">
        <v>1</v>
      </c>
      <c r="F3526" s="107" t="s">
        <v>12403</v>
      </c>
      <c r="G3526" s="116" t="str">
        <f>HYPERLINK("http://nsgreg.nga.mil/genc/view?v=202895&amp;end_month=3&amp;end_day=31&amp;end_year=2014","Ryazanskaya Oblast’")</f>
        <v>Ryazanskaya Oblast’</v>
      </c>
      <c r="H3526" s="87" t="str">
        <f>HYPERLINK("http://api.nsgreg.nga.mil/geo-division/GENC/6/ed2/RU-RYA","RU-RYA")</f>
        <v>RU-RYA</v>
      </c>
    </row>
    <row r="3527" spans="1:8" x14ac:dyDescent="0.2">
      <c r="A3527" s="157"/>
      <c r="B3527" s="31" t="s">
        <v>12404</v>
      </c>
      <c r="C3527" s="31" t="s">
        <v>12405</v>
      </c>
      <c r="D3527" s="31" t="s">
        <v>3405</v>
      </c>
      <c r="E3527" s="61" t="b">
        <v>1</v>
      </c>
      <c r="F3527" s="107" t="s">
        <v>12406</v>
      </c>
      <c r="G3527" s="116" t="str">
        <f>HYPERLINK("http://nsgreg.nga.mil/genc/view?v=202896&amp;end_month=3&amp;end_day=31&amp;end_year=2014","Sakha (Yakutiya)")</f>
        <v>Sakha (Yakutiya)</v>
      </c>
      <c r="H3527" s="87" t="str">
        <f>HYPERLINK("http://api.nsgreg.nga.mil/geo-division/GENC/6/ed2/RU-SA","RU-SA")</f>
        <v>RU-SA</v>
      </c>
    </row>
    <row r="3528" spans="1:8" x14ac:dyDescent="0.2">
      <c r="A3528" s="157"/>
      <c r="B3528" s="31" t="s">
        <v>12407</v>
      </c>
      <c r="C3528" s="31" t="s">
        <v>12408</v>
      </c>
      <c r="D3528" s="31" t="s">
        <v>1920</v>
      </c>
      <c r="E3528" s="61" t="b">
        <v>1</v>
      </c>
      <c r="F3528" s="107" t="s">
        <v>12409</v>
      </c>
      <c r="G3528" s="116" t="str">
        <f>HYPERLINK("http://nsgreg.nga.mil/genc/view?v=202897&amp;end_month=3&amp;end_day=31&amp;end_year=2014","Sakhalinskaya Oblast’")</f>
        <v>Sakhalinskaya Oblast’</v>
      </c>
      <c r="H3528" s="87" t="str">
        <f>HYPERLINK("http://api.nsgreg.nga.mil/geo-division/GENC/6/ed2/RU-SAK","RU-SAK")</f>
        <v>RU-SAK</v>
      </c>
    </row>
    <row r="3529" spans="1:8" x14ac:dyDescent="0.2">
      <c r="A3529" s="157"/>
      <c r="B3529" s="31" t="s">
        <v>12410</v>
      </c>
      <c r="C3529" s="31" t="s">
        <v>12411</v>
      </c>
      <c r="D3529" s="31" t="s">
        <v>1920</v>
      </c>
      <c r="E3529" s="61" t="b">
        <v>1</v>
      </c>
      <c r="F3529" s="107" t="s">
        <v>12412</v>
      </c>
      <c r="G3529" s="116" t="str">
        <f>HYPERLINK("http://nsgreg.nga.mil/genc/view?v=202898&amp;end_month=3&amp;end_day=31&amp;end_year=2014","Samarskaya Oblast’")</f>
        <v>Samarskaya Oblast’</v>
      </c>
      <c r="H3529" s="87" t="str">
        <f>HYPERLINK("http://api.nsgreg.nga.mil/geo-division/GENC/6/ed2/RU-SAM","RU-SAM")</f>
        <v>RU-SAM</v>
      </c>
    </row>
    <row r="3530" spans="1:8" x14ac:dyDescent="0.2">
      <c r="A3530" s="157"/>
      <c r="B3530" s="31" t="s">
        <v>12413</v>
      </c>
      <c r="C3530" s="31" t="s">
        <v>12414</v>
      </c>
      <c r="D3530" s="31" t="s">
        <v>2405</v>
      </c>
      <c r="E3530" s="61" t="b">
        <v>1</v>
      </c>
      <c r="F3530" s="107" t="s">
        <v>12415</v>
      </c>
      <c r="G3530" s="116" t="str">
        <f>HYPERLINK("http://nsgreg.nga.mil/genc/view?v=202902&amp;end_month=3&amp;end_day=31&amp;end_year=2014","Sankt-Peterburg")</f>
        <v>Sankt-Peterburg</v>
      </c>
      <c r="H3530" s="87" t="str">
        <f>HYPERLINK("http://api.nsgreg.nga.mil/geo-division/GENC/6/ed2/RU-SPE","RU-SPE")</f>
        <v>RU-SPE</v>
      </c>
    </row>
    <row r="3531" spans="1:8" x14ac:dyDescent="0.2">
      <c r="A3531" s="157"/>
      <c r="B3531" s="31" t="s">
        <v>12416</v>
      </c>
      <c r="C3531" s="31" t="s">
        <v>12417</v>
      </c>
      <c r="D3531" s="31" t="s">
        <v>1920</v>
      </c>
      <c r="E3531" s="61" t="b">
        <v>1</v>
      </c>
      <c r="F3531" s="107" t="s">
        <v>12418</v>
      </c>
      <c r="G3531" s="116" t="str">
        <f>HYPERLINK("http://nsgreg.nga.mil/genc/view?v=202899&amp;end_month=3&amp;end_day=31&amp;end_year=2014","Saratovskaya Oblast’")</f>
        <v>Saratovskaya Oblast’</v>
      </c>
      <c r="H3531" s="87" t="str">
        <f>HYPERLINK("http://api.nsgreg.nga.mil/geo-division/GENC/6/ed2/RU-SAR","RU-SAR")</f>
        <v>RU-SAR</v>
      </c>
    </row>
    <row r="3532" spans="1:8" x14ac:dyDescent="0.2">
      <c r="A3532" s="157"/>
      <c r="B3532" s="31" t="s">
        <v>12419</v>
      </c>
      <c r="C3532" s="31" t="s">
        <v>12420</v>
      </c>
      <c r="D3532" s="31" t="s">
        <v>1920</v>
      </c>
      <c r="E3532" s="61" t="b">
        <v>1</v>
      </c>
      <c r="F3532" s="107" t="s">
        <v>12421</v>
      </c>
      <c r="G3532" s="116" t="str">
        <f>HYPERLINK("http://nsgreg.nga.mil/genc/view?v=202901&amp;end_month=3&amp;end_day=31&amp;end_year=2014","Smolenskaya Oblast’")</f>
        <v>Smolenskaya Oblast’</v>
      </c>
      <c r="H3532" s="87" t="str">
        <f>HYPERLINK("http://api.nsgreg.nga.mil/geo-division/GENC/6/ed2/RU-SMO","RU-SMO")</f>
        <v>RU-SMO</v>
      </c>
    </row>
    <row r="3533" spans="1:8" x14ac:dyDescent="0.2">
      <c r="A3533" s="157"/>
      <c r="B3533" s="31" t="s">
        <v>12422</v>
      </c>
      <c r="C3533" s="31" t="s">
        <v>12423</v>
      </c>
      <c r="D3533" s="31" t="s">
        <v>2026</v>
      </c>
      <c r="E3533" s="61" t="b">
        <v>1</v>
      </c>
      <c r="F3533" s="107" t="s">
        <v>12424</v>
      </c>
      <c r="G3533" s="116" t="str">
        <f>HYPERLINK("http://nsgreg.nga.mil/genc/view?v=202903&amp;end_month=3&amp;end_day=31&amp;end_year=2014","Stavropol’skiy Kray")</f>
        <v>Stavropol’skiy Kray</v>
      </c>
      <c r="H3533" s="87" t="str">
        <f>HYPERLINK("http://api.nsgreg.nga.mil/geo-division/GENC/6/ed2/RU-STA","RU-STA")</f>
        <v>RU-STA</v>
      </c>
    </row>
    <row r="3534" spans="1:8" x14ac:dyDescent="0.2">
      <c r="A3534" s="157"/>
      <c r="B3534" s="31" t="s">
        <v>12425</v>
      </c>
      <c r="C3534" s="31" t="s">
        <v>12426</v>
      </c>
      <c r="D3534" s="31" t="s">
        <v>1920</v>
      </c>
      <c r="E3534" s="61" t="b">
        <v>1</v>
      </c>
      <c r="F3534" s="107" t="s">
        <v>12427</v>
      </c>
      <c r="G3534" s="116" t="str">
        <f>HYPERLINK("http://nsgreg.nga.mil/genc/view?v=202904&amp;end_month=3&amp;end_day=31&amp;end_year=2014","Sverdlovskaya Oblast’")</f>
        <v>Sverdlovskaya Oblast’</v>
      </c>
      <c r="H3534" s="87" t="str">
        <f>HYPERLINK("http://api.nsgreg.nga.mil/geo-division/GENC/6/ed2/RU-SVE","RU-SVE")</f>
        <v>RU-SVE</v>
      </c>
    </row>
    <row r="3535" spans="1:8" x14ac:dyDescent="0.2">
      <c r="A3535" s="157"/>
      <c r="B3535" s="31" t="s">
        <v>12428</v>
      </c>
      <c r="C3535" s="31" t="s">
        <v>12429</v>
      </c>
      <c r="D3535" s="31" t="s">
        <v>1920</v>
      </c>
      <c r="E3535" s="61" t="b">
        <v>1</v>
      </c>
      <c r="F3535" s="107" t="s">
        <v>12430</v>
      </c>
      <c r="G3535" s="116" t="str">
        <f>HYPERLINK("http://nsgreg.nga.mil/genc/view?v=202906&amp;end_month=3&amp;end_day=31&amp;end_year=2014","Tambovskaya Oblast’")</f>
        <v>Tambovskaya Oblast’</v>
      </c>
      <c r="H3535" s="87" t="str">
        <f>HYPERLINK("http://api.nsgreg.nga.mil/geo-division/GENC/6/ed2/RU-TAM","RU-TAM")</f>
        <v>RU-TAM</v>
      </c>
    </row>
    <row r="3536" spans="1:8" x14ac:dyDescent="0.2">
      <c r="A3536" s="157"/>
      <c r="B3536" s="31" t="s">
        <v>12431</v>
      </c>
      <c r="C3536" s="31" t="s">
        <v>12432</v>
      </c>
      <c r="D3536" s="31" t="s">
        <v>3405</v>
      </c>
      <c r="E3536" s="61" t="b">
        <v>1</v>
      </c>
      <c r="F3536" s="107" t="s">
        <v>12433</v>
      </c>
      <c r="G3536" s="116" t="str">
        <f>HYPERLINK("http://nsgreg.nga.mil/genc/view?v=202905&amp;end_month=3&amp;end_day=31&amp;end_year=2014","Tatarstan")</f>
        <v>Tatarstan</v>
      </c>
      <c r="H3536" s="87" t="str">
        <f>HYPERLINK("http://api.nsgreg.nga.mil/geo-division/GENC/6/ed2/RU-TA","RU-TA")</f>
        <v>RU-TA</v>
      </c>
    </row>
    <row r="3537" spans="1:8" x14ac:dyDescent="0.2">
      <c r="A3537" s="157"/>
      <c r="B3537" s="31" t="s">
        <v>12434</v>
      </c>
      <c r="C3537" s="31" t="s">
        <v>12435</v>
      </c>
      <c r="D3537" s="31" t="s">
        <v>1920</v>
      </c>
      <c r="E3537" s="61" t="b">
        <v>1</v>
      </c>
      <c r="F3537" s="107" t="s">
        <v>12436</v>
      </c>
      <c r="G3537" s="116" t="str">
        <f>HYPERLINK("http://nsgreg.nga.mil/genc/view?v=202907&amp;end_month=3&amp;end_day=31&amp;end_year=2014","Tomskaya Oblast’")</f>
        <v>Tomskaya Oblast’</v>
      </c>
      <c r="H3537" s="87" t="str">
        <f>HYPERLINK("http://api.nsgreg.nga.mil/geo-division/GENC/6/ed2/RU-TOM","RU-TOM")</f>
        <v>RU-TOM</v>
      </c>
    </row>
    <row r="3538" spans="1:8" x14ac:dyDescent="0.2">
      <c r="A3538" s="157"/>
      <c r="B3538" s="31" t="s">
        <v>12437</v>
      </c>
      <c r="C3538" s="31" t="s">
        <v>12438</v>
      </c>
      <c r="D3538" s="31" t="s">
        <v>1920</v>
      </c>
      <c r="E3538" s="61" t="b">
        <v>1</v>
      </c>
      <c r="F3538" s="107" t="s">
        <v>12439</v>
      </c>
      <c r="G3538" s="116" t="str">
        <f>HYPERLINK("http://nsgreg.nga.mil/genc/view?v=202908&amp;end_month=3&amp;end_day=31&amp;end_year=2014","Tul’skaya Oblast’")</f>
        <v>Tul’skaya Oblast’</v>
      </c>
      <c r="H3538" s="87" t="str">
        <f>HYPERLINK("http://api.nsgreg.nga.mil/geo-division/GENC/6/ed2/RU-TUL","RU-TUL")</f>
        <v>RU-TUL</v>
      </c>
    </row>
    <row r="3539" spans="1:8" x14ac:dyDescent="0.2">
      <c r="A3539" s="157"/>
      <c r="B3539" s="31" t="s">
        <v>12440</v>
      </c>
      <c r="C3539" s="31" t="s">
        <v>12441</v>
      </c>
      <c r="D3539" s="31" t="s">
        <v>1920</v>
      </c>
      <c r="E3539" s="61" t="b">
        <v>1</v>
      </c>
      <c r="F3539" s="107" t="s">
        <v>12442</v>
      </c>
      <c r="G3539" s="116" t="str">
        <f>HYPERLINK("http://nsgreg.nga.mil/genc/view?v=202909&amp;end_month=3&amp;end_day=31&amp;end_year=2014","Tverskaya Oblast’")</f>
        <v>Tverskaya Oblast’</v>
      </c>
      <c r="H3539" s="87" t="str">
        <f>HYPERLINK("http://api.nsgreg.nga.mil/geo-division/GENC/6/ed2/RU-TVE","RU-TVE")</f>
        <v>RU-TVE</v>
      </c>
    </row>
    <row r="3540" spans="1:8" x14ac:dyDescent="0.2">
      <c r="A3540" s="157"/>
      <c r="B3540" s="31" t="s">
        <v>12443</v>
      </c>
      <c r="C3540" s="31" t="s">
        <v>12444</v>
      </c>
      <c r="D3540" s="31" t="s">
        <v>1920</v>
      </c>
      <c r="E3540" s="61" t="b">
        <v>1</v>
      </c>
      <c r="F3540" s="107" t="s">
        <v>12445</v>
      </c>
      <c r="G3540" s="116" t="str">
        <f>HYPERLINK("http://nsgreg.nga.mil/genc/view?v=202911&amp;end_month=3&amp;end_day=31&amp;end_year=2014","Tyumenskaya Oblast’")</f>
        <v>Tyumenskaya Oblast’</v>
      </c>
      <c r="H3540" s="87" t="str">
        <f>HYPERLINK("http://api.nsgreg.nga.mil/geo-division/GENC/6/ed2/RU-TYU","RU-TYU")</f>
        <v>RU-TYU</v>
      </c>
    </row>
    <row r="3541" spans="1:8" x14ac:dyDescent="0.2">
      <c r="A3541" s="157"/>
      <c r="B3541" s="31" t="s">
        <v>12446</v>
      </c>
      <c r="C3541" s="31" t="s">
        <v>12447</v>
      </c>
      <c r="D3541" s="31" t="s">
        <v>3405</v>
      </c>
      <c r="E3541" s="61" t="b">
        <v>1</v>
      </c>
      <c r="F3541" s="107" t="s">
        <v>12448</v>
      </c>
      <c r="G3541" s="116" t="str">
        <f>HYPERLINK("http://nsgreg.nga.mil/genc/view?v=202910&amp;end_month=3&amp;end_day=31&amp;end_year=2014","Tyva")</f>
        <v>Tyva</v>
      </c>
      <c r="H3541" s="87" t="str">
        <f>HYPERLINK("http://api.nsgreg.nga.mil/geo-division/GENC/6/ed2/RU-TY","RU-TY")</f>
        <v>RU-TY</v>
      </c>
    </row>
    <row r="3542" spans="1:8" x14ac:dyDescent="0.2">
      <c r="A3542" s="157"/>
      <c r="B3542" s="31" t="s">
        <v>12449</v>
      </c>
      <c r="C3542" s="31" t="s">
        <v>12450</v>
      </c>
      <c r="D3542" s="31" t="s">
        <v>3405</v>
      </c>
      <c r="E3542" s="61" t="b">
        <v>1</v>
      </c>
      <c r="F3542" s="107" t="s">
        <v>12451</v>
      </c>
      <c r="G3542" s="116" t="str">
        <f>HYPERLINK("http://nsgreg.nga.mil/genc/view?v=202912&amp;end_month=3&amp;end_day=31&amp;end_year=2014","Udmurtiya")</f>
        <v>Udmurtiya</v>
      </c>
      <c r="H3542" s="87" t="str">
        <f>HYPERLINK("http://api.nsgreg.nga.mil/geo-division/GENC/6/ed2/RU-UD","RU-UD")</f>
        <v>RU-UD</v>
      </c>
    </row>
    <row r="3543" spans="1:8" x14ac:dyDescent="0.2">
      <c r="A3543" s="157"/>
      <c r="B3543" s="31" t="s">
        <v>12452</v>
      </c>
      <c r="C3543" s="31" t="s">
        <v>12453</v>
      </c>
      <c r="D3543" s="31" t="s">
        <v>1920</v>
      </c>
      <c r="E3543" s="61" t="b">
        <v>1</v>
      </c>
      <c r="F3543" s="107" t="s">
        <v>12454</v>
      </c>
      <c r="G3543" s="116" t="str">
        <f>HYPERLINK("http://nsgreg.nga.mil/genc/view?v=202913&amp;end_month=3&amp;end_day=31&amp;end_year=2014","Ul’yanovskaya Oblast’")</f>
        <v>Ul’yanovskaya Oblast’</v>
      </c>
      <c r="H3543" s="87" t="str">
        <f>HYPERLINK("http://api.nsgreg.nga.mil/geo-division/GENC/6/ed2/RU-ULY","RU-ULY")</f>
        <v>RU-ULY</v>
      </c>
    </row>
    <row r="3544" spans="1:8" x14ac:dyDescent="0.2">
      <c r="A3544" s="157"/>
      <c r="B3544" s="31" t="s">
        <v>12455</v>
      </c>
      <c r="C3544" s="31" t="s">
        <v>12456</v>
      </c>
      <c r="D3544" s="31" t="s">
        <v>1920</v>
      </c>
      <c r="E3544" s="61" t="b">
        <v>1</v>
      </c>
      <c r="F3544" s="107" t="s">
        <v>12457</v>
      </c>
      <c r="G3544" s="116" t="str">
        <f>HYPERLINK("http://nsgreg.nga.mil/genc/view?v=202915&amp;end_month=3&amp;end_day=31&amp;end_year=2014","Vladimirskaya Oblast’")</f>
        <v>Vladimirskaya Oblast’</v>
      </c>
      <c r="H3544" s="87" t="str">
        <f>HYPERLINK("http://api.nsgreg.nga.mil/geo-division/GENC/6/ed2/RU-VLA","RU-VLA")</f>
        <v>RU-VLA</v>
      </c>
    </row>
    <row r="3545" spans="1:8" x14ac:dyDescent="0.2">
      <c r="A3545" s="157"/>
      <c r="B3545" s="31" t="s">
        <v>12458</v>
      </c>
      <c r="C3545" s="31" t="s">
        <v>12459</v>
      </c>
      <c r="D3545" s="31" t="s">
        <v>1920</v>
      </c>
      <c r="E3545" s="61" t="b">
        <v>1</v>
      </c>
      <c r="F3545" s="107" t="s">
        <v>12460</v>
      </c>
      <c r="G3545" s="116" t="str">
        <f>HYPERLINK("http://nsgreg.nga.mil/genc/view?v=202914&amp;end_month=3&amp;end_day=31&amp;end_year=2014","Volgogradskaya Oblast’")</f>
        <v>Volgogradskaya Oblast’</v>
      </c>
      <c r="H3545" s="87" t="str">
        <f>HYPERLINK("http://api.nsgreg.nga.mil/geo-division/GENC/6/ed2/RU-VGG","RU-VGG")</f>
        <v>RU-VGG</v>
      </c>
    </row>
    <row r="3546" spans="1:8" x14ac:dyDescent="0.2">
      <c r="A3546" s="157"/>
      <c r="B3546" s="31" t="s">
        <v>12461</v>
      </c>
      <c r="C3546" s="31" t="s">
        <v>12462</v>
      </c>
      <c r="D3546" s="31" t="s">
        <v>1920</v>
      </c>
      <c r="E3546" s="61" t="b">
        <v>1</v>
      </c>
      <c r="F3546" s="107" t="s">
        <v>12463</v>
      </c>
      <c r="G3546" s="116" t="str">
        <f>HYPERLINK("http://nsgreg.nga.mil/genc/view?v=202916&amp;end_month=3&amp;end_day=31&amp;end_year=2014","Vologodskaya Oblast’")</f>
        <v>Vologodskaya Oblast’</v>
      </c>
      <c r="H3546" s="87" t="str">
        <f>HYPERLINK("http://api.nsgreg.nga.mil/geo-division/GENC/6/ed2/RU-VLG","RU-VLG")</f>
        <v>RU-VLG</v>
      </c>
    </row>
    <row r="3547" spans="1:8" x14ac:dyDescent="0.2">
      <c r="A3547" s="157"/>
      <c r="B3547" s="31" t="s">
        <v>12464</v>
      </c>
      <c r="C3547" s="31" t="s">
        <v>12465</v>
      </c>
      <c r="D3547" s="31" t="s">
        <v>1920</v>
      </c>
      <c r="E3547" s="61" t="b">
        <v>1</v>
      </c>
      <c r="F3547" s="107" t="s">
        <v>12466</v>
      </c>
      <c r="G3547" s="116" t="str">
        <f>HYPERLINK("http://nsgreg.nga.mil/genc/view?v=202917&amp;end_month=3&amp;end_day=31&amp;end_year=2014","Voronezhskaya Oblast’")</f>
        <v>Voronezhskaya Oblast’</v>
      </c>
      <c r="H3547" s="87" t="str">
        <f>HYPERLINK("http://api.nsgreg.nga.mil/geo-division/GENC/6/ed2/RU-VOR","RU-VOR")</f>
        <v>RU-VOR</v>
      </c>
    </row>
    <row r="3548" spans="1:8" x14ac:dyDescent="0.2">
      <c r="A3548" s="157"/>
      <c r="B3548" s="31" t="s">
        <v>12467</v>
      </c>
      <c r="C3548" s="31" t="s">
        <v>12468</v>
      </c>
      <c r="D3548" s="31" t="s">
        <v>4316</v>
      </c>
      <c r="E3548" s="61" t="b">
        <v>1</v>
      </c>
      <c r="F3548" s="107" t="s">
        <v>12469</v>
      </c>
      <c r="G3548" s="116" t="str">
        <f>HYPERLINK("http://nsgreg.nga.mil/genc/view?v=202918&amp;end_month=3&amp;end_day=31&amp;end_year=2014","Yamalo-Nenetskiy Avtonomnyy Okrug")</f>
        <v>Yamalo-Nenetskiy Avtonomnyy Okrug</v>
      </c>
      <c r="H3548" s="87" t="str">
        <f>HYPERLINK("http://api.nsgreg.nga.mil/geo-division/GENC/6/ed2/RU-YAN","RU-YAN")</f>
        <v>RU-YAN</v>
      </c>
    </row>
    <row r="3549" spans="1:8" x14ac:dyDescent="0.2">
      <c r="A3549" s="157"/>
      <c r="B3549" s="31" t="s">
        <v>12470</v>
      </c>
      <c r="C3549" s="31" t="s">
        <v>12471</v>
      </c>
      <c r="D3549" s="31" t="s">
        <v>1920</v>
      </c>
      <c r="E3549" s="61" t="b">
        <v>1</v>
      </c>
      <c r="F3549" s="107" t="s">
        <v>12472</v>
      </c>
      <c r="G3549" s="116" t="str">
        <f>HYPERLINK("http://nsgreg.nga.mil/genc/view?v=202919&amp;end_month=3&amp;end_day=31&amp;end_year=2014","Yaroslavskaya Oblast’")</f>
        <v>Yaroslavskaya Oblast’</v>
      </c>
      <c r="H3549" s="87" t="str">
        <f>HYPERLINK("http://api.nsgreg.nga.mil/geo-division/GENC/6/ed2/RU-YAR","RU-YAR")</f>
        <v>RU-YAR</v>
      </c>
    </row>
    <row r="3550" spans="1:8" x14ac:dyDescent="0.2">
      <c r="A3550" s="157"/>
      <c r="B3550" s="31" t="s">
        <v>12473</v>
      </c>
      <c r="C3550" s="31" t="s">
        <v>12474</v>
      </c>
      <c r="D3550" s="31" t="s">
        <v>12475</v>
      </c>
      <c r="E3550" s="61" t="b">
        <v>1</v>
      </c>
      <c r="F3550" s="107" t="s">
        <v>12476</v>
      </c>
      <c r="G3550" s="116" t="str">
        <f>HYPERLINK("http://nsgreg.nga.mil/genc/view?v=202920&amp;end_month=3&amp;end_day=31&amp;end_year=2014","Yevreyskaya Avtonomnaya Oblast’")</f>
        <v>Yevreyskaya Avtonomnaya Oblast’</v>
      </c>
      <c r="H3550" s="87" t="str">
        <f>HYPERLINK("http://api.nsgreg.nga.mil/geo-division/GENC/6/ed2/RU-YEV","RU-YEV")</f>
        <v>RU-YEV</v>
      </c>
    </row>
    <row r="3551" spans="1:8" x14ac:dyDescent="0.2">
      <c r="A3551" s="158"/>
      <c r="B3551" s="58" t="s">
        <v>12477</v>
      </c>
      <c r="C3551" s="58" t="s">
        <v>12478</v>
      </c>
      <c r="D3551" s="58" t="s">
        <v>2026</v>
      </c>
      <c r="E3551" s="62" t="b">
        <v>1</v>
      </c>
      <c r="F3551" s="111" t="s">
        <v>12479</v>
      </c>
      <c r="G3551" s="117" t="str">
        <f>HYPERLINK("http://nsgreg.nga.mil/genc/view?v=202921&amp;end_month=3&amp;end_day=31&amp;end_year=2014","Zabaykal’skiy Kray")</f>
        <v>Zabaykal’skiy Kray</v>
      </c>
      <c r="H3551" s="89" t="str">
        <f>HYPERLINK("http://api.nsgreg.nga.mil/geo-division/GENC/6/ed2/RU-ZAB","RU-ZAB")</f>
        <v>RU-ZAB</v>
      </c>
    </row>
    <row r="3552" spans="1:8" x14ac:dyDescent="0.2">
      <c r="A3552" s="156" t="str">
        <f>HYPERLINK("[#]Geopolitical_Entities!A213:I213","RWANDA")</f>
        <v>RWANDA</v>
      </c>
      <c r="B3552" s="52" t="s">
        <v>12480</v>
      </c>
      <c r="C3552" s="52" t="s">
        <v>12481</v>
      </c>
      <c r="D3552" s="52" t="s">
        <v>1920</v>
      </c>
      <c r="E3552" s="60" t="b">
        <v>1</v>
      </c>
      <c r="F3552" s="110" t="s">
        <v>12482</v>
      </c>
      <c r="G3552" s="118" t="str">
        <f>HYPERLINK("http://nsgreg.nga.mil/genc/view?v=202923&amp;end_month=3&amp;end_day=31&amp;end_year=2014","Eastern Province")</f>
        <v>Eastern Province</v>
      </c>
      <c r="H3552" s="91" t="str">
        <f>HYPERLINK("http://api.nsgreg.nga.mil/geo-division/GENC/6/ed2/RW-02","RW-02")</f>
        <v>RW-02</v>
      </c>
    </row>
    <row r="3553" spans="1:8" x14ac:dyDescent="0.2">
      <c r="A3553" s="157"/>
      <c r="B3553" s="31" t="s">
        <v>12483</v>
      </c>
      <c r="C3553" s="31" t="s">
        <v>12484</v>
      </c>
      <c r="D3553" s="31" t="s">
        <v>2405</v>
      </c>
      <c r="E3553" s="61" t="b">
        <v>1</v>
      </c>
      <c r="F3553" s="107" t="s">
        <v>12485</v>
      </c>
      <c r="G3553" s="116" t="str">
        <f>HYPERLINK("http://nsgreg.nga.mil/genc/view?v=202922&amp;end_month=3&amp;end_day=31&amp;end_year=2014","Kigali")</f>
        <v>Kigali</v>
      </c>
      <c r="H3553" s="87" t="str">
        <f>HYPERLINK("http://api.nsgreg.nga.mil/geo-division/GENC/6/ed2/RW-01","RW-01")</f>
        <v>RW-01</v>
      </c>
    </row>
    <row r="3554" spans="1:8" x14ac:dyDescent="0.2">
      <c r="A3554" s="157"/>
      <c r="B3554" s="31" t="s">
        <v>12486</v>
      </c>
      <c r="C3554" s="31" t="s">
        <v>12487</v>
      </c>
      <c r="D3554" s="31" t="s">
        <v>1920</v>
      </c>
      <c r="E3554" s="61" t="b">
        <v>1</v>
      </c>
      <c r="F3554" s="107" t="s">
        <v>12488</v>
      </c>
      <c r="G3554" s="116" t="str">
        <f>HYPERLINK("http://nsgreg.nga.mil/genc/view?v=202924&amp;end_month=3&amp;end_day=31&amp;end_year=2014","Northern Province")</f>
        <v>Northern Province</v>
      </c>
      <c r="H3554" s="87" t="str">
        <f>HYPERLINK("http://api.nsgreg.nga.mil/geo-division/GENC/6/ed2/RW-03","RW-03")</f>
        <v>RW-03</v>
      </c>
    </row>
    <row r="3555" spans="1:8" x14ac:dyDescent="0.2">
      <c r="A3555" s="157"/>
      <c r="B3555" s="31" t="s">
        <v>12489</v>
      </c>
      <c r="C3555" s="31" t="s">
        <v>12490</v>
      </c>
      <c r="D3555" s="31" t="s">
        <v>1920</v>
      </c>
      <c r="E3555" s="61" t="b">
        <v>1</v>
      </c>
      <c r="F3555" s="107" t="s">
        <v>12491</v>
      </c>
      <c r="G3555" s="116" t="str">
        <f>HYPERLINK("http://nsgreg.nga.mil/genc/view?v=202926&amp;end_month=3&amp;end_day=31&amp;end_year=2014","Southern Province")</f>
        <v>Southern Province</v>
      </c>
      <c r="H3555" s="87" t="str">
        <f>HYPERLINK("http://api.nsgreg.nga.mil/geo-division/GENC/6/ed2/RW-05","RW-05")</f>
        <v>RW-05</v>
      </c>
    </row>
    <row r="3556" spans="1:8" x14ac:dyDescent="0.2">
      <c r="A3556" s="158"/>
      <c r="B3556" s="58" t="s">
        <v>12492</v>
      </c>
      <c r="C3556" s="58" t="s">
        <v>12493</v>
      </c>
      <c r="D3556" s="58" t="s">
        <v>1920</v>
      </c>
      <c r="E3556" s="62" t="b">
        <v>1</v>
      </c>
      <c r="F3556" s="111" t="s">
        <v>12494</v>
      </c>
      <c r="G3556" s="117" t="str">
        <f>HYPERLINK("http://nsgreg.nga.mil/genc/view?v=202925&amp;end_month=3&amp;end_day=31&amp;end_year=2014","Western Province")</f>
        <v>Western Province</v>
      </c>
      <c r="H3556" s="89" t="str">
        <f>HYPERLINK("http://api.nsgreg.nga.mil/geo-division/GENC/6/ed2/RW-04","RW-04")</f>
        <v>RW-04</v>
      </c>
    </row>
    <row r="3557" spans="1:8" x14ac:dyDescent="0.2">
      <c r="A3557" s="156" t="str">
        <f>HYPERLINK("[#]Geopolitical_Entities!A215:I215","SAINT HELENA, ASCENSION, AND TRISTAN DA CUNHA")</f>
        <v>SAINT HELENA, ASCENSION, AND TRISTAN DA CUNHA</v>
      </c>
      <c r="B3557" s="52" t="s">
        <v>12495</v>
      </c>
      <c r="C3557" s="52" t="s">
        <v>12496</v>
      </c>
      <c r="D3557" s="52" t="s">
        <v>12497</v>
      </c>
      <c r="E3557" s="60" t="b">
        <v>1</v>
      </c>
      <c r="F3557" s="110" t="s">
        <v>12498</v>
      </c>
      <c r="G3557" s="118" t="str">
        <f>HYPERLINK("http://nsgreg.nga.mil/genc/view?v=203005&amp;end_month=3&amp;end_day=31&amp;end_year=2014","Ascension")</f>
        <v>Ascension</v>
      </c>
      <c r="H3557" s="91" t="str">
        <f>HYPERLINK("http://api.nsgreg.nga.mil/geo-division/GENC/6/ed2/SH-AC","SH-AC")</f>
        <v>SH-AC</v>
      </c>
    </row>
    <row r="3558" spans="1:8" x14ac:dyDescent="0.2">
      <c r="A3558" s="157"/>
      <c r="B3558" s="31" t="s">
        <v>12499</v>
      </c>
      <c r="C3558" s="31" t="s">
        <v>12500</v>
      </c>
      <c r="D3558" s="31" t="s">
        <v>2377</v>
      </c>
      <c r="E3558" s="61" t="b">
        <v>1</v>
      </c>
      <c r="F3558" s="107" t="s">
        <v>12501</v>
      </c>
      <c r="G3558" s="116" t="str">
        <f>HYPERLINK("http://nsgreg.nga.mil/genc/view?v=203006&amp;end_month=3&amp;end_day=31&amp;end_year=2014","Saint Helena")</f>
        <v>Saint Helena</v>
      </c>
      <c r="H3558" s="87" t="str">
        <f>HYPERLINK("http://api.nsgreg.nga.mil/geo-division/GENC/6/ed2/SH-HL","SH-HL")</f>
        <v>SH-HL</v>
      </c>
    </row>
    <row r="3559" spans="1:8" x14ac:dyDescent="0.2">
      <c r="A3559" s="158"/>
      <c r="B3559" s="58" t="s">
        <v>12502</v>
      </c>
      <c r="C3559" s="58" t="s">
        <v>12503</v>
      </c>
      <c r="D3559" s="58" t="s">
        <v>2377</v>
      </c>
      <c r="E3559" s="62" t="b">
        <v>1</v>
      </c>
      <c r="F3559" s="111" t="s">
        <v>12504</v>
      </c>
      <c r="G3559" s="117" t="str">
        <f>HYPERLINK("http://nsgreg.nga.mil/genc/view?v=203007&amp;end_month=3&amp;end_day=31&amp;end_year=2014","Tristan da Cunha")</f>
        <v>Tristan da Cunha</v>
      </c>
      <c r="H3559" s="89" t="str">
        <f>HYPERLINK("http://api.nsgreg.nga.mil/geo-division/GENC/6/ed2/SH-TA","SH-TA")</f>
        <v>SH-TA</v>
      </c>
    </row>
    <row r="3560" spans="1:8" x14ac:dyDescent="0.2">
      <c r="A3560" s="156" t="str">
        <f>HYPERLINK("[#]Geopolitical_Entities!A216:I216","SAINT KITTS AND NEVIS")</f>
        <v>SAINT KITTS AND NEVIS</v>
      </c>
      <c r="B3560" s="52" t="s">
        <v>12505</v>
      </c>
      <c r="C3560" s="52" t="s">
        <v>12506</v>
      </c>
      <c r="D3560" s="52" t="s">
        <v>2301</v>
      </c>
      <c r="E3560" s="60" t="b">
        <v>1</v>
      </c>
      <c r="F3560" s="109" t="s">
        <v>12507</v>
      </c>
      <c r="G3560" s="118" t="str">
        <f>HYPERLINK("http://nsgreg.nga.mil/genc/view?v=114282&amp;gencs=T&amp;end_month=3&amp;end_day=31&amp;end_year=2014","Christ Church Nichola Town")</f>
        <v>Christ Church Nichola Town</v>
      </c>
      <c r="H3560" s="91" t="str">
        <f>HYPERLINK("http://api.nsgreg.nga.mil/geo-division/ISO3166-2/6/ed3/KN-01","KN-01")</f>
        <v>KN-01</v>
      </c>
    </row>
    <row r="3561" spans="1:8" x14ac:dyDescent="0.2">
      <c r="A3561" s="157"/>
      <c r="B3561" s="31" t="s">
        <v>12508</v>
      </c>
      <c r="C3561" s="31" t="s">
        <v>12509</v>
      </c>
      <c r="D3561" s="98" t="s">
        <v>2512</v>
      </c>
      <c r="E3561" s="99" t="b">
        <v>0</v>
      </c>
      <c r="F3561" s="106" t="s">
        <v>12510</v>
      </c>
      <c r="G3561" s="116" t="str">
        <f>HYPERLINK("http://nsgreg.nga.mil/genc/view?v=114297&amp;gencs=T&amp;end_month=3&amp;end_day=31&amp;end_year=2014","Nevis")</f>
        <v>Nevis</v>
      </c>
      <c r="H3561" s="87" t="str">
        <f>HYPERLINK("http://api.nsgreg.nga.mil/geo-division/ISO3166-2/6/ed3/KN-N","KN-N")</f>
        <v>KN-N</v>
      </c>
    </row>
    <row r="3562" spans="1:8" x14ac:dyDescent="0.2">
      <c r="A3562" s="157"/>
      <c r="B3562" s="31" t="s">
        <v>12511</v>
      </c>
      <c r="C3562" s="31" t="s">
        <v>12512</v>
      </c>
      <c r="D3562" s="31" t="s">
        <v>2301</v>
      </c>
      <c r="E3562" s="61" t="b">
        <v>1</v>
      </c>
      <c r="F3562" s="106" t="s">
        <v>12513</v>
      </c>
      <c r="G3562" s="116" t="str">
        <f>HYPERLINK("http://nsgreg.nga.mil/genc/view?v=114283&amp;gencs=T&amp;end_month=3&amp;end_day=31&amp;end_year=2014","Saint Anne Sandy Point")</f>
        <v>Saint Anne Sandy Point</v>
      </c>
      <c r="H3562" s="87" t="str">
        <f>HYPERLINK("http://api.nsgreg.nga.mil/geo-division/ISO3166-2/6/ed3/KN-02","KN-02")</f>
        <v>KN-02</v>
      </c>
    </row>
    <row r="3563" spans="1:8" x14ac:dyDescent="0.2">
      <c r="A3563" s="157"/>
      <c r="B3563" s="31" t="s">
        <v>12514</v>
      </c>
      <c r="C3563" s="31" t="s">
        <v>12515</v>
      </c>
      <c r="D3563" s="31" t="s">
        <v>2301</v>
      </c>
      <c r="E3563" s="61" t="b">
        <v>1</v>
      </c>
      <c r="F3563" s="106" t="s">
        <v>12516</v>
      </c>
      <c r="G3563" s="116" t="str">
        <f>HYPERLINK("http://nsgreg.nga.mil/genc/view?v=114284&amp;gencs=T&amp;end_month=3&amp;end_day=31&amp;end_year=2014","Saint George Basseterre")</f>
        <v>Saint George Basseterre</v>
      </c>
      <c r="H3563" s="87" t="str">
        <f>HYPERLINK("http://api.nsgreg.nga.mil/geo-division/ISO3166-2/6/ed3/KN-03","KN-03")</f>
        <v>KN-03</v>
      </c>
    </row>
    <row r="3564" spans="1:8" x14ac:dyDescent="0.2">
      <c r="A3564" s="157"/>
      <c r="B3564" s="31" t="s">
        <v>12517</v>
      </c>
      <c r="C3564" s="31" t="s">
        <v>12518</v>
      </c>
      <c r="D3564" s="31" t="s">
        <v>2301</v>
      </c>
      <c r="E3564" s="61" t="b">
        <v>1</v>
      </c>
      <c r="F3564" s="106" t="s">
        <v>12519</v>
      </c>
      <c r="G3564" s="116" t="str">
        <f>HYPERLINK("http://nsgreg.nga.mil/genc/view?v=114285&amp;gencs=T&amp;end_month=3&amp;end_day=31&amp;end_year=2014","Saint George Gingerland")</f>
        <v>Saint George Gingerland</v>
      </c>
      <c r="H3564" s="87" t="str">
        <f>HYPERLINK("http://api.nsgreg.nga.mil/geo-division/ISO3166-2/6/ed3/KN-04","KN-04")</f>
        <v>KN-04</v>
      </c>
    </row>
    <row r="3565" spans="1:8" x14ac:dyDescent="0.2">
      <c r="A3565" s="157"/>
      <c r="B3565" s="31" t="s">
        <v>12520</v>
      </c>
      <c r="C3565" s="31" t="s">
        <v>12521</v>
      </c>
      <c r="D3565" s="31" t="s">
        <v>2301</v>
      </c>
      <c r="E3565" s="61" t="b">
        <v>1</v>
      </c>
      <c r="F3565" s="106" t="s">
        <v>12522</v>
      </c>
      <c r="G3565" s="116" t="str">
        <f>HYPERLINK("http://nsgreg.nga.mil/genc/view?v=114286&amp;gencs=T&amp;end_month=3&amp;end_day=31&amp;end_year=2014","Saint James Windward")</f>
        <v>Saint James Windward</v>
      </c>
      <c r="H3565" s="87" t="str">
        <f>HYPERLINK("http://api.nsgreg.nga.mil/geo-division/ISO3166-2/6/ed3/KN-05","KN-05")</f>
        <v>KN-05</v>
      </c>
    </row>
    <row r="3566" spans="1:8" x14ac:dyDescent="0.2">
      <c r="A3566" s="157"/>
      <c r="B3566" s="31" t="s">
        <v>12523</v>
      </c>
      <c r="C3566" s="31" t="s">
        <v>12524</v>
      </c>
      <c r="D3566" s="31" t="s">
        <v>2301</v>
      </c>
      <c r="E3566" s="61" t="b">
        <v>1</v>
      </c>
      <c r="F3566" s="107" t="s">
        <v>12525</v>
      </c>
      <c r="G3566" s="116" t="str">
        <f>HYPERLINK("http://nsgreg.nga.mil/genc/view?v=204515&amp;end_month=3&amp;end_day=31&amp;end_year=2014","Saint John Capesterre")</f>
        <v>Saint John Capesterre</v>
      </c>
      <c r="H3566" s="87" t="str">
        <f>HYPERLINK("http://api.nsgreg.nga.mil/geo-division/GENC/6/ed2/KN-06","KN-06")</f>
        <v>KN-06</v>
      </c>
    </row>
    <row r="3567" spans="1:8" x14ac:dyDescent="0.2">
      <c r="A3567" s="157"/>
      <c r="B3567" s="31" t="s">
        <v>12526</v>
      </c>
      <c r="C3567" s="31" t="s">
        <v>12527</v>
      </c>
      <c r="D3567" s="31" t="s">
        <v>2301</v>
      </c>
      <c r="E3567" s="61" t="b">
        <v>1</v>
      </c>
      <c r="F3567" s="106" t="s">
        <v>12528</v>
      </c>
      <c r="G3567" s="116" t="str">
        <f>HYPERLINK("http://nsgreg.nga.mil/genc/view?v=114288&amp;gencs=T&amp;end_month=3&amp;end_day=31&amp;end_year=2014","Saint John Figtree")</f>
        <v>Saint John Figtree</v>
      </c>
      <c r="H3567" s="87" t="str">
        <f>HYPERLINK("http://api.nsgreg.nga.mil/geo-division/ISO3166-2/6/ed3/KN-07","KN-07")</f>
        <v>KN-07</v>
      </c>
    </row>
    <row r="3568" spans="1:8" x14ac:dyDescent="0.2">
      <c r="A3568" s="157"/>
      <c r="B3568" s="31" t="s">
        <v>12529</v>
      </c>
      <c r="C3568" s="31" t="s">
        <v>12530</v>
      </c>
      <c r="D3568" s="98" t="s">
        <v>2512</v>
      </c>
      <c r="E3568" s="99" t="b">
        <v>0</v>
      </c>
      <c r="F3568" s="106" t="s">
        <v>12531</v>
      </c>
      <c r="G3568" s="116" t="str">
        <f>HYPERLINK("http://nsgreg.nga.mil/genc/view?v=114296&amp;gencs=T&amp;end_month=3&amp;end_day=31&amp;end_year=2014","Saint Kitts")</f>
        <v>Saint Kitts</v>
      </c>
      <c r="H3568" s="87" t="str">
        <f>HYPERLINK("http://api.nsgreg.nga.mil/geo-division/ISO3166-2/6/ed3/KN-K","KN-K")</f>
        <v>KN-K</v>
      </c>
    </row>
    <row r="3569" spans="1:8" x14ac:dyDescent="0.2">
      <c r="A3569" s="157"/>
      <c r="B3569" s="31" t="s">
        <v>12532</v>
      </c>
      <c r="C3569" s="31" t="s">
        <v>12533</v>
      </c>
      <c r="D3569" s="31" t="s">
        <v>2301</v>
      </c>
      <c r="E3569" s="61" t="b">
        <v>1</v>
      </c>
      <c r="F3569" s="106" t="s">
        <v>12534</v>
      </c>
      <c r="G3569" s="116" t="str">
        <f>HYPERLINK("http://nsgreg.nga.mil/genc/view?v=114289&amp;gencs=T&amp;end_month=3&amp;end_day=31&amp;end_year=2014","Saint Mary Cayon")</f>
        <v>Saint Mary Cayon</v>
      </c>
      <c r="H3569" s="87" t="str">
        <f>HYPERLINK("http://api.nsgreg.nga.mil/geo-division/ISO3166-2/6/ed3/KN-08","KN-08")</f>
        <v>KN-08</v>
      </c>
    </row>
    <row r="3570" spans="1:8" x14ac:dyDescent="0.2">
      <c r="A3570" s="157"/>
      <c r="B3570" s="31" t="s">
        <v>12535</v>
      </c>
      <c r="C3570" s="31" t="s">
        <v>12536</v>
      </c>
      <c r="D3570" s="31" t="s">
        <v>2301</v>
      </c>
      <c r="E3570" s="61" t="b">
        <v>1</v>
      </c>
      <c r="F3570" s="107" t="s">
        <v>12537</v>
      </c>
      <c r="G3570" s="116" t="str">
        <f>HYPERLINK("http://nsgreg.nga.mil/genc/view?v=204516&amp;end_month=3&amp;end_day=31&amp;end_year=2014","Saint Paul Capesterre")</f>
        <v>Saint Paul Capesterre</v>
      </c>
      <c r="H3570" s="87" t="str">
        <f>HYPERLINK("http://api.nsgreg.nga.mil/geo-division/GENC/6/ed2/KN-09","KN-09")</f>
        <v>KN-09</v>
      </c>
    </row>
    <row r="3571" spans="1:8" x14ac:dyDescent="0.2">
      <c r="A3571" s="157"/>
      <c r="B3571" s="31" t="s">
        <v>12538</v>
      </c>
      <c r="C3571" s="31" t="s">
        <v>12539</v>
      </c>
      <c r="D3571" s="31" t="s">
        <v>2301</v>
      </c>
      <c r="E3571" s="61" t="b">
        <v>1</v>
      </c>
      <c r="F3571" s="106" t="s">
        <v>12540</v>
      </c>
      <c r="G3571" s="116" t="str">
        <f>HYPERLINK("http://nsgreg.nga.mil/genc/view?v=114291&amp;gencs=T&amp;end_month=3&amp;end_day=31&amp;end_year=2014","Saint Paul Charlestown")</f>
        <v>Saint Paul Charlestown</v>
      </c>
      <c r="H3571" s="87" t="str">
        <f>HYPERLINK("http://api.nsgreg.nga.mil/geo-division/ISO3166-2/6/ed3/KN-10","KN-10")</f>
        <v>KN-10</v>
      </c>
    </row>
    <row r="3572" spans="1:8" x14ac:dyDescent="0.2">
      <c r="A3572" s="157"/>
      <c r="B3572" s="31" t="s">
        <v>12541</v>
      </c>
      <c r="C3572" s="31" t="s">
        <v>12542</v>
      </c>
      <c r="D3572" s="31" t="s">
        <v>2301</v>
      </c>
      <c r="E3572" s="61" t="b">
        <v>1</v>
      </c>
      <c r="F3572" s="106" t="s">
        <v>12543</v>
      </c>
      <c r="G3572" s="116" t="str">
        <f>HYPERLINK("http://nsgreg.nga.mil/genc/view?v=114292&amp;gencs=T&amp;end_month=3&amp;end_day=31&amp;end_year=2014","Saint Peter Basseterre")</f>
        <v>Saint Peter Basseterre</v>
      </c>
      <c r="H3572" s="87" t="str">
        <f>HYPERLINK("http://api.nsgreg.nga.mil/geo-division/ISO3166-2/6/ed3/KN-11","KN-11")</f>
        <v>KN-11</v>
      </c>
    </row>
    <row r="3573" spans="1:8" x14ac:dyDescent="0.2">
      <c r="A3573" s="157"/>
      <c r="B3573" s="31" t="s">
        <v>12544</v>
      </c>
      <c r="C3573" s="31" t="s">
        <v>12545</v>
      </c>
      <c r="D3573" s="31" t="s">
        <v>2301</v>
      </c>
      <c r="E3573" s="61" t="b">
        <v>1</v>
      </c>
      <c r="F3573" s="106" t="s">
        <v>12546</v>
      </c>
      <c r="G3573" s="116" t="str">
        <f>HYPERLINK("http://nsgreg.nga.mil/genc/view?v=114293&amp;gencs=T&amp;end_month=3&amp;end_day=31&amp;end_year=2014","Saint Thomas Lowland")</f>
        <v>Saint Thomas Lowland</v>
      </c>
      <c r="H3573" s="87" t="str">
        <f>HYPERLINK("http://api.nsgreg.nga.mil/geo-division/ISO3166-2/6/ed3/KN-12","KN-12")</f>
        <v>KN-12</v>
      </c>
    </row>
    <row r="3574" spans="1:8" x14ac:dyDescent="0.2">
      <c r="A3574" s="157"/>
      <c r="B3574" s="31" t="s">
        <v>12547</v>
      </c>
      <c r="C3574" s="31" t="s">
        <v>12548</v>
      </c>
      <c r="D3574" s="31" t="s">
        <v>2301</v>
      </c>
      <c r="E3574" s="61" t="b">
        <v>1</v>
      </c>
      <c r="F3574" s="106" t="s">
        <v>12549</v>
      </c>
      <c r="G3574" s="116" t="str">
        <f>HYPERLINK("http://nsgreg.nga.mil/genc/view?v=114294&amp;gencs=T&amp;end_month=3&amp;end_day=31&amp;end_year=2014","Saint Thomas Middle Island")</f>
        <v>Saint Thomas Middle Island</v>
      </c>
      <c r="H3574" s="87" t="str">
        <f>HYPERLINK("http://api.nsgreg.nga.mil/geo-division/ISO3166-2/6/ed3/KN-13","KN-13")</f>
        <v>KN-13</v>
      </c>
    </row>
    <row r="3575" spans="1:8" x14ac:dyDescent="0.2">
      <c r="A3575" s="158"/>
      <c r="B3575" s="58" t="s">
        <v>12550</v>
      </c>
      <c r="C3575" s="58" t="s">
        <v>12551</v>
      </c>
      <c r="D3575" s="58" t="s">
        <v>2301</v>
      </c>
      <c r="E3575" s="62" t="b">
        <v>1</v>
      </c>
      <c r="F3575" s="108" t="s">
        <v>12552</v>
      </c>
      <c r="G3575" s="117" t="str">
        <f>HYPERLINK("http://nsgreg.nga.mil/genc/view?v=114295&amp;gencs=T&amp;end_month=3&amp;end_day=31&amp;end_year=2014","Trinity Palmetto Point")</f>
        <v>Trinity Palmetto Point</v>
      </c>
      <c r="H3575" s="89" t="str">
        <f>HYPERLINK("http://api.nsgreg.nga.mil/geo-division/ISO3166-2/6/ed3/KN-15","KN-15")</f>
        <v>KN-15</v>
      </c>
    </row>
    <row r="3576" spans="1:8" x14ac:dyDescent="0.2">
      <c r="A3576" s="156" t="str">
        <f>HYPERLINK("[#]Geopolitical_Entities!A217:I217","SAINT LUCIA")</f>
        <v>SAINT LUCIA</v>
      </c>
      <c r="B3576" s="52" t="s">
        <v>12553</v>
      </c>
      <c r="C3576" s="52" t="s">
        <v>12554</v>
      </c>
      <c r="D3576" s="52" t="s">
        <v>2026</v>
      </c>
      <c r="E3576" s="60" t="b">
        <v>1</v>
      </c>
      <c r="F3576" s="110" t="s">
        <v>12555</v>
      </c>
      <c r="G3576" s="118" t="str">
        <f>HYPERLINK("http://nsgreg.nga.mil/genc/view?v=201778&amp;end_month=3&amp;end_day=31&amp;end_year=2014","Anse-la-Raye")</f>
        <v>Anse-la-Raye</v>
      </c>
      <c r="H3576" s="91" t="str">
        <f>HYPERLINK("http://api.nsgreg.nga.mil/geo-division/GENC/6/ed2/LC-01","LC-01")</f>
        <v>LC-01</v>
      </c>
    </row>
    <row r="3577" spans="1:8" x14ac:dyDescent="0.2">
      <c r="A3577" s="157"/>
      <c r="B3577" s="31" t="s">
        <v>12556</v>
      </c>
      <c r="C3577" s="31" t="s">
        <v>12557</v>
      </c>
      <c r="D3577" s="31" t="s">
        <v>2026</v>
      </c>
      <c r="E3577" s="61" t="b">
        <v>1</v>
      </c>
      <c r="F3577" s="107" t="s">
        <v>12558</v>
      </c>
      <c r="G3577" s="116" t="str">
        <f>HYPERLINK("http://nsgreg.nga.mil/genc/view?v=204539&amp;end_month=3&amp;end_day=31&amp;end_year=2014","Canaries")</f>
        <v>Canaries</v>
      </c>
      <c r="H3577" s="87" t="str">
        <f>HYPERLINK("http://api.nsgreg.nga.mil/geo-division/GENC/6/ed2/LC-12","LC-12")</f>
        <v>LC-12</v>
      </c>
    </row>
    <row r="3578" spans="1:8" x14ac:dyDescent="0.2">
      <c r="A3578" s="157"/>
      <c r="B3578" s="31" t="s">
        <v>12559</v>
      </c>
      <c r="C3578" s="31" t="s">
        <v>12560</v>
      </c>
      <c r="D3578" s="31" t="s">
        <v>2026</v>
      </c>
      <c r="E3578" s="61" t="b">
        <v>1</v>
      </c>
      <c r="F3578" s="107" t="s">
        <v>12561</v>
      </c>
      <c r="G3578" s="116" t="str">
        <f>HYPERLINK("http://nsgreg.nga.mil/genc/view?v=204532&amp;end_month=3&amp;end_day=31&amp;end_year=2014","Castries")</f>
        <v>Castries</v>
      </c>
      <c r="H3578" s="87" t="str">
        <f>HYPERLINK("http://api.nsgreg.nga.mil/geo-division/GENC/6/ed2/LC-02","LC-02")</f>
        <v>LC-02</v>
      </c>
    </row>
    <row r="3579" spans="1:8" x14ac:dyDescent="0.2">
      <c r="A3579" s="157"/>
      <c r="B3579" s="31" t="s">
        <v>12562</v>
      </c>
      <c r="C3579" s="31" t="s">
        <v>12563</v>
      </c>
      <c r="D3579" s="31" t="s">
        <v>2026</v>
      </c>
      <c r="E3579" s="61" t="b">
        <v>1</v>
      </c>
      <c r="F3579" s="107" t="s">
        <v>12564</v>
      </c>
      <c r="G3579" s="116" t="str">
        <f>HYPERLINK("http://nsgreg.nga.mil/genc/view?v=204533&amp;end_month=3&amp;end_day=31&amp;end_year=2014","Choiseul")</f>
        <v>Choiseul</v>
      </c>
      <c r="H3579" s="87" t="str">
        <f>HYPERLINK("http://api.nsgreg.nga.mil/geo-division/GENC/6/ed2/LC-03","LC-03")</f>
        <v>LC-03</v>
      </c>
    </row>
    <row r="3580" spans="1:8" x14ac:dyDescent="0.2">
      <c r="A3580" s="157"/>
      <c r="B3580" s="31" t="s">
        <v>12565</v>
      </c>
      <c r="C3580" s="31" t="s">
        <v>12566</v>
      </c>
      <c r="D3580" s="98" t="s">
        <v>10284</v>
      </c>
      <c r="E3580" s="99" t="b">
        <v>0</v>
      </c>
      <c r="F3580" s="107" t="s">
        <v>12567</v>
      </c>
      <c r="G3580" s="116" t="str">
        <f>HYPERLINK("http://nsgreg.nga.mil/genc/view?v=204518&amp;end_month=3&amp;end_day=31&amp;end_year=2014","Dauphin")</f>
        <v>Dauphin</v>
      </c>
      <c r="H3580" s="87" t="str">
        <f>HYPERLINK("http://api.nsgreg.nga.mil/geo-division/GENC/6/ed2/LC-04","LC-04")</f>
        <v>LC-04</v>
      </c>
    </row>
    <row r="3581" spans="1:8" x14ac:dyDescent="0.2">
      <c r="A3581" s="157"/>
      <c r="B3581" s="31" t="s">
        <v>12568</v>
      </c>
      <c r="C3581" s="31" t="s">
        <v>12569</v>
      </c>
      <c r="D3581" s="31" t="s">
        <v>2026</v>
      </c>
      <c r="E3581" s="61" t="b">
        <v>1</v>
      </c>
      <c r="F3581" s="107" t="s">
        <v>12570</v>
      </c>
      <c r="G3581" s="116" t="str">
        <f>HYPERLINK("http://nsgreg.nga.mil/genc/view?v=204534&amp;end_month=3&amp;end_day=31&amp;end_year=2014","Dennery")</f>
        <v>Dennery</v>
      </c>
      <c r="H3581" s="87" t="str">
        <f>HYPERLINK("http://api.nsgreg.nga.mil/geo-division/GENC/6/ed2/LC-05","LC-05")</f>
        <v>LC-05</v>
      </c>
    </row>
    <row r="3582" spans="1:8" x14ac:dyDescent="0.2">
      <c r="A3582" s="157"/>
      <c r="B3582" s="31" t="s">
        <v>12571</v>
      </c>
      <c r="C3582" s="31" t="s">
        <v>12572</v>
      </c>
      <c r="D3582" s="31" t="s">
        <v>2026</v>
      </c>
      <c r="E3582" s="61" t="b">
        <v>1</v>
      </c>
      <c r="F3582" s="107" t="s">
        <v>12573</v>
      </c>
      <c r="G3582" s="116" t="str">
        <f>HYPERLINK("http://nsgreg.nga.mil/genc/view?v=201779&amp;end_month=3&amp;end_day=31&amp;end_year=2014","Gros-Islet")</f>
        <v>Gros-Islet</v>
      </c>
      <c r="H3582" s="87" t="str">
        <f>HYPERLINK("http://api.nsgreg.nga.mil/geo-division/GENC/6/ed2/LC-06","LC-06")</f>
        <v>LC-06</v>
      </c>
    </row>
    <row r="3583" spans="1:8" x14ac:dyDescent="0.2">
      <c r="A3583" s="157"/>
      <c r="B3583" s="31" t="s">
        <v>12574</v>
      </c>
      <c r="C3583" s="31" t="s">
        <v>12575</v>
      </c>
      <c r="D3583" s="31" t="s">
        <v>2026</v>
      </c>
      <c r="E3583" s="61" t="b">
        <v>1</v>
      </c>
      <c r="F3583" s="107" t="s">
        <v>12576</v>
      </c>
      <c r="G3583" s="116" t="str">
        <f>HYPERLINK("http://nsgreg.nga.mil/genc/view?v=204535&amp;end_month=3&amp;end_day=31&amp;end_year=2014","Laborie")</f>
        <v>Laborie</v>
      </c>
      <c r="H3583" s="87" t="str">
        <f>HYPERLINK("http://api.nsgreg.nga.mil/geo-division/GENC/6/ed2/LC-07","LC-07")</f>
        <v>LC-07</v>
      </c>
    </row>
    <row r="3584" spans="1:8" x14ac:dyDescent="0.2">
      <c r="A3584" s="157"/>
      <c r="B3584" s="31" t="s">
        <v>12577</v>
      </c>
      <c r="C3584" s="31" t="s">
        <v>12578</v>
      </c>
      <c r="D3584" s="31" t="s">
        <v>2026</v>
      </c>
      <c r="E3584" s="61" t="b">
        <v>1</v>
      </c>
      <c r="F3584" s="107" t="s">
        <v>12579</v>
      </c>
      <c r="G3584" s="116" t="str">
        <f>HYPERLINK("http://nsgreg.nga.mil/genc/view?v=204536&amp;end_month=3&amp;end_day=31&amp;end_year=2014","Micoud")</f>
        <v>Micoud</v>
      </c>
      <c r="H3584" s="87" t="str">
        <f>HYPERLINK("http://api.nsgreg.nga.mil/geo-division/GENC/6/ed2/LC-08","LC-08")</f>
        <v>LC-08</v>
      </c>
    </row>
    <row r="3585" spans="1:8" x14ac:dyDescent="0.2">
      <c r="A3585" s="157"/>
      <c r="B3585" s="31" t="s">
        <v>12580</v>
      </c>
      <c r="C3585" s="31" t="s">
        <v>12581</v>
      </c>
      <c r="D3585" s="98" t="s">
        <v>10284</v>
      </c>
      <c r="E3585" s="99" t="b">
        <v>0</v>
      </c>
      <c r="F3585" s="107" t="s">
        <v>12582</v>
      </c>
      <c r="G3585" s="116" t="str">
        <f>HYPERLINK("http://nsgreg.nga.mil/genc/view?v=203256&amp;end_month=3&amp;end_day=31&amp;end_year=2014","Praslin")</f>
        <v>Praslin</v>
      </c>
      <c r="H3585" s="87" t="str">
        <f>HYPERLINK("http://api.nsgreg.nga.mil/geo-division/GENC/6/ed2/LC-09","LC-09")</f>
        <v>LC-09</v>
      </c>
    </row>
    <row r="3586" spans="1:8" x14ac:dyDescent="0.2">
      <c r="A3586" s="157"/>
      <c r="B3586" s="31" t="s">
        <v>12583</v>
      </c>
      <c r="C3586" s="31" t="s">
        <v>12584</v>
      </c>
      <c r="D3586" s="31" t="s">
        <v>2026</v>
      </c>
      <c r="E3586" s="61" t="b">
        <v>1</v>
      </c>
      <c r="F3586" s="107" t="s">
        <v>12585</v>
      </c>
      <c r="G3586" s="116" t="str">
        <f>HYPERLINK("http://nsgreg.nga.mil/genc/view?v=204537&amp;end_month=3&amp;end_day=31&amp;end_year=2014","Soufrière")</f>
        <v>Soufrière</v>
      </c>
      <c r="H3586" s="87" t="str">
        <f>HYPERLINK("http://api.nsgreg.nga.mil/geo-division/GENC/6/ed2/LC-10","LC-10")</f>
        <v>LC-10</v>
      </c>
    </row>
    <row r="3587" spans="1:8" x14ac:dyDescent="0.2">
      <c r="A3587" s="158"/>
      <c r="B3587" s="58" t="s">
        <v>12586</v>
      </c>
      <c r="C3587" s="58" t="s">
        <v>12587</v>
      </c>
      <c r="D3587" s="58" t="s">
        <v>2026</v>
      </c>
      <c r="E3587" s="62" t="b">
        <v>1</v>
      </c>
      <c r="F3587" s="111" t="s">
        <v>12588</v>
      </c>
      <c r="G3587" s="117" t="str">
        <f>HYPERLINK("http://nsgreg.nga.mil/genc/view?v=201780&amp;end_month=3&amp;end_day=31&amp;end_year=2014","Vieux-Fort")</f>
        <v>Vieux-Fort</v>
      </c>
      <c r="H3587" s="89" t="str">
        <f>HYPERLINK("http://api.nsgreg.nga.mil/geo-division/GENC/6/ed2/LC-11","LC-11")</f>
        <v>LC-11</v>
      </c>
    </row>
    <row r="3588" spans="1:8" x14ac:dyDescent="0.2">
      <c r="A3588" s="156" t="str">
        <f>HYPERLINK("[#]Geopolitical_Entities!A220:I220","SAINT VINCENT AND THE GRENADINES")</f>
        <v>SAINT VINCENT AND THE GRENADINES</v>
      </c>
      <c r="B3588" s="52" t="s">
        <v>12589</v>
      </c>
      <c r="C3588" s="52" t="s">
        <v>12590</v>
      </c>
      <c r="D3588" s="52" t="s">
        <v>2301</v>
      </c>
      <c r="E3588" s="60" t="b">
        <v>1</v>
      </c>
      <c r="F3588" s="109" t="s">
        <v>12591</v>
      </c>
      <c r="G3588" s="118" t="str">
        <f>HYPERLINK("http://nsgreg.nga.mil/genc/view?v=116663&amp;gencs=T&amp;end_month=3&amp;end_day=31&amp;end_year=2014","Charlotte")</f>
        <v>Charlotte</v>
      </c>
      <c r="H3588" s="91" t="str">
        <f>HYPERLINK("http://api.nsgreg.nga.mil/geo-division/ISO3166-2/6/ed3/VC-01","VC-01")</f>
        <v>VC-01</v>
      </c>
    </row>
    <row r="3589" spans="1:8" x14ac:dyDescent="0.2">
      <c r="A3589" s="157"/>
      <c r="B3589" s="31" t="s">
        <v>12592</v>
      </c>
      <c r="C3589" s="31" t="s">
        <v>12593</v>
      </c>
      <c r="D3589" s="31" t="s">
        <v>2301</v>
      </c>
      <c r="E3589" s="61" t="b">
        <v>1</v>
      </c>
      <c r="F3589" s="106" t="s">
        <v>12594</v>
      </c>
      <c r="G3589" s="116" t="str">
        <f>HYPERLINK("http://nsgreg.nga.mil/genc/view?v=116668&amp;gencs=T&amp;end_month=3&amp;end_day=31&amp;end_year=2014","Grenadines")</f>
        <v>Grenadines</v>
      </c>
      <c r="H3589" s="87" t="str">
        <f>HYPERLINK("http://api.nsgreg.nga.mil/geo-division/ISO3166-2/6/ed3/VC-06","VC-06")</f>
        <v>VC-06</v>
      </c>
    </row>
    <row r="3590" spans="1:8" x14ac:dyDescent="0.2">
      <c r="A3590" s="157"/>
      <c r="B3590" s="31" t="s">
        <v>12595</v>
      </c>
      <c r="C3590" s="31" t="s">
        <v>3110</v>
      </c>
      <c r="D3590" s="31" t="s">
        <v>2301</v>
      </c>
      <c r="E3590" s="61" t="b">
        <v>1</v>
      </c>
      <c r="F3590" s="106" t="s">
        <v>12596</v>
      </c>
      <c r="G3590" s="116" t="str">
        <f>HYPERLINK("http://nsgreg.nga.mil/genc/view?v=116664&amp;gencs=T&amp;end_month=3&amp;end_day=31&amp;end_year=2014","Saint Andrew")</f>
        <v>Saint Andrew</v>
      </c>
      <c r="H3590" s="87" t="str">
        <f>HYPERLINK("http://api.nsgreg.nga.mil/geo-division/ISO3166-2/6/ed3/VC-02","VC-02")</f>
        <v>VC-02</v>
      </c>
    </row>
    <row r="3591" spans="1:8" x14ac:dyDescent="0.2">
      <c r="A3591" s="157"/>
      <c r="B3591" s="31" t="s">
        <v>12597</v>
      </c>
      <c r="C3591" s="31" t="s">
        <v>5152</v>
      </c>
      <c r="D3591" s="31" t="s">
        <v>2301</v>
      </c>
      <c r="E3591" s="61" t="b">
        <v>1</v>
      </c>
      <c r="F3591" s="106" t="s">
        <v>12598</v>
      </c>
      <c r="G3591" s="116" t="str">
        <f>HYPERLINK("http://nsgreg.nga.mil/genc/view?v=116665&amp;gencs=T&amp;end_month=3&amp;end_day=31&amp;end_year=2014","Saint David")</f>
        <v>Saint David</v>
      </c>
      <c r="H3591" s="87" t="str">
        <f>HYPERLINK("http://api.nsgreg.nga.mil/geo-division/ISO3166-2/6/ed3/VC-03","VC-03")</f>
        <v>VC-03</v>
      </c>
    </row>
    <row r="3592" spans="1:8" x14ac:dyDescent="0.2">
      <c r="A3592" s="157"/>
      <c r="B3592" s="31" t="s">
        <v>12599</v>
      </c>
      <c r="C3592" s="31" t="s">
        <v>2383</v>
      </c>
      <c r="D3592" s="31" t="s">
        <v>2301</v>
      </c>
      <c r="E3592" s="61" t="b">
        <v>1</v>
      </c>
      <c r="F3592" s="106" t="s">
        <v>12600</v>
      </c>
      <c r="G3592" s="116" t="str">
        <f>HYPERLINK("http://nsgreg.nga.mil/genc/view?v=116666&amp;gencs=T&amp;end_month=3&amp;end_day=31&amp;end_year=2014","Saint George")</f>
        <v>Saint George</v>
      </c>
      <c r="H3592" s="87" t="str">
        <f>HYPERLINK("http://api.nsgreg.nga.mil/geo-division/ISO3166-2/6/ed3/VC-04","VC-04")</f>
        <v>VC-04</v>
      </c>
    </row>
    <row r="3593" spans="1:8" x14ac:dyDescent="0.2">
      <c r="A3593" s="158"/>
      <c r="B3593" s="58" t="s">
        <v>12601</v>
      </c>
      <c r="C3593" s="58" t="s">
        <v>5167</v>
      </c>
      <c r="D3593" s="58" t="s">
        <v>2301</v>
      </c>
      <c r="E3593" s="62" t="b">
        <v>1</v>
      </c>
      <c r="F3593" s="108" t="s">
        <v>12602</v>
      </c>
      <c r="G3593" s="117" t="str">
        <f>HYPERLINK("http://nsgreg.nga.mil/genc/view?v=116667&amp;gencs=T&amp;end_month=3&amp;end_day=31&amp;end_year=2014","Saint Patrick")</f>
        <v>Saint Patrick</v>
      </c>
      <c r="H3593" s="89" t="str">
        <f>HYPERLINK("http://api.nsgreg.nga.mil/geo-division/ISO3166-2/6/ed3/VC-05","VC-05")</f>
        <v>VC-05</v>
      </c>
    </row>
    <row r="3594" spans="1:8" x14ac:dyDescent="0.2">
      <c r="A3594" s="156" t="str">
        <f>HYPERLINK("[#]Geopolitical_Entities!A221:I221","SAMOA")</f>
        <v>SAMOA</v>
      </c>
      <c r="B3594" s="52" t="s">
        <v>12603</v>
      </c>
      <c r="C3594" s="52" t="s">
        <v>12604</v>
      </c>
      <c r="D3594" s="52" t="s">
        <v>2026</v>
      </c>
      <c r="E3594" s="60" t="b">
        <v>1</v>
      </c>
      <c r="F3594" s="110" t="s">
        <v>12605</v>
      </c>
      <c r="G3594" s="118" t="str">
        <f>HYPERLINK("http://nsgreg.nga.mil/genc/view?v=203327&amp;end_month=3&amp;end_day=31&amp;end_year=2014","A‘ana")</f>
        <v>A‘ana</v>
      </c>
      <c r="H3594" s="91" t="str">
        <f>HYPERLINK("http://api.nsgreg.nga.mil/geo-division/GENC/6/ed2/WS-AA","WS-AA")</f>
        <v>WS-AA</v>
      </c>
    </row>
    <row r="3595" spans="1:8" x14ac:dyDescent="0.2">
      <c r="A3595" s="157"/>
      <c r="B3595" s="31" t="s">
        <v>12606</v>
      </c>
      <c r="C3595" s="31" t="s">
        <v>12607</v>
      </c>
      <c r="D3595" s="31" t="s">
        <v>2026</v>
      </c>
      <c r="E3595" s="61" t="b">
        <v>1</v>
      </c>
      <c r="F3595" s="107" t="s">
        <v>12608</v>
      </c>
      <c r="G3595" s="116" t="str">
        <f>HYPERLINK("http://nsgreg.nga.mil/genc/view?v=203328&amp;end_month=3&amp;end_day=31&amp;end_year=2014","Aiga-i-le-Tai")</f>
        <v>Aiga-i-le-Tai</v>
      </c>
      <c r="H3595" s="87" t="str">
        <f>HYPERLINK("http://api.nsgreg.nga.mil/geo-division/GENC/6/ed2/WS-AL","WS-AL")</f>
        <v>WS-AL</v>
      </c>
    </row>
    <row r="3596" spans="1:8" x14ac:dyDescent="0.2">
      <c r="A3596" s="157"/>
      <c r="B3596" s="31" t="s">
        <v>12609</v>
      </c>
      <c r="C3596" s="31" t="s">
        <v>12610</v>
      </c>
      <c r="D3596" s="31" t="s">
        <v>2026</v>
      </c>
      <c r="E3596" s="61" t="b">
        <v>1</v>
      </c>
      <c r="F3596" s="107" t="s">
        <v>12611</v>
      </c>
      <c r="G3596" s="116" t="str">
        <f>HYPERLINK("http://nsgreg.nga.mil/genc/view?v=203329&amp;end_month=3&amp;end_day=31&amp;end_year=2014","Atua")</f>
        <v>Atua</v>
      </c>
      <c r="H3596" s="87" t="str">
        <f>HYPERLINK("http://api.nsgreg.nga.mil/geo-division/GENC/6/ed2/WS-AT","WS-AT")</f>
        <v>WS-AT</v>
      </c>
    </row>
    <row r="3597" spans="1:8" x14ac:dyDescent="0.2">
      <c r="A3597" s="157"/>
      <c r="B3597" s="31" t="s">
        <v>12612</v>
      </c>
      <c r="C3597" s="31" t="s">
        <v>12613</v>
      </c>
      <c r="D3597" s="31" t="s">
        <v>2026</v>
      </c>
      <c r="E3597" s="61" t="b">
        <v>1</v>
      </c>
      <c r="F3597" s="107" t="s">
        <v>12614</v>
      </c>
      <c r="G3597" s="116" t="str">
        <f>HYPERLINK("http://nsgreg.nga.mil/genc/view?v=203330&amp;end_month=3&amp;end_day=31&amp;end_year=2014","Fa‘asaleleaga")</f>
        <v>Fa‘asaleleaga</v>
      </c>
      <c r="H3597" s="87" t="str">
        <f>HYPERLINK("http://api.nsgreg.nga.mil/geo-division/GENC/6/ed2/WS-FA","WS-FA")</f>
        <v>WS-FA</v>
      </c>
    </row>
    <row r="3598" spans="1:8" x14ac:dyDescent="0.2">
      <c r="A3598" s="157"/>
      <c r="B3598" s="31" t="s">
        <v>12615</v>
      </c>
      <c r="C3598" s="31" t="s">
        <v>12616</v>
      </c>
      <c r="D3598" s="31" t="s">
        <v>2026</v>
      </c>
      <c r="E3598" s="61" t="b">
        <v>1</v>
      </c>
      <c r="F3598" s="107" t="s">
        <v>12617</v>
      </c>
      <c r="G3598" s="116" t="str">
        <f>HYPERLINK("http://nsgreg.nga.mil/genc/view?v=203331&amp;end_month=3&amp;end_day=31&amp;end_year=2014","Gaga‘emauga")</f>
        <v>Gaga‘emauga</v>
      </c>
      <c r="H3598" s="87" t="str">
        <f>HYPERLINK("http://api.nsgreg.nga.mil/geo-division/GENC/6/ed2/WS-GE","WS-GE")</f>
        <v>WS-GE</v>
      </c>
    </row>
    <row r="3599" spans="1:8" x14ac:dyDescent="0.2">
      <c r="A3599" s="157"/>
      <c r="B3599" s="31" t="s">
        <v>12618</v>
      </c>
      <c r="C3599" s="31" t="s">
        <v>12619</v>
      </c>
      <c r="D3599" s="31" t="s">
        <v>2026</v>
      </c>
      <c r="E3599" s="61" t="b">
        <v>1</v>
      </c>
      <c r="F3599" s="107" t="s">
        <v>12620</v>
      </c>
      <c r="G3599" s="116" t="str">
        <f>HYPERLINK("http://nsgreg.nga.mil/genc/view?v=203332&amp;end_month=3&amp;end_day=31&amp;end_year=2014","Gagaifomauga")</f>
        <v>Gagaifomauga</v>
      </c>
      <c r="H3599" s="87" t="str">
        <f>HYPERLINK("http://api.nsgreg.nga.mil/geo-division/GENC/6/ed2/WS-GI","WS-GI")</f>
        <v>WS-GI</v>
      </c>
    </row>
    <row r="3600" spans="1:8" x14ac:dyDescent="0.2">
      <c r="A3600" s="157"/>
      <c r="B3600" s="31" t="s">
        <v>12621</v>
      </c>
      <c r="C3600" s="31" t="s">
        <v>12622</v>
      </c>
      <c r="D3600" s="31" t="s">
        <v>2026</v>
      </c>
      <c r="E3600" s="61" t="b">
        <v>1</v>
      </c>
      <c r="F3600" s="107" t="s">
        <v>12623</v>
      </c>
      <c r="G3600" s="116" t="str">
        <f>HYPERLINK("http://nsgreg.nga.mil/genc/view?v=203333&amp;end_month=3&amp;end_day=31&amp;end_year=2014","Palauli")</f>
        <v>Palauli</v>
      </c>
      <c r="H3600" s="87" t="str">
        <f>HYPERLINK("http://api.nsgreg.nga.mil/geo-division/GENC/6/ed2/WS-PA","WS-PA")</f>
        <v>WS-PA</v>
      </c>
    </row>
    <row r="3601" spans="1:8" x14ac:dyDescent="0.2">
      <c r="A3601" s="157"/>
      <c r="B3601" s="31" t="s">
        <v>12624</v>
      </c>
      <c r="C3601" s="31" t="s">
        <v>12625</v>
      </c>
      <c r="D3601" s="31" t="s">
        <v>2026</v>
      </c>
      <c r="E3601" s="61" t="b">
        <v>1</v>
      </c>
      <c r="F3601" s="107" t="s">
        <v>12626</v>
      </c>
      <c r="G3601" s="116" t="str">
        <f>HYPERLINK("http://nsgreg.nga.mil/genc/view?v=203334&amp;end_month=3&amp;end_day=31&amp;end_year=2014","Satupa‘itea")</f>
        <v>Satupa‘itea</v>
      </c>
      <c r="H3601" s="87" t="str">
        <f>HYPERLINK("http://api.nsgreg.nga.mil/geo-division/GENC/6/ed2/WS-SA","WS-SA")</f>
        <v>WS-SA</v>
      </c>
    </row>
    <row r="3602" spans="1:8" x14ac:dyDescent="0.2">
      <c r="A3602" s="157"/>
      <c r="B3602" s="31" t="s">
        <v>12627</v>
      </c>
      <c r="C3602" s="31" t="s">
        <v>12628</v>
      </c>
      <c r="D3602" s="31" t="s">
        <v>2026</v>
      </c>
      <c r="E3602" s="61" t="b">
        <v>1</v>
      </c>
      <c r="F3602" s="107" t="s">
        <v>12629</v>
      </c>
      <c r="G3602" s="116" t="str">
        <f>HYPERLINK("http://nsgreg.nga.mil/genc/view?v=203335&amp;end_month=3&amp;end_day=31&amp;end_year=2014","Tuamasaga")</f>
        <v>Tuamasaga</v>
      </c>
      <c r="H3602" s="87" t="str">
        <f>HYPERLINK("http://api.nsgreg.nga.mil/geo-division/GENC/6/ed2/WS-TU","WS-TU")</f>
        <v>WS-TU</v>
      </c>
    </row>
    <row r="3603" spans="1:8" x14ac:dyDescent="0.2">
      <c r="A3603" s="157"/>
      <c r="B3603" s="31" t="s">
        <v>12630</v>
      </c>
      <c r="C3603" s="31" t="s">
        <v>12631</v>
      </c>
      <c r="D3603" s="31" t="s">
        <v>2026</v>
      </c>
      <c r="E3603" s="61" t="b">
        <v>1</v>
      </c>
      <c r="F3603" s="107" t="s">
        <v>12632</v>
      </c>
      <c r="G3603" s="116" t="str">
        <f>HYPERLINK("http://nsgreg.nga.mil/genc/view?v=203336&amp;end_month=3&amp;end_day=31&amp;end_year=2014","Va‘a-o-Fonoti")</f>
        <v>Va‘a-o-Fonoti</v>
      </c>
      <c r="H3603" s="87" t="str">
        <f>HYPERLINK("http://api.nsgreg.nga.mil/geo-division/GENC/6/ed2/WS-VF","WS-VF")</f>
        <v>WS-VF</v>
      </c>
    </row>
    <row r="3604" spans="1:8" x14ac:dyDescent="0.2">
      <c r="A3604" s="158"/>
      <c r="B3604" s="58" t="s">
        <v>12633</v>
      </c>
      <c r="C3604" s="58" t="s">
        <v>12634</v>
      </c>
      <c r="D3604" s="58" t="s">
        <v>2026</v>
      </c>
      <c r="E3604" s="62" t="b">
        <v>1</v>
      </c>
      <c r="F3604" s="111" t="s">
        <v>12635</v>
      </c>
      <c r="G3604" s="117" t="str">
        <f>HYPERLINK("http://nsgreg.nga.mil/genc/view?v=203337&amp;end_month=3&amp;end_day=31&amp;end_year=2014","Vaisigano")</f>
        <v>Vaisigano</v>
      </c>
      <c r="H3604" s="89" t="str">
        <f>HYPERLINK("http://api.nsgreg.nga.mil/geo-division/GENC/6/ed2/WS-VS","WS-VS")</f>
        <v>WS-VS</v>
      </c>
    </row>
    <row r="3605" spans="1:8" x14ac:dyDescent="0.2">
      <c r="A3605" s="156" t="str">
        <f>HYPERLINK("[#]Geopolitical_Entities!A222:I222","SAN MARINO")</f>
        <v>SAN MARINO</v>
      </c>
      <c r="B3605" s="52" t="s">
        <v>12636</v>
      </c>
      <c r="C3605" s="52" t="s">
        <v>12637</v>
      </c>
      <c r="D3605" s="52" t="s">
        <v>3254</v>
      </c>
      <c r="E3605" s="60" t="b">
        <v>1</v>
      </c>
      <c r="F3605" s="109" t="s">
        <v>12638</v>
      </c>
      <c r="G3605" s="118" t="str">
        <f>HYPERLINK("http://nsgreg.nga.mil/genc/view?v=116048&amp;gencs=T&amp;end_month=3&amp;end_day=31&amp;end_year=2014","Acquaviva")</f>
        <v>Acquaviva</v>
      </c>
      <c r="H3605" s="91" t="str">
        <f>HYPERLINK("http://api.nsgreg.nga.mil/geo-division/ISO3166-2/6/ed3/SM-01","SM-01")</f>
        <v>SM-01</v>
      </c>
    </row>
    <row r="3606" spans="1:8" x14ac:dyDescent="0.2">
      <c r="A3606" s="157"/>
      <c r="B3606" s="31" t="s">
        <v>12639</v>
      </c>
      <c r="C3606" s="31" t="s">
        <v>12640</v>
      </c>
      <c r="D3606" s="31" t="s">
        <v>3254</v>
      </c>
      <c r="E3606" s="61" t="b">
        <v>1</v>
      </c>
      <c r="F3606" s="106" t="s">
        <v>12641</v>
      </c>
      <c r="G3606" s="116" t="str">
        <f>HYPERLINK("http://nsgreg.nga.mil/genc/view?v=116053&amp;gencs=T&amp;end_month=3&amp;end_day=31&amp;end_year=2014","Borgo Maggiore")</f>
        <v>Borgo Maggiore</v>
      </c>
      <c r="H3606" s="87" t="str">
        <f>HYPERLINK("http://api.nsgreg.nga.mil/geo-division/ISO3166-2/6/ed3/SM-06","SM-06")</f>
        <v>SM-06</v>
      </c>
    </row>
    <row r="3607" spans="1:8" x14ac:dyDescent="0.2">
      <c r="A3607" s="157"/>
      <c r="B3607" s="31" t="s">
        <v>12642</v>
      </c>
      <c r="C3607" s="31" t="s">
        <v>12643</v>
      </c>
      <c r="D3607" s="31" t="s">
        <v>3254</v>
      </c>
      <c r="E3607" s="61" t="b">
        <v>1</v>
      </c>
      <c r="F3607" s="106" t="s">
        <v>12644</v>
      </c>
      <c r="G3607" s="116" t="str">
        <f>HYPERLINK("http://nsgreg.nga.mil/genc/view?v=116049&amp;gencs=T&amp;end_month=3&amp;end_day=31&amp;end_year=2014","Chiesanuova")</f>
        <v>Chiesanuova</v>
      </c>
      <c r="H3607" s="87" t="str">
        <f>HYPERLINK("http://api.nsgreg.nga.mil/geo-division/ISO3166-2/6/ed3/SM-02","SM-02")</f>
        <v>SM-02</v>
      </c>
    </row>
    <row r="3608" spans="1:8" x14ac:dyDescent="0.2">
      <c r="A3608" s="157"/>
      <c r="B3608" s="31" t="s">
        <v>12645</v>
      </c>
      <c r="C3608" s="31" t="s">
        <v>12646</v>
      </c>
      <c r="D3608" s="31" t="s">
        <v>3254</v>
      </c>
      <c r="E3608" s="61" t="b">
        <v>1</v>
      </c>
      <c r="F3608" s="106" t="s">
        <v>12647</v>
      </c>
      <c r="G3608" s="116" t="str">
        <f>HYPERLINK("http://nsgreg.nga.mil/genc/view?v=116050&amp;gencs=T&amp;end_month=3&amp;end_day=31&amp;end_year=2014","Domagnano")</f>
        <v>Domagnano</v>
      </c>
      <c r="H3608" s="87" t="str">
        <f>HYPERLINK("http://api.nsgreg.nga.mil/geo-division/ISO3166-2/6/ed3/SM-03","SM-03")</f>
        <v>SM-03</v>
      </c>
    </row>
    <row r="3609" spans="1:8" x14ac:dyDescent="0.2">
      <c r="A3609" s="157"/>
      <c r="B3609" s="31" t="s">
        <v>12648</v>
      </c>
      <c r="C3609" s="31" t="s">
        <v>12649</v>
      </c>
      <c r="D3609" s="31" t="s">
        <v>3254</v>
      </c>
      <c r="E3609" s="61" t="b">
        <v>1</v>
      </c>
      <c r="F3609" s="106" t="s">
        <v>12650</v>
      </c>
      <c r="G3609" s="116" t="str">
        <f>HYPERLINK("http://nsgreg.nga.mil/genc/view?v=116051&amp;gencs=T&amp;end_month=3&amp;end_day=31&amp;end_year=2014","Faetano")</f>
        <v>Faetano</v>
      </c>
      <c r="H3609" s="87" t="str">
        <f>HYPERLINK("http://api.nsgreg.nga.mil/geo-division/ISO3166-2/6/ed3/SM-04","SM-04")</f>
        <v>SM-04</v>
      </c>
    </row>
    <row r="3610" spans="1:8" x14ac:dyDescent="0.2">
      <c r="A3610" s="157"/>
      <c r="B3610" s="31" t="s">
        <v>12651</v>
      </c>
      <c r="C3610" s="31" t="s">
        <v>12652</v>
      </c>
      <c r="D3610" s="31" t="s">
        <v>3254</v>
      </c>
      <c r="E3610" s="61" t="b">
        <v>1</v>
      </c>
      <c r="F3610" s="106" t="s">
        <v>12653</v>
      </c>
      <c r="G3610" s="116" t="str">
        <f>HYPERLINK("http://nsgreg.nga.mil/genc/view?v=116052&amp;gencs=T&amp;end_month=3&amp;end_day=31&amp;end_year=2014","Fiorentino")</f>
        <v>Fiorentino</v>
      </c>
      <c r="H3610" s="87" t="str">
        <f>HYPERLINK("http://api.nsgreg.nga.mil/geo-division/ISO3166-2/6/ed3/SM-05","SM-05")</f>
        <v>SM-05</v>
      </c>
    </row>
    <row r="3611" spans="1:8" x14ac:dyDescent="0.2">
      <c r="A3611" s="157"/>
      <c r="B3611" s="31" t="s">
        <v>12654</v>
      </c>
      <c r="C3611" s="31" t="s">
        <v>12655</v>
      </c>
      <c r="D3611" s="31" t="s">
        <v>3254</v>
      </c>
      <c r="E3611" s="61" t="b">
        <v>1</v>
      </c>
      <c r="F3611" s="106" t="s">
        <v>12656</v>
      </c>
      <c r="G3611" s="116" t="str">
        <f>HYPERLINK("http://nsgreg.nga.mil/genc/view?v=116055&amp;gencs=T&amp;end_month=3&amp;end_day=31&amp;end_year=2014","Montegiardino")</f>
        <v>Montegiardino</v>
      </c>
      <c r="H3611" s="87" t="str">
        <f>HYPERLINK("http://api.nsgreg.nga.mil/geo-division/ISO3166-2/6/ed3/SM-08","SM-08")</f>
        <v>SM-08</v>
      </c>
    </row>
    <row r="3612" spans="1:8" x14ac:dyDescent="0.2">
      <c r="A3612" s="157"/>
      <c r="B3612" s="31" t="s">
        <v>12657</v>
      </c>
      <c r="C3612" s="31" t="s">
        <v>12658</v>
      </c>
      <c r="D3612" s="31" t="s">
        <v>3254</v>
      </c>
      <c r="E3612" s="61" t="b">
        <v>1</v>
      </c>
      <c r="F3612" s="107" t="s">
        <v>12659</v>
      </c>
      <c r="G3612" s="116" t="str">
        <f>HYPERLINK("http://nsgreg.nga.mil/genc/view?v=203032&amp;end_month=3&amp;end_day=31&amp;end_year=2014","San Marino Città")</f>
        <v>San Marino Città</v>
      </c>
      <c r="H3612" s="87" t="str">
        <f>HYPERLINK("http://api.nsgreg.nga.mil/geo-division/GENC/6/ed2/SM-07","SM-07")</f>
        <v>SM-07</v>
      </c>
    </row>
    <row r="3613" spans="1:8" x14ac:dyDescent="0.2">
      <c r="A3613" s="158"/>
      <c r="B3613" s="58" t="s">
        <v>12660</v>
      </c>
      <c r="C3613" s="58" t="s">
        <v>12661</v>
      </c>
      <c r="D3613" s="58" t="s">
        <v>3254</v>
      </c>
      <c r="E3613" s="62" t="b">
        <v>1</v>
      </c>
      <c r="F3613" s="108" t="s">
        <v>12662</v>
      </c>
      <c r="G3613" s="117" t="str">
        <f>HYPERLINK("http://nsgreg.nga.mil/genc/view?v=116056&amp;gencs=T&amp;end_month=3&amp;end_day=31&amp;end_year=2014","Serravalle")</f>
        <v>Serravalle</v>
      </c>
      <c r="H3613" s="89" t="str">
        <f>HYPERLINK("http://api.nsgreg.nga.mil/geo-division/ISO3166-2/6/ed3/SM-09","SM-09")</f>
        <v>SM-09</v>
      </c>
    </row>
    <row r="3614" spans="1:8" x14ac:dyDescent="0.2">
      <c r="A3614" s="156" t="str">
        <f>HYPERLINK("[#]Geopolitical_Entities!A223:I223","SAO TOME AND PRINCIPE")</f>
        <v>SAO TOME AND PRINCIPE</v>
      </c>
      <c r="B3614" s="52" t="s">
        <v>12663</v>
      </c>
      <c r="C3614" s="52" t="s">
        <v>12664</v>
      </c>
      <c r="D3614" s="52" t="s">
        <v>1920</v>
      </c>
      <c r="E3614" s="60" t="b">
        <v>1</v>
      </c>
      <c r="F3614" s="110" t="s">
        <v>12665</v>
      </c>
      <c r="G3614" s="118" t="str">
        <f>HYPERLINK("http://nsgreg.nga.mil/genc/view?v=203053&amp;end_month=3&amp;end_day=31&amp;end_year=2014","Príncipe")</f>
        <v>Príncipe</v>
      </c>
      <c r="H3614" s="91" t="str">
        <f>HYPERLINK("http://api.nsgreg.nga.mil/geo-division/GENC/6/ed2/ST-P","ST-P")</f>
        <v>ST-P</v>
      </c>
    </row>
    <row r="3615" spans="1:8" x14ac:dyDescent="0.2">
      <c r="A3615" s="158"/>
      <c r="B3615" s="58" t="s">
        <v>12666</v>
      </c>
      <c r="C3615" s="58" t="s">
        <v>12667</v>
      </c>
      <c r="D3615" s="58" t="s">
        <v>1920</v>
      </c>
      <c r="E3615" s="62" t="b">
        <v>1</v>
      </c>
      <c r="F3615" s="111" t="s">
        <v>12668</v>
      </c>
      <c r="G3615" s="117" t="str">
        <f>HYPERLINK("http://nsgreg.nga.mil/genc/view?v=203054&amp;end_month=3&amp;end_day=31&amp;end_year=2014","São Tomé")</f>
        <v>São Tomé</v>
      </c>
      <c r="H3615" s="89" t="str">
        <f>HYPERLINK("http://api.nsgreg.nga.mil/geo-division/GENC/6/ed2/ST-S","ST-S")</f>
        <v>ST-S</v>
      </c>
    </row>
    <row r="3616" spans="1:8" x14ac:dyDescent="0.2">
      <c r="A3616" s="156" t="str">
        <f>HYPERLINK("[#]Geopolitical_Entities!A224:I224","SAUDI ARABIA")</f>
        <v>SAUDI ARABIA</v>
      </c>
      <c r="B3616" s="52" t="s">
        <v>12669</v>
      </c>
      <c r="C3616" s="52" t="s">
        <v>12670</v>
      </c>
      <c r="D3616" s="52" t="s">
        <v>3254</v>
      </c>
      <c r="E3616" s="60" t="b">
        <v>1</v>
      </c>
      <c r="F3616" s="110" t="s">
        <v>12671</v>
      </c>
      <c r="G3616" s="118" t="str">
        <f>HYPERLINK("http://nsgreg.nga.mil/genc/view?v=202937&amp;end_month=3&amp;end_day=31&amp;end_year=2014","Al Bāḩah")</f>
        <v>Al Bāḩah</v>
      </c>
      <c r="H3616" s="91" t="str">
        <f>HYPERLINK("http://api.nsgreg.nga.mil/geo-division/GENC/6/ed2/SA-11","SA-11")</f>
        <v>SA-11</v>
      </c>
    </row>
    <row r="3617" spans="1:8" x14ac:dyDescent="0.2">
      <c r="A3617" s="157"/>
      <c r="B3617" s="31" t="s">
        <v>12672</v>
      </c>
      <c r="C3617" s="31" t="s">
        <v>12673</v>
      </c>
      <c r="D3617" s="31" t="s">
        <v>3254</v>
      </c>
      <c r="E3617" s="61" t="b">
        <v>1</v>
      </c>
      <c r="F3617" s="107" t="s">
        <v>12674</v>
      </c>
      <c r="G3617" s="116" t="str">
        <f>HYPERLINK("http://nsgreg.nga.mil/genc/view?v=202934&amp;end_month=3&amp;end_day=31&amp;end_year=2014","Al Ḩudūd ash Shamālīyah")</f>
        <v>Al Ḩudūd ash Shamālīyah</v>
      </c>
      <c r="H3617" s="87" t="str">
        <f>HYPERLINK("http://api.nsgreg.nga.mil/geo-division/GENC/6/ed2/SA-08","SA-08")</f>
        <v>SA-08</v>
      </c>
    </row>
    <row r="3618" spans="1:8" x14ac:dyDescent="0.2">
      <c r="A3618" s="157"/>
      <c r="B3618" s="31" t="s">
        <v>12675</v>
      </c>
      <c r="C3618" s="31" t="s">
        <v>12676</v>
      </c>
      <c r="D3618" s="31" t="s">
        <v>3254</v>
      </c>
      <c r="E3618" s="61" t="b">
        <v>1</v>
      </c>
      <c r="F3618" s="107" t="s">
        <v>12677</v>
      </c>
      <c r="G3618" s="116" t="str">
        <f>HYPERLINK("http://nsgreg.nga.mil/genc/view?v=202938&amp;end_month=3&amp;end_day=31&amp;end_year=2014","Al Jawf")</f>
        <v>Al Jawf</v>
      </c>
      <c r="H3618" s="87" t="str">
        <f>HYPERLINK("http://api.nsgreg.nga.mil/geo-division/GENC/6/ed2/SA-12","SA-12")</f>
        <v>SA-12</v>
      </c>
    </row>
    <row r="3619" spans="1:8" x14ac:dyDescent="0.2">
      <c r="A3619" s="157"/>
      <c r="B3619" s="31" t="s">
        <v>12678</v>
      </c>
      <c r="C3619" s="31" t="s">
        <v>12679</v>
      </c>
      <c r="D3619" s="31" t="s">
        <v>3254</v>
      </c>
      <c r="E3619" s="61" t="b">
        <v>1</v>
      </c>
      <c r="F3619" s="107" t="s">
        <v>12680</v>
      </c>
      <c r="G3619" s="116" t="str">
        <f>HYPERLINK("http://nsgreg.nga.mil/genc/view?v=202929&amp;end_month=3&amp;end_day=31&amp;end_year=2014","Al Madīnah al Munawwarah")</f>
        <v>Al Madīnah al Munawwarah</v>
      </c>
      <c r="H3619" s="87" t="str">
        <f>HYPERLINK("http://api.nsgreg.nga.mil/geo-division/GENC/6/ed2/SA-03","SA-03")</f>
        <v>SA-03</v>
      </c>
    </row>
    <row r="3620" spans="1:8" x14ac:dyDescent="0.2">
      <c r="A3620" s="157"/>
      <c r="B3620" s="31" t="s">
        <v>12681</v>
      </c>
      <c r="C3620" s="31" t="s">
        <v>12682</v>
      </c>
      <c r="D3620" s="31" t="s">
        <v>3254</v>
      </c>
      <c r="E3620" s="61" t="b">
        <v>1</v>
      </c>
      <c r="F3620" s="107" t="s">
        <v>12683</v>
      </c>
      <c r="G3620" s="116" t="str">
        <f>HYPERLINK("http://nsgreg.nga.mil/genc/view?v=202931&amp;end_month=3&amp;end_day=31&amp;end_year=2014","Al Qaşīm")</f>
        <v>Al Qaşīm</v>
      </c>
      <c r="H3620" s="87" t="str">
        <f>HYPERLINK("http://api.nsgreg.nga.mil/geo-division/GENC/6/ed2/SA-05","SA-05")</f>
        <v>SA-05</v>
      </c>
    </row>
    <row r="3621" spans="1:8" x14ac:dyDescent="0.2">
      <c r="A3621" s="157"/>
      <c r="B3621" s="31" t="s">
        <v>12684</v>
      </c>
      <c r="C3621" s="31" t="s">
        <v>12685</v>
      </c>
      <c r="D3621" s="31" t="s">
        <v>3254</v>
      </c>
      <c r="E3621" s="61" t="b">
        <v>1</v>
      </c>
      <c r="F3621" s="107" t="s">
        <v>12686</v>
      </c>
      <c r="G3621" s="116" t="str">
        <f>HYPERLINK("http://nsgreg.nga.mil/genc/view?v=202927&amp;end_month=3&amp;end_day=31&amp;end_year=2014","Ar Riyāḑ")</f>
        <v>Ar Riyāḑ</v>
      </c>
      <c r="H3621" s="87" t="str">
        <f>HYPERLINK("http://api.nsgreg.nga.mil/geo-division/GENC/6/ed2/SA-01","SA-01")</f>
        <v>SA-01</v>
      </c>
    </row>
    <row r="3622" spans="1:8" x14ac:dyDescent="0.2">
      <c r="A3622" s="157"/>
      <c r="B3622" s="31" t="s">
        <v>12687</v>
      </c>
      <c r="C3622" s="31" t="s">
        <v>5411</v>
      </c>
      <c r="D3622" s="31" t="s">
        <v>3254</v>
      </c>
      <c r="E3622" s="61" t="b">
        <v>1</v>
      </c>
      <c r="F3622" s="107" t="s">
        <v>12688</v>
      </c>
      <c r="G3622" s="116" t="str">
        <f>HYPERLINK("http://nsgreg.nga.mil/genc/view?v=202930&amp;end_month=3&amp;end_day=31&amp;end_year=2014","Ash Sharqīyah")</f>
        <v>Ash Sharqīyah</v>
      </c>
      <c r="H3622" s="87" t="str">
        <f>HYPERLINK("http://api.nsgreg.nga.mil/geo-division/GENC/6/ed2/SA-04","SA-04")</f>
        <v>SA-04</v>
      </c>
    </row>
    <row r="3623" spans="1:8" x14ac:dyDescent="0.2">
      <c r="A3623" s="157"/>
      <c r="B3623" s="31" t="s">
        <v>12689</v>
      </c>
      <c r="C3623" s="31" t="s">
        <v>12690</v>
      </c>
      <c r="D3623" s="31" t="s">
        <v>3254</v>
      </c>
      <c r="E3623" s="61" t="b">
        <v>1</v>
      </c>
      <c r="F3623" s="107" t="s">
        <v>12691</v>
      </c>
      <c r="G3623" s="116" t="str">
        <f>HYPERLINK("http://nsgreg.nga.mil/genc/view?v=202939&amp;end_month=3&amp;end_day=31&amp;end_year=2014","‘Asīr")</f>
        <v>‘Asīr</v>
      </c>
      <c r="H3623" s="87" t="str">
        <f>HYPERLINK("http://api.nsgreg.nga.mil/geo-division/GENC/6/ed2/SA-14","SA-14")</f>
        <v>SA-14</v>
      </c>
    </row>
    <row r="3624" spans="1:8" x14ac:dyDescent="0.2">
      <c r="A3624" s="157"/>
      <c r="B3624" s="31" t="s">
        <v>12692</v>
      </c>
      <c r="C3624" s="31" t="s">
        <v>12693</v>
      </c>
      <c r="D3624" s="31" t="s">
        <v>3254</v>
      </c>
      <c r="E3624" s="61" t="b">
        <v>1</v>
      </c>
      <c r="F3624" s="107" t="s">
        <v>12694</v>
      </c>
      <c r="G3624" s="116" t="str">
        <f>HYPERLINK("http://nsgreg.nga.mil/genc/view?v=202932&amp;end_month=3&amp;end_day=31&amp;end_year=2014","Ḩā’il")</f>
        <v>Ḩā’il</v>
      </c>
      <c r="H3624" s="87" t="str">
        <f>HYPERLINK("http://api.nsgreg.nga.mil/geo-division/GENC/6/ed2/SA-06","SA-06")</f>
        <v>SA-06</v>
      </c>
    </row>
    <row r="3625" spans="1:8" x14ac:dyDescent="0.2">
      <c r="A3625" s="157"/>
      <c r="B3625" s="31" t="s">
        <v>12695</v>
      </c>
      <c r="C3625" s="31" t="s">
        <v>12696</v>
      </c>
      <c r="D3625" s="31" t="s">
        <v>3254</v>
      </c>
      <c r="E3625" s="61" t="b">
        <v>1</v>
      </c>
      <c r="F3625" s="107" t="s">
        <v>12697</v>
      </c>
      <c r="G3625" s="116" t="str">
        <f>HYPERLINK("http://nsgreg.nga.mil/genc/view?v=202935&amp;end_month=3&amp;end_day=31&amp;end_year=2014","Jāzān")</f>
        <v>Jāzān</v>
      </c>
      <c r="H3625" s="87" t="str">
        <f>HYPERLINK("http://api.nsgreg.nga.mil/geo-division/GENC/6/ed2/SA-09","SA-09")</f>
        <v>SA-09</v>
      </c>
    </row>
    <row r="3626" spans="1:8" x14ac:dyDescent="0.2">
      <c r="A3626" s="157"/>
      <c r="B3626" s="31" t="s">
        <v>12698</v>
      </c>
      <c r="C3626" s="31" t="s">
        <v>12699</v>
      </c>
      <c r="D3626" s="31" t="s">
        <v>3254</v>
      </c>
      <c r="E3626" s="61" t="b">
        <v>1</v>
      </c>
      <c r="F3626" s="107" t="s">
        <v>12700</v>
      </c>
      <c r="G3626" s="116" t="str">
        <f>HYPERLINK("http://nsgreg.nga.mil/genc/view?v=202928&amp;end_month=3&amp;end_day=31&amp;end_year=2014","Makkah al Mukarramah")</f>
        <v>Makkah al Mukarramah</v>
      </c>
      <c r="H3626" s="87" t="str">
        <f>HYPERLINK("http://api.nsgreg.nga.mil/geo-division/GENC/6/ed2/SA-02","SA-02")</f>
        <v>SA-02</v>
      </c>
    </row>
    <row r="3627" spans="1:8" x14ac:dyDescent="0.2">
      <c r="A3627" s="157"/>
      <c r="B3627" s="31" t="s">
        <v>12701</v>
      </c>
      <c r="C3627" s="31" t="s">
        <v>12702</v>
      </c>
      <c r="D3627" s="31" t="s">
        <v>3254</v>
      </c>
      <c r="E3627" s="61" t="b">
        <v>1</v>
      </c>
      <c r="F3627" s="107" t="s">
        <v>12703</v>
      </c>
      <c r="G3627" s="116" t="str">
        <f>HYPERLINK("http://nsgreg.nga.mil/genc/view?v=202936&amp;end_month=3&amp;end_day=31&amp;end_year=2014","Najrān")</f>
        <v>Najrān</v>
      </c>
      <c r="H3627" s="87" t="str">
        <f>HYPERLINK("http://api.nsgreg.nga.mil/geo-division/GENC/6/ed2/SA-10","SA-10")</f>
        <v>SA-10</v>
      </c>
    </row>
    <row r="3628" spans="1:8" x14ac:dyDescent="0.2">
      <c r="A3628" s="158"/>
      <c r="B3628" s="58" t="s">
        <v>12704</v>
      </c>
      <c r="C3628" s="58" t="s">
        <v>12705</v>
      </c>
      <c r="D3628" s="58" t="s">
        <v>3254</v>
      </c>
      <c r="E3628" s="62" t="b">
        <v>1</v>
      </c>
      <c r="F3628" s="111" t="s">
        <v>12706</v>
      </c>
      <c r="G3628" s="117" t="str">
        <f>HYPERLINK("http://nsgreg.nga.mil/genc/view?v=202933&amp;end_month=3&amp;end_day=31&amp;end_year=2014","Tabūk")</f>
        <v>Tabūk</v>
      </c>
      <c r="H3628" s="89" t="str">
        <f>HYPERLINK("http://api.nsgreg.nga.mil/geo-division/GENC/6/ed2/SA-07","SA-07")</f>
        <v>SA-07</v>
      </c>
    </row>
    <row r="3629" spans="1:8" x14ac:dyDescent="0.2">
      <c r="A3629" s="156" t="str">
        <f>HYPERLINK("[#]Geopolitical_Entities!A225:I225","SENEGAL")</f>
        <v>SENEGAL</v>
      </c>
      <c r="B3629" s="52" t="s">
        <v>12707</v>
      </c>
      <c r="C3629" s="52" t="s">
        <v>12708</v>
      </c>
      <c r="D3629" s="52" t="s">
        <v>3137</v>
      </c>
      <c r="E3629" s="60" t="b">
        <v>1</v>
      </c>
      <c r="F3629" s="109" t="s">
        <v>12709</v>
      </c>
      <c r="G3629" s="118" t="str">
        <f>HYPERLINK("http://nsgreg.nga.mil/genc/view?v=116058&amp;gencs=T&amp;end_month=3&amp;end_day=31&amp;end_year=2014","Dakar")</f>
        <v>Dakar</v>
      </c>
      <c r="H3629" s="91" t="str">
        <f>HYPERLINK("http://api.nsgreg.nga.mil/geo-division/ISO3166-2/6/ed3/SN-DK","SN-DK")</f>
        <v>SN-DK</v>
      </c>
    </row>
    <row r="3630" spans="1:8" x14ac:dyDescent="0.2">
      <c r="A3630" s="157"/>
      <c r="B3630" s="31" t="s">
        <v>12710</v>
      </c>
      <c r="C3630" s="31" t="s">
        <v>12711</v>
      </c>
      <c r="D3630" s="31" t="s">
        <v>3137</v>
      </c>
      <c r="E3630" s="61" t="b">
        <v>1</v>
      </c>
      <c r="F3630" s="106" t="s">
        <v>12712</v>
      </c>
      <c r="G3630" s="116" t="str">
        <f>HYPERLINK("http://nsgreg.nga.mil/genc/view?v=116057&amp;gencs=T&amp;end_month=3&amp;end_day=31&amp;end_year=2014","Diourbel")</f>
        <v>Diourbel</v>
      </c>
      <c r="H3630" s="87" t="str">
        <f>HYPERLINK("http://api.nsgreg.nga.mil/geo-division/ISO3166-2/6/ed3/SN-DB","SN-DB")</f>
        <v>SN-DB</v>
      </c>
    </row>
    <row r="3631" spans="1:8" x14ac:dyDescent="0.2">
      <c r="A3631" s="157"/>
      <c r="B3631" s="31" t="s">
        <v>12713</v>
      </c>
      <c r="C3631" s="31" t="s">
        <v>12714</v>
      </c>
      <c r="D3631" s="31" t="s">
        <v>3137</v>
      </c>
      <c r="E3631" s="61" t="b">
        <v>1</v>
      </c>
      <c r="F3631" s="106" t="s">
        <v>12715</v>
      </c>
      <c r="G3631" s="116" t="str">
        <f>HYPERLINK("http://nsgreg.nga.mil/genc/view?v=116059&amp;gencs=T&amp;end_month=3&amp;end_day=31&amp;end_year=2014","Fatick")</f>
        <v>Fatick</v>
      </c>
      <c r="H3631" s="87" t="str">
        <f>HYPERLINK("http://api.nsgreg.nga.mil/geo-division/ISO3166-2/6/ed3/SN-FK","SN-FK")</f>
        <v>SN-FK</v>
      </c>
    </row>
    <row r="3632" spans="1:8" x14ac:dyDescent="0.2">
      <c r="A3632" s="157"/>
      <c r="B3632" s="31" t="s">
        <v>12716</v>
      </c>
      <c r="C3632" s="31" t="s">
        <v>12717</v>
      </c>
      <c r="D3632" s="31" t="s">
        <v>3137</v>
      </c>
      <c r="E3632" s="61" t="b">
        <v>1</v>
      </c>
      <c r="F3632" s="106" t="s">
        <v>12718</v>
      </c>
      <c r="G3632" s="116" t="str">
        <f>HYPERLINK("http://nsgreg.nga.mil/genc/view?v=116060&amp;gencs=T&amp;end_month=3&amp;end_day=31&amp;end_year=2014","Kaffrine")</f>
        <v>Kaffrine</v>
      </c>
      <c r="H3632" s="87" t="str">
        <f>HYPERLINK("http://api.nsgreg.nga.mil/geo-division/ISO3166-2/6/ed3/SN-KA","SN-KA")</f>
        <v>SN-KA</v>
      </c>
    </row>
    <row r="3633" spans="1:8" x14ac:dyDescent="0.2">
      <c r="A3633" s="157"/>
      <c r="B3633" s="31" t="s">
        <v>12719</v>
      </c>
      <c r="C3633" s="31" t="s">
        <v>12720</v>
      </c>
      <c r="D3633" s="31" t="s">
        <v>3137</v>
      </c>
      <c r="E3633" s="61" t="b">
        <v>1</v>
      </c>
      <c r="F3633" s="106" t="s">
        <v>12721</v>
      </c>
      <c r="G3633" s="116" t="str">
        <f>HYPERLINK("http://nsgreg.nga.mil/genc/view?v=116063&amp;gencs=T&amp;end_month=3&amp;end_day=31&amp;end_year=2014","Kaolack")</f>
        <v>Kaolack</v>
      </c>
      <c r="H3633" s="87" t="str">
        <f>HYPERLINK("http://api.nsgreg.nga.mil/geo-division/ISO3166-2/6/ed3/SN-KL","SN-KL")</f>
        <v>SN-KL</v>
      </c>
    </row>
    <row r="3634" spans="1:8" x14ac:dyDescent="0.2">
      <c r="A3634" s="157"/>
      <c r="B3634" s="31" t="s">
        <v>12722</v>
      </c>
      <c r="C3634" s="31" t="s">
        <v>12723</v>
      </c>
      <c r="D3634" s="31" t="s">
        <v>3137</v>
      </c>
      <c r="E3634" s="61" t="b">
        <v>1</v>
      </c>
      <c r="F3634" s="106" t="s">
        <v>12724</v>
      </c>
      <c r="G3634" s="116" t="str">
        <f>HYPERLINK("http://nsgreg.nga.mil/genc/view?v=116062&amp;gencs=T&amp;end_month=3&amp;end_day=31&amp;end_year=2014","Kédougou")</f>
        <v>Kédougou</v>
      </c>
      <c r="H3634" s="87" t="str">
        <f>HYPERLINK("http://api.nsgreg.nga.mil/geo-division/ISO3166-2/6/ed3/SN-KE","SN-KE")</f>
        <v>SN-KE</v>
      </c>
    </row>
    <row r="3635" spans="1:8" x14ac:dyDescent="0.2">
      <c r="A3635" s="157"/>
      <c r="B3635" s="31" t="s">
        <v>12725</v>
      </c>
      <c r="C3635" s="31" t="s">
        <v>12726</v>
      </c>
      <c r="D3635" s="31" t="s">
        <v>3137</v>
      </c>
      <c r="E3635" s="61" t="b">
        <v>1</v>
      </c>
      <c r="F3635" s="106" t="s">
        <v>12727</v>
      </c>
      <c r="G3635" s="116" t="str">
        <f>HYPERLINK("http://nsgreg.nga.mil/genc/view?v=116061&amp;gencs=T&amp;end_month=3&amp;end_day=31&amp;end_year=2014","Kolda")</f>
        <v>Kolda</v>
      </c>
      <c r="H3635" s="87" t="str">
        <f>HYPERLINK("http://api.nsgreg.nga.mil/geo-division/ISO3166-2/6/ed3/SN-KD","SN-KD")</f>
        <v>SN-KD</v>
      </c>
    </row>
    <row r="3636" spans="1:8" x14ac:dyDescent="0.2">
      <c r="A3636" s="157"/>
      <c r="B3636" s="31" t="s">
        <v>12728</v>
      </c>
      <c r="C3636" s="31" t="s">
        <v>12729</v>
      </c>
      <c r="D3636" s="31" t="s">
        <v>3137</v>
      </c>
      <c r="E3636" s="61" t="b">
        <v>1</v>
      </c>
      <c r="F3636" s="106" t="s">
        <v>12730</v>
      </c>
      <c r="G3636" s="116" t="str">
        <f>HYPERLINK("http://nsgreg.nga.mil/genc/view?v=116064&amp;gencs=T&amp;end_month=3&amp;end_day=31&amp;end_year=2014","Louga")</f>
        <v>Louga</v>
      </c>
      <c r="H3636" s="87" t="str">
        <f>HYPERLINK("http://api.nsgreg.nga.mil/geo-division/ISO3166-2/6/ed3/SN-LG","SN-LG")</f>
        <v>SN-LG</v>
      </c>
    </row>
    <row r="3637" spans="1:8" x14ac:dyDescent="0.2">
      <c r="A3637" s="157"/>
      <c r="B3637" s="31" t="s">
        <v>12731</v>
      </c>
      <c r="C3637" s="31" t="s">
        <v>12732</v>
      </c>
      <c r="D3637" s="31" t="s">
        <v>3137</v>
      </c>
      <c r="E3637" s="61" t="b">
        <v>1</v>
      </c>
      <c r="F3637" s="106" t="s">
        <v>12733</v>
      </c>
      <c r="G3637" s="116" t="str">
        <f>HYPERLINK("http://nsgreg.nga.mil/genc/view?v=116065&amp;gencs=T&amp;end_month=3&amp;end_day=31&amp;end_year=2014","Matam")</f>
        <v>Matam</v>
      </c>
      <c r="H3637" s="87" t="str">
        <f>HYPERLINK("http://api.nsgreg.nga.mil/geo-division/ISO3166-2/6/ed3/SN-MT","SN-MT")</f>
        <v>SN-MT</v>
      </c>
    </row>
    <row r="3638" spans="1:8" x14ac:dyDescent="0.2">
      <c r="A3638" s="157"/>
      <c r="B3638" s="31" t="s">
        <v>12734</v>
      </c>
      <c r="C3638" s="31" t="s">
        <v>12735</v>
      </c>
      <c r="D3638" s="31" t="s">
        <v>3137</v>
      </c>
      <c r="E3638" s="61" t="b">
        <v>1</v>
      </c>
      <c r="F3638" s="106" t="s">
        <v>12736</v>
      </c>
      <c r="G3638" s="116" t="str">
        <f>HYPERLINK("http://nsgreg.nga.mil/genc/view?v=116067&amp;gencs=T&amp;end_month=3&amp;end_day=31&amp;end_year=2014","Saint-Louis")</f>
        <v>Saint-Louis</v>
      </c>
      <c r="H3638" s="87" t="str">
        <f>HYPERLINK("http://api.nsgreg.nga.mil/geo-division/ISO3166-2/6/ed3/SN-SL","SN-SL")</f>
        <v>SN-SL</v>
      </c>
    </row>
    <row r="3639" spans="1:8" x14ac:dyDescent="0.2">
      <c r="A3639" s="157"/>
      <c r="B3639" s="31" t="s">
        <v>12737</v>
      </c>
      <c r="C3639" s="31" t="s">
        <v>12738</v>
      </c>
      <c r="D3639" s="31" t="s">
        <v>3137</v>
      </c>
      <c r="E3639" s="61" t="b">
        <v>1</v>
      </c>
      <c r="F3639" s="106" t="s">
        <v>12739</v>
      </c>
      <c r="G3639" s="116" t="str">
        <f>HYPERLINK("http://nsgreg.nga.mil/genc/view?v=116066&amp;gencs=T&amp;end_month=3&amp;end_day=31&amp;end_year=2014","Sédhiou")</f>
        <v>Sédhiou</v>
      </c>
      <c r="H3639" s="87" t="str">
        <f>HYPERLINK("http://api.nsgreg.nga.mil/geo-division/ISO3166-2/6/ed3/SN-SE","SN-SE")</f>
        <v>SN-SE</v>
      </c>
    </row>
    <row r="3640" spans="1:8" x14ac:dyDescent="0.2">
      <c r="A3640" s="157"/>
      <c r="B3640" s="31" t="s">
        <v>12740</v>
      </c>
      <c r="C3640" s="31" t="s">
        <v>12741</v>
      </c>
      <c r="D3640" s="31" t="s">
        <v>3137</v>
      </c>
      <c r="E3640" s="61" t="b">
        <v>1</v>
      </c>
      <c r="F3640" s="106" t="s">
        <v>12742</v>
      </c>
      <c r="G3640" s="116" t="str">
        <f>HYPERLINK("http://nsgreg.nga.mil/genc/view?v=116068&amp;gencs=T&amp;end_month=3&amp;end_day=31&amp;end_year=2014","Tambacounda")</f>
        <v>Tambacounda</v>
      </c>
      <c r="H3640" s="87" t="str">
        <f>HYPERLINK("http://api.nsgreg.nga.mil/geo-division/ISO3166-2/6/ed3/SN-TC","SN-TC")</f>
        <v>SN-TC</v>
      </c>
    </row>
    <row r="3641" spans="1:8" x14ac:dyDescent="0.2">
      <c r="A3641" s="157"/>
      <c r="B3641" s="31" t="s">
        <v>12743</v>
      </c>
      <c r="C3641" s="31" t="s">
        <v>12744</v>
      </c>
      <c r="D3641" s="31" t="s">
        <v>3137</v>
      </c>
      <c r="E3641" s="61" t="b">
        <v>1</v>
      </c>
      <c r="F3641" s="106" t="s">
        <v>12745</v>
      </c>
      <c r="G3641" s="116" t="str">
        <f>HYPERLINK("http://nsgreg.nga.mil/genc/view?v=116069&amp;gencs=T&amp;end_month=3&amp;end_day=31&amp;end_year=2014","Thiès")</f>
        <v>Thiès</v>
      </c>
      <c r="H3641" s="87" t="str">
        <f>HYPERLINK("http://api.nsgreg.nga.mil/geo-division/ISO3166-2/6/ed3/SN-TH","SN-TH")</f>
        <v>SN-TH</v>
      </c>
    </row>
    <row r="3642" spans="1:8" x14ac:dyDescent="0.2">
      <c r="A3642" s="158"/>
      <c r="B3642" s="58" t="s">
        <v>12746</v>
      </c>
      <c r="C3642" s="58" t="s">
        <v>12747</v>
      </c>
      <c r="D3642" s="58" t="s">
        <v>3137</v>
      </c>
      <c r="E3642" s="62" t="b">
        <v>1</v>
      </c>
      <c r="F3642" s="108" t="s">
        <v>12748</v>
      </c>
      <c r="G3642" s="117" t="str">
        <f>HYPERLINK("http://nsgreg.nga.mil/genc/view?v=116070&amp;gencs=T&amp;end_month=3&amp;end_day=31&amp;end_year=2014","Ziguinchor")</f>
        <v>Ziguinchor</v>
      </c>
      <c r="H3642" s="89" t="str">
        <f>HYPERLINK("http://api.nsgreg.nga.mil/geo-division/ISO3166-2/6/ed3/SN-ZG","SN-ZG")</f>
        <v>SN-ZG</v>
      </c>
    </row>
    <row r="3643" spans="1:8" x14ac:dyDescent="0.2">
      <c r="A3643" s="156" t="str">
        <f>HYPERLINK("[#]Geopolitical_Entities!A226:I226","SERBIA")</f>
        <v>SERBIA</v>
      </c>
      <c r="B3643" s="52" t="s">
        <v>12749</v>
      </c>
      <c r="C3643" s="52" t="s">
        <v>12750</v>
      </c>
      <c r="D3643" s="52" t="s">
        <v>3254</v>
      </c>
      <c r="E3643" s="60" t="b">
        <v>1</v>
      </c>
      <c r="F3643" s="110" t="s">
        <v>12751</v>
      </c>
      <c r="G3643" s="118" t="str">
        <f>HYPERLINK("http://nsgreg.nga.mil/genc/view?v=202768&amp;end_month=3&amp;end_day=31&amp;end_year=2014","Ada")</f>
        <v>Ada</v>
      </c>
      <c r="H3643" s="91" t="str">
        <f>HYPERLINK("http://api.nsgreg.nga.mil/geo-division/GENC/6/ed2/RS-30","RS-30")</f>
        <v>RS-30</v>
      </c>
    </row>
    <row r="3644" spans="1:8" x14ac:dyDescent="0.2">
      <c r="A3644" s="157"/>
      <c r="B3644" s="31" t="s">
        <v>12752</v>
      </c>
      <c r="C3644" s="31" t="s">
        <v>12753</v>
      </c>
      <c r="D3644" s="31" t="s">
        <v>3254</v>
      </c>
      <c r="E3644" s="61" t="b">
        <v>1</v>
      </c>
      <c r="F3644" s="107" t="s">
        <v>12754</v>
      </c>
      <c r="G3644" s="116" t="str">
        <f>HYPERLINK("http://nsgreg.nga.mil/genc/view?v=202769&amp;end_month=3&amp;end_day=31&amp;end_year=2014","Aleksandrovac")</f>
        <v>Aleksandrovac</v>
      </c>
      <c r="H3644" s="87" t="str">
        <f>HYPERLINK("http://api.nsgreg.nga.mil/geo-division/GENC/6/ed2/RS-31","RS-31")</f>
        <v>RS-31</v>
      </c>
    </row>
    <row r="3645" spans="1:8" x14ac:dyDescent="0.2">
      <c r="A3645" s="157"/>
      <c r="B3645" s="31" t="s">
        <v>12755</v>
      </c>
      <c r="C3645" s="31" t="s">
        <v>12756</v>
      </c>
      <c r="D3645" s="31" t="s">
        <v>3254</v>
      </c>
      <c r="E3645" s="61" t="b">
        <v>1</v>
      </c>
      <c r="F3645" s="107" t="s">
        <v>12757</v>
      </c>
      <c r="G3645" s="116" t="str">
        <f>HYPERLINK("http://nsgreg.nga.mil/genc/view?v=202770&amp;end_month=3&amp;end_day=31&amp;end_year=2014","Aleksinac")</f>
        <v>Aleksinac</v>
      </c>
      <c r="H3645" s="87" t="str">
        <f>HYPERLINK("http://api.nsgreg.nga.mil/geo-division/GENC/6/ed2/RS-32","RS-32")</f>
        <v>RS-32</v>
      </c>
    </row>
    <row r="3646" spans="1:8" x14ac:dyDescent="0.2">
      <c r="A3646" s="157"/>
      <c r="B3646" s="31" t="s">
        <v>12758</v>
      </c>
      <c r="C3646" s="31" t="s">
        <v>12759</v>
      </c>
      <c r="D3646" s="31" t="s">
        <v>3254</v>
      </c>
      <c r="E3646" s="61" t="b">
        <v>1</v>
      </c>
      <c r="F3646" s="107" t="s">
        <v>12760</v>
      </c>
      <c r="G3646" s="116" t="str">
        <f>HYPERLINK("http://nsgreg.nga.mil/genc/view?v=202771&amp;end_month=3&amp;end_day=31&amp;end_year=2014","Alibunar")</f>
        <v>Alibunar</v>
      </c>
      <c r="H3646" s="87" t="str">
        <f>HYPERLINK("http://api.nsgreg.nga.mil/geo-division/GENC/6/ed2/RS-33","RS-33")</f>
        <v>RS-33</v>
      </c>
    </row>
    <row r="3647" spans="1:8" x14ac:dyDescent="0.2">
      <c r="A3647" s="157"/>
      <c r="B3647" s="31" t="s">
        <v>12761</v>
      </c>
      <c r="C3647" s="31" t="s">
        <v>12762</v>
      </c>
      <c r="D3647" s="31" t="s">
        <v>3254</v>
      </c>
      <c r="E3647" s="61" t="b">
        <v>1</v>
      </c>
      <c r="F3647" s="107" t="s">
        <v>12763</v>
      </c>
      <c r="G3647" s="116" t="str">
        <f>HYPERLINK("http://nsgreg.nga.mil/genc/view?v=202772&amp;end_month=3&amp;end_day=31&amp;end_year=2014","Apatin")</f>
        <v>Apatin</v>
      </c>
      <c r="H3647" s="87" t="str">
        <f>HYPERLINK("http://api.nsgreg.nga.mil/geo-division/GENC/6/ed2/RS-34","RS-34")</f>
        <v>RS-34</v>
      </c>
    </row>
    <row r="3648" spans="1:8" x14ac:dyDescent="0.2">
      <c r="A3648" s="157"/>
      <c r="B3648" s="31" t="s">
        <v>12764</v>
      </c>
      <c r="C3648" s="31" t="s">
        <v>12765</v>
      </c>
      <c r="D3648" s="31" t="s">
        <v>3254</v>
      </c>
      <c r="E3648" s="61" t="b">
        <v>1</v>
      </c>
      <c r="F3648" s="107" t="s">
        <v>12766</v>
      </c>
      <c r="G3648" s="116" t="str">
        <f>HYPERLINK("http://nsgreg.nga.mil/genc/view?v=202773&amp;end_month=3&amp;end_day=31&amp;end_year=2014","Aranđelovac")</f>
        <v>Aranđelovac</v>
      </c>
      <c r="H3648" s="87" t="str">
        <f>HYPERLINK("http://api.nsgreg.nga.mil/geo-division/GENC/6/ed2/RS-35","RS-35")</f>
        <v>RS-35</v>
      </c>
    </row>
    <row r="3649" spans="1:8" x14ac:dyDescent="0.2">
      <c r="A3649" s="157"/>
      <c r="B3649" s="31" t="s">
        <v>12767</v>
      </c>
      <c r="C3649" s="31" t="s">
        <v>12768</v>
      </c>
      <c r="D3649" s="31" t="s">
        <v>3254</v>
      </c>
      <c r="E3649" s="61" t="b">
        <v>1</v>
      </c>
      <c r="F3649" s="107" t="s">
        <v>12769</v>
      </c>
      <c r="G3649" s="116" t="str">
        <f>HYPERLINK("http://nsgreg.nga.mil/genc/view?v=202774&amp;end_month=3&amp;end_day=31&amp;end_year=2014","Arilje")</f>
        <v>Arilje</v>
      </c>
      <c r="H3649" s="87" t="str">
        <f>HYPERLINK("http://api.nsgreg.nga.mil/geo-division/GENC/6/ed2/RS-36","RS-36")</f>
        <v>RS-36</v>
      </c>
    </row>
    <row r="3650" spans="1:8" x14ac:dyDescent="0.2">
      <c r="A3650" s="157"/>
      <c r="B3650" s="31" t="s">
        <v>12770</v>
      </c>
      <c r="C3650" s="31" t="s">
        <v>12771</v>
      </c>
      <c r="D3650" s="31" t="s">
        <v>3254</v>
      </c>
      <c r="E3650" s="61" t="b">
        <v>1</v>
      </c>
      <c r="F3650" s="107" t="s">
        <v>12772</v>
      </c>
      <c r="G3650" s="116" t="str">
        <f>HYPERLINK("http://nsgreg.nga.mil/genc/view?v=202775&amp;end_month=3&amp;end_day=31&amp;end_year=2014","Babušnica")</f>
        <v>Babušnica</v>
      </c>
      <c r="H3650" s="87" t="str">
        <f>HYPERLINK("http://api.nsgreg.nga.mil/geo-division/GENC/6/ed2/RS-37","RS-37")</f>
        <v>RS-37</v>
      </c>
    </row>
    <row r="3651" spans="1:8" x14ac:dyDescent="0.2">
      <c r="A3651" s="157"/>
      <c r="B3651" s="31" t="s">
        <v>12773</v>
      </c>
      <c r="C3651" s="31" t="s">
        <v>12774</v>
      </c>
      <c r="D3651" s="31" t="s">
        <v>3254</v>
      </c>
      <c r="E3651" s="61" t="b">
        <v>1</v>
      </c>
      <c r="F3651" s="107" t="s">
        <v>12775</v>
      </c>
      <c r="G3651" s="116" t="str">
        <f>HYPERLINK("http://nsgreg.nga.mil/genc/view?v=202776&amp;end_month=3&amp;end_day=31&amp;end_year=2014","Bač")</f>
        <v>Bač</v>
      </c>
      <c r="H3651" s="87" t="str">
        <f>HYPERLINK("http://api.nsgreg.nga.mil/geo-division/GENC/6/ed2/RS-38","RS-38")</f>
        <v>RS-38</v>
      </c>
    </row>
    <row r="3652" spans="1:8" x14ac:dyDescent="0.2">
      <c r="A3652" s="157"/>
      <c r="B3652" s="31" t="s">
        <v>12776</v>
      </c>
      <c r="C3652" s="31" t="s">
        <v>12777</v>
      </c>
      <c r="D3652" s="31" t="s">
        <v>3254</v>
      </c>
      <c r="E3652" s="61" t="b">
        <v>1</v>
      </c>
      <c r="F3652" s="107" t="s">
        <v>12778</v>
      </c>
      <c r="G3652" s="116" t="str">
        <f>HYPERLINK("http://nsgreg.nga.mil/genc/view?v=202777&amp;end_month=3&amp;end_day=31&amp;end_year=2014","Bačka Palanka")</f>
        <v>Bačka Palanka</v>
      </c>
      <c r="H3652" s="87" t="str">
        <f>HYPERLINK("http://api.nsgreg.nga.mil/geo-division/GENC/6/ed2/RS-39","RS-39")</f>
        <v>RS-39</v>
      </c>
    </row>
    <row r="3653" spans="1:8" x14ac:dyDescent="0.2">
      <c r="A3653" s="157"/>
      <c r="B3653" s="31" t="s">
        <v>12779</v>
      </c>
      <c r="C3653" s="31" t="s">
        <v>12780</v>
      </c>
      <c r="D3653" s="31" t="s">
        <v>3254</v>
      </c>
      <c r="E3653" s="61" t="b">
        <v>1</v>
      </c>
      <c r="F3653" s="107" t="s">
        <v>12781</v>
      </c>
      <c r="G3653" s="116" t="str">
        <f>HYPERLINK("http://nsgreg.nga.mil/genc/view?v=202778&amp;end_month=3&amp;end_day=31&amp;end_year=2014","Bačka Topola")</f>
        <v>Bačka Topola</v>
      </c>
      <c r="H3653" s="87" t="str">
        <f>HYPERLINK("http://api.nsgreg.nga.mil/geo-division/GENC/6/ed2/RS-40","RS-40")</f>
        <v>RS-40</v>
      </c>
    </row>
    <row r="3654" spans="1:8" x14ac:dyDescent="0.2">
      <c r="A3654" s="157"/>
      <c r="B3654" s="31" t="s">
        <v>12782</v>
      </c>
      <c r="C3654" s="31" t="s">
        <v>12783</v>
      </c>
      <c r="D3654" s="31" t="s">
        <v>3254</v>
      </c>
      <c r="E3654" s="61" t="b">
        <v>1</v>
      </c>
      <c r="F3654" s="107" t="s">
        <v>12784</v>
      </c>
      <c r="G3654" s="116" t="str">
        <f>HYPERLINK("http://nsgreg.nga.mil/genc/view?v=202779&amp;end_month=3&amp;end_day=31&amp;end_year=2014","Bački Petrovac")</f>
        <v>Bački Petrovac</v>
      </c>
      <c r="H3654" s="87" t="str">
        <f>HYPERLINK("http://api.nsgreg.nga.mil/geo-division/GENC/6/ed2/RS-41","RS-41")</f>
        <v>RS-41</v>
      </c>
    </row>
    <row r="3655" spans="1:8" x14ac:dyDescent="0.2">
      <c r="A3655" s="157"/>
      <c r="B3655" s="31" t="s">
        <v>12785</v>
      </c>
      <c r="C3655" s="31" t="s">
        <v>12786</v>
      </c>
      <c r="D3655" s="31" t="s">
        <v>3254</v>
      </c>
      <c r="E3655" s="61" t="b">
        <v>1</v>
      </c>
      <c r="F3655" s="107" t="s">
        <v>12787</v>
      </c>
      <c r="G3655" s="116" t="str">
        <f>HYPERLINK("http://nsgreg.nga.mil/genc/view?v=202780&amp;end_month=3&amp;end_day=31&amp;end_year=2014","Bajina Bašta")</f>
        <v>Bajina Bašta</v>
      </c>
      <c r="H3655" s="87" t="str">
        <f>HYPERLINK("http://api.nsgreg.nga.mil/geo-division/GENC/6/ed2/RS-42","RS-42")</f>
        <v>RS-42</v>
      </c>
    </row>
    <row r="3656" spans="1:8" x14ac:dyDescent="0.2">
      <c r="A3656" s="157"/>
      <c r="B3656" s="31" t="s">
        <v>12788</v>
      </c>
      <c r="C3656" s="31" t="s">
        <v>12789</v>
      </c>
      <c r="D3656" s="31" t="s">
        <v>3254</v>
      </c>
      <c r="E3656" s="61" t="b">
        <v>1</v>
      </c>
      <c r="F3656" s="107" t="s">
        <v>12790</v>
      </c>
      <c r="G3656" s="116" t="str">
        <f>HYPERLINK("http://nsgreg.nga.mil/genc/view?v=202781&amp;end_month=3&amp;end_day=31&amp;end_year=2014","Batočina")</f>
        <v>Batočina</v>
      </c>
      <c r="H3656" s="87" t="str">
        <f>HYPERLINK("http://api.nsgreg.nga.mil/geo-division/GENC/6/ed2/RS-43","RS-43")</f>
        <v>RS-43</v>
      </c>
    </row>
    <row r="3657" spans="1:8" x14ac:dyDescent="0.2">
      <c r="A3657" s="157"/>
      <c r="B3657" s="31" t="s">
        <v>12791</v>
      </c>
      <c r="C3657" s="31" t="s">
        <v>12792</v>
      </c>
      <c r="D3657" s="31" t="s">
        <v>3254</v>
      </c>
      <c r="E3657" s="61" t="b">
        <v>1</v>
      </c>
      <c r="F3657" s="107" t="s">
        <v>12793</v>
      </c>
      <c r="G3657" s="116" t="str">
        <f>HYPERLINK("http://nsgreg.nga.mil/genc/view?v=202782&amp;end_month=3&amp;end_day=31&amp;end_year=2014","Bečej")</f>
        <v>Bečej</v>
      </c>
      <c r="H3657" s="87" t="str">
        <f>HYPERLINK("http://api.nsgreg.nga.mil/geo-division/GENC/6/ed2/RS-44","RS-44")</f>
        <v>RS-44</v>
      </c>
    </row>
    <row r="3658" spans="1:8" x14ac:dyDescent="0.2">
      <c r="A3658" s="157"/>
      <c r="B3658" s="31" t="s">
        <v>12794</v>
      </c>
      <c r="C3658" s="31" t="s">
        <v>12795</v>
      </c>
      <c r="D3658" s="31" t="s">
        <v>3254</v>
      </c>
      <c r="E3658" s="61" t="b">
        <v>1</v>
      </c>
      <c r="F3658" s="107" t="s">
        <v>12796</v>
      </c>
      <c r="G3658" s="116" t="str">
        <f>HYPERLINK("http://nsgreg.nga.mil/genc/view?v=202783&amp;end_month=3&amp;end_day=31&amp;end_year=2014","Bela Crkva")</f>
        <v>Bela Crkva</v>
      </c>
      <c r="H3658" s="87" t="str">
        <f>HYPERLINK("http://api.nsgreg.nga.mil/geo-division/GENC/6/ed2/RS-45","RS-45")</f>
        <v>RS-45</v>
      </c>
    </row>
    <row r="3659" spans="1:8" x14ac:dyDescent="0.2">
      <c r="A3659" s="157"/>
      <c r="B3659" s="31" t="s">
        <v>12797</v>
      </c>
      <c r="C3659" s="31" t="s">
        <v>12798</v>
      </c>
      <c r="D3659" s="31" t="s">
        <v>3254</v>
      </c>
      <c r="E3659" s="61" t="b">
        <v>1</v>
      </c>
      <c r="F3659" s="107" t="s">
        <v>12799</v>
      </c>
      <c r="G3659" s="116" t="str">
        <f>HYPERLINK("http://nsgreg.nga.mil/genc/view?v=202784&amp;end_month=3&amp;end_day=31&amp;end_year=2014","Bela Palanka")</f>
        <v>Bela Palanka</v>
      </c>
      <c r="H3659" s="87" t="str">
        <f>HYPERLINK("http://api.nsgreg.nga.mil/geo-division/GENC/6/ed2/RS-46","RS-46")</f>
        <v>RS-46</v>
      </c>
    </row>
    <row r="3660" spans="1:8" x14ac:dyDescent="0.2">
      <c r="A3660" s="157"/>
      <c r="B3660" s="31" t="s">
        <v>12800</v>
      </c>
      <c r="C3660" s="31" t="s">
        <v>12801</v>
      </c>
      <c r="D3660" s="31" t="s">
        <v>3254</v>
      </c>
      <c r="E3660" s="61" t="b">
        <v>1</v>
      </c>
      <c r="F3660" s="107" t="s">
        <v>12802</v>
      </c>
      <c r="G3660" s="116" t="str">
        <f>HYPERLINK("http://nsgreg.nga.mil/genc/view?v=202785&amp;end_month=3&amp;end_day=31&amp;end_year=2014","Beočin ")</f>
        <v xml:space="preserve">Beočin </v>
      </c>
      <c r="H3660" s="87" t="str">
        <f>HYPERLINK("http://api.nsgreg.nga.mil/geo-division/GENC/6/ed2/RS-47","RS-47")</f>
        <v>RS-47</v>
      </c>
    </row>
    <row r="3661" spans="1:8" x14ac:dyDescent="0.2">
      <c r="A3661" s="157"/>
      <c r="B3661" s="31" t="s">
        <v>12803</v>
      </c>
      <c r="C3661" s="31" t="s">
        <v>12804</v>
      </c>
      <c r="D3661" s="31" t="s">
        <v>2405</v>
      </c>
      <c r="E3661" s="61" t="b">
        <v>1</v>
      </c>
      <c r="F3661" s="106" t="s">
        <v>12805</v>
      </c>
      <c r="G3661" s="116" t="str">
        <f>HYPERLINK("http://nsgreg.nga.mil/genc/view?v=115612&amp;gencs=T&amp;end_month=3&amp;end_day=31&amp;end_year=2014","Beograd")</f>
        <v>Beograd</v>
      </c>
      <c r="H3661" s="87" t="str">
        <f>HYPERLINK("http://api.nsgreg.nga.mil/geo-division/ISO3166-2/6/ed3/RS-00","RS-00")</f>
        <v>RS-00</v>
      </c>
    </row>
    <row r="3662" spans="1:8" x14ac:dyDescent="0.2">
      <c r="A3662" s="157"/>
      <c r="B3662" s="31" t="s">
        <v>12806</v>
      </c>
      <c r="C3662" s="31" t="s">
        <v>12807</v>
      </c>
      <c r="D3662" s="31" t="s">
        <v>3254</v>
      </c>
      <c r="E3662" s="61" t="b">
        <v>1</v>
      </c>
      <c r="F3662" s="107" t="s">
        <v>12808</v>
      </c>
      <c r="G3662" s="116" t="str">
        <f>HYPERLINK("http://nsgreg.nga.mil/genc/view?v=202786&amp;end_month=3&amp;end_day=31&amp;end_year=2014","Blace")</f>
        <v>Blace</v>
      </c>
      <c r="H3662" s="87" t="str">
        <f>HYPERLINK("http://api.nsgreg.nga.mil/geo-division/GENC/6/ed2/RS-48","RS-48")</f>
        <v>RS-48</v>
      </c>
    </row>
    <row r="3663" spans="1:8" x14ac:dyDescent="0.2">
      <c r="A3663" s="157"/>
      <c r="B3663" s="31" t="s">
        <v>12809</v>
      </c>
      <c r="C3663" s="31" t="s">
        <v>12810</v>
      </c>
      <c r="D3663" s="31" t="s">
        <v>3254</v>
      </c>
      <c r="E3663" s="61" t="b">
        <v>1</v>
      </c>
      <c r="F3663" s="107" t="s">
        <v>12811</v>
      </c>
      <c r="G3663" s="116" t="str">
        <f>HYPERLINK("http://nsgreg.nga.mil/genc/view?v=202787&amp;end_month=3&amp;end_day=31&amp;end_year=2014","Bogatić")</f>
        <v>Bogatić</v>
      </c>
      <c r="H3663" s="87" t="str">
        <f>HYPERLINK("http://api.nsgreg.nga.mil/geo-division/GENC/6/ed2/RS-49","RS-49")</f>
        <v>RS-49</v>
      </c>
    </row>
    <row r="3664" spans="1:8" x14ac:dyDescent="0.2">
      <c r="A3664" s="157"/>
      <c r="B3664" s="31" t="s">
        <v>12812</v>
      </c>
      <c r="C3664" s="31" t="s">
        <v>12813</v>
      </c>
      <c r="D3664" s="31" t="s">
        <v>3254</v>
      </c>
      <c r="E3664" s="61" t="b">
        <v>1</v>
      </c>
      <c r="F3664" s="107" t="s">
        <v>12814</v>
      </c>
      <c r="G3664" s="116" t="str">
        <f>HYPERLINK("http://nsgreg.nga.mil/genc/view?v=202788&amp;end_month=3&amp;end_day=31&amp;end_year=2014","Bojnik")</f>
        <v>Bojnik</v>
      </c>
      <c r="H3664" s="87" t="str">
        <f>HYPERLINK("http://api.nsgreg.nga.mil/geo-division/GENC/6/ed2/RS-50","RS-50")</f>
        <v>RS-50</v>
      </c>
    </row>
    <row r="3665" spans="1:8" x14ac:dyDescent="0.2">
      <c r="A3665" s="157"/>
      <c r="B3665" s="31" t="s">
        <v>12815</v>
      </c>
      <c r="C3665" s="31" t="s">
        <v>12816</v>
      </c>
      <c r="D3665" s="31" t="s">
        <v>3254</v>
      </c>
      <c r="E3665" s="61" t="b">
        <v>1</v>
      </c>
      <c r="F3665" s="107" t="s">
        <v>12817</v>
      </c>
      <c r="G3665" s="116" t="str">
        <f>HYPERLINK("http://nsgreg.nga.mil/genc/view?v=202789&amp;end_month=3&amp;end_day=31&amp;end_year=2014","Boljevac")</f>
        <v>Boljevac</v>
      </c>
      <c r="H3665" s="87" t="str">
        <f>HYPERLINK("http://api.nsgreg.nga.mil/geo-division/GENC/6/ed2/RS-51","RS-51")</f>
        <v>RS-51</v>
      </c>
    </row>
    <row r="3666" spans="1:8" x14ac:dyDescent="0.2">
      <c r="A3666" s="157"/>
      <c r="B3666" s="31" t="s">
        <v>12818</v>
      </c>
      <c r="C3666" s="31" t="s">
        <v>12819</v>
      </c>
      <c r="D3666" s="31" t="s">
        <v>3254</v>
      </c>
      <c r="E3666" s="61" t="b">
        <v>1</v>
      </c>
      <c r="F3666" s="107" t="s">
        <v>12820</v>
      </c>
      <c r="G3666" s="116" t="str">
        <f>HYPERLINK("http://nsgreg.nga.mil/genc/view?v=202790&amp;end_month=3&amp;end_day=31&amp;end_year=2014","Bor")</f>
        <v>Bor</v>
      </c>
      <c r="H3666" s="87" t="str">
        <f>HYPERLINK("http://api.nsgreg.nga.mil/geo-division/GENC/6/ed2/RS-52","RS-52")</f>
        <v>RS-52</v>
      </c>
    </row>
    <row r="3667" spans="1:8" x14ac:dyDescent="0.2">
      <c r="A3667" s="157"/>
      <c r="B3667" s="31" t="s">
        <v>12821</v>
      </c>
      <c r="C3667" s="31" t="s">
        <v>12822</v>
      </c>
      <c r="D3667" s="98" t="s">
        <v>2026</v>
      </c>
      <c r="E3667" s="99" t="b">
        <v>0</v>
      </c>
      <c r="F3667" s="107" t="s">
        <v>12823</v>
      </c>
      <c r="G3667" s="116" t="str">
        <f>HYPERLINK("http://nsgreg.nga.mil/genc/view?v=202718&amp;end_month=3&amp;end_day=31&amp;end_year=2014","Borski Okrug")</f>
        <v>Borski Okrug</v>
      </c>
      <c r="H3667" s="87" t="str">
        <f>HYPERLINK("http://api.nsgreg.nga.mil/geo-division/GENC/6/ed2/RS-14","RS-14")</f>
        <v>RS-14</v>
      </c>
    </row>
    <row r="3668" spans="1:8" x14ac:dyDescent="0.2">
      <c r="A3668" s="157"/>
      <c r="B3668" s="31" t="s">
        <v>12824</v>
      </c>
      <c r="C3668" s="31" t="s">
        <v>12825</v>
      </c>
      <c r="D3668" s="31" t="s">
        <v>3254</v>
      </c>
      <c r="E3668" s="61" t="b">
        <v>1</v>
      </c>
      <c r="F3668" s="107" t="s">
        <v>12826</v>
      </c>
      <c r="G3668" s="116" t="str">
        <f>HYPERLINK("http://nsgreg.nga.mil/genc/view?v=202791&amp;end_month=3&amp;end_day=31&amp;end_year=2014","Bosilegrad")</f>
        <v>Bosilegrad</v>
      </c>
      <c r="H3668" s="87" t="str">
        <f>HYPERLINK("http://api.nsgreg.nga.mil/geo-division/GENC/6/ed2/RS-53","RS-53")</f>
        <v>RS-53</v>
      </c>
    </row>
    <row r="3669" spans="1:8" x14ac:dyDescent="0.2">
      <c r="A3669" s="157"/>
      <c r="B3669" s="31" t="s">
        <v>12827</v>
      </c>
      <c r="C3669" s="31" t="s">
        <v>12828</v>
      </c>
      <c r="D3669" s="98" t="s">
        <v>2026</v>
      </c>
      <c r="E3669" s="99" t="b">
        <v>0</v>
      </c>
      <c r="F3669" s="107" t="s">
        <v>12829</v>
      </c>
      <c r="G3669" s="116" t="str">
        <f>HYPERLINK("http://nsgreg.nga.mil/genc/view?v=202685&amp;end_month=3&amp;end_day=31&amp;end_year=2014","Braničevski Okrug")</f>
        <v>Braničevski Okrug</v>
      </c>
      <c r="H3669" s="87" t="str">
        <f>HYPERLINK("http://api.nsgreg.nga.mil/geo-division/GENC/6/ed2/RS-11","RS-11")</f>
        <v>RS-11</v>
      </c>
    </row>
    <row r="3670" spans="1:8" x14ac:dyDescent="0.2">
      <c r="A3670" s="157"/>
      <c r="B3670" s="31" t="s">
        <v>12830</v>
      </c>
      <c r="C3670" s="31" t="s">
        <v>12831</v>
      </c>
      <c r="D3670" s="31" t="s">
        <v>3254</v>
      </c>
      <c r="E3670" s="61" t="b">
        <v>1</v>
      </c>
      <c r="F3670" s="107" t="s">
        <v>12832</v>
      </c>
      <c r="G3670" s="116" t="str">
        <f>HYPERLINK("http://nsgreg.nga.mil/genc/view?v=202792&amp;end_month=3&amp;end_day=31&amp;end_year=2014","Brus")</f>
        <v>Brus</v>
      </c>
      <c r="H3670" s="87" t="str">
        <f>HYPERLINK("http://api.nsgreg.nga.mil/geo-division/GENC/6/ed2/RS-54","RS-54")</f>
        <v>RS-54</v>
      </c>
    </row>
    <row r="3671" spans="1:8" x14ac:dyDescent="0.2">
      <c r="A3671" s="157"/>
      <c r="B3671" s="31" t="s">
        <v>12833</v>
      </c>
      <c r="C3671" s="31" t="s">
        <v>12834</v>
      </c>
      <c r="D3671" s="31" t="s">
        <v>3254</v>
      </c>
      <c r="E3671" s="61" t="b">
        <v>1</v>
      </c>
      <c r="F3671" s="107" t="s">
        <v>12835</v>
      </c>
      <c r="G3671" s="116" t="str">
        <f>HYPERLINK("http://nsgreg.nga.mil/genc/view?v=202793&amp;end_month=3&amp;end_day=31&amp;end_year=2014","Bujanovac")</f>
        <v>Bujanovac</v>
      </c>
      <c r="H3671" s="87" t="str">
        <f>HYPERLINK("http://api.nsgreg.nga.mil/geo-division/GENC/6/ed2/RS-55","RS-55")</f>
        <v>RS-55</v>
      </c>
    </row>
    <row r="3672" spans="1:8" x14ac:dyDescent="0.2">
      <c r="A3672" s="157"/>
      <c r="B3672" s="31" t="s">
        <v>12836</v>
      </c>
      <c r="C3672" s="31" t="s">
        <v>12837</v>
      </c>
      <c r="D3672" s="31" t="s">
        <v>2405</v>
      </c>
      <c r="E3672" s="61" t="b">
        <v>1</v>
      </c>
      <c r="F3672" s="107" t="s">
        <v>12838</v>
      </c>
      <c r="G3672" s="116" t="str">
        <f>HYPERLINK("http://nsgreg.nga.mil/genc/view?v=202794&amp;end_month=3&amp;end_day=31&amp;end_year=2014","Čačak")</f>
        <v>Čačak</v>
      </c>
      <c r="H3672" s="87" t="str">
        <f>HYPERLINK("http://api.nsgreg.nga.mil/geo-division/GENC/6/ed2/RS-56","RS-56")</f>
        <v>RS-56</v>
      </c>
    </row>
    <row r="3673" spans="1:8" x14ac:dyDescent="0.2">
      <c r="A3673" s="157"/>
      <c r="B3673" s="31" t="s">
        <v>12839</v>
      </c>
      <c r="C3673" s="31" t="s">
        <v>12840</v>
      </c>
      <c r="D3673" s="31" t="s">
        <v>3254</v>
      </c>
      <c r="E3673" s="61" t="b">
        <v>1</v>
      </c>
      <c r="F3673" s="107" t="s">
        <v>12841</v>
      </c>
      <c r="G3673" s="116" t="str">
        <f>HYPERLINK("http://nsgreg.nga.mil/genc/view?v=202795&amp;end_month=3&amp;end_day=31&amp;end_year=2014","Čajetina")</f>
        <v>Čajetina</v>
      </c>
      <c r="H3673" s="87" t="str">
        <f>HYPERLINK("http://api.nsgreg.nga.mil/geo-division/GENC/6/ed2/RS-57","RS-57")</f>
        <v>RS-57</v>
      </c>
    </row>
    <row r="3674" spans="1:8" x14ac:dyDescent="0.2">
      <c r="A3674" s="157"/>
      <c r="B3674" s="31" t="s">
        <v>12842</v>
      </c>
      <c r="C3674" s="31" t="s">
        <v>12843</v>
      </c>
      <c r="D3674" s="31" t="s">
        <v>3254</v>
      </c>
      <c r="E3674" s="61" t="b">
        <v>1</v>
      </c>
      <c r="F3674" s="107" t="s">
        <v>12844</v>
      </c>
      <c r="G3674" s="116" t="str">
        <f>HYPERLINK("http://nsgreg.nga.mil/genc/view?v=202796&amp;end_month=3&amp;end_day=31&amp;end_year=2014","Ćićevac")</f>
        <v>Ćićevac</v>
      </c>
      <c r="H3674" s="87" t="str">
        <f>HYPERLINK("http://api.nsgreg.nga.mil/geo-division/GENC/6/ed2/RS-58","RS-58")</f>
        <v>RS-58</v>
      </c>
    </row>
    <row r="3675" spans="1:8" x14ac:dyDescent="0.2">
      <c r="A3675" s="157"/>
      <c r="B3675" s="31" t="s">
        <v>12845</v>
      </c>
      <c r="C3675" s="31" t="s">
        <v>12846</v>
      </c>
      <c r="D3675" s="31" t="s">
        <v>3254</v>
      </c>
      <c r="E3675" s="61" t="b">
        <v>1</v>
      </c>
      <c r="F3675" s="107" t="s">
        <v>12847</v>
      </c>
      <c r="G3675" s="116" t="str">
        <f>HYPERLINK("http://nsgreg.nga.mil/genc/view?v=202797&amp;end_month=3&amp;end_day=31&amp;end_year=2014","Čoka")</f>
        <v>Čoka</v>
      </c>
      <c r="H3675" s="87" t="str">
        <f>HYPERLINK("http://api.nsgreg.nga.mil/geo-division/GENC/6/ed2/RS-59","RS-59")</f>
        <v>RS-59</v>
      </c>
    </row>
    <row r="3676" spans="1:8" x14ac:dyDescent="0.2">
      <c r="A3676" s="157"/>
      <c r="B3676" s="31" t="s">
        <v>12848</v>
      </c>
      <c r="C3676" s="31" t="s">
        <v>12849</v>
      </c>
      <c r="D3676" s="31" t="s">
        <v>3254</v>
      </c>
      <c r="E3676" s="61" t="b">
        <v>1</v>
      </c>
      <c r="F3676" s="107" t="s">
        <v>12850</v>
      </c>
      <c r="G3676" s="116" t="str">
        <f>HYPERLINK("http://nsgreg.nga.mil/genc/view?v=202798&amp;end_month=3&amp;end_day=31&amp;end_year=2014","Crna Trava")</f>
        <v>Crna Trava</v>
      </c>
      <c r="H3676" s="87" t="str">
        <f>HYPERLINK("http://api.nsgreg.nga.mil/geo-division/GENC/6/ed2/RS-60","RS-60")</f>
        <v>RS-60</v>
      </c>
    </row>
    <row r="3677" spans="1:8" x14ac:dyDescent="0.2">
      <c r="A3677" s="157"/>
      <c r="B3677" s="31" t="s">
        <v>12851</v>
      </c>
      <c r="C3677" s="31" t="s">
        <v>12852</v>
      </c>
      <c r="D3677" s="31" t="s">
        <v>3254</v>
      </c>
      <c r="E3677" s="61" t="b">
        <v>1</v>
      </c>
      <c r="F3677" s="107" t="s">
        <v>12853</v>
      </c>
      <c r="G3677" s="116" t="str">
        <f>HYPERLINK("http://nsgreg.nga.mil/genc/view?v=202799&amp;end_month=3&amp;end_day=31&amp;end_year=2014","Ćuprija")</f>
        <v>Ćuprija</v>
      </c>
      <c r="H3677" s="87" t="str">
        <f>HYPERLINK("http://api.nsgreg.nga.mil/geo-division/GENC/6/ed2/RS-61","RS-61")</f>
        <v>RS-61</v>
      </c>
    </row>
    <row r="3678" spans="1:8" x14ac:dyDescent="0.2">
      <c r="A3678" s="157"/>
      <c r="B3678" s="31" t="s">
        <v>12854</v>
      </c>
      <c r="C3678" s="31" t="s">
        <v>12855</v>
      </c>
      <c r="D3678" s="31" t="s">
        <v>3254</v>
      </c>
      <c r="E3678" s="61" t="b">
        <v>1</v>
      </c>
      <c r="F3678" s="107" t="s">
        <v>12856</v>
      </c>
      <c r="G3678" s="116" t="str">
        <f>HYPERLINK("http://nsgreg.nga.mil/genc/view?v=202800&amp;end_month=3&amp;end_day=31&amp;end_year=2014","Despotovac")</f>
        <v>Despotovac</v>
      </c>
      <c r="H3678" s="87" t="str">
        <f>HYPERLINK("http://api.nsgreg.nga.mil/geo-division/GENC/6/ed2/RS-62","RS-62")</f>
        <v>RS-62</v>
      </c>
    </row>
    <row r="3679" spans="1:8" x14ac:dyDescent="0.2">
      <c r="A3679" s="157"/>
      <c r="B3679" s="31" t="s">
        <v>12857</v>
      </c>
      <c r="C3679" s="31" t="s">
        <v>12858</v>
      </c>
      <c r="D3679" s="31" t="s">
        <v>3254</v>
      </c>
      <c r="E3679" s="61" t="b">
        <v>1</v>
      </c>
      <c r="F3679" s="107" t="s">
        <v>12859</v>
      </c>
      <c r="G3679" s="116" t="str">
        <f>HYPERLINK("http://nsgreg.nga.mil/genc/view?v=202801&amp;end_month=3&amp;end_day=31&amp;end_year=2014","Dimitrovgrad")</f>
        <v>Dimitrovgrad</v>
      </c>
      <c r="H3679" s="87" t="str">
        <f>HYPERLINK("http://api.nsgreg.nga.mil/geo-division/GENC/6/ed2/RS-63","RS-63")</f>
        <v>RS-63</v>
      </c>
    </row>
    <row r="3680" spans="1:8" x14ac:dyDescent="0.2">
      <c r="A3680" s="157"/>
      <c r="B3680" s="31" t="s">
        <v>12860</v>
      </c>
      <c r="C3680" s="31" t="s">
        <v>12861</v>
      </c>
      <c r="D3680" s="31" t="s">
        <v>3254</v>
      </c>
      <c r="E3680" s="61" t="b">
        <v>1</v>
      </c>
      <c r="F3680" s="107" t="s">
        <v>12862</v>
      </c>
      <c r="G3680" s="116" t="str">
        <f>HYPERLINK("http://nsgreg.nga.mil/genc/view?v=202802&amp;end_month=3&amp;end_day=31&amp;end_year=2014","Doljevac")</f>
        <v>Doljevac</v>
      </c>
      <c r="H3680" s="87" t="str">
        <f>HYPERLINK("http://api.nsgreg.nga.mil/geo-division/GENC/6/ed2/RS-64","RS-64")</f>
        <v>RS-64</v>
      </c>
    </row>
    <row r="3681" spans="1:8" x14ac:dyDescent="0.2">
      <c r="A3681" s="157"/>
      <c r="B3681" s="31" t="s">
        <v>12863</v>
      </c>
      <c r="C3681" s="31" t="s">
        <v>12864</v>
      </c>
      <c r="D3681" s="31" t="s">
        <v>3254</v>
      </c>
      <c r="E3681" s="61" t="b">
        <v>1</v>
      </c>
      <c r="F3681" s="107" t="s">
        <v>12865</v>
      </c>
      <c r="G3681" s="116" t="str">
        <f>HYPERLINK("http://nsgreg.nga.mil/genc/view?v=202803&amp;end_month=3&amp;end_day=31&amp;end_year=2014","Gadžin Han")</f>
        <v>Gadžin Han</v>
      </c>
      <c r="H3681" s="87" t="str">
        <f>HYPERLINK("http://api.nsgreg.nga.mil/geo-division/GENC/6/ed2/RS-65","RS-65")</f>
        <v>RS-65</v>
      </c>
    </row>
    <row r="3682" spans="1:8" x14ac:dyDescent="0.2">
      <c r="A3682" s="157"/>
      <c r="B3682" s="31" t="s">
        <v>12866</v>
      </c>
      <c r="C3682" s="31" t="s">
        <v>12867</v>
      </c>
      <c r="D3682" s="31" t="s">
        <v>3254</v>
      </c>
      <c r="E3682" s="61" t="b">
        <v>1</v>
      </c>
      <c r="F3682" s="107" t="s">
        <v>12868</v>
      </c>
      <c r="G3682" s="116" t="str">
        <f>HYPERLINK("http://nsgreg.nga.mil/genc/view?v=202804&amp;end_month=3&amp;end_day=31&amp;end_year=2014","Golubac")</f>
        <v>Golubac</v>
      </c>
      <c r="H3682" s="87" t="str">
        <f>HYPERLINK("http://api.nsgreg.nga.mil/geo-division/GENC/6/ed2/RS-66","RS-66")</f>
        <v>RS-66</v>
      </c>
    </row>
    <row r="3683" spans="1:8" x14ac:dyDescent="0.2">
      <c r="A3683" s="157"/>
      <c r="B3683" s="31" t="s">
        <v>12869</v>
      </c>
      <c r="C3683" s="31" t="s">
        <v>12870</v>
      </c>
      <c r="D3683" s="31" t="s">
        <v>3254</v>
      </c>
      <c r="E3683" s="61" t="b">
        <v>1</v>
      </c>
      <c r="F3683" s="107" t="s">
        <v>12871</v>
      </c>
      <c r="G3683" s="116" t="str">
        <f>HYPERLINK("http://nsgreg.nga.mil/genc/view?v=202805&amp;end_month=3&amp;end_day=31&amp;end_year=2014","Gornji Milanovac")</f>
        <v>Gornji Milanovac</v>
      </c>
      <c r="H3683" s="87" t="str">
        <f>HYPERLINK("http://api.nsgreg.nga.mil/geo-division/GENC/6/ed2/RS-67","RS-67")</f>
        <v>RS-67</v>
      </c>
    </row>
    <row r="3684" spans="1:8" x14ac:dyDescent="0.2">
      <c r="A3684" s="157"/>
      <c r="B3684" s="31" t="s">
        <v>12872</v>
      </c>
      <c r="C3684" s="31" t="s">
        <v>12873</v>
      </c>
      <c r="D3684" s="31" t="s">
        <v>3254</v>
      </c>
      <c r="E3684" s="61" t="b">
        <v>1</v>
      </c>
      <c r="F3684" s="107" t="s">
        <v>12874</v>
      </c>
      <c r="G3684" s="116" t="str">
        <f>HYPERLINK("http://nsgreg.nga.mil/genc/view?v=202806&amp;end_month=3&amp;end_day=31&amp;end_year=2014","Inđija")</f>
        <v>Inđija</v>
      </c>
      <c r="H3684" s="87" t="str">
        <f>HYPERLINK("http://api.nsgreg.nga.mil/geo-division/GENC/6/ed2/RS-68","RS-68")</f>
        <v>RS-68</v>
      </c>
    </row>
    <row r="3685" spans="1:8" x14ac:dyDescent="0.2">
      <c r="A3685" s="157"/>
      <c r="B3685" s="31" t="s">
        <v>12875</v>
      </c>
      <c r="C3685" s="31" t="s">
        <v>12876</v>
      </c>
      <c r="D3685" s="31" t="s">
        <v>3254</v>
      </c>
      <c r="E3685" s="61" t="b">
        <v>1</v>
      </c>
      <c r="F3685" s="107" t="s">
        <v>12877</v>
      </c>
      <c r="G3685" s="116" t="str">
        <f>HYPERLINK("http://nsgreg.nga.mil/genc/view?v=202807&amp;end_month=3&amp;end_day=31&amp;end_year=2014","Irig")</f>
        <v>Irig</v>
      </c>
      <c r="H3685" s="87" t="str">
        <f>HYPERLINK("http://api.nsgreg.nga.mil/geo-division/GENC/6/ed2/RS-69","RS-69")</f>
        <v>RS-69</v>
      </c>
    </row>
    <row r="3686" spans="1:8" x14ac:dyDescent="0.2">
      <c r="A3686" s="157"/>
      <c r="B3686" s="31" t="s">
        <v>12878</v>
      </c>
      <c r="C3686" s="31" t="s">
        <v>12879</v>
      </c>
      <c r="D3686" s="31" t="s">
        <v>3254</v>
      </c>
      <c r="E3686" s="61" t="b">
        <v>1</v>
      </c>
      <c r="F3686" s="107" t="s">
        <v>12880</v>
      </c>
      <c r="G3686" s="116" t="str">
        <f>HYPERLINK("http://nsgreg.nga.mil/genc/view?v=202808&amp;end_month=3&amp;end_day=31&amp;end_year=2014","Ivanjica")</f>
        <v>Ivanjica</v>
      </c>
      <c r="H3686" s="87" t="str">
        <f>HYPERLINK("http://api.nsgreg.nga.mil/geo-division/GENC/6/ed2/RS-70","RS-70")</f>
        <v>RS-70</v>
      </c>
    </row>
    <row r="3687" spans="1:8" x14ac:dyDescent="0.2">
      <c r="A3687" s="157"/>
      <c r="B3687" s="31" t="s">
        <v>12881</v>
      </c>
      <c r="C3687" s="31" t="s">
        <v>12882</v>
      </c>
      <c r="D3687" s="98" t="s">
        <v>2026</v>
      </c>
      <c r="E3687" s="99" t="b">
        <v>0</v>
      </c>
      <c r="F3687" s="107" t="s">
        <v>12883</v>
      </c>
      <c r="G3687" s="116" t="str">
        <f>HYPERLINK("http://nsgreg.nga.mil/genc/view?v=202761&amp;end_month=3&amp;end_day=31&amp;end_year=2014","Jablanički Okrug")</f>
        <v>Jablanički Okrug</v>
      </c>
      <c r="H3687" s="87" t="str">
        <f>HYPERLINK("http://api.nsgreg.nga.mil/geo-division/GENC/6/ed2/RS-23","RS-23")</f>
        <v>RS-23</v>
      </c>
    </row>
    <row r="3688" spans="1:8" x14ac:dyDescent="0.2">
      <c r="A3688" s="157"/>
      <c r="B3688" s="31" t="s">
        <v>12884</v>
      </c>
      <c r="C3688" s="31" t="s">
        <v>12885</v>
      </c>
      <c r="D3688" s="31" t="s">
        <v>2405</v>
      </c>
      <c r="E3688" s="61" t="b">
        <v>1</v>
      </c>
      <c r="F3688" s="107" t="s">
        <v>12886</v>
      </c>
      <c r="G3688" s="116" t="str">
        <f>HYPERLINK("http://nsgreg.nga.mil/genc/view?v=202809&amp;end_month=3&amp;end_day=31&amp;end_year=2014","Jagodina")</f>
        <v>Jagodina</v>
      </c>
      <c r="H3688" s="87" t="str">
        <f>HYPERLINK("http://api.nsgreg.nga.mil/geo-division/GENC/6/ed2/RS-71","RS-71")</f>
        <v>RS-71</v>
      </c>
    </row>
    <row r="3689" spans="1:8" x14ac:dyDescent="0.2">
      <c r="A3689" s="157"/>
      <c r="B3689" s="31" t="s">
        <v>12887</v>
      </c>
      <c r="C3689" s="31" t="s">
        <v>12888</v>
      </c>
      <c r="D3689" s="98" t="s">
        <v>2026</v>
      </c>
      <c r="E3689" s="99" t="b">
        <v>0</v>
      </c>
      <c r="F3689" s="107" t="s">
        <v>12889</v>
      </c>
      <c r="G3689" s="116" t="str">
        <f>HYPERLINK("http://nsgreg.nga.mil/genc/view?v=202670&amp;end_month=3&amp;end_day=31&amp;end_year=2014","Južno Bački Okrug")</f>
        <v>Južno Bački Okrug</v>
      </c>
      <c r="H3689" s="87" t="str">
        <f>HYPERLINK("http://api.nsgreg.nga.mil/geo-division/GENC/6/ed2/RS-06","RS-06")</f>
        <v>RS-06</v>
      </c>
    </row>
    <row r="3690" spans="1:8" x14ac:dyDescent="0.2">
      <c r="A3690" s="157"/>
      <c r="B3690" s="31" t="s">
        <v>12890</v>
      </c>
      <c r="C3690" s="31" t="s">
        <v>12891</v>
      </c>
      <c r="D3690" s="98" t="s">
        <v>2026</v>
      </c>
      <c r="E3690" s="99" t="b">
        <v>0</v>
      </c>
      <c r="F3690" s="107" t="s">
        <v>12892</v>
      </c>
      <c r="G3690" s="116" t="str">
        <f>HYPERLINK("http://nsgreg.nga.mil/genc/view?v=202668&amp;end_month=3&amp;end_day=31&amp;end_year=2014","Južno Banatski Okrug")</f>
        <v>Južno Banatski Okrug</v>
      </c>
      <c r="H3690" s="87" t="str">
        <f>HYPERLINK("http://api.nsgreg.nga.mil/geo-division/GENC/6/ed2/RS-04","RS-04")</f>
        <v>RS-04</v>
      </c>
    </row>
    <row r="3691" spans="1:8" x14ac:dyDescent="0.2">
      <c r="A3691" s="157"/>
      <c r="B3691" s="31" t="s">
        <v>12893</v>
      </c>
      <c r="C3691" s="31" t="s">
        <v>12894</v>
      </c>
      <c r="D3691" s="31" t="s">
        <v>3254</v>
      </c>
      <c r="E3691" s="61" t="b">
        <v>1</v>
      </c>
      <c r="F3691" s="107" t="s">
        <v>12895</v>
      </c>
      <c r="G3691" s="116" t="str">
        <f>HYPERLINK("http://nsgreg.nga.mil/genc/view?v=202810&amp;end_month=3&amp;end_day=31&amp;end_year=2014","Kanjiža")</f>
        <v>Kanjiža</v>
      </c>
      <c r="H3691" s="87" t="str">
        <f>HYPERLINK("http://api.nsgreg.nga.mil/geo-division/GENC/6/ed2/RS-72","RS-72")</f>
        <v>RS-72</v>
      </c>
    </row>
    <row r="3692" spans="1:8" x14ac:dyDescent="0.2">
      <c r="A3692" s="157"/>
      <c r="B3692" s="31" t="s">
        <v>12896</v>
      </c>
      <c r="C3692" s="31" t="s">
        <v>12897</v>
      </c>
      <c r="D3692" s="31" t="s">
        <v>3254</v>
      </c>
      <c r="E3692" s="61" t="b">
        <v>1</v>
      </c>
      <c r="F3692" s="107" t="s">
        <v>12898</v>
      </c>
      <c r="G3692" s="116" t="str">
        <f>HYPERLINK("http://nsgreg.nga.mil/genc/view?v=202811&amp;end_month=3&amp;end_day=31&amp;end_year=2014","Kikinda")</f>
        <v>Kikinda</v>
      </c>
      <c r="H3692" s="87" t="str">
        <f>HYPERLINK("http://api.nsgreg.nga.mil/geo-division/GENC/6/ed2/RS-73","RS-73")</f>
        <v>RS-73</v>
      </c>
    </row>
    <row r="3693" spans="1:8" x14ac:dyDescent="0.2">
      <c r="A3693" s="157"/>
      <c r="B3693" s="31" t="s">
        <v>12899</v>
      </c>
      <c r="C3693" s="31" t="s">
        <v>12900</v>
      </c>
      <c r="D3693" s="31" t="s">
        <v>3254</v>
      </c>
      <c r="E3693" s="61" t="b">
        <v>1</v>
      </c>
      <c r="F3693" s="107" t="s">
        <v>12901</v>
      </c>
      <c r="G3693" s="116" t="str">
        <f>HYPERLINK("http://nsgreg.nga.mil/genc/view?v=202812&amp;end_month=3&amp;end_day=31&amp;end_year=2014","Kladovo")</f>
        <v>Kladovo</v>
      </c>
      <c r="H3693" s="87" t="str">
        <f>HYPERLINK("http://api.nsgreg.nga.mil/geo-division/GENC/6/ed2/RS-74","RS-74")</f>
        <v>RS-74</v>
      </c>
    </row>
    <row r="3694" spans="1:8" x14ac:dyDescent="0.2">
      <c r="A3694" s="157"/>
      <c r="B3694" s="31" t="s">
        <v>12902</v>
      </c>
      <c r="C3694" s="31" t="s">
        <v>12903</v>
      </c>
      <c r="D3694" s="31" t="s">
        <v>3254</v>
      </c>
      <c r="E3694" s="61" t="b">
        <v>1</v>
      </c>
      <c r="F3694" s="107" t="s">
        <v>12904</v>
      </c>
      <c r="G3694" s="116" t="str">
        <f>HYPERLINK("http://nsgreg.nga.mil/genc/view?v=202813&amp;end_month=3&amp;end_day=31&amp;end_year=2014","Knić")</f>
        <v>Knić</v>
      </c>
      <c r="H3694" s="87" t="str">
        <f>HYPERLINK("http://api.nsgreg.nga.mil/geo-division/GENC/6/ed2/RS-75","RS-75")</f>
        <v>RS-75</v>
      </c>
    </row>
    <row r="3695" spans="1:8" x14ac:dyDescent="0.2">
      <c r="A3695" s="157"/>
      <c r="B3695" s="31" t="s">
        <v>12905</v>
      </c>
      <c r="C3695" s="31" t="s">
        <v>12906</v>
      </c>
      <c r="D3695" s="31" t="s">
        <v>3254</v>
      </c>
      <c r="E3695" s="61" t="b">
        <v>1</v>
      </c>
      <c r="F3695" s="107" t="s">
        <v>12907</v>
      </c>
      <c r="G3695" s="116" t="str">
        <f>HYPERLINK("http://nsgreg.nga.mil/genc/view?v=202814&amp;end_month=3&amp;end_day=31&amp;end_year=2014","Knjaževac")</f>
        <v>Knjaževac</v>
      </c>
      <c r="H3695" s="87" t="str">
        <f>HYPERLINK("http://api.nsgreg.nga.mil/geo-division/GENC/6/ed2/RS-76","RS-76")</f>
        <v>RS-76</v>
      </c>
    </row>
    <row r="3696" spans="1:8" x14ac:dyDescent="0.2">
      <c r="A3696" s="157"/>
      <c r="B3696" s="31" t="s">
        <v>12908</v>
      </c>
      <c r="C3696" s="31" t="s">
        <v>12909</v>
      </c>
      <c r="D3696" s="31" t="s">
        <v>3254</v>
      </c>
      <c r="E3696" s="61" t="b">
        <v>1</v>
      </c>
      <c r="F3696" s="107" t="s">
        <v>12910</v>
      </c>
      <c r="G3696" s="116" t="str">
        <f>HYPERLINK("http://nsgreg.nga.mil/genc/view?v=202815&amp;end_month=3&amp;end_day=31&amp;end_year=2014","Koceljeva")</f>
        <v>Koceljeva</v>
      </c>
      <c r="H3696" s="87" t="str">
        <f>HYPERLINK("http://api.nsgreg.nga.mil/geo-division/GENC/6/ed2/RS-77","RS-77")</f>
        <v>RS-77</v>
      </c>
    </row>
    <row r="3697" spans="1:8" x14ac:dyDescent="0.2">
      <c r="A3697" s="157"/>
      <c r="B3697" s="31" t="s">
        <v>12911</v>
      </c>
      <c r="C3697" s="31" t="s">
        <v>12912</v>
      </c>
      <c r="D3697" s="98" t="s">
        <v>2026</v>
      </c>
      <c r="E3697" s="99" t="b">
        <v>0</v>
      </c>
      <c r="F3697" s="107" t="s">
        <v>12913</v>
      </c>
      <c r="G3697" s="116" t="str">
        <f>HYPERLINK("http://nsgreg.nga.mil/genc/view?v=202673&amp;end_month=3&amp;end_day=31&amp;end_year=2014","Kolubarski Okrug")</f>
        <v>Kolubarski Okrug</v>
      </c>
      <c r="H3697" s="87" t="str">
        <f>HYPERLINK("http://api.nsgreg.nga.mil/geo-division/GENC/6/ed2/RS-09","RS-09")</f>
        <v>RS-09</v>
      </c>
    </row>
    <row r="3698" spans="1:8" x14ac:dyDescent="0.2">
      <c r="A3698" s="157"/>
      <c r="B3698" s="31" t="s">
        <v>12914</v>
      </c>
      <c r="C3698" s="31" t="s">
        <v>12915</v>
      </c>
      <c r="D3698" s="31" t="s">
        <v>3254</v>
      </c>
      <c r="E3698" s="61" t="b">
        <v>1</v>
      </c>
      <c r="F3698" s="107" t="s">
        <v>12916</v>
      </c>
      <c r="G3698" s="116" t="str">
        <f>HYPERLINK("http://nsgreg.nga.mil/genc/view?v=202816&amp;end_month=3&amp;end_day=31&amp;end_year=2014","Kosjerić")</f>
        <v>Kosjerić</v>
      </c>
      <c r="H3698" s="87" t="str">
        <f>HYPERLINK("http://api.nsgreg.nga.mil/geo-division/GENC/6/ed2/RS-78","RS-78")</f>
        <v>RS-78</v>
      </c>
    </row>
    <row r="3699" spans="1:8" x14ac:dyDescent="0.2">
      <c r="A3699" s="157"/>
      <c r="B3699" s="31" t="s">
        <v>12917</v>
      </c>
      <c r="C3699" s="31" t="s">
        <v>12918</v>
      </c>
      <c r="D3699" s="98" t="s">
        <v>12475</v>
      </c>
      <c r="E3699" s="99" t="b">
        <v>0</v>
      </c>
      <c r="F3699" s="107" t="s">
        <v>12919</v>
      </c>
      <c r="G3699" s="116" t="str">
        <f>HYPERLINK("http://nsgreg.nga.mil/genc/view?v=202838&amp;end_month=3&amp;end_day=31&amp;end_year=2014","Kosovo-Metohija")</f>
        <v>Kosovo-Metohija</v>
      </c>
      <c r="H3699" s="87" t="str">
        <f>HYPERLINK("http://api.nsgreg.nga.mil/geo-division/GENC/6/ed2/RS-KM","RS-KM")</f>
        <v>RS-KM</v>
      </c>
    </row>
    <row r="3700" spans="1:8" x14ac:dyDescent="0.2">
      <c r="A3700" s="157"/>
      <c r="B3700" s="31" t="s">
        <v>12920</v>
      </c>
      <c r="C3700" s="31" t="s">
        <v>12921</v>
      </c>
      <c r="D3700" s="98" t="s">
        <v>2026</v>
      </c>
      <c r="E3700" s="99" t="b">
        <v>0</v>
      </c>
      <c r="F3700" s="107" t="s">
        <v>12922</v>
      </c>
      <c r="G3700" s="116" t="str">
        <f>HYPERLINK("http://nsgreg.nga.mil/genc/view?v=202763&amp;end_month=3&amp;end_day=31&amp;end_year=2014","Kosovski okrug")</f>
        <v>Kosovski okrug</v>
      </c>
      <c r="H3700" s="87" t="str">
        <f>HYPERLINK("http://api.nsgreg.nga.mil/geo-division/GENC/6/ed2/RS-25","RS-25")</f>
        <v>RS-25</v>
      </c>
    </row>
    <row r="3701" spans="1:8" x14ac:dyDescent="0.2">
      <c r="A3701" s="157"/>
      <c r="B3701" s="31" t="s">
        <v>12923</v>
      </c>
      <c r="C3701" s="31" t="s">
        <v>12924</v>
      </c>
      <c r="D3701" s="98" t="s">
        <v>2026</v>
      </c>
      <c r="E3701" s="99" t="b">
        <v>0</v>
      </c>
      <c r="F3701" s="107" t="s">
        <v>12925</v>
      </c>
      <c r="G3701" s="116" t="str">
        <f>HYPERLINK("http://nsgreg.nga.mil/genc/view?v=202766&amp;end_month=3&amp;end_day=31&amp;end_year=2014","Kosovsko-Mitrovački okrug")</f>
        <v>Kosovsko-Mitrovački okrug</v>
      </c>
      <c r="H3701" s="87" t="str">
        <f>HYPERLINK("http://api.nsgreg.nga.mil/geo-division/GENC/6/ed2/RS-28","RS-28")</f>
        <v>RS-28</v>
      </c>
    </row>
    <row r="3702" spans="1:8" x14ac:dyDescent="0.2">
      <c r="A3702" s="157"/>
      <c r="B3702" s="31" t="s">
        <v>12926</v>
      </c>
      <c r="C3702" s="31" t="s">
        <v>12927</v>
      </c>
      <c r="D3702" s="98" t="s">
        <v>2026</v>
      </c>
      <c r="E3702" s="99" t="b">
        <v>0</v>
      </c>
      <c r="F3702" s="107" t="s">
        <v>12928</v>
      </c>
      <c r="G3702" s="116" t="str">
        <f>HYPERLINK("http://nsgreg.nga.mil/genc/view?v=202767&amp;end_month=3&amp;end_day=31&amp;end_year=2014","Kosovsko-Pomoravski okrug")</f>
        <v>Kosovsko-Pomoravski okrug</v>
      </c>
      <c r="H3702" s="87" t="str">
        <f>HYPERLINK("http://api.nsgreg.nga.mil/geo-division/GENC/6/ed2/RS-29","RS-29")</f>
        <v>RS-29</v>
      </c>
    </row>
    <row r="3703" spans="1:8" x14ac:dyDescent="0.2">
      <c r="A3703" s="157"/>
      <c r="B3703" s="31" t="s">
        <v>12929</v>
      </c>
      <c r="C3703" s="31" t="s">
        <v>12930</v>
      </c>
      <c r="D3703" s="31" t="s">
        <v>3254</v>
      </c>
      <c r="E3703" s="61" t="b">
        <v>1</v>
      </c>
      <c r="F3703" s="107" t="s">
        <v>12931</v>
      </c>
      <c r="G3703" s="116" t="str">
        <f>HYPERLINK("http://nsgreg.nga.mil/genc/view?v=202817&amp;end_month=3&amp;end_day=31&amp;end_year=2014","Kovačica")</f>
        <v>Kovačica</v>
      </c>
      <c r="H3703" s="87" t="str">
        <f>HYPERLINK("http://api.nsgreg.nga.mil/geo-division/GENC/6/ed2/RS-79","RS-79")</f>
        <v>RS-79</v>
      </c>
    </row>
    <row r="3704" spans="1:8" x14ac:dyDescent="0.2">
      <c r="A3704" s="157"/>
      <c r="B3704" s="31" t="s">
        <v>12932</v>
      </c>
      <c r="C3704" s="31" t="s">
        <v>12933</v>
      </c>
      <c r="D3704" s="31" t="s">
        <v>3254</v>
      </c>
      <c r="E3704" s="61" t="b">
        <v>1</v>
      </c>
      <c r="F3704" s="107" t="s">
        <v>12934</v>
      </c>
      <c r="G3704" s="116" t="str">
        <f>HYPERLINK("http://nsgreg.nga.mil/genc/view?v=202818&amp;end_month=3&amp;end_day=31&amp;end_year=2014","Kovin")</f>
        <v>Kovin</v>
      </c>
      <c r="H3704" s="87" t="str">
        <f>HYPERLINK("http://api.nsgreg.nga.mil/geo-division/GENC/6/ed2/RS-80","RS-80")</f>
        <v>RS-80</v>
      </c>
    </row>
    <row r="3705" spans="1:8" x14ac:dyDescent="0.2">
      <c r="A3705" s="157"/>
      <c r="B3705" s="31" t="s">
        <v>12935</v>
      </c>
      <c r="C3705" s="31" t="s">
        <v>12936</v>
      </c>
      <c r="D3705" s="31" t="s">
        <v>2405</v>
      </c>
      <c r="E3705" s="61" t="b">
        <v>1</v>
      </c>
      <c r="F3705" s="107" t="s">
        <v>12937</v>
      </c>
      <c r="G3705" s="116" t="str">
        <f>HYPERLINK("http://nsgreg.nga.mil/genc/view?v=202819&amp;end_month=3&amp;end_day=31&amp;end_year=2014","Kragujevac")</f>
        <v>Kragujevac</v>
      </c>
      <c r="H3705" s="87" t="str">
        <f>HYPERLINK("http://api.nsgreg.nga.mil/geo-division/GENC/6/ed2/RS-81","RS-81")</f>
        <v>RS-81</v>
      </c>
    </row>
    <row r="3706" spans="1:8" x14ac:dyDescent="0.2">
      <c r="A3706" s="157"/>
      <c r="B3706" s="31" t="s">
        <v>12938</v>
      </c>
      <c r="C3706" s="31" t="s">
        <v>12939</v>
      </c>
      <c r="D3706" s="31" t="s">
        <v>2405</v>
      </c>
      <c r="E3706" s="61" t="b">
        <v>1</v>
      </c>
      <c r="F3706" s="107" t="s">
        <v>12940</v>
      </c>
      <c r="G3706" s="116" t="str">
        <f>HYPERLINK("http://nsgreg.nga.mil/genc/view?v=202820&amp;end_month=3&amp;end_day=31&amp;end_year=2014","Kraljevo")</f>
        <v>Kraljevo</v>
      </c>
      <c r="H3706" s="87" t="str">
        <f>HYPERLINK("http://api.nsgreg.nga.mil/geo-division/GENC/6/ed2/RS-82","RS-82")</f>
        <v>RS-82</v>
      </c>
    </row>
    <row r="3707" spans="1:8" x14ac:dyDescent="0.2">
      <c r="A3707" s="157"/>
      <c r="B3707" s="31" t="s">
        <v>12941</v>
      </c>
      <c r="C3707" s="31" t="s">
        <v>12942</v>
      </c>
      <c r="D3707" s="31" t="s">
        <v>3254</v>
      </c>
      <c r="E3707" s="61" t="b">
        <v>1</v>
      </c>
      <c r="F3707" s="107" t="s">
        <v>12943</v>
      </c>
      <c r="G3707" s="116" t="str">
        <f>HYPERLINK("http://nsgreg.nga.mil/genc/view?v=202821&amp;end_month=3&amp;end_day=31&amp;end_year=2014","Krupanj")</f>
        <v>Krupanj</v>
      </c>
      <c r="H3707" s="87" t="str">
        <f>HYPERLINK("http://api.nsgreg.nga.mil/geo-division/GENC/6/ed2/RS-83","RS-83")</f>
        <v>RS-83</v>
      </c>
    </row>
    <row r="3708" spans="1:8" x14ac:dyDescent="0.2">
      <c r="A3708" s="157"/>
      <c r="B3708" s="31" t="s">
        <v>12944</v>
      </c>
      <c r="C3708" s="31" t="s">
        <v>12945</v>
      </c>
      <c r="D3708" s="31" t="s">
        <v>2405</v>
      </c>
      <c r="E3708" s="61" t="b">
        <v>1</v>
      </c>
      <c r="F3708" s="107" t="s">
        <v>12946</v>
      </c>
      <c r="G3708" s="116" t="str">
        <f>HYPERLINK("http://nsgreg.nga.mil/genc/view?v=202822&amp;end_month=3&amp;end_day=31&amp;end_year=2014","Kruševac")</f>
        <v>Kruševac</v>
      </c>
      <c r="H3708" s="87" t="str">
        <f>HYPERLINK("http://api.nsgreg.nga.mil/geo-division/GENC/6/ed2/RS-84","RS-84")</f>
        <v>RS-84</v>
      </c>
    </row>
    <row r="3709" spans="1:8" x14ac:dyDescent="0.2">
      <c r="A3709" s="157"/>
      <c r="B3709" s="31" t="s">
        <v>12947</v>
      </c>
      <c r="C3709" s="31" t="s">
        <v>12948</v>
      </c>
      <c r="D3709" s="31" t="s">
        <v>3254</v>
      </c>
      <c r="E3709" s="61" t="b">
        <v>1</v>
      </c>
      <c r="F3709" s="107" t="s">
        <v>12949</v>
      </c>
      <c r="G3709" s="116" t="str">
        <f>HYPERLINK("http://nsgreg.nga.mil/genc/view?v=202823&amp;end_month=3&amp;end_day=31&amp;end_year=2014","Kučevo")</f>
        <v>Kučevo</v>
      </c>
      <c r="H3709" s="87" t="str">
        <f>HYPERLINK("http://api.nsgreg.nga.mil/geo-division/GENC/6/ed2/RS-85","RS-85")</f>
        <v>RS-85</v>
      </c>
    </row>
    <row r="3710" spans="1:8" x14ac:dyDescent="0.2">
      <c r="A3710" s="157"/>
      <c r="B3710" s="31" t="s">
        <v>12950</v>
      </c>
      <c r="C3710" s="31" t="s">
        <v>12951</v>
      </c>
      <c r="D3710" s="31" t="s">
        <v>3254</v>
      </c>
      <c r="E3710" s="61" t="b">
        <v>1</v>
      </c>
      <c r="F3710" s="107" t="s">
        <v>12952</v>
      </c>
      <c r="G3710" s="116" t="str">
        <f>HYPERLINK("http://nsgreg.nga.mil/genc/view?v=202824&amp;end_month=3&amp;end_day=31&amp;end_year=2014","Kula")</f>
        <v>Kula</v>
      </c>
      <c r="H3710" s="87" t="str">
        <f>HYPERLINK("http://api.nsgreg.nga.mil/geo-division/GENC/6/ed2/RS-86","RS-86")</f>
        <v>RS-86</v>
      </c>
    </row>
    <row r="3711" spans="1:8" x14ac:dyDescent="0.2">
      <c r="A3711" s="157"/>
      <c r="B3711" s="31" t="s">
        <v>12953</v>
      </c>
      <c r="C3711" s="31" t="s">
        <v>12954</v>
      </c>
      <c r="D3711" s="31" t="s">
        <v>3254</v>
      </c>
      <c r="E3711" s="61" t="b">
        <v>1</v>
      </c>
      <c r="F3711" s="107" t="s">
        <v>12955</v>
      </c>
      <c r="G3711" s="116" t="str">
        <f>HYPERLINK("http://nsgreg.nga.mil/genc/view?v=202825&amp;end_month=3&amp;end_day=31&amp;end_year=2014","Kuršumlija")</f>
        <v>Kuršumlija</v>
      </c>
      <c r="H3711" s="87" t="str">
        <f>HYPERLINK("http://api.nsgreg.nga.mil/geo-division/GENC/6/ed2/RS-87","RS-87")</f>
        <v>RS-87</v>
      </c>
    </row>
    <row r="3712" spans="1:8" x14ac:dyDescent="0.2">
      <c r="A3712" s="157"/>
      <c r="B3712" s="31" t="s">
        <v>12956</v>
      </c>
      <c r="C3712" s="31" t="s">
        <v>12957</v>
      </c>
      <c r="D3712" s="31" t="s">
        <v>3254</v>
      </c>
      <c r="E3712" s="61" t="b">
        <v>1</v>
      </c>
      <c r="F3712" s="107" t="s">
        <v>12958</v>
      </c>
      <c r="G3712" s="116" t="str">
        <f>HYPERLINK("http://nsgreg.nga.mil/genc/view?v=202826&amp;end_month=3&amp;end_day=31&amp;end_year=2014","Lajkovac")</f>
        <v>Lajkovac</v>
      </c>
      <c r="H3712" s="87" t="str">
        <f>HYPERLINK("http://api.nsgreg.nga.mil/geo-division/GENC/6/ed2/RS-88","RS-88")</f>
        <v>RS-88</v>
      </c>
    </row>
    <row r="3713" spans="1:8" x14ac:dyDescent="0.2">
      <c r="A3713" s="157"/>
      <c r="B3713" s="31" t="s">
        <v>12959</v>
      </c>
      <c r="C3713" s="31" t="s">
        <v>12960</v>
      </c>
      <c r="D3713" s="31" t="s">
        <v>3254</v>
      </c>
      <c r="E3713" s="61" t="b">
        <v>1</v>
      </c>
      <c r="F3713" s="107" t="s">
        <v>12961</v>
      </c>
      <c r="G3713" s="116" t="str">
        <f>HYPERLINK("http://nsgreg.nga.mil/genc/view?v=202827&amp;end_month=3&amp;end_day=31&amp;end_year=2014","Lapovo")</f>
        <v>Lapovo</v>
      </c>
      <c r="H3713" s="87" t="str">
        <f>HYPERLINK("http://api.nsgreg.nga.mil/geo-division/GENC/6/ed2/RS-89","RS-89")</f>
        <v>RS-89</v>
      </c>
    </row>
    <row r="3714" spans="1:8" x14ac:dyDescent="0.2">
      <c r="A3714" s="157"/>
      <c r="B3714" s="31" t="s">
        <v>12962</v>
      </c>
      <c r="C3714" s="31" t="s">
        <v>12963</v>
      </c>
      <c r="D3714" s="31" t="s">
        <v>3254</v>
      </c>
      <c r="E3714" s="61" t="b">
        <v>1</v>
      </c>
      <c r="F3714" s="107" t="s">
        <v>12964</v>
      </c>
      <c r="G3714" s="116" t="str">
        <f>HYPERLINK("http://nsgreg.nga.mil/genc/view?v=202828&amp;end_month=3&amp;end_day=31&amp;end_year=2014","Lebane")</f>
        <v>Lebane</v>
      </c>
      <c r="H3714" s="87" t="str">
        <f>HYPERLINK("http://api.nsgreg.nga.mil/geo-division/GENC/6/ed2/RS-90","RS-90")</f>
        <v>RS-90</v>
      </c>
    </row>
    <row r="3715" spans="1:8" x14ac:dyDescent="0.2">
      <c r="A3715" s="157"/>
      <c r="B3715" s="31" t="s">
        <v>12965</v>
      </c>
      <c r="C3715" s="31" t="s">
        <v>12966</v>
      </c>
      <c r="D3715" s="31" t="s">
        <v>2405</v>
      </c>
      <c r="E3715" s="61" t="b">
        <v>1</v>
      </c>
      <c r="F3715" s="107" t="s">
        <v>12967</v>
      </c>
      <c r="G3715" s="116" t="str">
        <f>HYPERLINK("http://nsgreg.nga.mil/genc/view?v=202829&amp;end_month=3&amp;end_day=31&amp;end_year=2014","Leskovac")</f>
        <v>Leskovac</v>
      </c>
      <c r="H3715" s="87" t="str">
        <f>HYPERLINK("http://api.nsgreg.nga.mil/geo-division/GENC/6/ed2/RS-91","RS-91")</f>
        <v>RS-91</v>
      </c>
    </row>
    <row r="3716" spans="1:8" x14ac:dyDescent="0.2">
      <c r="A3716" s="157"/>
      <c r="B3716" s="31" t="s">
        <v>12968</v>
      </c>
      <c r="C3716" s="31" t="s">
        <v>12969</v>
      </c>
      <c r="D3716" s="31" t="s">
        <v>3254</v>
      </c>
      <c r="E3716" s="61" t="b">
        <v>1</v>
      </c>
      <c r="F3716" s="107" t="s">
        <v>12970</v>
      </c>
      <c r="G3716" s="116" t="str">
        <f>HYPERLINK("http://nsgreg.nga.mil/genc/view?v=202830&amp;end_month=3&amp;end_day=31&amp;end_year=2014","Ljig")</f>
        <v>Ljig</v>
      </c>
      <c r="H3716" s="87" t="str">
        <f>HYPERLINK("http://api.nsgreg.nga.mil/geo-division/GENC/6/ed2/RS-92","RS-92")</f>
        <v>RS-92</v>
      </c>
    </row>
    <row r="3717" spans="1:8" x14ac:dyDescent="0.2">
      <c r="A3717" s="157"/>
      <c r="B3717" s="31" t="s">
        <v>12971</v>
      </c>
      <c r="C3717" s="31" t="s">
        <v>12972</v>
      </c>
      <c r="D3717" s="31" t="s">
        <v>3254</v>
      </c>
      <c r="E3717" s="61" t="b">
        <v>1</v>
      </c>
      <c r="F3717" s="107" t="s">
        <v>12973</v>
      </c>
      <c r="G3717" s="116" t="str">
        <f>HYPERLINK("http://nsgreg.nga.mil/genc/view?v=202831&amp;end_month=3&amp;end_day=31&amp;end_year=2014","Ljubovija")</f>
        <v>Ljubovija</v>
      </c>
      <c r="H3717" s="87" t="str">
        <f>HYPERLINK("http://api.nsgreg.nga.mil/geo-division/GENC/6/ed2/RS-93","RS-93")</f>
        <v>RS-93</v>
      </c>
    </row>
    <row r="3718" spans="1:8" x14ac:dyDescent="0.2">
      <c r="A3718" s="157"/>
      <c r="B3718" s="31" t="s">
        <v>12974</v>
      </c>
      <c r="C3718" s="31" t="s">
        <v>12975</v>
      </c>
      <c r="D3718" s="31" t="s">
        <v>2405</v>
      </c>
      <c r="E3718" s="61" t="b">
        <v>1</v>
      </c>
      <c r="F3718" s="107" t="s">
        <v>12976</v>
      </c>
      <c r="G3718" s="116" t="str">
        <f>HYPERLINK("http://nsgreg.nga.mil/genc/view?v=202832&amp;end_month=3&amp;end_day=31&amp;end_year=2014","Loznica")</f>
        <v>Loznica</v>
      </c>
      <c r="H3718" s="87" t="str">
        <f>HYPERLINK("http://api.nsgreg.nga.mil/geo-division/GENC/6/ed2/RS-94","RS-94")</f>
        <v>RS-94</v>
      </c>
    </row>
    <row r="3719" spans="1:8" x14ac:dyDescent="0.2">
      <c r="A3719" s="157"/>
      <c r="B3719" s="31" t="s">
        <v>12977</v>
      </c>
      <c r="C3719" s="31" t="s">
        <v>12978</v>
      </c>
      <c r="D3719" s="31" t="s">
        <v>3254</v>
      </c>
      <c r="E3719" s="61" t="b">
        <v>1</v>
      </c>
      <c r="F3719" s="107" t="s">
        <v>12979</v>
      </c>
      <c r="G3719" s="116" t="str">
        <f>HYPERLINK("http://nsgreg.nga.mil/genc/view?v=202833&amp;end_month=3&amp;end_day=31&amp;end_year=2014","Lučani")</f>
        <v>Lučani</v>
      </c>
      <c r="H3719" s="87" t="str">
        <f>HYPERLINK("http://api.nsgreg.nga.mil/geo-division/GENC/6/ed2/RS-95","RS-95")</f>
        <v>RS-95</v>
      </c>
    </row>
    <row r="3720" spans="1:8" x14ac:dyDescent="0.2">
      <c r="A3720" s="157"/>
      <c r="B3720" s="31" t="s">
        <v>12980</v>
      </c>
      <c r="C3720" s="31" t="s">
        <v>12981</v>
      </c>
      <c r="D3720" s="98" t="s">
        <v>2026</v>
      </c>
      <c r="E3720" s="99" t="b">
        <v>0</v>
      </c>
      <c r="F3720" s="107" t="s">
        <v>12982</v>
      </c>
      <c r="G3720" s="116" t="str">
        <f>HYPERLINK("http://nsgreg.nga.mil/genc/view?v=202672&amp;end_month=3&amp;end_day=31&amp;end_year=2014","Mačvanski Okrug")</f>
        <v>Mačvanski Okrug</v>
      </c>
      <c r="H3720" s="87" t="str">
        <f>HYPERLINK("http://api.nsgreg.nga.mil/geo-division/GENC/6/ed2/RS-08","RS-08")</f>
        <v>RS-08</v>
      </c>
    </row>
    <row r="3721" spans="1:8" x14ac:dyDescent="0.2">
      <c r="A3721" s="157"/>
      <c r="B3721" s="31" t="s">
        <v>12983</v>
      </c>
      <c r="C3721" s="31" t="s">
        <v>12984</v>
      </c>
      <c r="D3721" s="31" t="s">
        <v>3254</v>
      </c>
      <c r="E3721" s="61" t="b">
        <v>1</v>
      </c>
      <c r="F3721" s="107" t="s">
        <v>12985</v>
      </c>
      <c r="G3721" s="116" t="str">
        <f>HYPERLINK("http://nsgreg.nga.mil/genc/view?v=202834&amp;end_month=3&amp;end_day=31&amp;end_year=2014","Majdanpek")</f>
        <v>Majdanpek</v>
      </c>
      <c r="H3721" s="87" t="str">
        <f>HYPERLINK("http://api.nsgreg.nga.mil/geo-division/GENC/6/ed2/RS-96","RS-96")</f>
        <v>RS-96</v>
      </c>
    </row>
    <row r="3722" spans="1:8" x14ac:dyDescent="0.2">
      <c r="A3722" s="157"/>
      <c r="B3722" s="31" t="s">
        <v>12986</v>
      </c>
      <c r="C3722" s="31" t="s">
        <v>12987</v>
      </c>
      <c r="D3722" s="31" t="s">
        <v>3254</v>
      </c>
      <c r="E3722" s="61" t="b">
        <v>1</v>
      </c>
      <c r="F3722" s="107" t="s">
        <v>12988</v>
      </c>
      <c r="G3722" s="116" t="str">
        <f>HYPERLINK("http://nsgreg.nga.mil/genc/view?v=202835&amp;end_month=3&amp;end_day=31&amp;end_year=2014","Mali Iđoš")</f>
        <v>Mali Iđoš</v>
      </c>
      <c r="H3722" s="87" t="str">
        <f>HYPERLINK("http://api.nsgreg.nga.mil/geo-division/GENC/6/ed2/RS-97","RS-97")</f>
        <v>RS-97</v>
      </c>
    </row>
    <row r="3723" spans="1:8" x14ac:dyDescent="0.2">
      <c r="A3723" s="157"/>
      <c r="B3723" s="31" t="s">
        <v>12989</v>
      </c>
      <c r="C3723" s="31" t="s">
        <v>12990</v>
      </c>
      <c r="D3723" s="31" t="s">
        <v>3254</v>
      </c>
      <c r="E3723" s="61" t="b">
        <v>1</v>
      </c>
      <c r="F3723" s="107" t="s">
        <v>12991</v>
      </c>
      <c r="G3723" s="116" t="str">
        <f>HYPERLINK("http://nsgreg.nga.mil/genc/view?v=202836&amp;end_month=3&amp;end_day=31&amp;end_year=2014","Mali Zvornik")</f>
        <v>Mali Zvornik</v>
      </c>
      <c r="H3723" s="87" t="str">
        <f>HYPERLINK("http://api.nsgreg.nga.mil/geo-division/GENC/6/ed2/RS-98","RS-98")</f>
        <v>RS-98</v>
      </c>
    </row>
    <row r="3724" spans="1:8" x14ac:dyDescent="0.2">
      <c r="A3724" s="157"/>
      <c r="B3724" s="31" t="s">
        <v>12992</v>
      </c>
      <c r="C3724" s="31" t="s">
        <v>12993</v>
      </c>
      <c r="D3724" s="31" t="s">
        <v>3254</v>
      </c>
      <c r="E3724" s="61" t="b">
        <v>1</v>
      </c>
      <c r="F3724" s="107" t="s">
        <v>12994</v>
      </c>
      <c r="G3724" s="116" t="str">
        <f>HYPERLINK("http://nsgreg.nga.mil/genc/view?v=202837&amp;end_month=3&amp;end_day=31&amp;end_year=2014","Malo Crniće")</f>
        <v>Malo Crniće</v>
      </c>
      <c r="H3724" s="87" t="str">
        <f>HYPERLINK("http://api.nsgreg.nga.mil/geo-division/GENC/6/ed2/RS-99","RS-99")</f>
        <v>RS-99</v>
      </c>
    </row>
    <row r="3725" spans="1:8" x14ac:dyDescent="0.2">
      <c r="A3725" s="157"/>
      <c r="B3725" s="31" t="s">
        <v>12995</v>
      </c>
      <c r="C3725" s="31" t="s">
        <v>12996</v>
      </c>
      <c r="D3725" s="31" t="s">
        <v>3254</v>
      </c>
      <c r="E3725" s="61" t="b">
        <v>1</v>
      </c>
      <c r="F3725" s="107" t="s">
        <v>12997</v>
      </c>
      <c r="G3725" s="116" t="str">
        <f>HYPERLINK("http://nsgreg.nga.mil/genc/view?v=202675&amp;end_month=3&amp;end_day=31&amp;end_year=2014","Medveđa")</f>
        <v>Medveđa</v>
      </c>
      <c r="H3725" s="87" t="str">
        <f>HYPERLINK("http://api.nsgreg.nga.mil/geo-division/GENC/6/ed2/RS-100","RS-100")</f>
        <v>RS-100</v>
      </c>
    </row>
    <row r="3726" spans="1:8" x14ac:dyDescent="0.2">
      <c r="A3726" s="157"/>
      <c r="B3726" s="31" t="s">
        <v>12998</v>
      </c>
      <c r="C3726" s="31" t="s">
        <v>12999</v>
      </c>
      <c r="D3726" s="31" t="s">
        <v>3254</v>
      </c>
      <c r="E3726" s="61" t="b">
        <v>1</v>
      </c>
      <c r="F3726" s="107" t="s">
        <v>13000</v>
      </c>
      <c r="G3726" s="116" t="str">
        <f>HYPERLINK("http://nsgreg.nga.mil/genc/view?v=202676&amp;end_month=3&amp;end_day=31&amp;end_year=2014","Merošina")</f>
        <v>Merošina</v>
      </c>
      <c r="H3726" s="87" t="str">
        <f>HYPERLINK("http://api.nsgreg.nga.mil/geo-division/GENC/6/ed2/RS-101","RS-101")</f>
        <v>RS-101</v>
      </c>
    </row>
    <row r="3727" spans="1:8" x14ac:dyDescent="0.2">
      <c r="A3727" s="157"/>
      <c r="B3727" s="31" t="s">
        <v>13001</v>
      </c>
      <c r="C3727" s="31" t="s">
        <v>13002</v>
      </c>
      <c r="D3727" s="31" t="s">
        <v>3254</v>
      </c>
      <c r="E3727" s="61" t="b">
        <v>1</v>
      </c>
      <c r="F3727" s="107" t="s">
        <v>13003</v>
      </c>
      <c r="G3727" s="116" t="str">
        <f>HYPERLINK("http://nsgreg.nga.mil/genc/view?v=202677&amp;end_month=3&amp;end_day=31&amp;end_year=2014","Mionica")</f>
        <v>Mionica</v>
      </c>
      <c r="H3727" s="87" t="str">
        <f>HYPERLINK("http://api.nsgreg.nga.mil/geo-division/GENC/6/ed2/RS-102","RS-102")</f>
        <v>RS-102</v>
      </c>
    </row>
    <row r="3728" spans="1:8" x14ac:dyDescent="0.2">
      <c r="A3728" s="157"/>
      <c r="B3728" s="31" t="s">
        <v>13004</v>
      </c>
      <c r="C3728" s="31" t="s">
        <v>13005</v>
      </c>
      <c r="D3728" s="98" t="s">
        <v>2026</v>
      </c>
      <c r="E3728" s="99" t="b">
        <v>0</v>
      </c>
      <c r="F3728" s="107" t="s">
        <v>13006</v>
      </c>
      <c r="G3728" s="116" t="str">
        <f>HYPERLINK("http://nsgreg.nga.mil/genc/view?v=202751&amp;end_month=3&amp;end_day=31&amp;end_year=2014","Moravički Okrug")</f>
        <v>Moravički Okrug</v>
      </c>
      <c r="H3728" s="87" t="str">
        <f>HYPERLINK("http://api.nsgreg.nga.mil/geo-division/GENC/6/ed2/RS-17","RS-17")</f>
        <v>RS-17</v>
      </c>
    </row>
    <row r="3729" spans="1:8" x14ac:dyDescent="0.2">
      <c r="A3729" s="157"/>
      <c r="B3729" s="31" t="s">
        <v>13007</v>
      </c>
      <c r="C3729" s="31" t="s">
        <v>13008</v>
      </c>
      <c r="D3729" s="31" t="s">
        <v>3254</v>
      </c>
      <c r="E3729" s="61" t="b">
        <v>1</v>
      </c>
      <c r="F3729" s="107" t="s">
        <v>13009</v>
      </c>
      <c r="G3729" s="116" t="str">
        <f>HYPERLINK("http://nsgreg.nga.mil/genc/view?v=202678&amp;end_month=3&amp;end_day=31&amp;end_year=2014","Negotin")</f>
        <v>Negotin</v>
      </c>
      <c r="H3729" s="87" t="str">
        <f>HYPERLINK("http://api.nsgreg.nga.mil/geo-division/GENC/6/ed2/RS-103","RS-103")</f>
        <v>RS-103</v>
      </c>
    </row>
    <row r="3730" spans="1:8" x14ac:dyDescent="0.2">
      <c r="A3730" s="157"/>
      <c r="B3730" s="31" t="s">
        <v>13010</v>
      </c>
      <c r="C3730" s="31" t="s">
        <v>13011</v>
      </c>
      <c r="D3730" s="31" t="s">
        <v>2405</v>
      </c>
      <c r="E3730" s="61" t="b">
        <v>1</v>
      </c>
      <c r="F3730" s="107" t="s">
        <v>13012</v>
      </c>
      <c r="G3730" s="116" t="str">
        <f>HYPERLINK("http://nsgreg.nga.mil/genc/view?v=202679&amp;end_month=3&amp;end_day=31&amp;end_year=2014","Niš")</f>
        <v>Niš</v>
      </c>
      <c r="H3730" s="87" t="str">
        <f>HYPERLINK("http://api.nsgreg.nga.mil/geo-division/GENC/6/ed2/RS-104","RS-104")</f>
        <v>RS-104</v>
      </c>
    </row>
    <row r="3731" spans="1:8" x14ac:dyDescent="0.2">
      <c r="A3731" s="157"/>
      <c r="B3731" s="31" t="s">
        <v>13013</v>
      </c>
      <c r="C3731" s="31" t="s">
        <v>13014</v>
      </c>
      <c r="D3731" s="98" t="s">
        <v>2026</v>
      </c>
      <c r="E3731" s="99" t="b">
        <v>0</v>
      </c>
      <c r="F3731" s="107" t="s">
        <v>13015</v>
      </c>
      <c r="G3731" s="116" t="str">
        <f>HYPERLINK("http://nsgreg.nga.mil/genc/view?v=202758&amp;end_month=3&amp;end_day=31&amp;end_year=2014","Nišavski Okrug")</f>
        <v>Nišavski Okrug</v>
      </c>
      <c r="H3731" s="87" t="str">
        <f>HYPERLINK("http://api.nsgreg.nga.mil/geo-division/GENC/6/ed2/RS-20","RS-20")</f>
        <v>RS-20</v>
      </c>
    </row>
    <row r="3732" spans="1:8" x14ac:dyDescent="0.2">
      <c r="A3732" s="157"/>
      <c r="B3732" s="31" t="s">
        <v>13016</v>
      </c>
      <c r="C3732" s="31" t="s">
        <v>13017</v>
      </c>
      <c r="D3732" s="31" t="s">
        <v>3254</v>
      </c>
      <c r="E3732" s="61" t="b">
        <v>1</v>
      </c>
      <c r="F3732" s="107" t="s">
        <v>13018</v>
      </c>
      <c r="G3732" s="116" t="str">
        <f>HYPERLINK("http://nsgreg.nga.mil/genc/view?v=202680&amp;end_month=3&amp;end_day=31&amp;end_year=2014","Nova Crnja")</f>
        <v>Nova Crnja</v>
      </c>
      <c r="H3732" s="87" t="str">
        <f>HYPERLINK("http://api.nsgreg.nga.mil/geo-division/GENC/6/ed2/RS-105","RS-105")</f>
        <v>RS-105</v>
      </c>
    </row>
    <row r="3733" spans="1:8" x14ac:dyDescent="0.2">
      <c r="A3733" s="157"/>
      <c r="B3733" s="31" t="s">
        <v>13019</v>
      </c>
      <c r="C3733" s="31" t="s">
        <v>13020</v>
      </c>
      <c r="D3733" s="31" t="s">
        <v>3254</v>
      </c>
      <c r="E3733" s="61" t="b">
        <v>1</v>
      </c>
      <c r="F3733" s="107" t="s">
        <v>13021</v>
      </c>
      <c r="G3733" s="116" t="str">
        <f>HYPERLINK("http://nsgreg.nga.mil/genc/view?v=202681&amp;end_month=3&amp;end_day=31&amp;end_year=2014","Nova Varoš")</f>
        <v>Nova Varoš</v>
      </c>
      <c r="H3733" s="87" t="str">
        <f>HYPERLINK("http://api.nsgreg.nga.mil/geo-division/GENC/6/ed2/RS-106","RS-106")</f>
        <v>RS-106</v>
      </c>
    </row>
    <row r="3734" spans="1:8" x14ac:dyDescent="0.2">
      <c r="A3734" s="157"/>
      <c r="B3734" s="31" t="s">
        <v>13022</v>
      </c>
      <c r="C3734" s="31" t="s">
        <v>13023</v>
      </c>
      <c r="D3734" s="31" t="s">
        <v>3254</v>
      </c>
      <c r="E3734" s="61" t="b">
        <v>1</v>
      </c>
      <c r="F3734" s="107" t="s">
        <v>13024</v>
      </c>
      <c r="G3734" s="116" t="str">
        <f>HYPERLINK("http://nsgreg.nga.mil/genc/view?v=202682&amp;end_month=3&amp;end_day=31&amp;end_year=2014","Novi Bečej")</f>
        <v>Novi Bečej</v>
      </c>
      <c r="H3734" s="87" t="str">
        <f>HYPERLINK("http://api.nsgreg.nga.mil/geo-division/GENC/6/ed2/RS-107","RS-107")</f>
        <v>RS-107</v>
      </c>
    </row>
    <row r="3735" spans="1:8" x14ac:dyDescent="0.2">
      <c r="A3735" s="157"/>
      <c r="B3735" s="31" t="s">
        <v>13025</v>
      </c>
      <c r="C3735" s="31" t="s">
        <v>13026</v>
      </c>
      <c r="D3735" s="31" t="s">
        <v>3254</v>
      </c>
      <c r="E3735" s="61" t="b">
        <v>1</v>
      </c>
      <c r="F3735" s="107" t="s">
        <v>13027</v>
      </c>
      <c r="G3735" s="116" t="str">
        <f>HYPERLINK("http://nsgreg.nga.mil/genc/view?v=202683&amp;end_month=3&amp;end_day=31&amp;end_year=2014","Novi Kneževac")</f>
        <v>Novi Kneževac</v>
      </c>
      <c r="H3735" s="87" t="str">
        <f>HYPERLINK("http://api.nsgreg.nga.mil/geo-division/GENC/6/ed2/RS-108","RS-108")</f>
        <v>RS-108</v>
      </c>
    </row>
    <row r="3736" spans="1:8" x14ac:dyDescent="0.2">
      <c r="A3736" s="157"/>
      <c r="B3736" s="31" t="s">
        <v>13028</v>
      </c>
      <c r="C3736" s="31" t="s">
        <v>13029</v>
      </c>
      <c r="D3736" s="31" t="s">
        <v>2405</v>
      </c>
      <c r="E3736" s="61" t="b">
        <v>1</v>
      </c>
      <c r="F3736" s="107" t="s">
        <v>13030</v>
      </c>
      <c r="G3736" s="116" t="str">
        <f>HYPERLINK("http://nsgreg.nga.mil/genc/view?v=202684&amp;end_month=3&amp;end_day=31&amp;end_year=2014","Novi Pazar")</f>
        <v>Novi Pazar</v>
      </c>
      <c r="H3736" s="87" t="str">
        <f>HYPERLINK("http://api.nsgreg.nga.mil/geo-division/GENC/6/ed2/RS-109","RS-109")</f>
        <v>RS-109</v>
      </c>
    </row>
    <row r="3737" spans="1:8" x14ac:dyDescent="0.2">
      <c r="A3737" s="157"/>
      <c r="B3737" s="31" t="s">
        <v>13031</v>
      </c>
      <c r="C3737" s="31" t="s">
        <v>13032</v>
      </c>
      <c r="D3737" s="31" t="s">
        <v>2405</v>
      </c>
      <c r="E3737" s="61" t="b">
        <v>1</v>
      </c>
      <c r="F3737" s="107" t="s">
        <v>13033</v>
      </c>
      <c r="G3737" s="116" t="str">
        <f>HYPERLINK("http://nsgreg.nga.mil/genc/view?v=202686&amp;end_month=3&amp;end_day=31&amp;end_year=2014","Novi Sad")</f>
        <v>Novi Sad</v>
      </c>
      <c r="H3737" s="87" t="str">
        <f>HYPERLINK("http://api.nsgreg.nga.mil/geo-division/GENC/6/ed2/RS-110","RS-110")</f>
        <v>RS-110</v>
      </c>
    </row>
    <row r="3738" spans="1:8" x14ac:dyDescent="0.2">
      <c r="A3738" s="157"/>
      <c r="B3738" s="31" t="s">
        <v>13034</v>
      </c>
      <c r="C3738" s="31" t="s">
        <v>13035</v>
      </c>
      <c r="D3738" s="31" t="s">
        <v>3254</v>
      </c>
      <c r="E3738" s="61" t="b">
        <v>1</v>
      </c>
      <c r="F3738" s="107" t="s">
        <v>13036</v>
      </c>
      <c r="G3738" s="116" t="str">
        <f>HYPERLINK("http://nsgreg.nga.mil/genc/view?v=202687&amp;end_month=3&amp;end_day=31&amp;end_year=2014","Odžaci")</f>
        <v>Odžaci</v>
      </c>
      <c r="H3738" s="87" t="str">
        <f>HYPERLINK("http://api.nsgreg.nga.mil/geo-division/GENC/6/ed2/RS-111","RS-111")</f>
        <v>RS-111</v>
      </c>
    </row>
    <row r="3739" spans="1:8" x14ac:dyDescent="0.2">
      <c r="A3739" s="157"/>
      <c r="B3739" s="31" t="s">
        <v>13037</v>
      </c>
      <c r="C3739" s="31" t="s">
        <v>13038</v>
      </c>
      <c r="D3739" s="31" t="s">
        <v>3254</v>
      </c>
      <c r="E3739" s="61" t="b">
        <v>1</v>
      </c>
      <c r="F3739" s="107" t="s">
        <v>13039</v>
      </c>
      <c r="G3739" s="116" t="str">
        <f>HYPERLINK("http://nsgreg.nga.mil/genc/view?v=202688&amp;end_month=3&amp;end_day=31&amp;end_year=2014","Opovo")</f>
        <v>Opovo</v>
      </c>
      <c r="H3739" s="87" t="str">
        <f>HYPERLINK("http://api.nsgreg.nga.mil/geo-division/GENC/6/ed2/RS-112","RS-112")</f>
        <v>RS-112</v>
      </c>
    </row>
    <row r="3740" spans="1:8" x14ac:dyDescent="0.2">
      <c r="A3740" s="157"/>
      <c r="B3740" s="31" t="s">
        <v>13040</v>
      </c>
      <c r="C3740" s="31" t="s">
        <v>13041</v>
      </c>
      <c r="D3740" s="31" t="s">
        <v>3254</v>
      </c>
      <c r="E3740" s="61" t="b">
        <v>1</v>
      </c>
      <c r="F3740" s="107" t="s">
        <v>13042</v>
      </c>
      <c r="G3740" s="116" t="str">
        <f>HYPERLINK("http://nsgreg.nga.mil/genc/view?v=202689&amp;end_month=3&amp;end_day=31&amp;end_year=2014","Osečina")</f>
        <v>Osečina</v>
      </c>
      <c r="H3740" s="87" t="str">
        <f>HYPERLINK("http://api.nsgreg.nga.mil/geo-division/GENC/6/ed2/RS-113","RS-113")</f>
        <v>RS-113</v>
      </c>
    </row>
    <row r="3741" spans="1:8" x14ac:dyDescent="0.2">
      <c r="A3741" s="157"/>
      <c r="B3741" s="31" t="s">
        <v>13043</v>
      </c>
      <c r="C3741" s="31" t="s">
        <v>13044</v>
      </c>
      <c r="D3741" s="31" t="s">
        <v>2405</v>
      </c>
      <c r="E3741" s="61" t="b">
        <v>1</v>
      </c>
      <c r="F3741" s="107" t="s">
        <v>13045</v>
      </c>
      <c r="G3741" s="116" t="str">
        <f>HYPERLINK("http://nsgreg.nga.mil/genc/view?v=202690&amp;end_month=3&amp;end_day=31&amp;end_year=2014","Pančevo")</f>
        <v>Pančevo</v>
      </c>
      <c r="H3741" s="87" t="str">
        <f>HYPERLINK("http://api.nsgreg.nga.mil/geo-division/GENC/6/ed2/RS-114","RS-114")</f>
        <v>RS-114</v>
      </c>
    </row>
    <row r="3742" spans="1:8" x14ac:dyDescent="0.2">
      <c r="A3742" s="157"/>
      <c r="B3742" s="31" t="s">
        <v>13046</v>
      </c>
      <c r="C3742" s="31" t="s">
        <v>13047</v>
      </c>
      <c r="D3742" s="31" t="s">
        <v>3254</v>
      </c>
      <c r="E3742" s="61" t="b">
        <v>1</v>
      </c>
      <c r="F3742" s="107" t="s">
        <v>13048</v>
      </c>
      <c r="G3742" s="116" t="str">
        <f>HYPERLINK("http://nsgreg.nga.mil/genc/view?v=202691&amp;end_month=3&amp;end_day=31&amp;end_year=2014","Paraćin")</f>
        <v>Paraćin</v>
      </c>
      <c r="H3742" s="87" t="str">
        <f>HYPERLINK("http://api.nsgreg.nga.mil/geo-division/GENC/6/ed2/RS-115","RS-115")</f>
        <v>RS-115</v>
      </c>
    </row>
    <row r="3743" spans="1:8" x14ac:dyDescent="0.2">
      <c r="A3743" s="157"/>
      <c r="B3743" s="31" t="s">
        <v>13049</v>
      </c>
      <c r="C3743" s="31" t="s">
        <v>13050</v>
      </c>
      <c r="D3743" s="98" t="s">
        <v>2026</v>
      </c>
      <c r="E3743" s="99" t="b">
        <v>0</v>
      </c>
      <c r="F3743" s="107" t="s">
        <v>13051</v>
      </c>
      <c r="G3743" s="116" t="str">
        <f>HYPERLINK("http://nsgreg.nga.mil/genc/view?v=202762&amp;end_month=3&amp;end_day=31&amp;end_year=2014","Pčinjski Okrug")</f>
        <v>Pčinjski Okrug</v>
      </c>
      <c r="H3743" s="87" t="str">
        <f>HYPERLINK("http://api.nsgreg.nga.mil/geo-division/GENC/6/ed2/RS-24","RS-24")</f>
        <v>RS-24</v>
      </c>
    </row>
    <row r="3744" spans="1:8" x14ac:dyDescent="0.2">
      <c r="A3744" s="157"/>
      <c r="B3744" s="31" t="s">
        <v>13052</v>
      </c>
      <c r="C3744" s="31" t="s">
        <v>13053</v>
      </c>
      <c r="D3744" s="31" t="s">
        <v>3254</v>
      </c>
      <c r="E3744" s="61" t="b">
        <v>1</v>
      </c>
      <c r="F3744" s="107" t="s">
        <v>13054</v>
      </c>
      <c r="G3744" s="116" t="str">
        <f>HYPERLINK("http://nsgreg.nga.mil/genc/view?v=202692&amp;end_month=3&amp;end_day=31&amp;end_year=2014","Pećinci")</f>
        <v>Pećinci</v>
      </c>
      <c r="H3744" s="87" t="str">
        <f>HYPERLINK("http://api.nsgreg.nga.mil/geo-division/GENC/6/ed2/RS-116","RS-116")</f>
        <v>RS-116</v>
      </c>
    </row>
    <row r="3745" spans="1:8" x14ac:dyDescent="0.2">
      <c r="A3745" s="157"/>
      <c r="B3745" s="31" t="s">
        <v>13055</v>
      </c>
      <c r="C3745" s="31" t="s">
        <v>13056</v>
      </c>
      <c r="D3745" s="98" t="s">
        <v>2026</v>
      </c>
      <c r="E3745" s="99" t="b">
        <v>0</v>
      </c>
      <c r="F3745" s="107" t="s">
        <v>13057</v>
      </c>
      <c r="G3745" s="116" t="str">
        <f>HYPERLINK("http://nsgreg.nga.mil/genc/view?v=202764&amp;end_month=3&amp;end_day=31&amp;end_year=2014","Pećki okrug")</f>
        <v>Pećki okrug</v>
      </c>
      <c r="H3745" s="87" t="str">
        <f>HYPERLINK("http://api.nsgreg.nga.mil/geo-division/GENC/6/ed2/RS-26","RS-26")</f>
        <v>RS-26</v>
      </c>
    </row>
    <row r="3746" spans="1:8" x14ac:dyDescent="0.2">
      <c r="A3746" s="157"/>
      <c r="B3746" s="31" t="s">
        <v>13058</v>
      </c>
      <c r="C3746" s="31" t="s">
        <v>13059</v>
      </c>
      <c r="D3746" s="31" t="s">
        <v>3254</v>
      </c>
      <c r="E3746" s="61" t="b">
        <v>1</v>
      </c>
      <c r="F3746" s="107" t="s">
        <v>13060</v>
      </c>
      <c r="G3746" s="116" t="str">
        <f>HYPERLINK("http://nsgreg.nga.mil/genc/view?v=202693&amp;end_month=3&amp;end_day=31&amp;end_year=2014","Petrovac na Mlavi")</f>
        <v>Petrovac na Mlavi</v>
      </c>
      <c r="H3746" s="87" t="str">
        <f>HYPERLINK("http://api.nsgreg.nga.mil/geo-division/GENC/6/ed2/RS-117","RS-117")</f>
        <v>RS-117</v>
      </c>
    </row>
    <row r="3747" spans="1:8" x14ac:dyDescent="0.2">
      <c r="A3747" s="157"/>
      <c r="B3747" s="31" t="s">
        <v>13061</v>
      </c>
      <c r="C3747" s="31" t="s">
        <v>13062</v>
      </c>
      <c r="D3747" s="31" t="s">
        <v>3254</v>
      </c>
      <c r="E3747" s="61" t="b">
        <v>1</v>
      </c>
      <c r="F3747" s="107" t="s">
        <v>13063</v>
      </c>
      <c r="G3747" s="116" t="str">
        <f>HYPERLINK("http://nsgreg.nga.mil/genc/view?v=202694&amp;end_month=3&amp;end_day=31&amp;end_year=2014","Pirot")</f>
        <v>Pirot</v>
      </c>
      <c r="H3747" s="87" t="str">
        <f>HYPERLINK("http://api.nsgreg.nga.mil/geo-division/GENC/6/ed2/RS-118","RS-118")</f>
        <v>RS-118</v>
      </c>
    </row>
    <row r="3748" spans="1:8" x14ac:dyDescent="0.2">
      <c r="A3748" s="157"/>
      <c r="B3748" s="31" t="s">
        <v>13064</v>
      </c>
      <c r="C3748" s="31" t="s">
        <v>13065</v>
      </c>
      <c r="D3748" s="98" t="s">
        <v>2026</v>
      </c>
      <c r="E3748" s="99" t="b">
        <v>0</v>
      </c>
      <c r="F3748" s="107" t="s">
        <v>13066</v>
      </c>
      <c r="G3748" s="116" t="str">
        <f>HYPERLINK("http://nsgreg.nga.mil/genc/view?v=202760&amp;end_month=3&amp;end_day=31&amp;end_year=2014","Pirotski Okrug")</f>
        <v>Pirotski Okrug</v>
      </c>
      <c r="H3748" s="87" t="str">
        <f>HYPERLINK("http://api.nsgreg.nga.mil/geo-division/GENC/6/ed2/RS-22","RS-22")</f>
        <v>RS-22</v>
      </c>
    </row>
    <row r="3749" spans="1:8" x14ac:dyDescent="0.2">
      <c r="A3749" s="157"/>
      <c r="B3749" s="31" t="s">
        <v>13067</v>
      </c>
      <c r="C3749" s="31" t="s">
        <v>13068</v>
      </c>
      <c r="D3749" s="31" t="s">
        <v>3254</v>
      </c>
      <c r="E3749" s="61" t="b">
        <v>1</v>
      </c>
      <c r="F3749" s="107" t="s">
        <v>13069</v>
      </c>
      <c r="G3749" s="116" t="str">
        <f>HYPERLINK("http://nsgreg.nga.mil/genc/view?v=202695&amp;end_month=3&amp;end_day=31&amp;end_year=2014","Plandište")</f>
        <v>Plandište</v>
      </c>
      <c r="H3749" s="87" t="str">
        <f>HYPERLINK("http://api.nsgreg.nga.mil/geo-division/GENC/6/ed2/RS-119","RS-119")</f>
        <v>RS-119</v>
      </c>
    </row>
    <row r="3750" spans="1:8" x14ac:dyDescent="0.2">
      <c r="A3750" s="157"/>
      <c r="B3750" s="31" t="s">
        <v>13070</v>
      </c>
      <c r="C3750" s="31" t="s">
        <v>13071</v>
      </c>
      <c r="D3750" s="98" t="s">
        <v>2026</v>
      </c>
      <c r="E3750" s="99" t="b">
        <v>0</v>
      </c>
      <c r="F3750" s="107" t="s">
        <v>13072</v>
      </c>
      <c r="G3750" s="116" t="str">
        <f>HYPERLINK("http://nsgreg.nga.mil/genc/view?v=202674&amp;end_month=3&amp;end_day=31&amp;end_year=2014","Podunavski Okrug")</f>
        <v>Podunavski Okrug</v>
      </c>
      <c r="H3750" s="87" t="str">
        <f>HYPERLINK("http://api.nsgreg.nga.mil/geo-division/GENC/6/ed2/RS-10","RS-10")</f>
        <v>RS-10</v>
      </c>
    </row>
    <row r="3751" spans="1:8" x14ac:dyDescent="0.2">
      <c r="A3751" s="157"/>
      <c r="B3751" s="31" t="s">
        <v>13073</v>
      </c>
      <c r="C3751" s="31" t="s">
        <v>13074</v>
      </c>
      <c r="D3751" s="98" t="s">
        <v>2026</v>
      </c>
      <c r="E3751" s="99" t="b">
        <v>0</v>
      </c>
      <c r="F3751" s="107" t="s">
        <v>13075</v>
      </c>
      <c r="G3751" s="116" t="str">
        <f>HYPERLINK("http://nsgreg.nga.mil/genc/view?v=202707&amp;end_month=3&amp;end_day=31&amp;end_year=2014","Pomoravski Okrug")</f>
        <v>Pomoravski Okrug</v>
      </c>
      <c r="H3751" s="87" t="str">
        <f>HYPERLINK("http://api.nsgreg.nga.mil/geo-division/GENC/6/ed2/RS-13","RS-13")</f>
        <v>RS-13</v>
      </c>
    </row>
    <row r="3752" spans="1:8" x14ac:dyDescent="0.2">
      <c r="A3752" s="157"/>
      <c r="B3752" s="31" t="s">
        <v>13076</v>
      </c>
      <c r="C3752" s="31" t="s">
        <v>13077</v>
      </c>
      <c r="D3752" s="31" t="s">
        <v>2405</v>
      </c>
      <c r="E3752" s="61" t="b">
        <v>1</v>
      </c>
      <c r="F3752" s="107" t="s">
        <v>13078</v>
      </c>
      <c r="G3752" s="116" t="str">
        <f>HYPERLINK("http://nsgreg.nga.mil/genc/view?v=202697&amp;end_month=3&amp;end_day=31&amp;end_year=2014","Požarevac")</f>
        <v>Požarevac</v>
      </c>
      <c r="H3752" s="87" t="str">
        <f>HYPERLINK("http://api.nsgreg.nga.mil/geo-division/GENC/6/ed2/RS-120","RS-120")</f>
        <v>RS-120</v>
      </c>
    </row>
    <row r="3753" spans="1:8" x14ac:dyDescent="0.2">
      <c r="A3753" s="157"/>
      <c r="B3753" s="31" t="s">
        <v>13079</v>
      </c>
      <c r="C3753" s="31" t="s">
        <v>13080</v>
      </c>
      <c r="D3753" s="31" t="s">
        <v>3254</v>
      </c>
      <c r="E3753" s="61" t="b">
        <v>1</v>
      </c>
      <c r="F3753" s="107" t="s">
        <v>13081</v>
      </c>
      <c r="G3753" s="116" t="str">
        <f>HYPERLINK("http://nsgreg.nga.mil/genc/view?v=202698&amp;end_month=3&amp;end_day=31&amp;end_year=2014","Požega")</f>
        <v>Požega</v>
      </c>
      <c r="H3753" s="87" t="str">
        <f>HYPERLINK("http://api.nsgreg.nga.mil/geo-division/GENC/6/ed2/RS-121","RS-121")</f>
        <v>RS-121</v>
      </c>
    </row>
    <row r="3754" spans="1:8" x14ac:dyDescent="0.2">
      <c r="A3754" s="157"/>
      <c r="B3754" s="31" t="s">
        <v>13082</v>
      </c>
      <c r="C3754" s="31" t="s">
        <v>13083</v>
      </c>
      <c r="D3754" s="31" t="s">
        <v>3254</v>
      </c>
      <c r="E3754" s="61" t="b">
        <v>1</v>
      </c>
      <c r="F3754" s="107" t="s">
        <v>13084</v>
      </c>
      <c r="G3754" s="116" t="str">
        <f>HYPERLINK("http://nsgreg.nga.mil/genc/view?v=202699&amp;end_month=3&amp;end_day=31&amp;end_year=2014","Preševo")</f>
        <v>Preševo</v>
      </c>
      <c r="H3754" s="87" t="str">
        <f>HYPERLINK("http://api.nsgreg.nga.mil/geo-division/GENC/6/ed2/RS-122","RS-122")</f>
        <v>RS-122</v>
      </c>
    </row>
    <row r="3755" spans="1:8" x14ac:dyDescent="0.2">
      <c r="A3755" s="157"/>
      <c r="B3755" s="31" t="s">
        <v>13085</v>
      </c>
      <c r="C3755" s="31" t="s">
        <v>13086</v>
      </c>
      <c r="D3755" s="31" t="s">
        <v>3254</v>
      </c>
      <c r="E3755" s="61" t="b">
        <v>1</v>
      </c>
      <c r="F3755" s="107" t="s">
        <v>13087</v>
      </c>
      <c r="G3755" s="116" t="str">
        <f>HYPERLINK("http://nsgreg.nga.mil/genc/view?v=202700&amp;end_month=3&amp;end_day=31&amp;end_year=2014","Priboj")</f>
        <v>Priboj</v>
      </c>
      <c r="H3755" s="87" t="str">
        <f>HYPERLINK("http://api.nsgreg.nga.mil/geo-division/GENC/6/ed2/RS-123","RS-123")</f>
        <v>RS-123</v>
      </c>
    </row>
    <row r="3756" spans="1:8" x14ac:dyDescent="0.2">
      <c r="A3756" s="157"/>
      <c r="B3756" s="31" t="s">
        <v>13088</v>
      </c>
      <c r="C3756" s="31" t="s">
        <v>13089</v>
      </c>
      <c r="D3756" s="31" t="s">
        <v>3254</v>
      </c>
      <c r="E3756" s="61" t="b">
        <v>1</v>
      </c>
      <c r="F3756" s="107" t="s">
        <v>13090</v>
      </c>
      <c r="G3756" s="116" t="str">
        <f>HYPERLINK("http://nsgreg.nga.mil/genc/view?v=202701&amp;end_month=3&amp;end_day=31&amp;end_year=2014","Prijepolje")</f>
        <v>Prijepolje</v>
      </c>
      <c r="H3756" s="87" t="str">
        <f>HYPERLINK("http://api.nsgreg.nga.mil/geo-division/GENC/6/ed2/RS-124","RS-124")</f>
        <v>RS-124</v>
      </c>
    </row>
    <row r="3757" spans="1:8" x14ac:dyDescent="0.2">
      <c r="A3757" s="157"/>
      <c r="B3757" s="31" t="s">
        <v>13091</v>
      </c>
      <c r="C3757" s="31" t="s">
        <v>13092</v>
      </c>
      <c r="D3757" s="98" t="s">
        <v>2026</v>
      </c>
      <c r="E3757" s="99" t="b">
        <v>0</v>
      </c>
      <c r="F3757" s="107" t="s">
        <v>13093</v>
      </c>
      <c r="G3757" s="116" t="str">
        <f>HYPERLINK("http://nsgreg.nga.mil/genc/view?v=202765&amp;end_month=3&amp;end_day=31&amp;end_year=2014","Prizrenski okrug")</f>
        <v>Prizrenski okrug</v>
      </c>
      <c r="H3757" s="87" t="str">
        <f>HYPERLINK("http://api.nsgreg.nga.mil/geo-division/GENC/6/ed2/RS-27","RS-27")</f>
        <v>RS-27</v>
      </c>
    </row>
    <row r="3758" spans="1:8" x14ac:dyDescent="0.2">
      <c r="A3758" s="157"/>
      <c r="B3758" s="31" t="s">
        <v>13094</v>
      </c>
      <c r="C3758" s="31" t="s">
        <v>13095</v>
      </c>
      <c r="D3758" s="31" t="s">
        <v>3254</v>
      </c>
      <c r="E3758" s="61" t="b">
        <v>1</v>
      </c>
      <c r="F3758" s="107" t="s">
        <v>13096</v>
      </c>
      <c r="G3758" s="116" t="str">
        <f>HYPERLINK("http://nsgreg.nga.mil/genc/view?v=202702&amp;end_month=3&amp;end_day=31&amp;end_year=2014","Prokuplje")</f>
        <v>Prokuplje</v>
      </c>
      <c r="H3758" s="87" t="str">
        <f>HYPERLINK("http://api.nsgreg.nga.mil/geo-division/GENC/6/ed2/RS-125","RS-125")</f>
        <v>RS-125</v>
      </c>
    </row>
    <row r="3759" spans="1:8" x14ac:dyDescent="0.2">
      <c r="A3759" s="157"/>
      <c r="B3759" s="31" t="s">
        <v>13097</v>
      </c>
      <c r="C3759" s="31" t="s">
        <v>13098</v>
      </c>
      <c r="D3759" s="31" t="s">
        <v>3254</v>
      </c>
      <c r="E3759" s="61" t="b">
        <v>1</v>
      </c>
      <c r="F3759" s="107" t="s">
        <v>13099</v>
      </c>
      <c r="G3759" s="116" t="str">
        <f>HYPERLINK("http://nsgreg.nga.mil/genc/view?v=202703&amp;end_month=3&amp;end_day=31&amp;end_year=2014","Rača")</f>
        <v>Rača</v>
      </c>
      <c r="H3759" s="87" t="str">
        <f>HYPERLINK("http://api.nsgreg.nga.mil/geo-division/GENC/6/ed2/RS-126","RS-126")</f>
        <v>RS-126</v>
      </c>
    </row>
    <row r="3760" spans="1:8" x14ac:dyDescent="0.2">
      <c r="A3760" s="157"/>
      <c r="B3760" s="31" t="s">
        <v>13100</v>
      </c>
      <c r="C3760" s="31" t="s">
        <v>13101</v>
      </c>
      <c r="D3760" s="98" t="s">
        <v>2026</v>
      </c>
      <c r="E3760" s="99" t="b">
        <v>0</v>
      </c>
      <c r="F3760" s="107" t="s">
        <v>13102</v>
      </c>
      <c r="G3760" s="116" t="str">
        <f>HYPERLINK("http://nsgreg.nga.mil/genc/view?v=202757&amp;end_month=3&amp;end_day=31&amp;end_year=2014","Rasinski Okrug")</f>
        <v>Rasinski Okrug</v>
      </c>
      <c r="H3760" s="87" t="str">
        <f>HYPERLINK("http://api.nsgreg.nga.mil/geo-division/GENC/6/ed2/RS-19","RS-19")</f>
        <v>RS-19</v>
      </c>
    </row>
    <row r="3761" spans="1:8" x14ac:dyDescent="0.2">
      <c r="A3761" s="157"/>
      <c r="B3761" s="31" t="s">
        <v>13103</v>
      </c>
      <c r="C3761" s="31" t="s">
        <v>13104</v>
      </c>
      <c r="D3761" s="31" t="s">
        <v>3254</v>
      </c>
      <c r="E3761" s="61" t="b">
        <v>1</v>
      </c>
      <c r="F3761" s="107" t="s">
        <v>13105</v>
      </c>
      <c r="G3761" s="116" t="str">
        <f>HYPERLINK("http://nsgreg.nga.mil/genc/view?v=202704&amp;end_month=3&amp;end_day=31&amp;end_year=2014","Raška")</f>
        <v>Raška</v>
      </c>
      <c r="H3761" s="87" t="str">
        <f>HYPERLINK("http://api.nsgreg.nga.mil/geo-division/GENC/6/ed2/RS-127","RS-127")</f>
        <v>RS-127</v>
      </c>
    </row>
    <row r="3762" spans="1:8" x14ac:dyDescent="0.2">
      <c r="A3762" s="157"/>
      <c r="B3762" s="31" t="s">
        <v>13106</v>
      </c>
      <c r="C3762" s="31" t="s">
        <v>13107</v>
      </c>
      <c r="D3762" s="98" t="s">
        <v>2026</v>
      </c>
      <c r="E3762" s="99" t="b">
        <v>0</v>
      </c>
      <c r="F3762" s="107" t="s">
        <v>13108</v>
      </c>
      <c r="G3762" s="116" t="str">
        <f>HYPERLINK("http://nsgreg.nga.mil/genc/view?v=202756&amp;end_month=3&amp;end_day=31&amp;end_year=2014","Raški Okrug")</f>
        <v>Raški Okrug</v>
      </c>
      <c r="H3762" s="87" t="str">
        <f>HYPERLINK("http://api.nsgreg.nga.mil/geo-division/GENC/6/ed2/RS-18","RS-18")</f>
        <v>RS-18</v>
      </c>
    </row>
    <row r="3763" spans="1:8" x14ac:dyDescent="0.2">
      <c r="A3763" s="157"/>
      <c r="B3763" s="31" t="s">
        <v>13109</v>
      </c>
      <c r="C3763" s="31" t="s">
        <v>13110</v>
      </c>
      <c r="D3763" s="31" t="s">
        <v>3254</v>
      </c>
      <c r="E3763" s="61" t="b">
        <v>1</v>
      </c>
      <c r="F3763" s="107" t="s">
        <v>13111</v>
      </c>
      <c r="G3763" s="116" t="str">
        <f>HYPERLINK("http://nsgreg.nga.mil/genc/view?v=202705&amp;end_month=3&amp;end_day=31&amp;end_year=2014","Ražanj")</f>
        <v>Ražanj</v>
      </c>
      <c r="H3763" s="87" t="str">
        <f>HYPERLINK("http://api.nsgreg.nga.mil/geo-division/GENC/6/ed2/RS-128","RS-128")</f>
        <v>RS-128</v>
      </c>
    </row>
    <row r="3764" spans="1:8" x14ac:dyDescent="0.2">
      <c r="A3764" s="157"/>
      <c r="B3764" s="31" t="s">
        <v>13112</v>
      </c>
      <c r="C3764" s="31" t="s">
        <v>13113</v>
      </c>
      <c r="D3764" s="31" t="s">
        <v>3254</v>
      </c>
      <c r="E3764" s="61" t="b">
        <v>1</v>
      </c>
      <c r="F3764" s="107" t="s">
        <v>13114</v>
      </c>
      <c r="G3764" s="116" t="str">
        <f>HYPERLINK("http://nsgreg.nga.mil/genc/view?v=202706&amp;end_month=3&amp;end_day=31&amp;end_year=2014","Rekovac")</f>
        <v>Rekovac</v>
      </c>
      <c r="H3764" s="87" t="str">
        <f>HYPERLINK("http://api.nsgreg.nga.mil/geo-division/GENC/6/ed2/RS-129","RS-129")</f>
        <v>RS-129</v>
      </c>
    </row>
    <row r="3765" spans="1:8" x14ac:dyDescent="0.2">
      <c r="A3765" s="157"/>
      <c r="B3765" s="31" t="s">
        <v>13115</v>
      </c>
      <c r="C3765" s="31" t="s">
        <v>13116</v>
      </c>
      <c r="D3765" s="31" t="s">
        <v>3254</v>
      </c>
      <c r="E3765" s="61" t="b">
        <v>1</v>
      </c>
      <c r="F3765" s="107" t="s">
        <v>13117</v>
      </c>
      <c r="G3765" s="116" t="str">
        <f>HYPERLINK("http://nsgreg.nga.mil/genc/view?v=202708&amp;end_month=3&amp;end_day=31&amp;end_year=2014","Ruma")</f>
        <v>Ruma</v>
      </c>
      <c r="H3765" s="87" t="str">
        <f>HYPERLINK("http://api.nsgreg.nga.mil/geo-division/GENC/6/ed2/RS-130","RS-130")</f>
        <v>RS-130</v>
      </c>
    </row>
    <row r="3766" spans="1:8" x14ac:dyDescent="0.2">
      <c r="A3766" s="157"/>
      <c r="B3766" s="31" t="s">
        <v>13118</v>
      </c>
      <c r="C3766" s="31" t="s">
        <v>13119</v>
      </c>
      <c r="D3766" s="31" t="s">
        <v>2405</v>
      </c>
      <c r="E3766" s="61" t="b">
        <v>1</v>
      </c>
      <c r="F3766" s="107" t="s">
        <v>13120</v>
      </c>
      <c r="G3766" s="116" t="str">
        <f>HYPERLINK("http://nsgreg.nga.mil/genc/view?v=202709&amp;end_month=3&amp;end_day=31&amp;end_year=2014","Šabac")</f>
        <v>Šabac</v>
      </c>
      <c r="H3766" s="87" t="str">
        <f>HYPERLINK("http://api.nsgreg.nga.mil/geo-division/GENC/6/ed2/RS-131","RS-131")</f>
        <v>RS-131</v>
      </c>
    </row>
    <row r="3767" spans="1:8" x14ac:dyDescent="0.2">
      <c r="A3767" s="157"/>
      <c r="B3767" s="31" t="s">
        <v>13121</v>
      </c>
      <c r="C3767" s="31" t="s">
        <v>13122</v>
      </c>
      <c r="D3767" s="31" t="s">
        <v>3254</v>
      </c>
      <c r="E3767" s="61" t="b">
        <v>1</v>
      </c>
      <c r="F3767" s="107" t="s">
        <v>13123</v>
      </c>
      <c r="G3767" s="116" t="str">
        <f>HYPERLINK("http://nsgreg.nga.mil/genc/view?v=202710&amp;end_month=3&amp;end_day=31&amp;end_year=2014","Sečanj")</f>
        <v>Sečanj</v>
      </c>
      <c r="H3767" s="87" t="str">
        <f>HYPERLINK("http://api.nsgreg.nga.mil/geo-division/GENC/6/ed2/RS-132","RS-132")</f>
        <v>RS-132</v>
      </c>
    </row>
    <row r="3768" spans="1:8" x14ac:dyDescent="0.2">
      <c r="A3768" s="157"/>
      <c r="B3768" s="31" t="s">
        <v>13124</v>
      </c>
      <c r="C3768" s="31" t="s">
        <v>13125</v>
      </c>
      <c r="D3768" s="31" t="s">
        <v>3254</v>
      </c>
      <c r="E3768" s="61" t="b">
        <v>1</v>
      </c>
      <c r="F3768" s="107" t="s">
        <v>13126</v>
      </c>
      <c r="G3768" s="116" t="str">
        <f>HYPERLINK("http://nsgreg.nga.mil/genc/view?v=202711&amp;end_month=3&amp;end_day=31&amp;end_year=2014","Senta")</f>
        <v>Senta</v>
      </c>
      <c r="H3768" s="87" t="str">
        <f>HYPERLINK("http://api.nsgreg.nga.mil/geo-division/GENC/6/ed2/RS-133","RS-133")</f>
        <v>RS-133</v>
      </c>
    </row>
    <row r="3769" spans="1:8" x14ac:dyDescent="0.2">
      <c r="A3769" s="157"/>
      <c r="B3769" s="31" t="s">
        <v>13127</v>
      </c>
      <c r="C3769" s="31" t="s">
        <v>13128</v>
      </c>
      <c r="D3769" s="98" t="s">
        <v>2026</v>
      </c>
      <c r="E3769" s="99" t="b">
        <v>0</v>
      </c>
      <c r="F3769" s="107" t="s">
        <v>13129</v>
      </c>
      <c r="G3769" s="116" t="str">
        <f>HYPERLINK("http://nsgreg.nga.mil/genc/view?v=202665&amp;end_month=3&amp;end_day=31&amp;end_year=2014","Severno Bački Okrug")</f>
        <v>Severno Bački Okrug</v>
      </c>
      <c r="H3769" s="87" t="str">
        <f>HYPERLINK("http://api.nsgreg.nga.mil/geo-division/GENC/6/ed2/RS-01","RS-01")</f>
        <v>RS-01</v>
      </c>
    </row>
    <row r="3770" spans="1:8" x14ac:dyDescent="0.2">
      <c r="A3770" s="157"/>
      <c r="B3770" s="31" t="s">
        <v>13130</v>
      </c>
      <c r="C3770" s="31" t="s">
        <v>13131</v>
      </c>
      <c r="D3770" s="98" t="s">
        <v>2026</v>
      </c>
      <c r="E3770" s="99" t="b">
        <v>0</v>
      </c>
      <c r="F3770" s="107" t="s">
        <v>13132</v>
      </c>
      <c r="G3770" s="116" t="str">
        <f>HYPERLINK("http://nsgreg.nga.mil/genc/view?v=202667&amp;end_month=3&amp;end_day=31&amp;end_year=2014","Severno Banatski Okrug")</f>
        <v>Severno Banatski Okrug</v>
      </c>
      <c r="H3770" s="87" t="str">
        <f>HYPERLINK("http://api.nsgreg.nga.mil/geo-division/GENC/6/ed2/RS-03","RS-03")</f>
        <v>RS-03</v>
      </c>
    </row>
    <row r="3771" spans="1:8" x14ac:dyDescent="0.2">
      <c r="A3771" s="157"/>
      <c r="B3771" s="31" t="s">
        <v>13133</v>
      </c>
      <c r="C3771" s="31" t="s">
        <v>13134</v>
      </c>
      <c r="D3771" s="31" t="s">
        <v>3254</v>
      </c>
      <c r="E3771" s="61" t="b">
        <v>1</v>
      </c>
      <c r="F3771" s="107" t="s">
        <v>13135</v>
      </c>
      <c r="G3771" s="116" t="str">
        <f>HYPERLINK("http://nsgreg.nga.mil/genc/view?v=202712&amp;end_month=3&amp;end_day=31&amp;end_year=2014","Šid")</f>
        <v>Šid</v>
      </c>
      <c r="H3771" s="87" t="str">
        <f>HYPERLINK("http://api.nsgreg.nga.mil/geo-division/GENC/6/ed2/RS-134","RS-134")</f>
        <v>RS-134</v>
      </c>
    </row>
    <row r="3772" spans="1:8" x14ac:dyDescent="0.2">
      <c r="A3772" s="157"/>
      <c r="B3772" s="31" t="s">
        <v>13136</v>
      </c>
      <c r="C3772" s="31" t="s">
        <v>13137</v>
      </c>
      <c r="D3772" s="31" t="s">
        <v>3254</v>
      </c>
      <c r="E3772" s="61" t="b">
        <v>1</v>
      </c>
      <c r="F3772" s="107" t="s">
        <v>13138</v>
      </c>
      <c r="G3772" s="116" t="str">
        <f>HYPERLINK("http://nsgreg.nga.mil/genc/view?v=202713&amp;end_month=3&amp;end_day=31&amp;end_year=2014","Sjenica")</f>
        <v>Sjenica</v>
      </c>
      <c r="H3772" s="87" t="str">
        <f>HYPERLINK("http://api.nsgreg.nga.mil/geo-division/GENC/6/ed2/RS-135","RS-135")</f>
        <v>RS-135</v>
      </c>
    </row>
    <row r="3773" spans="1:8" x14ac:dyDescent="0.2">
      <c r="A3773" s="157"/>
      <c r="B3773" s="31" t="s">
        <v>13139</v>
      </c>
      <c r="C3773" s="31" t="s">
        <v>13140</v>
      </c>
      <c r="D3773" s="31" t="s">
        <v>2405</v>
      </c>
      <c r="E3773" s="61" t="b">
        <v>1</v>
      </c>
      <c r="F3773" s="107" t="s">
        <v>13141</v>
      </c>
      <c r="G3773" s="116" t="str">
        <f>HYPERLINK("http://nsgreg.nga.mil/genc/view?v=202714&amp;end_month=3&amp;end_day=31&amp;end_year=2014","Smederevo")</f>
        <v>Smederevo</v>
      </c>
      <c r="H3773" s="87" t="str">
        <f>HYPERLINK("http://api.nsgreg.nga.mil/geo-division/GENC/6/ed2/RS-136","RS-136")</f>
        <v>RS-136</v>
      </c>
    </row>
    <row r="3774" spans="1:8" x14ac:dyDescent="0.2">
      <c r="A3774" s="157"/>
      <c r="B3774" s="31" t="s">
        <v>13142</v>
      </c>
      <c r="C3774" s="31" t="s">
        <v>13143</v>
      </c>
      <c r="D3774" s="31" t="s">
        <v>3254</v>
      </c>
      <c r="E3774" s="61" t="b">
        <v>1</v>
      </c>
      <c r="F3774" s="107" t="s">
        <v>13144</v>
      </c>
      <c r="G3774" s="116" t="str">
        <f>HYPERLINK("http://nsgreg.nga.mil/genc/view?v=202715&amp;end_month=3&amp;end_day=31&amp;end_year=2014","Smederevska Palanka")</f>
        <v>Smederevska Palanka</v>
      </c>
      <c r="H3774" s="87" t="str">
        <f>HYPERLINK("http://api.nsgreg.nga.mil/geo-division/GENC/6/ed2/RS-137","RS-137")</f>
        <v>RS-137</v>
      </c>
    </row>
    <row r="3775" spans="1:8" x14ac:dyDescent="0.2">
      <c r="A3775" s="157"/>
      <c r="B3775" s="31" t="s">
        <v>13145</v>
      </c>
      <c r="C3775" s="31" t="s">
        <v>13146</v>
      </c>
      <c r="D3775" s="31" t="s">
        <v>3254</v>
      </c>
      <c r="E3775" s="61" t="b">
        <v>1</v>
      </c>
      <c r="F3775" s="107" t="s">
        <v>13147</v>
      </c>
      <c r="G3775" s="116" t="str">
        <f>HYPERLINK("http://nsgreg.nga.mil/genc/view?v=202716&amp;end_month=3&amp;end_day=31&amp;end_year=2014","Sokobanja")</f>
        <v>Sokobanja</v>
      </c>
      <c r="H3775" s="87" t="str">
        <f>HYPERLINK("http://api.nsgreg.nga.mil/geo-division/GENC/6/ed2/RS-138","RS-138")</f>
        <v>RS-138</v>
      </c>
    </row>
    <row r="3776" spans="1:8" x14ac:dyDescent="0.2">
      <c r="A3776" s="157"/>
      <c r="B3776" s="31" t="s">
        <v>13148</v>
      </c>
      <c r="C3776" s="31" t="s">
        <v>13149</v>
      </c>
      <c r="D3776" s="31" t="s">
        <v>2405</v>
      </c>
      <c r="E3776" s="61" t="b">
        <v>1</v>
      </c>
      <c r="F3776" s="107" t="s">
        <v>13150</v>
      </c>
      <c r="G3776" s="116" t="str">
        <f>HYPERLINK("http://nsgreg.nga.mil/genc/view?v=202717&amp;end_month=3&amp;end_day=31&amp;end_year=2014","Sombor")</f>
        <v>Sombor</v>
      </c>
      <c r="H3776" s="87" t="str">
        <f>HYPERLINK("http://api.nsgreg.nga.mil/geo-division/GENC/6/ed2/RS-139","RS-139")</f>
        <v>RS-139</v>
      </c>
    </row>
    <row r="3777" spans="1:8" x14ac:dyDescent="0.2">
      <c r="A3777" s="157"/>
      <c r="B3777" s="31" t="s">
        <v>13151</v>
      </c>
      <c r="C3777" s="31" t="s">
        <v>13152</v>
      </c>
      <c r="D3777" s="31" t="s">
        <v>3254</v>
      </c>
      <c r="E3777" s="61" t="b">
        <v>1</v>
      </c>
      <c r="F3777" s="107" t="s">
        <v>13153</v>
      </c>
      <c r="G3777" s="116" t="str">
        <f>HYPERLINK("http://nsgreg.nga.mil/genc/view?v=202719&amp;end_month=3&amp;end_day=31&amp;end_year=2014","Srbobran")</f>
        <v>Srbobran</v>
      </c>
      <c r="H3777" s="87" t="str">
        <f>HYPERLINK("http://api.nsgreg.nga.mil/geo-division/GENC/6/ed2/RS-140","RS-140")</f>
        <v>RS-140</v>
      </c>
    </row>
    <row r="3778" spans="1:8" x14ac:dyDescent="0.2">
      <c r="A3778" s="157"/>
      <c r="B3778" s="31" t="s">
        <v>13154</v>
      </c>
      <c r="C3778" s="31" t="s">
        <v>13155</v>
      </c>
      <c r="D3778" s="98" t="s">
        <v>2026</v>
      </c>
      <c r="E3778" s="99" t="b">
        <v>0</v>
      </c>
      <c r="F3778" s="107" t="s">
        <v>13156</v>
      </c>
      <c r="G3778" s="116" t="str">
        <f>HYPERLINK("http://nsgreg.nga.mil/genc/view?v=202666&amp;end_month=3&amp;end_day=31&amp;end_year=2014","Srednje Banatski Okrug")</f>
        <v>Srednje Banatski Okrug</v>
      </c>
      <c r="H3778" s="87" t="str">
        <f>HYPERLINK("http://api.nsgreg.nga.mil/geo-division/GENC/6/ed2/RS-02","RS-02")</f>
        <v>RS-02</v>
      </c>
    </row>
    <row r="3779" spans="1:8" x14ac:dyDescent="0.2">
      <c r="A3779" s="157"/>
      <c r="B3779" s="31" t="s">
        <v>13157</v>
      </c>
      <c r="C3779" s="31" t="s">
        <v>13158</v>
      </c>
      <c r="D3779" s="31" t="s">
        <v>2405</v>
      </c>
      <c r="E3779" s="61" t="b">
        <v>1</v>
      </c>
      <c r="F3779" s="107" t="s">
        <v>13159</v>
      </c>
      <c r="G3779" s="116" t="str">
        <f>HYPERLINK("http://nsgreg.nga.mil/genc/view?v=202720&amp;end_month=3&amp;end_day=31&amp;end_year=2014","Sremska Mitrovica")</f>
        <v>Sremska Mitrovica</v>
      </c>
      <c r="H3779" s="87" t="str">
        <f>HYPERLINK("http://api.nsgreg.nga.mil/geo-division/GENC/6/ed2/RS-141","RS-141")</f>
        <v>RS-141</v>
      </c>
    </row>
    <row r="3780" spans="1:8" x14ac:dyDescent="0.2">
      <c r="A3780" s="157"/>
      <c r="B3780" s="31" t="s">
        <v>13160</v>
      </c>
      <c r="C3780" s="31" t="s">
        <v>13161</v>
      </c>
      <c r="D3780" s="31" t="s">
        <v>3254</v>
      </c>
      <c r="E3780" s="61" t="b">
        <v>1</v>
      </c>
      <c r="F3780" s="107" t="s">
        <v>13162</v>
      </c>
      <c r="G3780" s="116" t="str">
        <f>HYPERLINK("http://nsgreg.nga.mil/genc/view?v=202721&amp;end_month=3&amp;end_day=31&amp;end_year=2014","Sremski Karlovci")</f>
        <v>Sremski Karlovci</v>
      </c>
      <c r="H3780" s="87" t="str">
        <f>HYPERLINK("http://api.nsgreg.nga.mil/geo-division/GENC/6/ed2/RS-142","RS-142")</f>
        <v>RS-142</v>
      </c>
    </row>
    <row r="3781" spans="1:8" x14ac:dyDescent="0.2">
      <c r="A3781" s="157"/>
      <c r="B3781" s="31" t="s">
        <v>13163</v>
      </c>
      <c r="C3781" s="31" t="s">
        <v>13164</v>
      </c>
      <c r="D3781" s="98" t="s">
        <v>2026</v>
      </c>
      <c r="E3781" s="99" t="b">
        <v>0</v>
      </c>
      <c r="F3781" s="107" t="s">
        <v>13165</v>
      </c>
      <c r="G3781" s="116" t="str">
        <f>HYPERLINK("http://nsgreg.nga.mil/genc/view?v=202671&amp;end_month=3&amp;end_day=31&amp;end_year=2014","Sremski Okrug")</f>
        <v>Sremski Okrug</v>
      </c>
      <c r="H3781" s="87" t="str">
        <f>HYPERLINK("http://api.nsgreg.nga.mil/geo-division/GENC/6/ed2/RS-07","RS-07")</f>
        <v>RS-07</v>
      </c>
    </row>
    <row r="3782" spans="1:8" x14ac:dyDescent="0.2">
      <c r="A3782" s="157"/>
      <c r="B3782" s="31" t="s">
        <v>13166</v>
      </c>
      <c r="C3782" s="31" t="s">
        <v>13167</v>
      </c>
      <c r="D3782" s="31" t="s">
        <v>3254</v>
      </c>
      <c r="E3782" s="61" t="b">
        <v>1</v>
      </c>
      <c r="F3782" s="107" t="s">
        <v>13168</v>
      </c>
      <c r="G3782" s="116" t="str">
        <f>HYPERLINK("http://nsgreg.nga.mil/genc/view?v=202722&amp;end_month=3&amp;end_day=31&amp;end_year=2014","Stara Pazova")</f>
        <v>Stara Pazova</v>
      </c>
      <c r="H3782" s="87" t="str">
        <f>HYPERLINK("http://api.nsgreg.nga.mil/geo-division/GENC/6/ed2/RS-143","RS-143")</f>
        <v>RS-143</v>
      </c>
    </row>
    <row r="3783" spans="1:8" x14ac:dyDescent="0.2">
      <c r="A3783" s="157"/>
      <c r="B3783" s="31" t="s">
        <v>13169</v>
      </c>
      <c r="C3783" s="31" t="s">
        <v>13170</v>
      </c>
      <c r="D3783" s="31" t="s">
        <v>2405</v>
      </c>
      <c r="E3783" s="61" t="b">
        <v>1</v>
      </c>
      <c r="F3783" s="107" t="s">
        <v>13171</v>
      </c>
      <c r="G3783" s="116" t="str">
        <f>HYPERLINK("http://nsgreg.nga.mil/genc/view?v=202723&amp;end_month=3&amp;end_day=31&amp;end_year=2014","Subotica")</f>
        <v>Subotica</v>
      </c>
      <c r="H3783" s="87" t="str">
        <f>HYPERLINK("http://api.nsgreg.nga.mil/geo-division/GENC/6/ed2/RS-144","RS-144")</f>
        <v>RS-144</v>
      </c>
    </row>
    <row r="3784" spans="1:8" x14ac:dyDescent="0.2">
      <c r="A3784" s="157"/>
      <c r="B3784" s="31" t="s">
        <v>13172</v>
      </c>
      <c r="C3784" s="31" t="s">
        <v>13173</v>
      </c>
      <c r="D3784" s="98" t="s">
        <v>2026</v>
      </c>
      <c r="E3784" s="99" t="b">
        <v>0</v>
      </c>
      <c r="F3784" s="107" t="s">
        <v>13174</v>
      </c>
      <c r="G3784" s="116" t="str">
        <f>HYPERLINK("http://nsgreg.nga.mil/genc/view?v=202696&amp;end_month=3&amp;end_day=31&amp;end_year=2014","Šumadijski Okrug")</f>
        <v>Šumadijski Okrug</v>
      </c>
      <c r="H3784" s="87" t="str">
        <f>HYPERLINK("http://api.nsgreg.nga.mil/geo-division/GENC/6/ed2/RS-12","RS-12")</f>
        <v>RS-12</v>
      </c>
    </row>
    <row r="3785" spans="1:8" x14ac:dyDescent="0.2">
      <c r="A3785" s="157"/>
      <c r="B3785" s="31" t="s">
        <v>13175</v>
      </c>
      <c r="C3785" s="31" t="s">
        <v>13176</v>
      </c>
      <c r="D3785" s="31" t="s">
        <v>3254</v>
      </c>
      <c r="E3785" s="61" t="b">
        <v>1</v>
      </c>
      <c r="F3785" s="107" t="s">
        <v>13177</v>
      </c>
      <c r="G3785" s="116" t="str">
        <f>HYPERLINK("http://nsgreg.nga.mil/genc/view?v=202724&amp;end_month=3&amp;end_day=31&amp;end_year=2014","Surdulica")</f>
        <v>Surdulica</v>
      </c>
      <c r="H3785" s="87" t="str">
        <f>HYPERLINK("http://api.nsgreg.nga.mil/geo-division/GENC/6/ed2/RS-145","RS-145")</f>
        <v>RS-145</v>
      </c>
    </row>
    <row r="3786" spans="1:8" x14ac:dyDescent="0.2">
      <c r="A3786" s="157"/>
      <c r="B3786" s="31" t="s">
        <v>13178</v>
      </c>
      <c r="C3786" s="31" t="s">
        <v>13179</v>
      </c>
      <c r="D3786" s="31" t="s">
        <v>3254</v>
      </c>
      <c r="E3786" s="61" t="b">
        <v>1</v>
      </c>
      <c r="F3786" s="107" t="s">
        <v>13180</v>
      </c>
      <c r="G3786" s="116" t="str">
        <f>HYPERLINK("http://nsgreg.nga.mil/genc/view?v=202725&amp;end_month=3&amp;end_day=31&amp;end_year=2014","Svilajnac")</f>
        <v>Svilajnac</v>
      </c>
      <c r="H3786" s="87" t="str">
        <f>HYPERLINK("http://api.nsgreg.nga.mil/geo-division/GENC/6/ed2/RS-146","RS-146")</f>
        <v>RS-146</v>
      </c>
    </row>
    <row r="3787" spans="1:8" x14ac:dyDescent="0.2">
      <c r="A3787" s="157"/>
      <c r="B3787" s="31" t="s">
        <v>13181</v>
      </c>
      <c r="C3787" s="31" t="s">
        <v>13182</v>
      </c>
      <c r="D3787" s="31" t="s">
        <v>3254</v>
      </c>
      <c r="E3787" s="61" t="b">
        <v>1</v>
      </c>
      <c r="F3787" s="107" t="s">
        <v>13183</v>
      </c>
      <c r="G3787" s="116" t="str">
        <f>HYPERLINK("http://nsgreg.nga.mil/genc/view?v=202726&amp;end_month=3&amp;end_day=31&amp;end_year=2014","Svrljig")</f>
        <v>Svrljig</v>
      </c>
      <c r="H3787" s="87" t="str">
        <f>HYPERLINK("http://api.nsgreg.nga.mil/geo-division/GENC/6/ed2/RS-147","RS-147")</f>
        <v>RS-147</v>
      </c>
    </row>
    <row r="3788" spans="1:8" x14ac:dyDescent="0.2">
      <c r="A3788" s="157"/>
      <c r="B3788" s="31" t="s">
        <v>13184</v>
      </c>
      <c r="C3788" s="31" t="s">
        <v>13185</v>
      </c>
      <c r="D3788" s="31" t="s">
        <v>3254</v>
      </c>
      <c r="E3788" s="61" t="b">
        <v>1</v>
      </c>
      <c r="F3788" s="107" t="s">
        <v>13186</v>
      </c>
      <c r="G3788" s="116" t="str">
        <f>HYPERLINK("http://nsgreg.nga.mil/genc/view?v=202727&amp;end_month=3&amp;end_day=31&amp;end_year=2014","Temerin")</f>
        <v>Temerin</v>
      </c>
      <c r="H3788" s="87" t="str">
        <f>HYPERLINK("http://api.nsgreg.nga.mil/geo-division/GENC/6/ed2/RS-148","RS-148")</f>
        <v>RS-148</v>
      </c>
    </row>
    <row r="3789" spans="1:8" x14ac:dyDescent="0.2">
      <c r="A3789" s="157"/>
      <c r="B3789" s="31" t="s">
        <v>13187</v>
      </c>
      <c r="C3789" s="31" t="s">
        <v>13188</v>
      </c>
      <c r="D3789" s="31" t="s">
        <v>3254</v>
      </c>
      <c r="E3789" s="61" t="b">
        <v>1</v>
      </c>
      <c r="F3789" s="107" t="s">
        <v>13189</v>
      </c>
      <c r="G3789" s="116" t="str">
        <f>HYPERLINK("http://nsgreg.nga.mil/genc/view?v=202728&amp;end_month=3&amp;end_day=31&amp;end_year=2014","Titel")</f>
        <v>Titel</v>
      </c>
      <c r="H3789" s="87" t="str">
        <f>HYPERLINK("http://api.nsgreg.nga.mil/geo-division/GENC/6/ed2/RS-149","RS-149")</f>
        <v>RS-149</v>
      </c>
    </row>
    <row r="3790" spans="1:8" x14ac:dyDescent="0.2">
      <c r="A3790" s="157"/>
      <c r="B3790" s="31" t="s">
        <v>13190</v>
      </c>
      <c r="C3790" s="31" t="s">
        <v>13191</v>
      </c>
      <c r="D3790" s="98" t="s">
        <v>2026</v>
      </c>
      <c r="E3790" s="99" t="b">
        <v>0</v>
      </c>
      <c r="F3790" s="107" t="s">
        <v>13192</v>
      </c>
      <c r="G3790" s="116" t="str">
        <f>HYPERLINK("http://nsgreg.nga.mil/genc/view?v=202759&amp;end_month=3&amp;end_day=31&amp;end_year=2014","Toplički Okrug")</f>
        <v>Toplički Okrug</v>
      </c>
      <c r="H3790" s="87" t="str">
        <f>HYPERLINK("http://api.nsgreg.nga.mil/geo-division/GENC/6/ed2/RS-21","RS-21")</f>
        <v>RS-21</v>
      </c>
    </row>
    <row r="3791" spans="1:8" x14ac:dyDescent="0.2">
      <c r="A3791" s="157"/>
      <c r="B3791" s="31" t="s">
        <v>13193</v>
      </c>
      <c r="C3791" s="31" t="s">
        <v>13194</v>
      </c>
      <c r="D3791" s="31" t="s">
        <v>3254</v>
      </c>
      <c r="E3791" s="61" t="b">
        <v>1</v>
      </c>
      <c r="F3791" s="107" t="s">
        <v>13195</v>
      </c>
      <c r="G3791" s="116" t="str">
        <f>HYPERLINK("http://nsgreg.nga.mil/genc/view?v=202730&amp;end_month=3&amp;end_day=31&amp;end_year=2014","Topola")</f>
        <v>Topola</v>
      </c>
      <c r="H3791" s="87" t="str">
        <f>HYPERLINK("http://api.nsgreg.nga.mil/geo-division/GENC/6/ed2/RS-150","RS-150")</f>
        <v>RS-150</v>
      </c>
    </row>
    <row r="3792" spans="1:8" x14ac:dyDescent="0.2">
      <c r="A3792" s="157"/>
      <c r="B3792" s="31" t="s">
        <v>13196</v>
      </c>
      <c r="C3792" s="31" t="s">
        <v>13197</v>
      </c>
      <c r="D3792" s="31" t="s">
        <v>3254</v>
      </c>
      <c r="E3792" s="61" t="b">
        <v>1</v>
      </c>
      <c r="F3792" s="107" t="s">
        <v>13198</v>
      </c>
      <c r="G3792" s="116" t="str">
        <f>HYPERLINK("http://nsgreg.nga.mil/genc/view?v=202731&amp;end_month=3&amp;end_day=31&amp;end_year=2014","Trgovište")</f>
        <v>Trgovište</v>
      </c>
      <c r="H3792" s="87" t="str">
        <f>HYPERLINK("http://api.nsgreg.nga.mil/geo-division/GENC/6/ed2/RS-151","RS-151")</f>
        <v>RS-151</v>
      </c>
    </row>
    <row r="3793" spans="1:8" x14ac:dyDescent="0.2">
      <c r="A3793" s="157"/>
      <c r="B3793" s="31" t="s">
        <v>13199</v>
      </c>
      <c r="C3793" s="31" t="s">
        <v>13200</v>
      </c>
      <c r="D3793" s="31" t="s">
        <v>3254</v>
      </c>
      <c r="E3793" s="61" t="b">
        <v>1</v>
      </c>
      <c r="F3793" s="107" t="s">
        <v>13201</v>
      </c>
      <c r="G3793" s="116" t="str">
        <f>HYPERLINK("http://nsgreg.nga.mil/genc/view?v=202732&amp;end_month=3&amp;end_day=31&amp;end_year=2014","Trstenik")</f>
        <v>Trstenik</v>
      </c>
      <c r="H3793" s="87" t="str">
        <f>HYPERLINK("http://api.nsgreg.nga.mil/geo-division/GENC/6/ed2/RS-152","RS-152")</f>
        <v>RS-152</v>
      </c>
    </row>
    <row r="3794" spans="1:8" x14ac:dyDescent="0.2">
      <c r="A3794" s="157"/>
      <c r="B3794" s="31" t="s">
        <v>13202</v>
      </c>
      <c r="C3794" s="31" t="s">
        <v>13203</v>
      </c>
      <c r="D3794" s="31" t="s">
        <v>3254</v>
      </c>
      <c r="E3794" s="61" t="b">
        <v>1</v>
      </c>
      <c r="F3794" s="107" t="s">
        <v>13204</v>
      </c>
      <c r="G3794" s="116" t="str">
        <f>HYPERLINK("http://nsgreg.nga.mil/genc/view?v=202733&amp;end_month=3&amp;end_day=31&amp;end_year=2014","Tutin")</f>
        <v>Tutin</v>
      </c>
      <c r="H3794" s="87" t="str">
        <f>HYPERLINK("http://api.nsgreg.nga.mil/geo-division/GENC/6/ed2/RS-153","RS-153")</f>
        <v>RS-153</v>
      </c>
    </row>
    <row r="3795" spans="1:8" x14ac:dyDescent="0.2">
      <c r="A3795" s="157"/>
      <c r="B3795" s="31" t="s">
        <v>13205</v>
      </c>
      <c r="C3795" s="31" t="s">
        <v>13206</v>
      </c>
      <c r="D3795" s="31" t="s">
        <v>3254</v>
      </c>
      <c r="E3795" s="61" t="b">
        <v>1</v>
      </c>
      <c r="F3795" s="107" t="s">
        <v>13207</v>
      </c>
      <c r="G3795" s="116" t="str">
        <f>HYPERLINK("http://nsgreg.nga.mil/genc/view?v=202734&amp;end_month=3&amp;end_day=31&amp;end_year=2014","Ub")</f>
        <v>Ub</v>
      </c>
      <c r="H3795" s="87" t="str">
        <f>HYPERLINK("http://api.nsgreg.nga.mil/geo-division/GENC/6/ed2/RS-154","RS-154")</f>
        <v>RS-154</v>
      </c>
    </row>
    <row r="3796" spans="1:8" x14ac:dyDescent="0.2">
      <c r="A3796" s="157"/>
      <c r="B3796" s="31" t="s">
        <v>13208</v>
      </c>
      <c r="C3796" s="31" t="s">
        <v>13209</v>
      </c>
      <c r="D3796" s="31" t="s">
        <v>2405</v>
      </c>
      <c r="E3796" s="61" t="b">
        <v>1</v>
      </c>
      <c r="F3796" s="107" t="s">
        <v>13210</v>
      </c>
      <c r="G3796" s="116" t="str">
        <f>HYPERLINK("http://nsgreg.nga.mil/genc/view?v=202735&amp;end_month=3&amp;end_day=31&amp;end_year=2014","Užice")</f>
        <v>Užice</v>
      </c>
      <c r="H3796" s="87" t="str">
        <f>HYPERLINK("http://api.nsgreg.nga.mil/geo-division/GENC/6/ed2/RS-155","RS-155")</f>
        <v>RS-155</v>
      </c>
    </row>
    <row r="3797" spans="1:8" x14ac:dyDescent="0.2">
      <c r="A3797" s="157"/>
      <c r="B3797" s="31" t="s">
        <v>13211</v>
      </c>
      <c r="C3797" s="31" t="s">
        <v>13212</v>
      </c>
      <c r="D3797" s="31" t="s">
        <v>2405</v>
      </c>
      <c r="E3797" s="61" t="b">
        <v>1</v>
      </c>
      <c r="F3797" s="107" t="s">
        <v>13213</v>
      </c>
      <c r="G3797" s="116" t="str">
        <f>HYPERLINK("http://nsgreg.nga.mil/genc/view?v=202736&amp;end_month=3&amp;end_day=31&amp;end_year=2014","Valjevo")</f>
        <v>Valjevo</v>
      </c>
      <c r="H3797" s="87" t="str">
        <f>HYPERLINK("http://api.nsgreg.nga.mil/geo-division/GENC/6/ed2/RS-156","RS-156")</f>
        <v>RS-156</v>
      </c>
    </row>
    <row r="3798" spans="1:8" x14ac:dyDescent="0.2">
      <c r="A3798" s="157"/>
      <c r="B3798" s="31" t="s">
        <v>13214</v>
      </c>
      <c r="C3798" s="31" t="s">
        <v>13215</v>
      </c>
      <c r="D3798" s="31" t="s">
        <v>3254</v>
      </c>
      <c r="E3798" s="61" t="b">
        <v>1</v>
      </c>
      <c r="F3798" s="107" t="s">
        <v>13216</v>
      </c>
      <c r="G3798" s="116" t="str">
        <f>HYPERLINK("http://nsgreg.nga.mil/genc/view?v=202737&amp;end_month=3&amp;end_day=31&amp;end_year=2014","Varvarin")</f>
        <v>Varvarin</v>
      </c>
      <c r="H3798" s="87" t="str">
        <f>HYPERLINK("http://api.nsgreg.nga.mil/geo-division/GENC/6/ed2/RS-157","RS-157")</f>
        <v>RS-157</v>
      </c>
    </row>
    <row r="3799" spans="1:8" x14ac:dyDescent="0.2">
      <c r="A3799" s="157"/>
      <c r="B3799" s="31" t="s">
        <v>13217</v>
      </c>
      <c r="C3799" s="31" t="s">
        <v>13218</v>
      </c>
      <c r="D3799" s="31" t="s">
        <v>3254</v>
      </c>
      <c r="E3799" s="61" t="b">
        <v>1</v>
      </c>
      <c r="F3799" s="107" t="s">
        <v>13219</v>
      </c>
      <c r="G3799" s="116" t="str">
        <f>HYPERLINK("http://nsgreg.nga.mil/genc/view?v=202738&amp;end_month=3&amp;end_day=31&amp;end_year=2014","Velika Plana")</f>
        <v>Velika Plana</v>
      </c>
      <c r="H3799" s="87" t="str">
        <f>HYPERLINK("http://api.nsgreg.nga.mil/geo-division/GENC/6/ed2/RS-158","RS-158")</f>
        <v>RS-158</v>
      </c>
    </row>
    <row r="3800" spans="1:8" x14ac:dyDescent="0.2">
      <c r="A3800" s="157"/>
      <c r="B3800" s="31" t="s">
        <v>13220</v>
      </c>
      <c r="C3800" s="31" t="s">
        <v>13221</v>
      </c>
      <c r="D3800" s="31" t="s">
        <v>3254</v>
      </c>
      <c r="E3800" s="61" t="b">
        <v>1</v>
      </c>
      <c r="F3800" s="107" t="s">
        <v>13222</v>
      </c>
      <c r="G3800" s="116" t="str">
        <f>HYPERLINK("http://nsgreg.nga.mil/genc/view?v=202739&amp;end_month=3&amp;end_day=31&amp;end_year=2014","Veliko Gradište")</f>
        <v>Veliko Gradište</v>
      </c>
      <c r="H3800" s="87" t="str">
        <f>HYPERLINK("http://api.nsgreg.nga.mil/geo-division/GENC/6/ed2/RS-159","RS-159")</f>
        <v>RS-159</v>
      </c>
    </row>
    <row r="3801" spans="1:8" x14ac:dyDescent="0.2">
      <c r="A3801" s="157"/>
      <c r="B3801" s="31" t="s">
        <v>13223</v>
      </c>
      <c r="C3801" s="31" t="s">
        <v>13224</v>
      </c>
      <c r="D3801" s="31" t="s">
        <v>3254</v>
      </c>
      <c r="E3801" s="61" t="b">
        <v>1</v>
      </c>
      <c r="F3801" s="107" t="s">
        <v>13225</v>
      </c>
      <c r="G3801" s="116" t="str">
        <f>HYPERLINK("http://nsgreg.nga.mil/genc/view?v=202741&amp;end_month=3&amp;end_day=31&amp;end_year=2014","Vladičin Han")</f>
        <v>Vladičin Han</v>
      </c>
      <c r="H3801" s="87" t="str">
        <f>HYPERLINK("http://api.nsgreg.nga.mil/geo-division/GENC/6/ed2/RS-160","RS-160")</f>
        <v>RS-160</v>
      </c>
    </row>
    <row r="3802" spans="1:8" x14ac:dyDescent="0.2">
      <c r="A3802" s="157"/>
      <c r="B3802" s="31" t="s">
        <v>13226</v>
      </c>
      <c r="C3802" s="31" t="s">
        <v>13227</v>
      </c>
      <c r="D3802" s="31" t="s">
        <v>3254</v>
      </c>
      <c r="E3802" s="61" t="b">
        <v>1</v>
      </c>
      <c r="F3802" s="107" t="s">
        <v>13228</v>
      </c>
      <c r="G3802" s="116" t="str">
        <f>HYPERLINK("http://nsgreg.nga.mil/genc/view?v=202742&amp;end_month=3&amp;end_day=31&amp;end_year=2014","Vladimirci")</f>
        <v>Vladimirci</v>
      </c>
      <c r="H3802" s="87" t="str">
        <f>HYPERLINK("http://api.nsgreg.nga.mil/geo-division/GENC/6/ed2/RS-161","RS-161")</f>
        <v>RS-161</v>
      </c>
    </row>
    <row r="3803" spans="1:8" x14ac:dyDescent="0.2">
      <c r="A3803" s="157"/>
      <c r="B3803" s="31" t="s">
        <v>13229</v>
      </c>
      <c r="C3803" s="31" t="s">
        <v>13230</v>
      </c>
      <c r="D3803" s="31" t="s">
        <v>3254</v>
      </c>
      <c r="E3803" s="61" t="b">
        <v>1</v>
      </c>
      <c r="F3803" s="107" t="s">
        <v>13231</v>
      </c>
      <c r="G3803" s="116" t="str">
        <f>HYPERLINK("http://nsgreg.nga.mil/genc/view?v=202743&amp;end_month=3&amp;end_day=31&amp;end_year=2014","Vlasotince")</f>
        <v>Vlasotince</v>
      </c>
      <c r="H3803" s="87" t="str">
        <f>HYPERLINK("http://api.nsgreg.nga.mil/geo-division/GENC/6/ed2/RS-162","RS-162")</f>
        <v>RS-162</v>
      </c>
    </row>
    <row r="3804" spans="1:8" x14ac:dyDescent="0.2">
      <c r="A3804" s="157"/>
      <c r="B3804" s="31" t="s">
        <v>13232</v>
      </c>
      <c r="C3804" s="31" t="s">
        <v>13233</v>
      </c>
      <c r="D3804" s="98" t="s">
        <v>12475</v>
      </c>
      <c r="E3804" s="99" t="b">
        <v>0</v>
      </c>
      <c r="F3804" s="106" t="s">
        <v>13234</v>
      </c>
      <c r="G3804" s="116" t="str">
        <f>HYPERLINK("http://nsgreg.nga.mil/genc/view?v=115643&amp;gencs=T&amp;end_month=3&amp;end_day=31&amp;end_year=2014","Vojvodina")</f>
        <v>Vojvodina</v>
      </c>
      <c r="H3804" s="87" t="str">
        <f>HYPERLINK("http://api.nsgreg.nga.mil/geo-division/ISO3166-2/6/ed3/RS-VO","RS-VO")</f>
        <v>RS-VO</v>
      </c>
    </row>
    <row r="3805" spans="1:8" x14ac:dyDescent="0.2">
      <c r="A3805" s="157"/>
      <c r="B3805" s="31" t="s">
        <v>13235</v>
      </c>
      <c r="C3805" s="31" t="s">
        <v>13236</v>
      </c>
      <c r="D3805" s="31" t="s">
        <v>2405</v>
      </c>
      <c r="E3805" s="61" t="b">
        <v>1</v>
      </c>
      <c r="F3805" s="107" t="s">
        <v>13237</v>
      </c>
      <c r="G3805" s="116" t="str">
        <f>HYPERLINK("http://nsgreg.nga.mil/genc/view?v=202744&amp;end_month=3&amp;end_day=31&amp;end_year=2014","Vranje")</f>
        <v>Vranje</v>
      </c>
      <c r="H3805" s="87" t="str">
        <f>HYPERLINK("http://api.nsgreg.nga.mil/geo-division/GENC/6/ed2/RS-163","RS-163")</f>
        <v>RS-163</v>
      </c>
    </row>
    <row r="3806" spans="1:8" x14ac:dyDescent="0.2">
      <c r="A3806" s="157"/>
      <c r="B3806" s="31" t="s">
        <v>13238</v>
      </c>
      <c r="C3806" s="31" t="s">
        <v>13239</v>
      </c>
      <c r="D3806" s="31" t="s">
        <v>3254</v>
      </c>
      <c r="E3806" s="61" t="b">
        <v>1</v>
      </c>
      <c r="F3806" s="107" t="s">
        <v>13240</v>
      </c>
      <c r="G3806" s="116" t="str">
        <f>HYPERLINK("http://nsgreg.nga.mil/genc/view?v=202745&amp;end_month=3&amp;end_day=31&amp;end_year=2014","Vrbas")</f>
        <v>Vrbas</v>
      </c>
      <c r="H3806" s="87" t="str">
        <f>HYPERLINK("http://api.nsgreg.nga.mil/geo-division/GENC/6/ed2/RS-164","RS-164")</f>
        <v>RS-164</v>
      </c>
    </row>
    <row r="3807" spans="1:8" x14ac:dyDescent="0.2">
      <c r="A3807" s="157"/>
      <c r="B3807" s="31" t="s">
        <v>13241</v>
      </c>
      <c r="C3807" s="31" t="s">
        <v>13242</v>
      </c>
      <c r="D3807" s="31" t="s">
        <v>3254</v>
      </c>
      <c r="E3807" s="61" t="b">
        <v>1</v>
      </c>
      <c r="F3807" s="107" t="s">
        <v>13243</v>
      </c>
      <c r="G3807" s="116" t="str">
        <f>HYPERLINK("http://nsgreg.nga.mil/genc/view?v=202746&amp;end_month=3&amp;end_day=31&amp;end_year=2014","Vrnjačka Banja")</f>
        <v>Vrnjačka Banja</v>
      </c>
      <c r="H3807" s="87" t="str">
        <f>HYPERLINK("http://api.nsgreg.nga.mil/geo-division/GENC/6/ed2/RS-165","RS-165")</f>
        <v>RS-165</v>
      </c>
    </row>
    <row r="3808" spans="1:8" x14ac:dyDescent="0.2">
      <c r="A3808" s="157"/>
      <c r="B3808" s="31" t="s">
        <v>13244</v>
      </c>
      <c r="C3808" s="31" t="s">
        <v>13245</v>
      </c>
      <c r="D3808" s="31" t="s">
        <v>3254</v>
      </c>
      <c r="E3808" s="61" t="b">
        <v>1</v>
      </c>
      <c r="F3808" s="107" t="s">
        <v>13246</v>
      </c>
      <c r="G3808" s="116" t="str">
        <f>HYPERLINK("http://nsgreg.nga.mil/genc/view?v=202747&amp;end_month=3&amp;end_day=31&amp;end_year=2014","Vršac")</f>
        <v>Vršac</v>
      </c>
      <c r="H3808" s="87" t="str">
        <f>HYPERLINK("http://api.nsgreg.nga.mil/geo-division/GENC/6/ed2/RS-166","RS-166")</f>
        <v>RS-166</v>
      </c>
    </row>
    <row r="3809" spans="1:8" x14ac:dyDescent="0.2">
      <c r="A3809" s="157"/>
      <c r="B3809" s="31" t="s">
        <v>13247</v>
      </c>
      <c r="C3809" s="31" t="s">
        <v>13248</v>
      </c>
      <c r="D3809" s="31" t="s">
        <v>3254</v>
      </c>
      <c r="E3809" s="61" t="b">
        <v>1</v>
      </c>
      <c r="F3809" s="107" t="s">
        <v>13249</v>
      </c>
      <c r="G3809" s="116" t="str">
        <f>HYPERLINK("http://nsgreg.nga.mil/genc/view?v=202748&amp;end_month=3&amp;end_day=31&amp;end_year=2014","Žabalj")</f>
        <v>Žabalj</v>
      </c>
      <c r="H3809" s="87" t="str">
        <f>HYPERLINK("http://api.nsgreg.nga.mil/geo-division/GENC/6/ed2/RS-167","RS-167")</f>
        <v>RS-167</v>
      </c>
    </row>
    <row r="3810" spans="1:8" x14ac:dyDescent="0.2">
      <c r="A3810" s="157"/>
      <c r="B3810" s="31" t="s">
        <v>13250</v>
      </c>
      <c r="C3810" s="31" t="s">
        <v>13251</v>
      </c>
      <c r="D3810" s="31" t="s">
        <v>3254</v>
      </c>
      <c r="E3810" s="61" t="b">
        <v>1</v>
      </c>
      <c r="F3810" s="107" t="s">
        <v>13252</v>
      </c>
      <c r="G3810" s="116" t="str">
        <f>HYPERLINK("http://nsgreg.nga.mil/genc/view?v=202749&amp;end_month=3&amp;end_day=31&amp;end_year=2014","Žabari")</f>
        <v>Žabari</v>
      </c>
      <c r="H3810" s="87" t="str">
        <f>HYPERLINK("http://api.nsgreg.nga.mil/geo-division/GENC/6/ed2/RS-168","RS-168")</f>
        <v>RS-168</v>
      </c>
    </row>
    <row r="3811" spans="1:8" x14ac:dyDescent="0.2">
      <c r="A3811" s="157"/>
      <c r="B3811" s="31" t="s">
        <v>13253</v>
      </c>
      <c r="C3811" s="31" t="s">
        <v>13254</v>
      </c>
      <c r="D3811" s="31" t="s">
        <v>3254</v>
      </c>
      <c r="E3811" s="61" t="b">
        <v>1</v>
      </c>
      <c r="F3811" s="107" t="s">
        <v>13255</v>
      </c>
      <c r="G3811" s="116" t="str">
        <f>HYPERLINK("http://nsgreg.nga.mil/genc/view?v=202750&amp;end_month=3&amp;end_day=31&amp;end_year=2014","Žagubica")</f>
        <v>Žagubica</v>
      </c>
      <c r="H3811" s="87" t="str">
        <f>HYPERLINK("http://api.nsgreg.nga.mil/geo-division/GENC/6/ed2/RS-169","RS-169")</f>
        <v>RS-169</v>
      </c>
    </row>
    <row r="3812" spans="1:8" x14ac:dyDescent="0.2">
      <c r="A3812" s="157"/>
      <c r="B3812" s="31" t="s">
        <v>13256</v>
      </c>
      <c r="C3812" s="31" t="s">
        <v>13257</v>
      </c>
      <c r="D3812" s="31" t="s">
        <v>2405</v>
      </c>
      <c r="E3812" s="61" t="b">
        <v>1</v>
      </c>
      <c r="F3812" s="107" t="s">
        <v>13258</v>
      </c>
      <c r="G3812" s="116" t="str">
        <f>HYPERLINK("http://nsgreg.nga.mil/genc/view?v=202752&amp;end_month=3&amp;end_day=31&amp;end_year=2014","Zaječar")</f>
        <v>Zaječar</v>
      </c>
      <c r="H3812" s="87" t="str">
        <f>HYPERLINK("http://api.nsgreg.nga.mil/geo-division/GENC/6/ed2/RS-170","RS-170")</f>
        <v>RS-170</v>
      </c>
    </row>
    <row r="3813" spans="1:8" x14ac:dyDescent="0.2">
      <c r="A3813" s="157"/>
      <c r="B3813" s="31" t="s">
        <v>13259</v>
      </c>
      <c r="C3813" s="31" t="s">
        <v>13260</v>
      </c>
      <c r="D3813" s="98" t="s">
        <v>2026</v>
      </c>
      <c r="E3813" s="99" t="b">
        <v>0</v>
      </c>
      <c r="F3813" s="107" t="s">
        <v>13261</v>
      </c>
      <c r="G3813" s="116" t="str">
        <f>HYPERLINK("http://nsgreg.nga.mil/genc/view?v=202729&amp;end_month=3&amp;end_day=31&amp;end_year=2014","Zaječarski Okrug")</f>
        <v>Zaječarski Okrug</v>
      </c>
      <c r="H3813" s="87" t="str">
        <f>HYPERLINK("http://api.nsgreg.nga.mil/geo-division/GENC/6/ed2/RS-15","RS-15")</f>
        <v>RS-15</v>
      </c>
    </row>
    <row r="3814" spans="1:8" x14ac:dyDescent="0.2">
      <c r="A3814" s="157"/>
      <c r="B3814" s="31" t="s">
        <v>13262</v>
      </c>
      <c r="C3814" s="31" t="s">
        <v>13263</v>
      </c>
      <c r="D3814" s="98" t="s">
        <v>2026</v>
      </c>
      <c r="E3814" s="99" t="b">
        <v>0</v>
      </c>
      <c r="F3814" s="107" t="s">
        <v>13264</v>
      </c>
      <c r="G3814" s="116" t="str">
        <f>HYPERLINK("http://nsgreg.nga.mil/genc/view?v=202669&amp;end_month=3&amp;end_day=31&amp;end_year=2014","Zapadno Bački Okrug")</f>
        <v>Zapadno Bački Okrug</v>
      </c>
      <c r="H3814" s="87" t="str">
        <f>HYPERLINK("http://api.nsgreg.nga.mil/geo-division/GENC/6/ed2/RS-05","RS-05")</f>
        <v>RS-05</v>
      </c>
    </row>
    <row r="3815" spans="1:8" x14ac:dyDescent="0.2">
      <c r="A3815" s="157"/>
      <c r="B3815" s="31" t="s">
        <v>13265</v>
      </c>
      <c r="C3815" s="31" t="s">
        <v>13266</v>
      </c>
      <c r="D3815" s="31" t="s">
        <v>3254</v>
      </c>
      <c r="E3815" s="61" t="b">
        <v>1</v>
      </c>
      <c r="F3815" s="107" t="s">
        <v>13267</v>
      </c>
      <c r="G3815" s="116" t="str">
        <f>HYPERLINK("http://nsgreg.nga.mil/genc/view?v=202753&amp;end_month=3&amp;end_day=31&amp;end_year=2014","Žitište")</f>
        <v>Žitište</v>
      </c>
      <c r="H3815" s="87" t="str">
        <f>HYPERLINK("http://api.nsgreg.nga.mil/geo-division/GENC/6/ed2/RS-171","RS-171")</f>
        <v>RS-171</v>
      </c>
    </row>
    <row r="3816" spans="1:8" x14ac:dyDescent="0.2">
      <c r="A3816" s="157"/>
      <c r="B3816" s="31" t="s">
        <v>13268</v>
      </c>
      <c r="C3816" s="31" t="s">
        <v>13269</v>
      </c>
      <c r="D3816" s="31" t="s">
        <v>3254</v>
      </c>
      <c r="E3816" s="61" t="b">
        <v>1</v>
      </c>
      <c r="F3816" s="107" t="s">
        <v>13270</v>
      </c>
      <c r="G3816" s="116" t="str">
        <f>HYPERLINK("http://nsgreg.nga.mil/genc/view?v=202754&amp;end_month=3&amp;end_day=31&amp;end_year=2014","Žitorađa")</f>
        <v>Žitorađa</v>
      </c>
      <c r="H3816" s="87" t="str">
        <f>HYPERLINK("http://api.nsgreg.nga.mil/geo-division/GENC/6/ed2/RS-172","RS-172")</f>
        <v>RS-172</v>
      </c>
    </row>
    <row r="3817" spans="1:8" x14ac:dyDescent="0.2">
      <c r="A3817" s="157"/>
      <c r="B3817" s="31" t="s">
        <v>13271</v>
      </c>
      <c r="C3817" s="31" t="s">
        <v>13272</v>
      </c>
      <c r="D3817" s="98" t="s">
        <v>2026</v>
      </c>
      <c r="E3817" s="99" t="b">
        <v>0</v>
      </c>
      <c r="F3817" s="107" t="s">
        <v>13273</v>
      </c>
      <c r="G3817" s="116" t="str">
        <f>HYPERLINK("http://nsgreg.nga.mil/genc/view?v=202740&amp;end_month=3&amp;end_day=31&amp;end_year=2014","Zlatiborski Okrug")</f>
        <v>Zlatiborski Okrug</v>
      </c>
      <c r="H3817" s="87" t="str">
        <f>HYPERLINK("http://api.nsgreg.nga.mil/geo-division/GENC/6/ed2/RS-16","RS-16")</f>
        <v>RS-16</v>
      </c>
    </row>
    <row r="3818" spans="1:8" x14ac:dyDescent="0.2">
      <c r="A3818" s="158"/>
      <c r="B3818" s="58" t="s">
        <v>13274</v>
      </c>
      <c r="C3818" s="58" t="s">
        <v>13275</v>
      </c>
      <c r="D3818" s="58" t="s">
        <v>2405</v>
      </c>
      <c r="E3818" s="62" t="b">
        <v>1</v>
      </c>
      <c r="F3818" s="111" t="s">
        <v>13276</v>
      </c>
      <c r="G3818" s="117" t="str">
        <f>HYPERLINK("http://nsgreg.nga.mil/genc/view?v=202755&amp;end_month=3&amp;end_day=31&amp;end_year=2014","Zrenjanin")</f>
        <v>Zrenjanin</v>
      </c>
      <c r="H3818" s="89" t="str">
        <f>HYPERLINK("http://api.nsgreg.nga.mil/geo-division/GENC/6/ed2/RS-173","RS-173")</f>
        <v>RS-173</v>
      </c>
    </row>
    <row r="3819" spans="1:8" x14ac:dyDescent="0.2">
      <c r="A3819" s="156" t="str">
        <f>HYPERLINK("[#]Geopolitical_Entities!A227:I227","SEYCHELLES")</f>
        <v>SEYCHELLES</v>
      </c>
      <c r="B3819" s="52" t="s">
        <v>13277</v>
      </c>
      <c r="C3819" s="52" t="s">
        <v>13278</v>
      </c>
      <c r="D3819" s="52" t="s">
        <v>2026</v>
      </c>
      <c r="E3819" s="60" t="b">
        <v>1</v>
      </c>
      <c r="F3819" s="110" t="s">
        <v>13279</v>
      </c>
      <c r="G3819" s="118" t="str">
        <f>HYPERLINK("http://nsgreg.nga.mil/genc/view?v=202942&amp;end_month=3&amp;end_day=31&amp;end_year=2014","Anse aux Pins")</f>
        <v>Anse aux Pins</v>
      </c>
      <c r="H3819" s="91" t="str">
        <f>HYPERLINK("http://api.nsgreg.nga.mil/geo-division/GENC/6/ed2/SC-01","SC-01")</f>
        <v>SC-01</v>
      </c>
    </row>
    <row r="3820" spans="1:8" x14ac:dyDescent="0.2">
      <c r="A3820" s="157"/>
      <c r="B3820" s="31" t="s">
        <v>13280</v>
      </c>
      <c r="C3820" s="31" t="s">
        <v>13281</v>
      </c>
      <c r="D3820" s="31" t="s">
        <v>2026</v>
      </c>
      <c r="E3820" s="61" t="b">
        <v>1</v>
      </c>
      <c r="F3820" s="107" t="s">
        <v>13282</v>
      </c>
      <c r="G3820" s="116" t="str">
        <f>HYPERLINK("http://nsgreg.nga.mil/genc/view?v=202943&amp;end_month=3&amp;end_day=31&amp;end_year=2014","Anse Boileau")</f>
        <v>Anse Boileau</v>
      </c>
      <c r="H3820" s="87" t="str">
        <f>HYPERLINK("http://api.nsgreg.nga.mil/geo-division/GENC/6/ed2/SC-02","SC-02")</f>
        <v>SC-02</v>
      </c>
    </row>
    <row r="3821" spans="1:8" x14ac:dyDescent="0.2">
      <c r="A3821" s="157"/>
      <c r="B3821" s="31" t="s">
        <v>13283</v>
      </c>
      <c r="C3821" s="31" t="s">
        <v>13284</v>
      </c>
      <c r="D3821" s="31" t="s">
        <v>2026</v>
      </c>
      <c r="E3821" s="61" t="b">
        <v>1</v>
      </c>
      <c r="F3821" s="107" t="s">
        <v>13285</v>
      </c>
      <c r="G3821" s="116" t="str">
        <f>HYPERLINK("http://nsgreg.nga.mil/genc/view?v=202944&amp;end_month=3&amp;end_day=31&amp;end_year=2014","Anse Etoile")</f>
        <v>Anse Etoile</v>
      </c>
      <c r="H3821" s="87" t="str">
        <f>HYPERLINK("http://api.nsgreg.nga.mil/geo-division/GENC/6/ed2/SC-03","SC-03")</f>
        <v>SC-03</v>
      </c>
    </row>
    <row r="3822" spans="1:8" x14ac:dyDescent="0.2">
      <c r="A3822" s="157"/>
      <c r="B3822" s="31" t="s">
        <v>13286</v>
      </c>
      <c r="C3822" s="31" t="s">
        <v>13287</v>
      </c>
      <c r="D3822" s="31" t="s">
        <v>2026</v>
      </c>
      <c r="E3822" s="61" t="b">
        <v>1</v>
      </c>
      <c r="F3822" s="107" t="s">
        <v>13288</v>
      </c>
      <c r="G3822" s="116" t="str">
        <f>HYPERLINK("http://nsgreg.nga.mil/genc/view?v=202946&amp;end_month=3&amp;end_day=31&amp;end_year=2014","Anse Royale")</f>
        <v>Anse Royale</v>
      </c>
      <c r="H3822" s="87" t="str">
        <f>HYPERLINK("http://api.nsgreg.nga.mil/geo-division/GENC/6/ed2/SC-05","SC-05")</f>
        <v>SC-05</v>
      </c>
    </row>
    <row r="3823" spans="1:8" x14ac:dyDescent="0.2">
      <c r="A3823" s="157"/>
      <c r="B3823" s="31" t="s">
        <v>13289</v>
      </c>
      <c r="C3823" s="31" t="s">
        <v>13290</v>
      </c>
      <c r="D3823" s="31" t="s">
        <v>2026</v>
      </c>
      <c r="E3823" s="61" t="b">
        <v>1</v>
      </c>
      <c r="F3823" s="107" t="s">
        <v>13291</v>
      </c>
      <c r="G3823" s="116" t="str">
        <f>HYPERLINK("http://nsgreg.nga.mil/genc/view?v=202945&amp;end_month=3&amp;end_day=31&amp;end_year=2014","Au Cap")</f>
        <v>Au Cap</v>
      </c>
      <c r="H3823" s="87" t="str">
        <f>HYPERLINK("http://api.nsgreg.nga.mil/geo-division/GENC/6/ed2/SC-04","SC-04")</f>
        <v>SC-04</v>
      </c>
    </row>
    <row r="3824" spans="1:8" x14ac:dyDescent="0.2">
      <c r="A3824" s="157"/>
      <c r="B3824" s="31" t="s">
        <v>13292</v>
      </c>
      <c r="C3824" s="31" t="s">
        <v>13293</v>
      </c>
      <c r="D3824" s="31" t="s">
        <v>2026</v>
      </c>
      <c r="E3824" s="61" t="b">
        <v>1</v>
      </c>
      <c r="F3824" s="107" t="s">
        <v>13294</v>
      </c>
      <c r="G3824" s="116" t="str">
        <f>HYPERLINK("http://nsgreg.nga.mil/genc/view?v=202947&amp;end_month=3&amp;end_day=31&amp;end_year=2014","Baie Lazare")</f>
        <v>Baie Lazare</v>
      </c>
      <c r="H3824" s="87" t="str">
        <f>HYPERLINK("http://api.nsgreg.nga.mil/geo-division/GENC/6/ed2/SC-06","SC-06")</f>
        <v>SC-06</v>
      </c>
    </row>
    <row r="3825" spans="1:8" x14ac:dyDescent="0.2">
      <c r="A3825" s="157"/>
      <c r="B3825" s="31" t="s">
        <v>13295</v>
      </c>
      <c r="C3825" s="31" t="s">
        <v>13296</v>
      </c>
      <c r="D3825" s="31" t="s">
        <v>2026</v>
      </c>
      <c r="E3825" s="61" t="b">
        <v>1</v>
      </c>
      <c r="F3825" s="107" t="s">
        <v>13297</v>
      </c>
      <c r="G3825" s="116" t="str">
        <f>HYPERLINK("http://nsgreg.nga.mil/genc/view?v=202948&amp;end_month=3&amp;end_day=31&amp;end_year=2014","Baie Sainte Anne")</f>
        <v>Baie Sainte Anne</v>
      </c>
      <c r="H3825" s="87" t="str">
        <f>HYPERLINK("http://api.nsgreg.nga.mil/geo-division/GENC/6/ed2/SC-07","SC-07")</f>
        <v>SC-07</v>
      </c>
    </row>
    <row r="3826" spans="1:8" x14ac:dyDescent="0.2">
      <c r="A3826" s="157"/>
      <c r="B3826" s="31" t="s">
        <v>13298</v>
      </c>
      <c r="C3826" s="31" t="s">
        <v>13299</v>
      </c>
      <c r="D3826" s="31" t="s">
        <v>2026</v>
      </c>
      <c r="E3826" s="61" t="b">
        <v>1</v>
      </c>
      <c r="F3826" s="107" t="s">
        <v>13300</v>
      </c>
      <c r="G3826" s="116" t="str">
        <f>HYPERLINK("http://nsgreg.nga.mil/genc/view?v=202949&amp;end_month=3&amp;end_day=31&amp;end_year=2014","Beau Vallon")</f>
        <v>Beau Vallon</v>
      </c>
      <c r="H3826" s="87" t="str">
        <f>HYPERLINK("http://api.nsgreg.nga.mil/geo-division/GENC/6/ed2/SC-08","SC-08")</f>
        <v>SC-08</v>
      </c>
    </row>
    <row r="3827" spans="1:8" x14ac:dyDescent="0.2">
      <c r="A3827" s="157"/>
      <c r="B3827" s="31" t="s">
        <v>13301</v>
      </c>
      <c r="C3827" s="31" t="s">
        <v>13302</v>
      </c>
      <c r="D3827" s="31" t="s">
        <v>2026</v>
      </c>
      <c r="E3827" s="61" t="b">
        <v>1</v>
      </c>
      <c r="F3827" s="107" t="s">
        <v>13303</v>
      </c>
      <c r="G3827" s="116" t="str">
        <f>HYPERLINK("http://nsgreg.nga.mil/genc/view?v=202950&amp;end_month=3&amp;end_day=31&amp;end_year=2014","Bel Air")</f>
        <v>Bel Air</v>
      </c>
      <c r="H3827" s="87" t="str">
        <f>HYPERLINK("http://api.nsgreg.nga.mil/geo-division/GENC/6/ed2/SC-09","SC-09")</f>
        <v>SC-09</v>
      </c>
    </row>
    <row r="3828" spans="1:8" x14ac:dyDescent="0.2">
      <c r="A3828" s="157"/>
      <c r="B3828" s="31" t="s">
        <v>13304</v>
      </c>
      <c r="C3828" s="31" t="s">
        <v>13305</v>
      </c>
      <c r="D3828" s="31" t="s">
        <v>2026</v>
      </c>
      <c r="E3828" s="61" t="b">
        <v>1</v>
      </c>
      <c r="F3828" s="107" t="s">
        <v>13306</v>
      </c>
      <c r="G3828" s="116" t="str">
        <f>HYPERLINK("http://nsgreg.nga.mil/genc/view?v=202951&amp;end_month=3&amp;end_day=31&amp;end_year=2014","Bel Ombre")</f>
        <v>Bel Ombre</v>
      </c>
      <c r="H3828" s="87" t="str">
        <f>HYPERLINK("http://api.nsgreg.nga.mil/geo-division/GENC/6/ed2/SC-10","SC-10")</f>
        <v>SC-10</v>
      </c>
    </row>
    <row r="3829" spans="1:8" x14ac:dyDescent="0.2">
      <c r="A3829" s="157"/>
      <c r="B3829" s="31" t="s">
        <v>13307</v>
      </c>
      <c r="C3829" s="31" t="s">
        <v>13308</v>
      </c>
      <c r="D3829" s="31" t="s">
        <v>2026</v>
      </c>
      <c r="E3829" s="61" t="b">
        <v>1</v>
      </c>
      <c r="F3829" s="107" t="s">
        <v>13309</v>
      </c>
      <c r="G3829" s="116" t="str">
        <f>HYPERLINK("http://nsgreg.nga.mil/genc/view?v=202952&amp;end_month=3&amp;end_day=31&amp;end_year=2014","Cascade")</f>
        <v>Cascade</v>
      </c>
      <c r="H3829" s="87" t="str">
        <f>HYPERLINK("http://api.nsgreg.nga.mil/geo-division/GENC/6/ed2/SC-11","SC-11")</f>
        <v>SC-11</v>
      </c>
    </row>
    <row r="3830" spans="1:8" x14ac:dyDescent="0.2">
      <c r="A3830" s="157"/>
      <c r="B3830" s="31" t="s">
        <v>13310</v>
      </c>
      <c r="C3830" s="31" t="s">
        <v>13311</v>
      </c>
      <c r="D3830" s="31" t="s">
        <v>2026</v>
      </c>
      <c r="E3830" s="61" t="b">
        <v>1</v>
      </c>
      <c r="F3830" s="107" t="s">
        <v>13312</v>
      </c>
      <c r="G3830" s="116" t="str">
        <f>HYPERLINK("http://nsgreg.nga.mil/genc/view?v=202957&amp;end_month=3&amp;end_day=31&amp;end_year=2014","English River")</f>
        <v>English River</v>
      </c>
      <c r="H3830" s="87" t="str">
        <f>HYPERLINK("http://api.nsgreg.nga.mil/geo-division/GENC/6/ed2/SC-16","SC-16")</f>
        <v>SC-16</v>
      </c>
    </row>
    <row r="3831" spans="1:8" x14ac:dyDescent="0.2">
      <c r="A3831" s="157"/>
      <c r="B3831" s="31" t="s">
        <v>13313</v>
      </c>
      <c r="C3831" s="31" t="s">
        <v>13314</v>
      </c>
      <c r="D3831" s="31" t="s">
        <v>2026</v>
      </c>
      <c r="E3831" s="61" t="b">
        <v>1</v>
      </c>
      <c r="F3831" s="107" t="s">
        <v>13315</v>
      </c>
      <c r="G3831" s="116" t="str">
        <f>HYPERLINK("http://nsgreg.nga.mil/genc/view?v=202953&amp;end_month=3&amp;end_day=31&amp;end_year=2014","Glacis")</f>
        <v>Glacis</v>
      </c>
      <c r="H3831" s="87" t="str">
        <f>HYPERLINK("http://api.nsgreg.nga.mil/geo-division/GENC/6/ed2/SC-12","SC-12")</f>
        <v>SC-12</v>
      </c>
    </row>
    <row r="3832" spans="1:8" x14ac:dyDescent="0.2">
      <c r="A3832" s="157"/>
      <c r="B3832" s="31" t="s">
        <v>13316</v>
      </c>
      <c r="C3832" s="31" t="s">
        <v>13317</v>
      </c>
      <c r="D3832" s="31" t="s">
        <v>2026</v>
      </c>
      <c r="E3832" s="61" t="b">
        <v>1</v>
      </c>
      <c r="F3832" s="107" t="s">
        <v>13318</v>
      </c>
      <c r="G3832" s="116" t="str">
        <f>HYPERLINK("http://nsgreg.nga.mil/genc/view?v=202954&amp;end_month=3&amp;end_day=31&amp;end_year=2014","Grand Anse Mahe")</f>
        <v>Grand Anse Mahe</v>
      </c>
      <c r="H3832" s="87" t="str">
        <f>HYPERLINK("http://api.nsgreg.nga.mil/geo-division/GENC/6/ed2/SC-13","SC-13")</f>
        <v>SC-13</v>
      </c>
    </row>
    <row r="3833" spans="1:8" x14ac:dyDescent="0.2">
      <c r="A3833" s="157"/>
      <c r="B3833" s="31" t="s">
        <v>13319</v>
      </c>
      <c r="C3833" s="31" t="s">
        <v>13320</v>
      </c>
      <c r="D3833" s="31" t="s">
        <v>2026</v>
      </c>
      <c r="E3833" s="61" t="b">
        <v>1</v>
      </c>
      <c r="F3833" s="107" t="s">
        <v>13321</v>
      </c>
      <c r="G3833" s="116" t="str">
        <f>HYPERLINK("http://nsgreg.nga.mil/genc/view?v=202955&amp;end_month=3&amp;end_day=31&amp;end_year=2014","Grand Anse Praslin")</f>
        <v>Grand Anse Praslin</v>
      </c>
      <c r="H3833" s="87" t="str">
        <f>HYPERLINK("http://api.nsgreg.nga.mil/geo-division/GENC/6/ed2/SC-14","SC-14")</f>
        <v>SC-14</v>
      </c>
    </row>
    <row r="3834" spans="1:8" x14ac:dyDescent="0.2">
      <c r="A3834" s="157"/>
      <c r="B3834" s="31" t="s">
        <v>13322</v>
      </c>
      <c r="C3834" s="31" t="s">
        <v>13323</v>
      </c>
      <c r="D3834" s="31" t="s">
        <v>2026</v>
      </c>
      <c r="E3834" s="61" t="b">
        <v>1</v>
      </c>
      <c r="F3834" s="107" t="s">
        <v>13324</v>
      </c>
      <c r="G3834" s="116" t="str">
        <f>HYPERLINK("http://nsgreg.nga.mil/genc/view?v=202956&amp;end_month=3&amp;end_day=31&amp;end_year=2014","Inner Islands")</f>
        <v>Inner Islands</v>
      </c>
      <c r="H3834" s="87" t="str">
        <f>HYPERLINK("http://api.nsgreg.nga.mil/geo-division/GENC/6/ed2/SC-15","SC-15")</f>
        <v>SC-15</v>
      </c>
    </row>
    <row r="3835" spans="1:8" x14ac:dyDescent="0.2">
      <c r="A3835" s="157"/>
      <c r="B3835" s="31" t="s">
        <v>13325</v>
      </c>
      <c r="C3835" s="31" t="s">
        <v>13326</v>
      </c>
      <c r="D3835" s="31" t="s">
        <v>2026</v>
      </c>
      <c r="E3835" s="61" t="b">
        <v>1</v>
      </c>
      <c r="F3835" s="107" t="s">
        <v>13327</v>
      </c>
      <c r="G3835" s="116" t="str">
        <f>HYPERLINK("http://nsgreg.nga.mil/genc/view?v=202965&amp;end_month=3&amp;end_day=31&amp;end_year=2014","Les Mamelles")</f>
        <v>Les Mamelles</v>
      </c>
      <c r="H3835" s="87" t="str">
        <f>HYPERLINK("http://api.nsgreg.nga.mil/geo-division/GENC/6/ed2/SC-24","SC-24")</f>
        <v>SC-24</v>
      </c>
    </row>
    <row r="3836" spans="1:8" x14ac:dyDescent="0.2">
      <c r="A3836" s="157"/>
      <c r="B3836" s="31" t="s">
        <v>13328</v>
      </c>
      <c r="C3836" s="31" t="s">
        <v>13329</v>
      </c>
      <c r="D3836" s="31" t="s">
        <v>2026</v>
      </c>
      <c r="E3836" s="61" t="b">
        <v>1</v>
      </c>
      <c r="F3836" s="107" t="s">
        <v>13330</v>
      </c>
      <c r="G3836" s="116" t="str">
        <f>HYPERLINK("http://nsgreg.nga.mil/genc/view?v=202958&amp;end_month=3&amp;end_day=31&amp;end_year=2014","Mont Buxton")</f>
        <v>Mont Buxton</v>
      </c>
      <c r="H3836" s="87" t="str">
        <f>HYPERLINK("http://api.nsgreg.nga.mil/geo-division/GENC/6/ed2/SC-17","SC-17")</f>
        <v>SC-17</v>
      </c>
    </row>
    <row r="3837" spans="1:8" x14ac:dyDescent="0.2">
      <c r="A3837" s="157"/>
      <c r="B3837" s="31" t="s">
        <v>13331</v>
      </c>
      <c r="C3837" s="31" t="s">
        <v>13332</v>
      </c>
      <c r="D3837" s="31" t="s">
        <v>2026</v>
      </c>
      <c r="E3837" s="61" t="b">
        <v>1</v>
      </c>
      <c r="F3837" s="107" t="s">
        <v>13333</v>
      </c>
      <c r="G3837" s="116" t="str">
        <f>HYPERLINK("http://nsgreg.nga.mil/genc/view?v=202959&amp;end_month=3&amp;end_day=31&amp;end_year=2014","Mont Fleuri")</f>
        <v>Mont Fleuri</v>
      </c>
      <c r="H3837" s="87" t="str">
        <f>HYPERLINK("http://api.nsgreg.nga.mil/geo-division/GENC/6/ed2/SC-18","SC-18")</f>
        <v>SC-18</v>
      </c>
    </row>
    <row r="3838" spans="1:8" x14ac:dyDescent="0.2">
      <c r="A3838" s="157"/>
      <c r="B3838" s="31" t="s">
        <v>13334</v>
      </c>
      <c r="C3838" s="31" t="s">
        <v>13335</v>
      </c>
      <c r="D3838" s="31" t="s">
        <v>2026</v>
      </c>
      <c r="E3838" s="61" t="b">
        <v>1</v>
      </c>
      <c r="F3838" s="107" t="s">
        <v>13336</v>
      </c>
      <c r="G3838" s="116" t="str">
        <f>HYPERLINK("http://nsgreg.nga.mil/genc/view?v=202960&amp;end_month=3&amp;end_day=31&amp;end_year=2014","Plaisance")</f>
        <v>Plaisance</v>
      </c>
      <c r="H3838" s="87" t="str">
        <f>HYPERLINK("http://api.nsgreg.nga.mil/geo-division/GENC/6/ed2/SC-19","SC-19")</f>
        <v>SC-19</v>
      </c>
    </row>
    <row r="3839" spans="1:8" x14ac:dyDescent="0.2">
      <c r="A3839" s="157"/>
      <c r="B3839" s="31" t="s">
        <v>13337</v>
      </c>
      <c r="C3839" s="31" t="s">
        <v>13338</v>
      </c>
      <c r="D3839" s="31" t="s">
        <v>2026</v>
      </c>
      <c r="E3839" s="61" t="b">
        <v>1</v>
      </c>
      <c r="F3839" s="107" t="s">
        <v>13339</v>
      </c>
      <c r="G3839" s="116" t="str">
        <f>HYPERLINK("http://nsgreg.nga.mil/genc/view?v=202961&amp;end_month=3&amp;end_day=31&amp;end_year=2014","Pointe Larue")</f>
        <v>Pointe Larue</v>
      </c>
      <c r="H3839" s="87" t="str">
        <f>HYPERLINK("http://api.nsgreg.nga.mil/geo-division/GENC/6/ed2/SC-20","SC-20")</f>
        <v>SC-20</v>
      </c>
    </row>
    <row r="3840" spans="1:8" x14ac:dyDescent="0.2">
      <c r="A3840" s="157"/>
      <c r="B3840" s="31" t="s">
        <v>13340</v>
      </c>
      <c r="C3840" s="31" t="s">
        <v>13341</v>
      </c>
      <c r="D3840" s="31" t="s">
        <v>2026</v>
      </c>
      <c r="E3840" s="61" t="b">
        <v>1</v>
      </c>
      <c r="F3840" s="107" t="s">
        <v>13342</v>
      </c>
      <c r="G3840" s="116" t="str">
        <f>HYPERLINK("http://nsgreg.nga.mil/genc/view?v=202962&amp;end_month=3&amp;end_day=31&amp;end_year=2014","Port Glaud")</f>
        <v>Port Glaud</v>
      </c>
      <c r="H3840" s="87" t="str">
        <f>HYPERLINK("http://api.nsgreg.nga.mil/geo-division/GENC/6/ed2/SC-21","SC-21")</f>
        <v>SC-21</v>
      </c>
    </row>
    <row r="3841" spans="1:8" x14ac:dyDescent="0.2">
      <c r="A3841" s="157"/>
      <c r="B3841" s="31" t="s">
        <v>13343</v>
      </c>
      <c r="C3841" s="31" t="s">
        <v>13344</v>
      </c>
      <c r="D3841" s="31" t="s">
        <v>2026</v>
      </c>
      <c r="E3841" s="61" t="b">
        <v>1</v>
      </c>
      <c r="F3841" s="107" t="s">
        <v>13345</v>
      </c>
      <c r="G3841" s="116" t="str">
        <f>HYPERLINK("http://nsgreg.nga.mil/genc/view?v=202966&amp;end_month=3&amp;end_day=31&amp;end_year=2014","Roche Caiman")</f>
        <v>Roche Caiman</v>
      </c>
      <c r="H3841" s="87" t="str">
        <f>HYPERLINK("http://api.nsgreg.nga.mil/geo-division/GENC/6/ed2/SC-25","SC-25")</f>
        <v>SC-25</v>
      </c>
    </row>
    <row r="3842" spans="1:8" x14ac:dyDescent="0.2">
      <c r="A3842" s="157"/>
      <c r="B3842" s="31" t="s">
        <v>13346</v>
      </c>
      <c r="C3842" s="31" t="s">
        <v>13347</v>
      </c>
      <c r="D3842" s="31" t="s">
        <v>2026</v>
      </c>
      <c r="E3842" s="61" t="b">
        <v>1</v>
      </c>
      <c r="F3842" s="107" t="s">
        <v>13348</v>
      </c>
      <c r="G3842" s="116" t="str">
        <f>HYPERLINK("http://nsgreg.nga.mil/genc/view?v=202963&amp;end_month=3&amp;end_day=31&amp;end_year=2014","Saint Louis")</f>
        <v>Saint Louis</v>
      </c>
      <c r="H3842" s="87" t="str">
        <f>HYPERLINK("http://api.nsgreg.nga.mil/geo-division/GENC/6/ed2/SC-22","SC-22")</f>
        <v>SC-22</v>
      </c>
    </row>
    <row r="3843" spans="1:8" x14ac:dyDescent="0.2">
      <c r="A3843" s="158"/>
      <c r="B3843" s="58" t="s">
        <v>13349</v>
      </c>
      <c r="C3843" s="58" t="s">
        <v>13350</v>
      </c>
      <c r="D3843" s="58" t="s">
        <v>2026</v>
      </c>
      <c r="E3843" s="62" t="b">
        <v>1</v>
      </c>
      <c r="F3843" s="111" t="s">
        <v>13351</v>
      </c>
      <c r="G3843" s="117" t="str">
        <f>HYPERLINK("http://nsgreg.nga.mil/genc/view?v=202964&amp;end_month=3&amp;end_day=31&amp;end_year=2014","Takamaka")</f>
        <v>Takamaka</v>
      </c>
      <c r="H3843" s="89" t="str">
        <f>HYPERLINK("http://api.nsgreg.nga.mil/geo-division/GENC/6/ed2/SC-23","SC-23")</f>
        <v>SC-23</v>
      </c>
    </row>
    <row r="3844" spans="1:8" x14ac:dyDescent="0.2">
      <c r="A3844" s="156" t="str">
        <f>HYPERLINK("[#]Geopolitical_Entities!A228:I228","SIERRA LEONE")</f>
        <v>SIERRA LEONE</v>
      </c>
      <c r="B3844" s="52" t="s">
        <v>13352</v>
      </c>
      <c r="C3844" s="52" t="s">
        <v>5622</v>
      </c>
      <c r="D3844" s="52" t="s">
        <v>1920</v>
      </c>
      <c r="E3844" s="60" t="b">
        <v>1</v>
      </c>
      <c r="F3844" s="109" t="s">
        <v>13353</v>
      </c>
      <c r="G3844" s="118" t="str">
        <f>HYPERLINK("http://nsgreg.nga.mil/genc/view?v=116044&amp;gencs=T&amp;end_month=3&amp;end_day=31&amp;end_year=2014","Eastern")</f>
        <v>Eastern</v>
      </c>
      <c r="H3844" s="91" t="str">
        <f>HYPERLINK("http://api.nsgreg.nga.mil/geo-division/ISO3166-2/6/ed3/SL-E","SL-E")</f>
        <v>SL-E</v>
      </c>
    </row>
    <row r="3845" spans="1:8" x14ac:dyDescent="0.2">
      <c r="A3845" s="157"/>
      <c r="B3845" s="31" t="s">
        <v>13354</v>
      </c>
      <c r="C3845" s="31" t="s">
        <v>5625</v>
      </c>
      <c r="D3845" s="31" t="s">
        <v>1920</v>
      </c>
      <c r="E3845" s="61" t="b">
        <v>1</v>
      </c>
      <c r="F3845" s="106" t="s">
        <v>13355</v>
      </c>
      <c r="G3845" s="116" t="str">
        <f>HYPERLINK("http://nsgreg.nga.mil/genc/view?v=116045&amp;gencs=T&amp;end_month=3&amp;end_day=31&amp;end_year=2014","Northern")</f>
        <v>Northern</v>
      </c>
      <c r="H3845" s="87" t="str">
        <f>HYPERLINK("http://api.nsgreg.nga.mil/geo-division/ISO3166-2/6/ed3/SL-N","SL-N")</f>
        <v>SL-N</v>
      </c>
    </row>
    <row r="3846" spans="1:8" x14ac:dyDescent="0.2">
      <c r="A3846" s="157"/>
      <c r="B3846" s="31" t="s">
        <v>13356</v>
      </c>
      <c r="C3846" s="31" t="s">
        <v>3463</v>
      </c>
      <c r="D3846" s="31" t="s">
        <v>1920</v>
      </c>
      <c r="E3846" s="61" t="b">
        <v>1</v>
      </c>
      <c r="F3846" s="106" t="s">
        <v>13357</v>
      </c>
      <c r="G3846" s="116" t="str">
        <f>HYPERLINK("http://nsgreg.nga.mil/genc/view?v=116046&amp;gencs=T&amp;end_month=3&amp;end_day=31&amp;end_year=2014","Southern")</f>
        <v>Southern</v>
      </c>
      <c r="H3846" s="87" t="str">
        <f>HYPERLINK("http://api.nsgreg.nga.mil/geo-division/ISO3166-2/6/ed3/SL-S","SL-S")</f>
        <v>SL-S</v>
      </c>
    </row>
    <row r="3847" spans="1:8" x14ac:dyDescent="0.2">
      <c r="A3847" s="158"/>
      <c r="B3847" s="58" t="s">
        <v>13358</v>
      </c>
      <c r="C3847" s="58" t="s">
        <v>13359</v>
      </c>
      <c r="D3847" s="58" t="s">
        <v>1920</v>
      </c>
      <c r="E3847" s="62" t="b">
        <v>1</v>
      </c>
      <c r="F3847" s="111" t="s">
        <v>13360</v>
      </c>
      <c r="G3847" s="117" t="str">
        <f>HYPERLINK("http://nsgreg.nga.mil/genc/view?v=203031&amp;end_month=3&amp;end_day=31&amp;end_year=2014","Western Area")</f>
        <v>Western Area</v>
      </c>
      <c r="H3847" s="89" t="str">
        <f>HYPERLINK("http://api.nsgreg.nga.mil/geo-division/GENC/6/ed2/SL-W","SL-W")</f>
        <v>SL-W</v>
      </c>
    </row>
    <row r="3848" spans="1:8" x14ac:dyDescent="0.2">
      <c r="A3848" s="156" t="str">
        <f>HYPERLINK("[#]Geopolitical_Entities!A229:I229","SINGAPORE")</f>
        <v>SINGAPORE</v>
      </c>
      <c r="B3848" s="52" t="s">
        <v>13361</v>
      </c>
      <c r="C3848" s="52" t="s">
        <v>13362</v>
      </c>
      <c r="D3848" s="102" t="s">
        <v>2026</v>
      </c>
      <c r="E3848" s="103" t="b">
        <v>0</v>
      </c>
      <c r="F3848" s="109" t="s">
        <v>13363</v>
      </c>
      <c r="G3848" s="118" t="str">
        <f>HYPERLINK("http://nsgreg.nga.mil/genc/view?v=115818&amp;gencs=T&amp;end_month=3&amp;end_day=31&amp;end_year=2014","Central Singapore")</f>
        <v>Central Singapore</v>
      </c>
      <c r="H3848" s="91" t="str">
        <f>HYPERLINK("http://api.nsgreg.nga.mil/geo-division/ISO3166-2/6/ed3/SG-01","SG-01")</f>
        <v>SG-01</v>
      </c>
    </row>
    <row r="3849" spans="1:8" x14ac:dyDescent="0.2">
      <c r="A3849" s="157"/>
      <c r="B3849" s="31" t="s">
        <v>13364</v>
      </c>
      <c r="C3849" s="31" t="s">
        <v>3451</v>
      </c>
      <c r="D3849" s="98" t="s">
        <v>2026</v>
      </c>
      <c r="E3849" s="99" t="b">
        <v>0</v>
      </c>
      <c r="F3849" s="106" t="s">
        <v>13365</v>
      </c>
      <c r="G3849" s="116" t="str">
        <f>HYPERLINK("http://nsgreg.nga.mil/genc/view?v=115819&amp;gencs=T&amp;end_month=3&amp;end_day=31&amp;end_year=2014","North East")</f>
        <v>North East</v>
      </c>
      <c r="H3849" s="87" t="str">
        <f>HYPERLINK("http://api.nsgreg.nga.mil/geo-division/ISO3166-2/6/ed3/SG-02","SG-02")</f>
        <v>SG-02</v>
      </c>
    </row>
    <row r="3850" spans="1:8" x14ac:dyDescent="0.2">
      <c r="A3850" s="157"/>
      <c r="B3850" s="31" t="s">
        <v>13366</v>
      </c>
      <c r="C3850" s="31" t="s">
        <v>3454</v>
      </c>
      <c r="D3850" s="98" t="s">
        <v>2026</v>
      </c>
      <c r="E3850" s="99" t="b">
        <v>0</v>
      </c>
      <c r="F3850" s="106" t="s">
        <v>13367</v>
      </c>
      <c r="G3850" s="116" t="str">
        <f>HYPERLINK("http://nsgreg.nga.mil/genc/view?v=115820&amp;gencs=T&amp;end_month=3&amp;end_day=31&amp;end_year=2014","North West")</f>
        <v>North West</v>
      </c>
      <c r="H3850" s="87" t="str">
        <f>HYPERLINK("http://api.nsgreg.nga.mil/geo-division/ISO3166-2/6/ed3/SG-03","SG-03")</f>
        <v>SG-03</v>
      </c>
    </row>
    <row r="3851" spans="1:8" x14ac:dyDescent="0.2">
      <c r="A3851" s="157"/>
      <c r="B3851" s="31" t="s">
        <v>13368</v>
      </c>
      <c r="C3851" s="31" t="s">
        <v>3460</v>
      </c>
      <c r="D3851" s="98" t="s">
        <v>2026</v>
      </c>
      <c r="E3851" s="99" t="b">
        <v>0</v>
      </c>
      <c r="F3851" s="106" t="s">
        <v>13369</v>
      </c>
      <c r="G3851" s="116" t="str">
        <f>HYPERLINK("http://nsgreg.nga.mil/genc/view?v=115821&amp;gencs=T&amp;end_month=3&amp;end_day=31&amp;end_year=2014","South East")</f>
        <v>South East</v>
      </c>
      <c r="H3851" s="87" t="str">
        <f>HYPERLINK("http://api.nsgreg.nga.mil/geo-division/ISO3166-2/6/ed3/SG-04","SG-04")</f>
        <v>SG-04</v>
      </c>
    </row>
    <row r="3852" spans="1:8" x14ac:dyDescent="0.2">
      <c r="A3852" s="158"/>
      <c r="B3852" s="58" t="s">
        <v>13370</v>
      </c>
      <c r="C3852" s="58" t="s">
        <v>13371</v>
      </c>
      <c r="D3852" s="100" t="s">
        <v>2026</v>
      </c>
      <c r="E3852" s="101" t="b">
        <v>0</v>
      </c>
      <c r="F3852" s="108" t="s">
        <v>13372</v>
      </c>
      <c r="G3852" s="117" t="str">
        <f>HYPERLINK("http://nsgreg.nga.mil/genc/view?v=115822&amp;gencs=T&amp;end_month=3&amp;end_day=31&amp;end_year=2014","South West")</f>
        <v>South West</v>
      </c>
      <c r="H3852" s="89" t="str">
        <f>HYPERLINK("http://api.nsgreg.nga.mil/geo-division/ISO3166-2/6/ed3/SG-05","SG-05")</f>
        <v>SG-05</v>
      </c>
    </row>
    <row r="3853" spans="1:8" x14ac:dyDescent="0.2">
      <c r="A3853" s="156" t="str">
        <f>HYPERLINK("[#]Geopolitical_Entities!A231:I231","SLOVAKIA")</f>
        <v>SLOVAKIA</v>
      </c>
      <c r="B3853" s="52" t="s">
        <v>13373</v>
      </c>
      <c r="C3853" s="52" t="s">
        <v>13374</v>
      </c>
      <c r="D3853" s="52" t="s">
        <v>2026</v>
      </c>
      <c r="E3853" s="60" t="b">
        <v>1</v>
      </c>
      <c r="F3853" s="110" t="s">
        <v>13375</v>
      </c>
      <c r="G3853" s="118" t="str">
        <f>HYPERLINK("http://nsgreg.nga.mil/genc/view?v=203023&amp;end_month=3&amp;end_day=31&amp;end_year=2014","Banskobystrický")</f>
        <v>Banskobystrický</v>
      </c>
      <c r="H3853" s="91" t="str">
        <f>HYPERLINK("http://api.nsgreg.nga.mil/geo-division/GENC/6/ed2/SK-BC","SK-BC")</f>
        <v>SK-BC</v>
      </c>
    </row>
    <row r="3854" spans="1:8" x14ac:dyDescent="0.2">
      <c r="A3854" s="157"/>
      <c r="B3854" s="31" t="s">
        <v>13376</v>
      </c>
      <c r="C3854" s="31" t="s">
        <v>13377</v>
      </c>
      <c r="D3854" s="31" t="s">
        <v>2026</v>
      </c>
      <c r="E3854" s="61" t="b">
        <v>1</v>
      </c>
      <c r="F3854" s="107" t="s">
        <v>13378</v>
      </c>
      <c r="G3854" s="116" t="str">
        <f>HYPERLINK("http://nsgreg.nga.mil/genc/view?v=203024&amp;end_month=3&amp;end_day=31&amp;end_year=2014","Bratislavský")</f>
        <v>Bratislavský</v>
      </c>
      <c r="H3854" s="87" t="str">
        <f>HYPERLINK("http://api.nsgreg.nga.mil/geo-division/GENC/6/ed2/SK-BL","SK-BL")</f>
        <v>SK-BL</v>
      </c>
    </row>
    <row r="3855" spans="1:8" x14ac:dyDescent="0.2">
      <c r="A3855" s="157"/>
      <c r="B3855" s="31" t="s">
        <v>13379</v>
      </c>
      <c r="C3855" s="31" t="s">
        <v>13380</v>
      </c>
      <c r="D3855" s="31" t="s">
        <v>2026</v>
      </c>
      <c r="E3855" s="61" t="b">
        <v>1</v>
      </c>
      <c r="F3855" s="107" t="s">
        <v>13381</v>
      </c>
      <c r="G3855" s="116" t="str">
        <f>HYPERLINK("http://nsgreg.nga.mil/genc/view?v=203025&amp;end_month=3&amp;end_day=31&amp;end_year=2014","Košický")</f>
        <v>Košický</v>
      </c>
      <c r="H3855" s="87" t="str">
        <f>HYPERLINK("http://api.nsgreg.nga.mil/geo-division/GENC/6/ed2/SK-KI","SK-KI")</f>
        <v>SK-KI</v>
      </c>
    </row>
    <row r="3856" spans="1:8" x14ac:dyDescent="0.2">
      <c r="A3856" s="157"/>
      <c r="B3856" s="31" t="s">
        <v>13382</v>
      </c>
      <c r="C3856" s="31" t="s">
        <v>13383</v>
      </c>
      <c r="D3856" s="31" t="s">
        <v>2026</v>
      </c>
      <c r="E3856" s="61" t="b">
        <v>1</v>
      </c>
      <c r="F3856" s="107" t="s">
        <v>13384</v>
      </c>
      <c r="G3856" s="116" t="str">
        <f>HYPERLINK("http://nsgreg.nga.mil/genc/view?v=203026&amp;end_month=3&amp;end_day=31&amp;end_year=2014","Nitriansky")</f>
        <v>Nitriansky</v>
      </c>
      <c r="H3856" s="87" t="str">
        <f>HYPERLINK("http://api.nsgreg.nga.mil/geo-division/GENC/6/ed2/SK-NI","SK-NI")</f>
        <v>SK-NI</v>
      </c>
    </row>
    <row r="3857" spans="1:8" x14ac:dyDescent="0.2">
      <c r="A3857" s="157"/>
      <c r="B3857" s="31" t="s">
        <v>13385</v>
      </c>
      <c r="C3857" s="31" t="s">
        <v>13386</v>
      </c>
      <c r="D3857" s="31" t="s">
        <v>2026</v>
      </c>
      <c r="E3857" s="61" t="b">
        <v>1</v>
      </c>
      <c r="F3857" s="107" t="s">
        <v>13387</v>
      </c>
      <c r="G3857" s="116" t="str">
        <f>HYPERLINK("http://nsgreg.nga.mil/genc/view?v=203027&amp;end_month=3&amp;end_day=31&amp;end_year=2014","Prešovský")</f>
        <v>Prešovský</v>
      </c>
      <c r="H3857" s="87" t="str">
        <f>HYPERLINK("http://api.nsgreg.nga.mil/geo-division/GENC/6/ed2/SK-PV","SK-PV")</f>
        <v>SK-PV</v>
      </c>
    </row>
    <row r="3858" spans="1:8" x14ac:dyDescent="0.2">
      <c r="A3858" s="157"/>
      <c r="B3858" s="31" t="s">
        <v>13388</v>
      </c>
      <c r="C3858" s="31" t="s">
        <v>13389</v>
      </c>
      <c r="D3858" s="31" t="s">
        <v>2026</v>
      </c>
      <c r="E3858" s="61" t="b">
        <v>1</v>
      </c>
      <c r="F3858" s="107" t="s">
        <v>13390</v>
      </c>
      <c r="G3858" s="116" t="str">
        <f>HYPERLINK("http://nsgreg.nga.mil/genc/view?v=203029&amp;end_month=3&amp;end_day=31&amp;end_year=2014","Trenčiansky")</f>
        <v>Trenčiansky</v>
      </c>
      <c r="H3858" s="87" t="str">
        <f>HYPERLINK("http://api.nsgreg.nga.mil/geo-division/GENC/6/ed2/SK-TC","SK-TC")</f>
        <v>SK-TC</v>
      </c>
    </row>
    <row r="3859" spans="1:8" x14ac:dyDescent="0.2">
      <c r="A3859" s="157"/>
      <c r="B3859" s="31" t="s">
        <v>13391</v>
      </c>
      <c r="C3859" s="31" t="s">
        <v>13392</v>
      </c>
      <c r="D3859" s="31" t="s">
        <v>2026</v>
      </c>
      <c r="E3859" s="61" t="b">
        <v>1</v>
      </c>
      <c r="F3859" s="107" t="s">
        <v>13393</v>
      </c>
      <c r="G3859" s="116" t="str">
        <f>HYPERLINK("http://nsgreg.nga.mil/genc/view?v=203028&amp;end_month=3&amp;end_day=31&amp;end_year=2014","Trnavský")</f>
        <v>Trnavský</v>
      </c>
      <c r="H3859" s="87" t="str">
        <f>HYPERLINK("http://api.nsgreg.nga.mil/geo-division/GENC/6/ed2/SK-TA","SK-TA")</f>
        <v>SK-TA</v>
      </c>
    </row>
    <row r="3860" spans="1:8" x14ac:dyDescent="0.2">
      <c r="A3860" s="158"/>
      <c r="B3860" s="58" t="s">
        <v>13394</v>
      </c>
      <c r="C3860" s="58" t="s">
        <v>13395</v>
      </c>
      <c r="D3860" s="58" t="s">
        <v>2026</v>
      </c>
      <c r="E3860" s="62" t="b">
        <v>1</v>
      </c>
      <c r="F3860" s="111" t="s">
        <v>13396</v>
      </c>
      <c r="G3860" s="117" t="str">
        <f>HYPERLINK("http://nsgreg.nga.mil/genc/view?v=203030&amp;end_month=3&amp;end_day=31&amp;end_year=2014","Žilinský")</f>
        <v>Žilinský</v>
      </c>
      <c r="H3860" s="89" t="str">
        <f>HYPERLINK("http://api.nsgreg.nga.mil/geo-division/GENC/6/ed2/SK-ZI","SK-ZI")</f>
        <v>SK-ZI</v>
      </c>
    </row>
    <row r="3861" spans="1:8" x14ac:dyDescent="0.2">
      <c r="A3861" s="156" t="str">
        <f>HYPERLINK("[#]Geopolitical_Entities!A232:I232","SLOVENIA")</f>
        <v>SLOVENIA</v>
      </c>
      <c r="B3861" s="52" t="s">
        <v>13397</v>
      </c>
      <c r="C3861" s="52" t="s">
        <v>13398</v>
      </c>
      <c r="D3861" s="52" t="s">
        <v>4131</v>
      </c>
      <c r="E3861" s="60" t="b">
        <v>1</v>
      </c>
      <c r="F3861" s="109" t="s">
        <v>13399</v>
      </c>
      <c r="G3861" s="118" t="str">
        <f>HYPERLINK("http://nsgreg.nga.mil/genc/view?v=115826&amp;gencs=T&amp;end_month=3&amp;end_day=31&amp;end_year=2014","Ajdovščina")</f>
        <v>Ajdovščina</v>
      </c>
      <c r="H3861" s="91" t="str">
        <f>HYPERLINK("http://api.nsgreg.nga.mil/geo-division/ISO3166-2/6/ed3/SI-001","SI-001")</f>
        <v>SI-001</v>
      </c>
    </row>
    <row r="3862" spans="1:8" x14ac:dyDescent="0.2">
      <c r="A3862" s="157"/>
      <c r="B3862" s="31" t="s">
        <v>13400</v>
      </c>
      <c r="C3862" s="31" t="s">
        <v>13401</v>
      </c>
      <c r="D3862" s="31" t="s">
        <v>4131</v>
      </c>
      <c r="E3862" s="61" t="b">
        <v>1</v>
      </c>
      <c r="F3862" s="106" t="s">
        <v>13402</v>
      </c>
      <c r="G3862" s="116" t="str">
        <f>HYPERLINK("http://nsgreg.nga.mil/genc/view?v=116019&amp;gencs=T&amp;end_month=3&amp;end_day=31&amp;end_year=2014","Apače")</f>
        <v>Apače</v>
      </c>
      <c r="H3862" s="87" t="str">
        <f>HYPERLINK("http://api.nsgreg.nga.mil/geo-division/ISO3166-2/6/ed3/SI-195","SI-195")</f>
        <v>SI-195</v>
      </c>
    </row>
    <row r="3863" spans="1:8" x14ac:dyDescent="0.2">
      <c r="A3863" s="157"/>
      <c r="B3863" s="31" t="s">
        <v>13403</v>
      </c>
      <c r="C3863" s="31" t="s">
        <v>13404</v>
      </c>
      <c r="D3863" s="31" t="s">
        <v>4131</v>
      </c>
      <c r="E3863" s="61" t="b">
        <v>1</v>
      </c>
      <c r="F3863" s="106" t="s">
        <v>13405</v>
      </c>
      <c r="G3863" s="116" t="str">
        <f>HYPERLINK("http://nsgreg.nga.mil/genc/view?v=115827&amp;gencs=T&amp;end_month=3&amp;end_day=31&amp;end_year=2014","Beltinci")</f>
        <v>Beltinci</v>
      </c>
      <c r="H3863" s="87" t="str">
        <f>HYPERLINK("http://api.nsgreg.nga.mil/geo-division/ISO3166-2/6/ed3/SI-002","SI-002")</f>
        <v>SI-002</v>
      </c>
    </row>
    <row r="3864" spans="1:8" x14ac:dyDescent="0.2">
      <c r="A3864" s="157"/>
      <c r="B3864" s="31" t="s">
        <v>13406</v>
      </c>
      <c r="C3864" s="31" t="s">
        <v>13407</v>
      </c>
      <c r="D3864" s="31" t="s">
        <v>4131</v>
      </c>
      <c r="E3864" s="61" t="b">
        <v>1</v>
      </c>
      <c r="F3864" s="106" t="s">
        <v>13408</v>
      </c>
      <c r="G3864" s="116" t="str">
        <f>HYPERLINK("http://nsgreg.nga.mil/genc/view?v=115972&amp;gencs=T&amp;end_month=3&amp;end_day=31&amp;end_year=2014","Benedikt")</f>
        <v>Benedikt</v>
      </c>
      <c r="H3864" s="87" t="str">
        <f>HYPERLINK("http://api.nsgreg.nga.mil/geo-division/ISO3166-2/6/ed3/SI-148","SI-148")</f>
        <v>SI-148</v>
      </c>
    </row>
    <row r="3865" spans="1:8" x14ac:dyDescent="0.2">
      <c r="A3865" s="157"/>
      <c r="B3865" s="31" t="s">
        <v>13409</v>
      </c>
      <c r="C3865" s="31" t="s">
        <v>13410</v>
      </c>
      <c r="D3865" s="31" t="s">
        <v>4131</v>
      </c>
      <c r="E3865" s="61" t="b">
        <v>1</v>
      </c>
      <c r="F3865" s="106" t="s">
        <v>13411</v>
      </c>
      <c r="G3865" s="116" t="str">
        <f>HYPERLINK("http://nsgreg.nga.mil/genc/view?v=115973&amp;gencs=T&amp;end_month=3&amp;end_day=31&amp;end_year=2014","Bistrica ob Sotli")</f>
        <v>Bistrica ob Sotli</v>
      </c>
      <c r="H3865" s="87" t="str">
        <f>HYPERLINK("http://api.nsgreg.nga.mil/geo-division/ISO3166-2/6/ed3/SI-149","SI-149")</f>
        <v>SI-149</v>
      </c>
    </row>
    <row r="3866" spans="1:8" x14ac:dyDescent="0.2">
      <c r="A3866" s="157"/>
      <c r="B3866" s="31" t="s">
        <v>13412</v>
      </c>
      <c r="C3866" s="31" t="s">
        <v>13413</v>
      </c>
      <c r="D3866" s="31" t="s">
        <v>4131</v>
      </c>
      <c r="E3866" s="61" t="b">
        <v>1</v>
      </c>
      <c r="F3866" s="106" t="s">
        <v>13414</v>
      </c>
      <c r="G3866" s="116" t="str">
        <f>HYPERLINK("http://nsgreg.nga.mil/genc/view?v=115828&amp;gencs=T&amp;end_month=3&amp;end_day=31&amp;end_year=2014","Bled")</f>
        <v>Bled</v>
      </c>
      <c r="H3866" s="87" t="str">
        <f>HYPERLINK("http://api.nsgreg.nga.mil/geo-division/ISO3166-2/6/ed3/SI-003","SI-003")</f>
        <v>SI-003</v>
      </c>
    </row>
    <row r="3867" spans="1:8" x14ac:dyDescent="0.2">
      <c r="A3867" s="157"/>
      <c r="B3867" s="31" t="s">
        <v>13415</v>
      </c>
      <c r="C3867" s="31" t="s">
        <v>13416</v>
      </c>
      <c r="D3867" s="31" t="s">
        <v>4131</v>
      </c>
      <c r="E3867" s="61" t="b">
        <v>1</v>
      </c>
      <c r="F3867" s="106" t="s">
        <v>13417</v>
      </c>
      <c r="G3867" s="116" t="str">
        <f>HYPERLINK("http://nsgreg.nga.mil/genc/view?v=115974&amp;gencs=T&amp;end_month=3&amp;end_day=31&amp;end_year=2014","Bloke")</f>
        <v>Bloke</v>
      </c>
      <c r="H3867" s="87" t="str">
        <f>HYPERLINK("http://api.nsgreg.nga.mil/geo-division/ISO3166-2/6/ed3/SI-150","SI-150")</f>
        <v>SI-150</v>
      </c>
    </row>
    <row r="3868" spans="1:8" x14ac:dyDescent="0.2">
      <c r="A3868" s="157"/>
      <c r="B3868" s="31" t="s">
        <v>13418</v>
      </c>
      <c r="C3868" s="31" t="s">
        <v>13419</v>
      </c>
      <c r="D3868" s="31" t="s">
        <v>4131</v>
      </c>
      <c r="E3868" s="61" t="b">
        <v>1</v>
      </c>
      <c r="F3868" s="106" t="s">
        <v>13420</v>
      </c>
      <c r="G3868" s="116" t="str">
        <f>HYPERLINK("http://nsgreg.nga.mil/genc/view?v=115829&amp;gencs=T&amp;end_month=3&amp;end_day=31&amp;end_year=2014","Bohinj")</f>
        <v>Bohinj</v>
      </c>
      <c r="H3868" s="87" t="str">
        <f>HYPERLINK("http://api.nsgreg.nga.mil/geo-division/ISO3166-2/6/ed3/SI-004","SI-004")</f>
        <v>SI-004</v>
      </c>
    </row>
    <row r="3869" spans="1:8" x14ac:dyDescent="0.2">
      <c r="A3869" s="157"/>
      <c r="B3869" s="31" t="s">
        <v>13421</v>
      </c>
      <c r="C3869" s="31" t="s">
        <v>13422</v>
      </c>
      <c r="D3869" s="31" t="s">
        <v>4131</v>
      </c>
      <c r="E3869" s="61" t="b">
        <v>1</v>
      </c>
      <c r="F3869" s="106" t="s">
        <v>13423</v>
      </c>
      <c r="G3869" s="116" t="str">
        <f>HYPERLINK("http://nsgreg.nga.mil/genc/view?v=115830&amp;gencs=T&amp;end_month=3&amp;end_day=31&amp;end_year=2014","Borovnica")</f>
        <v>Borovnica</v>
      </c>
      <c r="H3869" s="87" t="str">
        <f>HYPERLINK("http://api.nsgreg.nga.mil/geo-division/ISO3166-2/6/ed3/SI-005","SI-005")</f>
        <v>SI-005</v>
      </c>
    </row>
    <row r="3870" spans="1:8" x14ac:dyDescent="0.2">
      <c r="A3870" s="157"/>
      <c r="B3870" s="31" t="s">
        <v>13424</v>
      </c>
      <c r="C3870" s="31" t="s">
        <v>13425</v>
      </c>
      <c r="D3870" s="31" t="s">
        <v>4131</v>
      </c>
      <c r="E3870" s="61" t="b">
        <v>1</v>
      </c>
      <c r="F3870" s="106" t="s">
        <v>13426</v>
      </c>
      <c r="G3870" s="116" t="str">
        <f>HYPERLINK("http://nsgreg.nga.mil/genc/view?v=115831&amp;gencs=T&amp;end_month=3&amp;end_day=31&amp;end_year=2014","Bovec")</f>
        <v>Bovec</v>
      </c>
      <c r="H3870" s="87" t="str">
        <f>HYPERLINK("http://api.nsgreg.nga.mil/geo-division/ISO3166-2/6/ed3/SI-006","SI-006")</f>
        <v>SI-006</v>
      </c>
    </row>
    <row r="3871" spans="1:8" x14ac:dyDescent="0.2">
      <c r="A3871" s="157"/>
      <c r="B3871" s="31" t="s">
        <v>13427</v>
      </c>
      <c r="C3871" s="31" t="s">
        <v>13428</v>
      </c>
      <c r="D3871" s="31" t="s">
        <v>4131</v>
      </c>
      <c r="E3871" s="61" t="b">
        <v>1</v>
      </c>
      <c r="F3871" s="106" t="s">
        <v>13429</v>
      </c>
      <c r="G3871" s="116" t="str">
        <f>HYPERLINK("http://nsgreg.nga.mil/genc/view?v=115975&amp;gencs=T&amp;end_month=3&amp;end_day=31&amp;end_year=2014","Braslovče")</f>
        <v>Braslovče</v>
      </c>
      <c r="H3871" s="87" t="str">
        <f>HYPERLINK("http://api.nsgreg.nga.mil/geo-division/ISO3166-2/6/ed3/SI-151","SI-151")</f>
        <v>SI-151</v>
      </c>
    </row>
    <row r="3872" spans="1:8" x14ac:dyDescent="0.2">
      <c r="A3872" s="157"/>
      <c r="B3872" s="31" t="s">
        <v>13430</v>
      </c>
      <c r="C3872" s="31" t="s">
        <v>13431</v>
      </c>
      <c r="D3872" s="31" t="s">
        <v>4131</v>
      </c>
      <c r="E3872" s="61" t="b">
        <v>1</v>
      </c>
      <c r="F3872" s="106" t="s">
        <v>13432</v>
      </c>
      <c r="G3872" s="116" t="str">
        <f>HYPERLINK("http://nsgreg.nga.mil/genc/view?v=115832&amp;gencs=T&amp;end_month=3&amp;end_day=31&amp;end_year=2014","Brda")</f>
        <v>Brda</v>
      </c>
      <c r="H3872" s="87" t="str">
        <f>HYPERLINK("http://api.nsgreg.nga.mil/geo-division/ISO3166-2/6/ed3/SI-007","SI-007")</f>
        <v>SI-007</v>
      </c>
    </row>
    <row r="3873" spans="1:8" x14ac:dyDescent="0.2">
      <c r="A3873" s="157"/>
      <c r="B3873" s="31" t="s">
        <v>13433</v>
      </c>
      <c r="C3873" s="31" t="s">
        <v>13434</v>
      </c>
      <c r="D3873" s="31" t="s">
        <v>4131</v>
      </c>
      <c r="E3873" s="61" t="b">
        <v>1</v>
      </c>
      <c r="F3873" s="106" t="s">
        <v>13435</v>
      </c>
      <c r="G3873" s="116" t="str">
        <f>HYPERLINK("http://nsgreg.nga.mil/genc/view?v=115834&amp;gencs=T&amp;end_month=3&amp;end_day=31&amp;end_year=2014","Brežice")</f>
        <v>Brežice</v>
      </c>
      <c r="H3873" s="87" t="str">
        <f>HYPERLINK("http://api.nsgreg.nga.mil/geo-division/ISO3166-2/6/ed3/SI-009","SI-009")</f>
        <v>SI-009</v>
      </c>
    </row>
    <row r="3874" spans="1:8" x14ac:dyDescent="0.2">
      <c r="A3874" s="157"/>
      <c r="B3874" s="31" t="s">
        <v>13436</v>
      </c>
      <c r="C3874" s="31" t="s">
        <v>13437</v>
      </c>
      <c r="D3874" s="31" t="s">
        <v>4131</v>
      </c>
      <c r="E3874" s="61" t="b">
        <v>1</v>
      </c>
      <c r="F3874" s="106" t="s">
        <v>13438</v>
      </c>
      <c r="G3874" s="116" t="str">
        <f>HYPERLINK("http://nsgreg.nga.mil/genc/view?v=115833&amp;gencs=T&amp;end_month=3&amp;end_day=31&amp;end_year=2014","Brezovica")</f>
        <v>Brezovica</v>
      </c>
      <c r="H3874" s="87" t="str">
        <f>HYPERLINK("http://api.nsgreg.nga.mil/geo-division/ISO3166-2/6/ed3/SI-008","SI-008")</f>
        <v>SI-008</v>
      </c>
    </row>
    <row r="3875" spans="1:8" x14ac:dyDescent="0.2">
      <c r="A3875" s="157"/>
      <c r="B3875" s="31" t="s">
        <v>13439</v>
      </c>
      <c r="C3875" s="31" t="s">
        <v>13440</v>
      </c>
      <c r="D3875" s="31" t="s">
        <v>4131</v>
      </c>
      <c r="E3875" s="61" t="b">
        <v>1</v>
      </c>
      <c r="F3875" s="106" t="s">
        <v>13441</v>
      </c>
      <c r="G3875" s="116" t="str">
        <f>HYPERLINK("http://nsgreg.nga.mil/genc/view?v=115976&amp;gencs=T&amp;end_month=3&amp;end_day=31&amp;end_year=2014","Cankova")</f>
        <v>Cankova</v>
      </c>
      <c r="H3875" s="87" t="str">
        <f>HYPERLINK("http://api.nsgreg.nga.mil/geo-division/ISO3166-2/6/ed3/SI-152","SI-152")</f>
        <v>SI-152</v>
      </c>
    </row>
    <row r="3876" spans="1:8" x14ac:dyDescent="0.2">
      <c r="A3876" s="157"/>
      <c r="B3876" s="31" t="s">
        <v>13442</v>
      </c>
      <c r="C3876" s="31" t="s">
        <v>13443</v>
      </c>
      <c r="D3876" s="31" t="s">
        <v>4131</v>
      </c>
      <c r="E3876" s="61" t="b">
        <v>1</v>
      </c>
      <c r="F3876" s="106" t="s">
        <v>13444</v>
      </c>
      <c r="G3876" s="116" t="str">
        <f>HYPERLINK("http://nsgreg.nga.mil/genc/view?v=115836&amp;gencs=T&amp;end_month=3&amp;end_day=31&amp;end_year=2014","Celje")</f>
        <v>Celje</v>
      </c>
      <c r="H3876" s="87" t="str">
        <f>HYPERLINK("http://api.nsgreg.nga.mil/geo-division/ISO3166-2/6/ed3/SI-011","SI-011")</f>
        <v>SI-011</v>
      </c>
    </row>
    <row r="3877" spans="1:8" x14ac:dyDescent="0.2">
      <c r="A3877" s="157"/>
      <c r="B3877" s="31" t="s">
        <v>13445</v>
      </c>
      <c r="C3877" s="31" t="s">
        <v>13446</v>
      </c>
      <c r="D3877" s="31" t="s">
        <v>4131</v>
      </c>
      <c r="E3877" s="61" t="b">
        <v>1</v>
      </c>
      <c r="F3877" s="106" t="s">
        <v>13447</v>
      </c>
      <c r="G3877" s="116" t="str">
        <f>HYPERLINK("http://nsgreg.nga.mil/genc/view?v=115837&amp;gencs=T&amp;end_month=3&amp;end_day=31&amp;end_year=2014","Cerklje na Gorenjskem")</f>
        <v>Cerklje na Gorenjskem</v>
      </c>
      <c r="H3877" s="87" t="str">
        <f>HYPERLINK("http://api.nsgreg.nga.mil/geo-division/ISO3166-2/6/ed3/SI-012","SI-012")</f>
        <v>SI-012</v>
      </c>
    </row>
    <row r="3878" spans="1:8" x14ac:dyDescent="0.2">
      <c r="A3878" s="157"/>
      <c r="B3878" s="31" t="s">
        <v>13448</v>
      </c>
      <c r="C3878" s="31" t="s">
        <v>13449</v>
      </c>
      <c r="D3878" s="31" t="s">
        <v>4131</v>
      </c>
      <c r="E3878" s="61" t="b">
        <v>1</v>
      </c>
      <c r="F3878" s="106" t="s">
        <v>13450</v>
      </c>
      <c r="G3878" s="116" t="str">
        <f>HYPERLINK("http://nsgreg.nga.mil/genc/view?v=115838&amp;gencs=T&amp;end_month=3&amp;end_day=31&amp;end_year=2014","Cerknica")</f>
        <v>Cerknica</v>
      </c>
      <c r="H3878" s="87" t="str">
        <f>HYPERLINK("http://api.nsgreg.nga.mil/geo-division/ISO3166-2/6/ed3/SI-013","SI-013")</f>
        <v>SI-013</v>
      </c>
    </row>
    <row r="3879" spans="1:8" x14ac:dyDescent="0.2">
      <c r="A3879" s="157"/>
      <c r="B3879" s="31" t="s">
        <v>13451</v>
      </c>
      <c r="C3879" s="31" t="s">
        <v>13452</v>
      </c>
      <c r="D3879" s="31" t="s">
        <v>4131</v>
      </c>
      <c r="E3879" s="61" t="b">
        <v>1</v>
      </c>
      <c r="F3879" s="106" t="s">
        <v>13453</v>
      </c>
      <c r="G3879" s="116" t="str">
        <f>HYPERLINK("http://nsgreg.nga.mil/genc/view?v=115839&amp;gencs=T&amp;end_month=3&amp;end_day=31&amp;end_year=2014","Cerkno")</f>
        <v>Cerkno</v>
      </c>
      <c r="H3879" s="87" t="str">
        <f>HYPERLINK("http://api.nsgreg.nga.mil/geo-division/ISO3166-2/6/ed3/SI-014","SI-014")</f>
        <v>SI-014</v>
      </c>
    </row>
    <row r="3880" spans="1:8" x14ac:dyDescent="0.2">
      <c r="A3880" s="157"/>
      <c r="B3880" s="31" t="s">
        <v>13454</v>
      </c>
      <c r="C3880" s="31" t="s">
        <v>13455</v>
      </c>
      <c r="D3880" s="31" t="s">
        <v>4131</v>
      </c>
      <c r="E3880" s="61" t="b">
        <v>1</v>
      </c>
      <c r="F3880" s="106" t="s">
        <v>13456</v>
      </c>
      <c r="G3880" s="116" t="str">
        <f>HYPERLINK("http://nsgreg.nga.mil/genc/view?v=115977&amp;gencs=T&amp;end_month=3&amp;end_day=31&amp;end_year=2014","Cerkvenjak")</f>
        <v>Cerkvenjak</v>
      </c>
      <c r="H3880" s="87" t="str">
        <f>HYPERLINK("http://api.nsgreg.nga.mil/geo-division/ISO3166-2/6/ed3/SI-153","SI-153")</f>
        <v>SI-153</v>
      </c>
    </row>
    <row r="3881" spans="1:8" x14ac:dyDescent="0.2">
      <c r="A3881" s="157"/>
      <c r="B3881" s="31" t="s">
        <v>13457</v>
      </c>
      <c r="C3881" s="31" t="s">
        <v>13458</v>
      </c>
      <c r="D3881" s="31" t="s">
        <v>4131</v>
      </c>
      <c r="E3881" s="61" t="b">
        <v>1</v>
      </c>
      <c r="F3881" s="106" t="s">
        <v>13459</v>
      </c>
      <c r="G3881" s="116" t="str">
        <f>HYPERLINK("http://nsgreg.nga.mil/genc/view?v=116020&amp;gencs=T&amp;end_month=3&amp;end_day=31&amp;end_year=2014","Cirkulane")</f>
        <v>Cirkulane</v>
      </c>
      <c r="H3881" s="87" t="str">
        <f>HYPERLINK("http://api.nsgreg.nga.mil/geo-division/ISO3166-2/6/ed3/SI-196","SI-196")</f>
        <v>SI-196</v>
      </c>
    </row>
    <row r="3882" spans="1:8" x14ac:dyDescent="0.2">
      <c r="A3882" s="157"/>
      <c r="B3882" s="31" t="s">
        <v>13460</v>
      </c>
      <c r="C3882" s="31" t="s">
        <v>13461</v>
      </c>
      <c r="D3882" s="31" t="s">
        <v>4131</v>
      </c>
      <c r="E3882" s="61" t="b">
        <v>1</v>
      </c>
      <c r="F3882" s="106" t="s">
        <v>13462</v>
      </c>
      <c r="G3882" s="116" t="str">
        <f>HYPERLINK("http://nsgreg.nga.mil/genc/view?v=115840&amp;gencs=T&amp;end_month=3&amp;end_day=31&amp;end_year=2014","Črenšovci")</f>
        <v>Črenšovci</v>
      </c>
      <c r="H3882" s="87" t="str">
        <f>HYPERLINK("http://api.nsgreg.nga.mil/geo-division/ISO3166-2/6/ed3/SI-015","SI-015")</f>
        <v>SI-015</v>
      </c>
    </row>
    <row r="3883" spans="1:8" x14ac:dyDescent="0.2">
      <c r="A3883" s="157"/>
      <c r="B3883" s="31" t="s">
        <v>13463</v>
      </c>
      <c r="C3883" s="31" t="s">
        <v>13464</v>
      </c>
      <c r="D3883" s="31" t="s">
        <v>4131</v>
      </c>
      <c r="E3883" s="61" t="b">
        <v>1</v>
      </c>
      <c r="F3883" s="106" t="s">
        <v>13465</v>
      </c>
      <c r="G3883" s="116" t="str">
        <f>HYPERLINK("http://nsgreg.nga.mil/genc/view?v=115841&amp;gencs=T&amp;end_month=3&amp;end_day=31&amp;end_year=2014","Črna na Koroškem")</f>
        <v>Črna na Koroškem</v>
      </c>
      <c r="H3883" s="87" t="str">
        <f>HYPERLINK("http://api.nsgreg.nga.mil/geo-division/ISO3166-2/6/ed3/SI-016","SI-016")</f>
        <v>SI-016</v>
      </c>
    </row>
    <row r="3884" spans="1:8" x14ac:dyDescent="0.2">
      <c r="A3884" s="157"/>
      <c r="B3884" s="31" t="s">
        <v>13466</v>
      </c>
      <c r="C3884" s="31" t="s">
        <v>13467</v>
      </c>
      <c r="D3884" s="31" t="s">
        <v>4131</v>
      </c>
      <c r="E3884" s="61" t="b">
        <v>1</v>
      </c>
      <c r="F3884" s="106" t="s">
        <v>13468</v>
      </c>
      <c r="G3884" s="116" t="str">
        <f>HYPERLINK("http://nsgreg.nga.mil/genc/view?v=115842&amp;gencs=T&amp;end_month=3&amp;end_day=31&amp;end_year=2014","Črnomelj")</f>
        <v>Črnomelj</v>
      </c>
      <c r="H3884" s="87" t="str">
        <f>HYPERLINK("http://api.nsgreg.nga.mil/geo-division/ISO3166-2/6/ed3/SI-017","SI-017")</f>
        <v>SI-017</v>
      </c>
    </row>
    <row r="3885" spans="1:8" x14ac:dyDescent="0.2">
      <c r="A3885" s="157"/>
      <c r="B3885" s="31" t="s">
        <v>13469</v>
      </c>
      <c r="C3885" s="31" t="s">
        <v>13470</v>
      </c>
      <c r="D3885" s="31" t="s">
        <v>4131</v>
      </c>
      <c r="E3885" s="61" t="b">
        <v>1</v>
      </c>
      <c r="F3885" s="106" t="s">
        <v>13471</v>
      </c>
      <c r="G3885" s="116" t="str">
        <f>HYPERLINK("http://nsgreg.nga.mil/genc/view?v=115843&amp;gencs=T&amp;end_month=3&amp;end_day=31&amp;end_year=2014","Destrnik")</f>
        <v>Destrnik</v>
      </c>
      <c r="H3885" s="87" t="str">
        <f>HYPERLINK("http://api.nsgreg.nga.mil/geo-division/ISO3166-2/6/ed3/SI-018","SI-018")</f>
        <v>SI-018</v>
      </c>
    </row>
    <row r="3886" spans="1:8" x14ac:dyDescent="0.2">
      <c r="A3886" s="157"/>
      <c r="B3886" s="31" t="s">
        <v>13472</v>
      </c>
      <c r="C3886" s="31" t="s">
        <v>13473</v>
      </c>
      <c r="D3886" s="31" t="s">
        <v>4131</v>
      </c>
      <c r="E3886" s="61" t="b">
        <v>1</v>
      </c>
      <c r="F3886" s="106" t="s">
        <v>13474</v>
      </c>
      <c r="G3886" s="116" t="str">
        <f>HYPERLINK("http://nsgreg.nga.mil/genc/view?v=115844&amp;gencs=T&amp;end_month=3&amp;end_day=31&amp;end_year=2014","Divača")</f>
        <v>Divača</v>
      </c>
      <c r="H3886" s="87" t="str">
        <f>HYPERLINK("http://api.nsgreg.nga.mil/geo-division/ISO3166-2/6/ed3/SI-019","SI-019")</f>
        <v>SI-019</v>
      </c>
    </row>
    <row r="3887" spans="1:8" x14ac:dyDescent="0.2">
      <c r="A3887" s="157"/>
      <c r="B3887" s="31" t="s">
        <v>13475</v>
      </c>
      <c r="C3887" s="31" t="s">
        <v>13476</v>
      </c>
      <c r="D3887" s="31" t="s">
        <v>4131</v>
      </c>
      <c r="E3887" s="61" t="b">
        <v>1</v>
      </c>
      <c r="F3887" s="106" t="s">
        <v>13477</v>
      </c>
      <c r="G3887" s="116" t="str">
        <f>HYPERLINK("http://nsgreg.nga.mil/genc/view?v=115978&amp;gencs=T&amp;end_month=3&amp;end_day=31&amp;end_year=2014","Dobje")</f>
        <v>Dobje</v>
      </c>
      <c r="H3887" s="87" t="str">
        <f>HYPERLINK("http://api.nsgreg.nga.mil/geo-division/ISO3166-2/6/ed3/SI-154","SI-154")</f>
        <v>SI-154</v>
      </c>
    </row>
    <row r="3888" spans="1:8" x14ac:dyDescent="0.2">
      <c r="A3888" s="157"/>
      <c r="B3888" s="31" t="s">
        <v>13478</v>
      </c>
      <c r="C3888" s="31" t="s">
        <v>13479</v>
      </c>
      <c r="D3888" s="31" t="s">
        <v>4131</v>
      </c>
      <c r="E3888" s="61" t="b">
        <v>1</v>
      </c>
      <c r="F3888" s="106" t="s">
        <v>13480</v>
      </c>
      <c r="G3888" s="116" t="str">
        <f>HYPERLINK("http://nsgreg.nga.mil/genc/view?v=115845&amp;gencs=T&amp;end_month=3&amp;end_day=31&amp;end_year=2014","Dobrepolje")</f>
        <v>Dobrepolje</v>
      </c>
      <c r="H3888" s="87" t="str">
        <f>HYPERLINK("http://api.nsgreg.nga.mil/geo-division/ISO3166-2/6/ed3/SI-020","SI-020")</f>
        <v>SI-020</v>
      </c>
    </row>
    <row r="3889" spans="1:8" x14ac:dyDescent="0.2">
      <c r="A3889" s="157"/>
      <c r="B3889" s="31" t="s">
        <v>13481</v>
      </c>
      <c r="C3889" s="31" t="s">
        <v>13482</v>
      </c>
      <c r="D3889" s="31" t="s">
        <v>4131</v>
      </c>
      <c r="E3889" s="61" t="b">
        <v>1</v>
      </c>
      <c r="F3889" s="106" t="s">
        <v>13483</v>
      </c>
      <c r="G3889" s="116" t="str">
        <f>HYPERLINK("http://nsgreg.nga.mil/genc/view?v=115979&amp;gencs=T&amp;end_month=3&amp;end_day=31&amp;end_year=2014","Dobrna")</f>
        <v>Dobrna</v>
      </c>
      <c r="H3889" s="87" t="str">
        <f>HYPERLINK("http://api.nsgreg.nga.mil/geo-division/ISO3166-2/6/ed3/SI-155","SI-155")</f>
        <v>SI-155</v>
      </c>
    </row>
    <row r="3890" spans="1:8" x14ac:dyDescent="0.2">
      <c r="A3890" s="157"/>
      <c r="B3890" s="31" t="s">
        <v>13484</v>
      </c>
      <c r="C3890" s="31" t="s">
        <v>13485</v>
      </c>
      <c r="D3890" s="31" t="s">
        <v>4131</v>
      </c>
      <c r="E3890" s="61" t="b">
        <v>1</v>
      </c>
      <c r="F3890" s="107" t="s">
        <v>13486</v>
      </c>
      <c r="G3890" s="116" t="str">
        <f>HYPERLINK("http://nsgreg.nga.mil/genc/view?v=203405&amp;end_month=3&amp;end_day=31&amp;end_year=2014","Dobrova-Polhov Gradec")</f>
        <v>Dobrova-Polhov Gradec</v>
      </c>
      <c r="H3890" s="87" t="str">
        <f>HYPERLINK("http://api.nsgreg.nga.mil/geo-division/GENC/6/ed2/SI-021","SI-021")</f>
        <v>SI-021</v>
      </c>
    </row>
    <row r="3891" spans="1:8" x14ac:dyDescent="0.2">
      <c r="A3891" s="157"/>
      <c r="B3891" s="31" t="s">
        <v>13487</v>
      </c>
      <c r="C3891" s="31" t="s">
        <v>13488</v>
      </c>
      <c r="D3891" s="31" t="s">
        <v>4131</v>
      </c>
      <c r="E3891" s="61" t="b">
        <v>1</v>
      </c>
      <c r="F3891" s="107" t="s">
        <v>13489</v>
      </c>
      <c r="G3891" s="116" t="str">
        <f>HYPERLINK("http://nsgreg.nga.mil/genc/view?v=203020&amp;end_month=3&amp;end_day=31&amp;end_year=2014","Dobrovnik")</f>
        <v>Dobrovnik</v>
      </c>
      <c r="H3891" s="87" t="str">
        <f>HYPERLINK("http://api.nsgreg.nga.mil/geo-division/GENC/6/ed2/SI-156","SI-156")</f>
        <v>SI-156</v>
      </c>
    </row>
    <row r="3892" spans="1:8" x14ac:dyDescent="0.2">
      <c r="A3892" s="157"/>
      <c r="B3892" s="31" t="s">
        <v>13490</v>
      </c>
      <c r="C3892" s="31" t="s">
        <v>13491</v>
      </c>
      <c r="D3892" s="31" t="s">
        <v>4131</v>
      </c>
      <c r="E3892" s="61" t="b">
        <v>1</v>
      </c>
      <c r="F3892" s="106" t="s">
        <v>13492</v>
      </c>
      <c r="G3892" s="116" t="str">
        <f>HYPERLINK("http://nsgreg.nga.mil/genc/view?v=115981&amp;gencs=T&amp;end_month=3&amp;end_day=31&amp;end_year=2014","Dolenjske Toplice")</f>
        <v>Dolenjske Toplice</v>
      </c>
      <c r="H3892" s="87" t="str">
        <f>HYPERLINK("http://api.nsgreg.nga.mil/geo-division/ISO3166-2/6/ed3/SI-157","SI-157")</f>
        <v>SI-157</v>
      </c>
    </row>
    <row r="3893" spans="1:8" x14ac:dyDescent="0.2">
      <c r="A3893" s="157"/>
      <c r="B3893" s="31" t="s">
        <v>13493</v>
      </c>
      <c r="C3893" s="31" t="s">
        <v>13494</v>
      </c>
      <c r="D3893" s="31" t="s">
        <v>4131</v>
      </c>
      <c r="E3893" s="61" t="b">
        <v>1</v>
      </c>
      <c r="F3893" s="106" t="s">
        <v>13495</v>
      </c>
      <c r="G3893" s="116" t="str">
        <f>HYPERLINK("http://nsgreg.nga.mil/genc/view?v=115847&amp;gencs=T&amp;end_month=3&amp;end_day=31&amp;end_year=2014","Dol pri Ljubljani")</f>
        <v>Dol pri Ljubljani</v>
      </c>
      <c r="H3893" s="87" t="str">
        <f>HYPERLINK("http://api.nsgreg.nga.mil/geo-division/ISO3166-2/6/ed3/SI-022","SI-022")</f>
        <v>SI-022</v>
      </c>
    </row>
    <row r="3894" spans="1:8" x14ac:dyDescent="0.2">
      <c r="A3894" s="157"/>
      <c r="B3894" s="31" t="s">
        <v>13496</v>
      </c>
      <c r="C3894" s="31" t="s">
        <v>13497</v>
      </c>
      <c r="D3894" s="31" t="s">
        <v>4131</v>
      </c>
      <c r="E3894" s="61" t="b">
        <v>1</v>
      </c>
      <c r="F3894" s="106" t="s">
        <v>13498</v>
      </c>
      <c r="G3894" s="116" t="str">
        <f>HYPERLINK("http://nsgreg.nga.mil/genc/view?v=115848&amp;gencs=T&amp;end_month=3&amp;end_day=31&amp;end_year=2014","Domžale")</f>
        <v>Domžale</v>
      </c>
      <c r="H3894" s="87" t="str">
        <f>HYPERLINK("http://api.nsgreg.nga.mil/geo-division/ISO3166-2/6/ed3/SI-023","SI-023")</f>
        <v>SI-023</v>
      </c>
    </row>
    <row r="3895" spans="1:8" x14ac:dyDescent="0.2">
      <c r="A3895" s="157"/>
      <c r="B3895" s="31" t="s">
        <v>13499</v>
      </c>
      <c r="C3895" s="31" t="s">
        <v>13500</v>
      </c>
      <c r="D3895" s="31" t="s">
        <v>4131</v>
      </c>
      <c r="E3895" s="61" t="b">
        <v>1</v>
      </c>
      <c r="F3895" s="106" t="s">
        <v>13501</v>
      </c>
      <c r="G3895" s="116" t="str">
        <f>HYPERLINK("http://nsgreg.nga.mil/genc/view?v=115849&amp;gencs=T&amp;end_month=3&amp;end_day=31&amp;end_year=2014","Dornava")</f>
        <v>Dornava</v>
      </c>
      <c r="H3895" s="87" t="str">
        <f>HYPERLINK("http://api.nsgreg.nga.mil/geo-division/ISO3166-2/6/ed3/SI-024","SI-024")</f>
        <v>SI-024</v>
      </c>
    </row>
    <row r="3896" spans="1:8" x14ac:dyDescent="0.2">
      <c r="A3896" s="157"/>
      <c r="B3896" s="31" t="s">
        <v>13502</v>
      </c>
      <c r="C3896" s="31" t="s">
        <v>13503</v>
      </c>
      <c r="D3896" s="31" t="s">
        <v>4131</v>
      </c>
      <c r="E3896" s="61" t="b">
        <v>1</v>
      </c>
      <c r="F3896" s="106" t="s">
        <v>13504</v>
      </c>
      <c r="G3896" s="116" t="str">
        <f>HYPERLINK("http://nsgreg.nga.mil/genc/view?v=115850&amp;gencs=T&amp;end_month=3&amp;end_day=31&amp;end_year=2014","Dravograd")</f>
        <v>Dravograd</v>
      </c>
      <c r="H3896" s="87" t="str">
        <f>HYPERLINK("http://api.nsgreg.nga.mil/geo-division/ISO3166-2/6/ed3/SI-025","SI-025")</f>
        <v>SI-025</v>
      </c>
    </row>
    <row r="3897" spans="1:8" x14ac:dyDescent="0.2">
      <c r="A3897" s="157"/>
      <c r="B3897" s="31" t="s">
        <v>13505</v>
      </c>
      <c r="C3897" s="31" t="s">
        <v>13506</v>
      </c>
      <c r="D3897" s="31" t="s">
        <v>4131</v>
      </c>
      <c r="E3897" s="61" t="b">
        <v>1</v>
      </c>
      <c r="F3897" s="106" t="s">
        <v>13507</v>
      </c>
      <c r="G3897" s="116" t="str">
        <f>HYPERLINK("http://nsgreg.nga.mil/genc/view?v=115851&amp;gencs=T&amp;end_month=3&amp;end_day=31&amp;end_year=2014","Duplek")</f>
        <v>Duplek</v>
      </c>
      <c r="H3897" s="87" t="str">
        <f>HYPERLINK("http://api.nsgreg.nga.mil/geo-division/ISO3166-2/6/ed3/SI-026","SI-026")</f>
        <v>SI-026</v>
      </c>
    </row>
    <row r="3898" spans="1:8" x14ac:dyDescent="0.2">
      <c r="A3898" s="157"/>
      <c r="B3898" s="31" t="s">
        <v>13508</v>
      </c>
      <c r="C3898" s="31" t="s">
        <v>13509</v>
      </c>
      <c r="D3898" s="31" t="s">
        <v>4131</v>
      </c>
      <c r="E3898" s="61" t="b">
        <v>1</v>
      </c>
      <c r="F3898" s="106" t="s">
        <v>13510</v>
      </c>
      <c r="G3898" s="116" t="str">
        <f>HYPERLINK("http://nsgreg.nga.mil/genc/view?v=115852&amp;gencs=T&amp;end_month=3&amp;end_day=31&amp;end_year=2014","Gorenja Vas-Poljane")</f>
        <v>Gorenja Vas-Poljane</v>
      </c>
      <c r="H3898" s="87" t="str">
        <f>HYPERLINK("http://api.nsgreg.nga.mil/geo-division/ISO3166-2/6/ed3/SI-027","SI-027")</f>
        <v>SI-027</v>
      </c>
    </row>
    <row r="3899" spans="1:8" x14ac:dyDescent="0.2">
      <c r="A3899" s="157"/>
      <c r="B3899" s="31" t="s">
        <v>13511</v>
      </c>
      <c r="C3899" s="31" t="s">
        <v>13512</v>
      </c>
      <c r="D3899" s="31" t="s">
        <v>4131</v>
      </c>
      <c r="E3899" s="61" t="b">
        <v>1</v>
      </c>
      <c r="F3899" s="106" t="s">
        <v>13513</v>
      </c>
      <c r="G3899" s="116" t="str">
        <f>HYPERLINK("http://nsgreg.nga.mil/genc/view?v=115853&amp;gencs=T&amp;end_month=3&amp;end_day=31&amp;end_year=2014","Gorišnica")</f>
        <v>Gorišnica</v>
      </c>
      <c r="H3899" s="87" t="str">
        <f>HYPERLINK("http://api.nsgreg.nga.mil/geo-division/ISO3166-2/6/ed3/SI-028","SI-028")</f>
        <v>SI-028</v>
      </c>
    </row>
    <row r="3900" spans="1:8" x14ac:dyDescent="0.2">
      <c r="A3900" s="157"/>
      <c r="B3900" s="31" t="s">
        <v>13514</v>
      </c>
      <c r="C3900" s="31" t="s">
        <v>13515</v>
      </c>
      <c r="D3900" s="31" t="s">
        <v>4131</v>
      </c>
      <c r="E3900" s="61" t="b">
        <v>1</v>
      </c>
      <c r="F3900" s="106" t="s">
        <v>13516</v>
      </c>
      <c r="G3900" s="116" t="str">
        <f>HYPERLINK("http://nsgreg.nga.mil/genc/view?v=116031&amp;gencs=T&amp;end_month=3&amp;end_day=31&amp;end_year=2014","Gorje")</f>
        <v>Gorje</v>
      </c>
      <c r="H3900" s="87" t="str">
        <f>HYPERLINK("http://api.nsgreg.nga.mil/geo-division/ISO3166-2/6/ed3/SI-207","SI-207")</f>
        <v>SI-207</v>
      </c>
    </row>
    <row r="3901" spans="1:8" x14ac:dyDescent="0.2">
      <c r="A3901" s="157"/>
      <c r="B3901" s="31" t="s">
        <v>13517</v>
      </c>
      <c r="C3901" s="31" t="s">
        <v>13518</v>
      </c>
      <c r="D3901" s="31" t="s">
        <v>4131</v>
      </c>
      <c r="E3901" s="61" t="b">
        <v>1</v>
      </c>
      <c r="F3901" s="106" t="s">
        <v>13519</v>
      </c>
      <c r="G3901" s="116" t="str">
        <f>HYPERLINK("http://nsgreg.nga.mil/genc/view?v=115854&amp;gencs=T&amp;end_month=3&amp;end_day=31&amp;end_year=2014","Gornja Radgona")</f>
        <v>Gornja Radgona</v>
      </c>
      <c r="H3901" s="87" t="str">
        <f>HYPERLINK("http://api.nsgreg.nga.mil/geo-division/ISO3166-2/6/ed3/SI-029","SI-029")</f>
        <v>SI-029</v>
      </c>
    </row>
    <row r="3902" spans="1:8" x14ac:dyDescent="0.2">
      <c r="A3902" s="157"/>
      <c r="B3902" s="31" t="s">
        <v>13520</v>
      </c>
      <c r="C3902" s="31" t="s">
        <v>13521</v>
      </c>
      <c r="D3902" s="31" t="s">
        <v>4131</v>
      </c>
      <c r="E3902" s="61" t="b">
        <v>1</v>
      </c>
      <c r="F3902" s="106" t="s">
        <v>13522</v>
      </c>
      <c r="G3902" s="116" t="str">
        <f>HYPERLINK("http://nsgreg.nga.mil/genc/view?v=115855&amp;gencs=T&amp;end_month=3&amp;end_day=31&amp;end_year=2014","Gornji Grad")</f>
        <v>Gornji Grad</v>
      </c>
      <c r="H3902" s="87" t="str">
        <f>HYPERLINK("http://api.nsgreg.nga.mil/geo-division/ISO3166-2/6/ed3/SI-030","SI-030")</f>
        <v>SI-030</v>
      </c>
    </row>
    <row r="3903" spans="1:8" x14ac:dyDescent="0.2">
      <c r="A3903" s="157"/>
      <c r="B3903" s="31" t="s">
        <v>13523</v>
      </c>
      <c r="C3903" s="31" t="s">
        <v>13524</v>
      </c>
      <c r="D3903" s="31" t="s">
        <v>4131</v>
      </c>
      <c r="E3903" s="61" t="b">
        <v>1</v>
      </c>
      <c r="F3903" s="106" t="s">
        <v>13525</v>
      </c>
      <c r="G3903" s="116" t="str">
        <f>HYPERLINK("http://nsgreg.nga.mil/genc/view?v=115856&amp;gencs=T&amp;end_month=3&amp;end_day=31&amp;end_year=2014","Gornji Petrovci")</f>
        <v>Gornji Petrovci</v>
      </c>
      <c r="H3903" s="87" t="str">
        <f>HYPERLINK("http://api.nsgreg.nga.mil/geo-division/ISO3166-2/6/ed3/SI-031","SI-031")</f>
        <v>SI-031</v>
      </c>
    </row>
    <row r="3904" spans="1:8" x14ac:dyDescent="0.2">
      <c r="A3904" s="157"/>
      <c r="B3904" s="31" t="s">
        <v>13526</v>
      </c>
      <c r="C3904" s="31" t="s">
        <v>13527</v>
      </c>
      <c r="D3904" s="31" t="s">
        <v>4131</v>
      </c>
      <c r="E3904" s="61" t="b">
        <v>1</v>
      </c>
      <c r="F3904" s="106" t="s">
        <v>13528</v>
      </c>
      <c r="G3904" s="116" t="str">
        <f>HYPERLINK("http://nsgreg.nga.mil/genc/view?v=115982&amp;gencs=T&amp;end_month=3&amp;end_day=31&amp;end_year=2014","Grad")</f>
        <v>Grad</v>
      </c>
      <c r="H3904" s="87" t="str">
        <f>HYPERLINK("http://api.nsgreg.nga.mil/geo-division/ISO3166-2/6/ed3/SI-158","SI-158")</f>
        <v>SI-158</v>
      </c>
    </row>
    <row r="3905" spans="1:8" x14ac:dyDescent="0.2">
      <c r="A3905" s="157"/>
      <c r="B3905" s="31" t="s">
        <v>13529</v>
      </c>
      <c r="C3905" s="31" t="s">
        <v>13530</v>
      </c>
      <c r="D3905" s="31" t="s">
        <v>4131</v>
      </c>
      <c r="E3905" s="61" t="b">
        <v>1</v>
      </c>
      <c r="F3905" s="106" t="s">
        <v>13531</v>
      </c>
      <c r="G3905" s="116" t="str">
        <f>HYPERLINK("http://nsgreg.nga.mil/genc/view?v=115857&amp;gencs=T&amp;end_month=3&amp;end_day=31&amp;end_year=2014","Grosuplje")</f>
        <v>Grosuplje</v>
      </c>
      <c r="H3905" s="87" t="str">
        <f>HYPERLINK("http://api.nsgreg.nga.mil/geo-division/ISO3166-2/6/ed3/SI-032","SI-032")</f>
        <v>SI-032</v>
      </c>
    </row>
    <row r="3906" spans="1:8" x14ac:dyDescent="0.2">
      <c r="A3906" s="157"/>
      <c r="B3906" s="31" t="s">
        <v>13532</v>
      </c>
      <c r="C3906" s="31" t="s">
        <v>13533</v>
      </c>
      <c r="D3906" s="31" t="s">
        <v>4131</v>
      </c>
      <c r="E3906" s="61" t="b">
        <v>1</v>
      </c>
      <c r="F3906" s="106" t="s">
        <v>13534</v>
      </c>
      <c r="G3906" s="116" t="str">
        <f>HYPERLINK("http://nsgreg.nga.mil/genc/view?v=115983&amp;gencs=T&amp;end_month=3&amp;end_day=31&amp;end_year=2014","Hajdina")</f>
        <v>Hajdina</v>
      </c>
      <c r="H3906" s="87" t="str">
        <f>HYPERLINK("http://api.nsgreg.nga.mil/geo-division/ISO3166-2/6/ed3/SI-159","SI-159")</f>
        <v>SI-159</v>
      </c>
    </row>
    <row r="3907" spans="1:8" x14ac:dyDescent="0.2">
      <c r="A3907" s="157"/>
      <c r="B3907" s="31" t="s">
        <v>13535</v>
      </c>
      <c r="C3907" s="31" t="s">
        <v>13536</v>
      </c>
      <c r="D3907" s="31" t="s">
        <v>4131</v>
      </c>
      <c r="E3907" s="61" t="b">
        <v>1</v>
      </c>
      <c r="F3907" s="106" t="s">
        <v>13537</v>
      </c>
      <c r="G3907" s="116" t="str">
        <f>HYPERLINK("http://nsgreg.nga.mil/genc/view?v=115984&amp;gencs=T&amp;end_month=3&amp;end_day=31&amp;end_year=2014","Hoče-Slivnica")</f>
        <v>Hoče-Slivnica</v>
      </c>
      <c r="H3907" s="87" t="str">
        <f>HYPERLINK("http://api.nsgreg.nga.mil/geo-division/ISO3166-2/6/ed3/SI-160","SI-160")</f>
        <v>SI-160</v>
      </c>
    </row>
    <row r="3908" spans="1:8" x14ac:dyDescent="0.2">
      <c r="A3908" s="157"/>
      <c r="B3908" s="31" t="s">
        <v>13538</v>
      </c>
      <c r="C3908" s="31" t="s">
        <v>13539</v>
      </c>
      <c r="D3908" s="31" t="s">
        <v>4131</v>
      </c>
      <c r="E3908" s="61" t="b">
        <v>1</v>
      </c>
      <c r="F3908" s="107" t="s">
        <v>13540</v>
      </c>
      <c r="G3908" s="116" t="str">
        <f>HYPERLINK("http://nsgreg.nga.mil/genc/view?v=203021&amp;end_month=3&amp;end_day=31&amp;end_year=2014","Hodoš")</f>
        <v>Hodoš</v>
      </c>
      <c r="H3908" s="87" t="str">
        <f>HYPERLINK("http://api.nsgreg.nga.mil/geo-division/GENC/6/ed2/SI-161","SI-161")</f>
        <v>SI-161</v>
      </c>
    </row>
    <row r="3909" spans="1:8" x14ac:dyDescent="0.2">
      <c r="A3909" s="157"/>
      <c r="B3909" s="31" t="s">
        <v>13541</v>
      </c>
      <c r="C3909" s="31" t="s">
        <v>13542</v>
      </c>
      <c r="D3909" s="31" t="s">
        <v>4131</v>
      </c>
      <c r="E3909" s="61" t="b">
        <v>1</v>
      </c>
      <c r="F3909" s="106" t="s">
        <v>13543</v>
      </c>
      <c r="G3909" s="116" t="str">
        <f>HYPERLINK("http://nsgreg.nga.mil/genc/view?v=115986&amp;gencs=T&amp;end_month=3&amp;end_day=31&amp;end_year=2014","Horjul")</f>
        <v>Horjul</v>
      </c>
      <c r="H3909" s="87" t="str">
        <f>HYPERLINK("http://api.nsgreg.nga.mil/geo-division/ISO3166-2/6/ed3/SI-162","SI-162")</f>
        <v>SI-162</v>
      </c>
    </row>
    <row r="3910" spans="1:8" x14ac:dyDescent="0.2">
      <c r="A3910" s="157"/>
      <c r="B3910" s="31" t="s">
        <v>13544</v>
      </c>
      <c r="C3910" s="31" t="s">
        <v>13545</v>
      </c>
      <c r="D3910" s="31" t="s">
        <v>4131</v>
      </c>
      <c r="E3910" s="61" t="b">
        <v>1</v>
      </c>
      <c r="F3910" s="106" t="s">
        <v>13546</v>
      </c>
      <c r="G3910" s="116" t="str">
        <f>HYPERLINK("http://nsgreg.nga.mil/genc/view?v=115859&amp;gencs=T&amp;end_month=3&amp;end_day=31&amp;end_year=2014","Hrastnik")</f>
        <v>Hrastnik</v>
      </c>
      <c r="H3910" s="87" t="str">
        <f>HYPERLINK("http://api.nsgreg.nga.mil/geo-division/ISO3166-2/6/ed3/SI-034","SI-034")</f>
        <v>SI-034</v>
      </c>
    </row>
    <row r="3911" spans="1:8" x14ac:dyDescent="0.2">
      <c r="A3911" s="157"/>
      <c r="B3911" s="31" t="s">
        <v>13547</v>
      </c>
      <c r="C3911" s="31" t="s">
        <v>13548</v>
      </c>
      <c r="D3911" s="31" t="s">
        <v>4131</v>
      </c>
      <c r="E3911" s="61" t="b">
        <v>1</v>
      </c>
      <c r="F3911" s="106" t="s">
        <v>13549</v>
      </c>
      <c r="G3911" s="116" t="str">
        <f>HYPERLINK("http://nsgreg.nga.mil/genc/view?v=115860&amp;gencs=T&amp;end_month=3&amp;end_day=31&amp;end_year=2014","Hrpelje-Kozina")</f>
        <v>Hrpelje-Kozina</v>
      </c>
      <c r="H3911" s="87" t="str">
        <f>HYPERLINK("http://api.nsgreg.nga.mil/geo-division/ISO3166-2/6/ed3/SI-035","SI-035")</f>
        <v>SI-035</v>
      </c>
    </row>
    <row r="3912" spans="1:8" x14ac:dyDescent="0.2">
      <c r="A3912" s="157"/>
      <c r="B3912" s="31" t="s">
        <v>13550</v>
      </c>
      <c r="C3912" s="31" t="s">
        <v>13551</v>
      </c>
      <c r="D3912" s="31" t="s">
        <v>4131</v>
      </c>
      <c r="E3912" s="61" t="b">
        <v>1</v>
      </c>
      <c r="F3912" s="106" t="s">
        <v>13552</v>
      </c>
      <c r="G3912" s="116" t="str">
        <f>HYPERLINK("http://nsgreg.nga.mil/genc/view?v=115861&amp;gencs=T&amp;end_month=3&amp;end_day=31&amp;end_year=2014","Idrija")</f>
        <v>Idrija</v>
      </c>
      <c r="H3912" s="87" t="str">
        <f>HYPERLINK("http://api.nsgreg.nga.mil/geo-division/ISO3166-2/6/ed3/SI-036","SI-036")</f>
        <v>SI-036</v>
      </c>
    </row>
    <row r="3913" spans="1:8" x14ac:dyDescent="0.2">
      <c r="A3913" s="157"/>
      <c r="B3913" s="31" t="s">
        <v>13553</v>
      </c>
      <c r="C3913" s="31" t="s">
        <v>13554</v>
      </c>
      <c r="D3913" s="31" t="s">
        <v>4131</v>
      </c>
      <c r="E3913" s="61" t="b">
        <v>1</v>
      </c>
      <c r="F3913" s="106" t="s">
        <v>13555</v>
      </c>
      <c r="G3913" s="116" t="str">
        <f>HYPERLINK("http://nsgreg.nga.mil/genc/view?v=115862&amp;gencs=T&amp;end_month=3&amp;end_day=31&amp;end_year=2014","Ig")</f>
        <v>Ig</v>
      </c>
      <c r="H3913" s="87" t="str">
        <f>HYPERLINK("http://api.nsgreg.nga.mil/geo-division/ISO3166-2/6/ed3/SI-037","SI-037")</f>
        <v>SI-037</v>
      </c>
    </row>
    <row r="3914" spans="1:8" x14ac:dyDescent="0.2">
      <c r="A3914" s="157"/>
      <c r="B3914" s="31" t="s">
        <v>13556</v>
      </c>
      <c r="C3914" s="31" t="s">
        <v>13557</v>
      </c>
      <c r="D3914" s="31" t="s">
        <v>4131</v>
      </c>
      <c r="E3914" s="61" t="b">
        <v>1</v>
      </c>
      <c r="F3914" s="106" t="s">
        <v>13558</v>
      </c>
      <c r="G3914" s="116" t="str">
        <f>HYPERLINK("http://nsgreg.nga.mil/genc/view?v=115863&amp;gencs=T&amp;end_month=3&amp;end_day=31&amp;end_year=2014","Ilirska Bistrica")</f>
        <v>Ilirska Bistrica</v>
      </c>
      <c r="H3914" s="87" t="str">
        <f>HYPERLINK("http://api.nsgreg.nga.mil/geo-division/ISO3166-2/6/ed3/SI-038","SI-038")</f>
        <v>SI-038</v>
      </c>
    </row>
    <row r="3915" spans="1:8" x14ac:dyDescent="0.2">
      <c r="A3915" s="157"/>
      <c r="B3915" s="31" t="s">
        <v>13559</v>
      </c>
      <c r="C3915" s="31" t="s">
        <v>13560</v>
      </c>
      <c r="D3915" s="31" t="s">
        <v>4131</v>
      </c>
      <c r="E3915" s="61" t="b">
        <v>1</v>
      </c>
      <c r="F3915" s="106" t="s">
        <v>13561</v>
      </c>
      <c r="G3915" s="116" t="str">
        <f>HYPERLINK("http://nsgreg.nga.mil/genc/view?v=115864&amp;gencs=T&amp;end_month=3&amp;end_day=31&amp;end_year=2014","Ivančna Gorica")</f>
        <v>Ivančna Gorica</v>
      </c>
      <c r="H3915" s="87" t="str">
        <f>HYPERLINK("http://api.nsgreg.nga.mil/geo-division/ISO3166-2/6/ed3/SI-039","SI-039")</f>
        <v>SI-039</v>
      </c>
    </row>
    <row r="3916" spans="1:8" x14ac:dyDescent="0.2">
      <c r="A3916" s="157"/>
      <c r="B3916" s="31" t="s">
        <v>13562</v>
      </c>
      <c r="C3916" s="31" t="s">
        <v>13563</v>
      </c>
      <c r="D3916" s="31" t="s">
        <v>4131</v>
      </c>
      <c r="E3916" s="61" t="b">
        <v>1</v>
      </c>
      <c r="F3916" s="107" t="s">
        <v>13564</v>
      </c>
      <c r="G3916" s="116" t="str">
        <f>HYPERLINK("http://nsgreg.nga.mil/genc/view?v=203008&amp;end_month=3&amp;end_day=31&amp;end_year=2014","Izola")</f>
        <v>Izola</v>
      </c>
      <c r="H3916" s="87" t="str">
        <f>HYPERLINK("http://api.nsgreg.nga.mil/geo-division/GENC/6/ed2/SI-040","SI-040")</f>
        <v>SI-040</v>
      </c>
    </row>
    <row r="3917" spans="1:8" x14ac:dyDescent="0.2">
      <c r="A3917" s="157"/>
      <c r="B3917" s="31" t="s">
        <v>13565</v>
      </c>
      <c r="C3917" s="31" t="s">
        <v>13566</v>
      </c>
      <c r="D3917" s="31" t="s">
        <v>4131</v>
      </c>
      <c r="E3917" s="61" t="b">
        <v>1</v>
      </c>
      <c r="F3917" s="106" t="s">
        <v>13567</v>
      </c>
      <c r="G3917" s="116" t="str">
        <f>HYPERLINK("http://nsgreg.nga.mil/genc/view?v=115866&amp;gencs=T&amp;end_month=3&amp;end_day=31&amp;end_year=2014","Jesenice")</f>
        <v>Jesenice</v>
      </c>
      <c r="H3917" s="87" t="str">
        <f>HYPERLINK("http://api.nsgreg.nga.mil/geo-division/ISO3166-2/6/ed3/SI-041","SI-041")</f>
        <v>SI-041</v>
      </c>
    </row>
    <row r="3918" spans="1:8" x14ac:dyDescent="0.2">
      <c r="A3918" s="157"/>
      <c r="B3918" s="31" t="s">
        <v>13568</v>
      </c>
      <c r="C3918" s="31" t="s">
        <v>13569</v>
      </c>
      <c r="D3918" s="31" t="s">
        <v>4131</v>
      </c>
      <c r="E3918" s="61" t="b">
        <v>1</v>
      </c>
      <c r="F3918" s="106" t="s">
        <v>13570</v>
      </c>
      <c r="G3918" s="116" t="str">
        <f>HYPERLINK("http://nsgreg.nga.mil/genc/view?v=115987&amp;gencs=T&amp;end_month=3&amp;end_day=31&amp;end_year=2014","Jezersko")</f>
        <v>Jezersko</v>
      </c>
      <c r="H3918" s="87" t="str">
        <f>HYPERLINK("http://api.nsgreg.nga.mil/geo-division/ISO3166-2/6/ed3/SI-163","SI-163")</f>
        <v>SI-163</v>
      </c>
    </row>
    <row r="3919" spans="1:8" x14ac:dyDescent="0.2">
      <c r="A3919" s="157"/>
      <c r="B3919" s="31" t="s">
        <v>13571</v>
      </c>
      <c r="C3919" s="31" t="s">
        <v>13572</v>
      </c>
      <c r="D3919" s="31" t="s">
        <v>4131</v>
      </c>
      <c r="E3919" s="61" t="b">
        <v>1</v>
      </c>
      <c r="F3919" s="106" t="s">
        <v>13573</v>
      </c>
      <c r="G3919" s="116" t="str">
        <f>HYPERLINK("http://nsgreg.nga.mil/genc/view?v=115867&amp;gencs=T&amp;end_month=3&amp;end_day=31&amp;end_year=2014","Juršinci")</f>
        <v>Juršinci</v>
      </c>
      <c r="H3919" s="87" t="str">
        <f>HYPERLINK("http://api.nsgreg.nga.mil/geo-division/ISO3166-2/6/ed3/SI-042","SI-042")</f>
        <v>SI-042</v>
      </c>
    </row>
    <row r="3920" spans="1:8" x14ac:dyDescent="0.2">
      <c r="A3920" s="157"/>
      <c r="B3920" s="31" t="s">
        <v>13574</v>
      </c>
      <c r="C3920" s="31" t="s">
        <v>13575</v>
      </c>
      <c r="D3920" s="31" t="s">
        <v>4131</v>
      </c>
      <c r="E3920" s="61" t="b">
        <v>1</v>
      </c>
      <c r="F3920" s="106" t="s">
        <v>13576</v>
      </c>
      <c r="G3920" s="116" t="str">
        <f>HYPERLINK("http://nsgreg.nga.mil/genc/view?v=115868&amp;gencs=T&amp;end_month=3&amp;end_day=31&amp;end_year=2014","Kamnik")</f>
        <v>Kamnik</v>
      </c>
      <c r="H3920" s="87" t="str">
        <f>HYPERLINK("http://api.nsgreg.nga.mil/geo-division/ISO3166-2/6/ed3/SI-043","SI-043")</f>
        <v>SI-043</v>
      </c>
    </row>
    <row r="3921" spans="1:8" x14ac:dyDescent="0.2">
      <c r="A3921" s="157"/>
      <c r="B3921" s="31" t="s">
        <v>13577</v>
      </c>
      <c r="C3921" s="31" t="s">
        <v>13578</v>
      </c>
      <c r="D3921" s="31" t="s">
        <v>4131</v>
      </c>
      <c r="E3921" s="61" t="b">
        <v>1</v>
      </c>
      <c r="F3921" s="106" t="s">
        <v>13579</v>
      </c>
      <c r="G3921" s="116" t="str">
        <f>HYPERLINK("http://nsgreg.nga.mil/genc/view?v=115869&amp;gencs=T&amp;end_month=3&amp;end_day=31&amp;end_year=2014","Kanal")</f>
        <v>Kanal</v>
      </c>
      <c r="H3921" s="87" t="str">
        <f>HYPERLINK("http://api.nsgreg.nga.mil/geo-division/ISO3166-2/6/ed3/SI-044","SI-044")</f>
        <v>SI-044</v>
      </c>
    </row>
    <row r="3922" spans="1:8" x14ac:dyDescent="0.2">
      <c r="A3922" s="157"/>
      <c r="B3922" s="31" t="s">
        <v>13580</v>
      </c>
      <c r="C3922" s="31" t="s">
        <v>13581</v>
      </c>
      <c r="D3922" s="31" t="s">
        <v>4131</v>
      </c>
      <c r="E3922" s="61" t="b">
        <v>1</v>
      </c>
      <c r="F3922" s="106" t="s">
        <v>13582</v>
      </c>
      <c r="G3922" s="116" t="str">
        <f>HYPERLINK("http://nsgreg.nga.mil/genc/view?v=115870&amp;gencs=T&amp;end_month=3&amp;end_day=31&amp;end_year=2014","Kidričevo")</f>
        <v>Kidričevo</v>
      </c>
      <c r="H3922" s="87" t="str">
        <f>HYPERLINK("http://api.nsgreg.nga.mil/geo-division/ISO3166-2/6/ed3/SI-045","SI-045")</f>
        <v>SI-045</v>
      </c>
    </row>
    <row r="3923" spans="1:8" x14ac:dyDescent="0.2">
      <c r="A3923" s="157"/>
      <c r="B3923" s="31" t="s">
        <v>13583</v>
      </c>
      <c r="C3923" s="31" t="s">
        <v>13584</v>
      </c>
      <c r="D3923" s="31" t="s">
        <v>4131</v>
      </c>
      <c r="E3923" s="61" t="b">
        <v>1</v>
      </c>
      <c r="F3923" s="106" t="s">
        <v>13585</v>
      </c>
      <c r="G3923" s="116" t="str">
        <f>HYPERLINK("http://nsgreg.nga.mil/genc/view?v=115871&amp;gencs=T&amp;end_month=3&amp;end_day=31&amp;end_year=2014","Kobarid")</f>
        <v>Kobarid</v>
      </c>
      <c r="H3923" s="87" t="str">
        <f>HYPERLINK("http://api.nsgreg.nga.mil/geo-division/ISO3166-2/6/ed3/SI-046","SI-046")</f>
        <v>SI-046</v>
      </c>
    </row>
    <row r="3924" spans="1:8" x14ac:dyDescent="0.2">
      <c r="A3924" s="157"/>
      <c r="B3924" s="31" t="s">
        <v>13586</v>
      </c>
      <c r="C3924" s="31" t="s">
        <v>13587</v>
      </c>
      <c r="D3924" s="31" t="s">
        <v>4131</v>
      </c>
      <c r="E3924" s="61" t="b">
        <v>1</v>
      </c>
      <c r="F3924" s="106" t="s">
        <v>13588</v>
      </c>
      <c r="G3924" s="116" t="str">
        <f>HYPERLINK("http://nsgreg.nga.mil/genc/view?v=115872&amp;gencs=T&amp;end_month=3&amp;end_day=31&amp;end_year=2014","Kobilje")</f>
        <v>Kobilje</v>
      </c>
      <c r="H3924" s="87" t="str">
        <f>HYPERLINK("http://api.nsgreg.nga.mil/geo-division/ISO3166-2/6/ed3/SI-047","SI-047")</f>
        <v>SI-047</v>
      </c>
    </row>
    <row r="3925" spans="1:8" x14ac:dyDescent="0.2">
      <c r="A3925" s="157"/>
      <c r="B3925" s="31" t="s">
        <v>13589</v>
      </c>
      <c r="C3925" s="31" t="s">
        <v>13590</v>
      </c>
      <c r="D3925" s="31" t="s">
        <v>4131</v>
      </c>
      <c r="E3925" s="61" t="b">
        <v>1</v>
      </c>
      <c r="F3925" s="106" t="s">
        <v>13591</v>
      </c>
      <c r="G3925" s="116" t="str">
        <f>HYPERLINK("http://nsgreg.nga.mil/genc/view?v=115873&amp;gencs=T&amp;end_month=3&amp;end_day=31&amp;end_year=2014","Kočevje")</f>
        <v>Kočevje</v>
      </c>
      <c r="H3925" s="87" t="str">
        <f>HYPERLINK("http://api.nsgreg.nga.mil/geo-division/ISO3166-2/6/ed3/SI-048","SI-048")</f>
        <v>SI-048</v>
      </c>
    </row>
    <row r="3926" spans="1:8" x14ac:dyDescent="0.2">
      <c r="A3926" s="157"/>
      <c r="B3926" s="31" t="s">
        <v>13592</v>
      </c>
      <c r="C3926" s="31" t="s">
        <v>13593</v>
      </c>
      <c r="D3926" s="31" t="s">
        <v>4131</v>
      </c>
      <c r="E3926" s="61" t="b">
        <v>1</v>
      </c>
      <c r="F3926" s="106" t="s">
        <v>13594</v>
      </c>
      <c r="G3926" s="116" t="str">
        <f>HYPERLINK("http://nsgreg.nga.mil/genc/view?v=115874&amp;gencs=T&amp;end_month=3&amp;end_day=31&amp;end_year=2014","Komen")</f>
        <v>Komen</v>
      </c>
      <c r="H3926" s="87" t="str">
        <f>HYPERLINK("http://api.nsgreg.nga.mil/geo-division/ISO3166-2/6/ed3/SI-049","SI-049")</f>
        <v>SI-049</v>
      </c>
    </row>
    <row r="3927" spans="1:8" x14ac:dyDescent="0.2">
      <c r="A3927" s="157"/>
      <c r="B3927" s="31" t="s">
        <v>13595</v>
      </c>
      <c r="C3927" s="31" t="s">
        <v>13596</v>
      </c>
      <c r="D3927" s="31" t="s">
        <v>4131</v>
      </c>
      <c r="E3927" s="61" t="b">
        <v>1</v>
      </c>
      <c r="F3927" s="106" t="s">
        <v>13597</v>
      </c>
      <c r="G3927" s="116" t="str">
        <f>HYPERLINK("http://nsgreg.nga.mil/genc/view?v=115988&amp;gencs=T&amp;end_month=3&amp;end_day=31&amp;end_year=2014","Komenda")</f>
        <v>Komenda</v>
      </c>
      <c r="H3927" s="87" t="str">
        <f>HYPERLINK("http://api.nsgreg.nga.mil/geo-division/ISO3166-2/6/ed3/SI-164","SI-164")</f>
        <v>SI-164</v>
      </c>
    </row>
    <row r="3928" spans="1:8" x14ac:dyDescent="0.2">
      <c r="A3928" s="157"/>
      <c r="B3928" s="31" t="s">
        <v>13598</v>
      </c>
      <c r="C3928" s="31" t="s">
        <v>13599</v>
      </c>
      <c r="D3928" s="31" t="s">
        <v>13600</v>
      </c>
      <c r="E3928" s="61" t="b">
        <v>1</v>
      </c>
      <c r="F3928" s="107" t="s">
        <v>13601</v>
      </c>
      <c r="G3928" s="116" t="str">
        <f>HYPERLINK("http://nsgreg.nga.mil/genc/view?v=203009&amp;end_month=3&amp;end_day=31&amp;end_year=2014","Koper")</f>
        <v>Koper</v>
      </c>
      <c r="H3928" s="87" t="str">
        <f>HYPERLINK("http://api.nsgreg.nga.mil/geo-division/GENC/6/ed2/SI-050","SI-050")</f>
        <v>SI-050</v>
      </c>
    </row>
    <row r="3929" spans="1:8" x14ac:dyDescent="0.2">
      <c r="A3929" s="157"/>
      <c r="B3929" s="31" t="s">
        <v>13602</v>
      </c>
      <c r="C3929" s="31" t="s">
        <v>13603</v>
      </c>
      <c r="D3929" s="31" t="s">
        <v>4131</v>
      </c>
      <c r="E3929" s="61" t="b">
        <v>1</v>
      </c>
      <c r="F3929" s="107" t="s">
        <v>13604</v>
      </c>
      <c r="G3929" s="116" t="str">
        <f>HYPERLINK("http://nsgreg.nga.mil/genc/view?v=204517&amp;end_month=3&amp;end_day=31&amp;end_year=2014","Kostanjevica na Krki")</f>
        <v>Kostanjevica na Krki</v>
      </c>
      <c r="H3929" s="87" t="str">
        <f>HYPERLINK("http://api.nsgreg.nga.mil/geo-division/GENC/6/ed2/SI-197","SI-197")</f>
        <v>SI-197</v>
      </c>
    </row>
    <row r="3930" spans="1:8" x14ac:dyDescent="0.2">
      <c r="A3930" s="157"/>
      <c r="B3930" s="31" t="s">
        <v>13605</v>
      </c>
      <c r="C3930" s="31" t="s">
        <v>13606</v>
      </c>
      <c r="D3930" s="31" t="s">
        <v>4131</v>
      </c>
      <c r="E3930" s="61" t="b">
        <v>1</v>
      </c>
      <c r="F3930" s="106" t="s">
        <v>13607</v>
      </c>
      <c r="G3930" s="116" t="str">
        <f>HYPERLINK("http://nsgreg.nga.mil/genc/view?v=115989&amp;gencs=T&amp;end_month=3&amp;end_day=31&amp;end_year=2014","Kostel")</f>
        <v>Kostel</v>
      </c>
      <c r="H3930" s="87" t="str">
        <f>HYPERLINK("http://api.nsgreg.nga.mil/geo-division/ISO3166-2/6/ed3/SI-165","SI-165")</f>
        <v>SI-165</v>
      </c>
    </row>
    <row r="3931" spans="1:8" x14ac:dyDescent="0.2">
      <c r="A3931" s="157"/>
      <c r="B3931" s="31" t="s">
        <v>13608</v>
      </c>
      <c r="C3931" s="31" t="s">
        <v>13609</v>
      </c>
      <c r="D3931" s="31" t="s">
        <v>4131</v>
      </c>
      <c r="E3931" s="61" t="b">
        <v>1</v>
      </c>
      <c r="F3931" s="106" t="s">
        <v>13610</v>
      </c>
      <c r="G3931" s="116" t="str">
        <f>HYPERLINK("http://nsgreg.nga.mil/genc/view?v=115876&amp;gencs=T&amp;end_month=3&amp;end_day=31&amp;end_year=2014","Kozje")</f>
        <v>Kozje</v>
      </c>
      <c r="H3931" s="87" t="str">
        <f>HYPERLINK("http://api.nsgreg.nga.mil/geo-division/ISO3166-2/6/ed3/SI-051","SI-051")</f>
        <v>SI-051</v>
      </c>
    </row>
    <row r="3932" spans="1:8" x14ac:dyDescent="0.2">
      <c r="A3932" s="157"/>
      <c r="B3932" s="31" t="s">
        <v>13611</v>
      </c>
      <c r="C3932" s="31" t="s">
        <v>13612</v>
      </c>
      <c r="D3932" s="31" t="s">
        <v>4131</v>
      </c>
      <c r="E3932" s="61" t="b">
        <v>1</v>
      </c>
      <c r="F3932" s="106" t="s">
        <v>13613</v>
      </c>
      <c r="G3932" s="116" t="str">
        <f>HYPERLINK("http://nsgreg.nga.mil/genc/view?v=115877&amp;gencs=T&amp;end_month=3&amp;end_day=31&amp;end_year=2014","Kranj")</f>
        <v>Kranj</v>
      </c>
      <c r="H3932" s="87" t="str">
        <f>HYPERLINK("http://api.nsgreg.nga.mil/geo-division/ISO3166-2/6/ed3/SI-052","SI-052")</f>
        <v>SI-052</v>
      </c>
    </row>
    <row r="3933" spans="1:8" x14ac:dyDescent="0.2">
      <c r="A3933" s="157"/>
      <c r="B3933" s="31" t="s">
        <v>13614</v>
      </c>
      <c r="C3933" s="31" t="s">
        <v>13615</v>
      </c>
      <c r="D3933" s="31" t="s">
        <v>4131</v>
      </c>
      <c r="E3933" s="61" t="b">
        <v>1</v>
      </c>
      <c r="F3933" s="106" t="s">
        <v>13616</v>
      </c>
      <c r="G3933" s="116" t="str">
        <f>HYPERLINK("http://nsgreg.nga.mil/genc/view?v=115878&amp;gencs=T&amp;end_month=3&amp;end_day=31&amp;end_year=2014","Kranjska Gora")</f>
        <v>Kranjska Gora</v>
      </c>
      <c r="H3933" s="87" t="str">
        <f>HYPERLINK("http://api.nsgreg.nga.mil/geo-division/ISO3166-2/6/ed3/SI-053","SI-053")</f>
        <v>SI-053</v>
      </c>
    </row>
    <row r="3934" spans="1:8" x14ac:dyDescent="0.2">
      <c r="A3934" s="157"/>
      <c r="B3934" s="31" t="s">
        <v>13617</v>
      </c>
      <c r="C3934" s="31" t="s">
        <v>13618</v>
      </c>
      <c r="D3934" s="31" t="s">
        <v>4131</v>
      </c>
      <c r="E3934" s="61" t="b">
        <v>1</v>
      </c>
      <c r="F3934" s="106" t="s">
        <v>13619</v>
      </c>
      <c r="G3934" s="116" t="str">
        <f>HYPERLINK("http://nsgreg.nga.mil/genc/view?v=115990&amp;gencs=T&amp;end_month=3&amp;end_day=31&amp;end_year=2014","Križevci")</f>
        <v>Križevci</v>
      </c>
      <c r="H3934" s="87" t="str">
        <f>HYPERLINK("http://api.nsgreg.nga.mil/geo-division/ISO3166-2/6/ed3/SI-166","SI-166")</f>
        <v>SI-166</v>
      </c>
    </row>
    <row r="3935" spans="1:8" x14ac:dyDescent="0.2">
      <c r="A3935" s="157"/>
      <c r="B3935" s="31" t="s">
        <v>13620</v>
      </c>
      <c r="C3935" s="31" t="s">
        <v>13621</v>
      </c>
      <c r="D3935" s="31" t="s">
        <v>4131</v>
      </c>
      <c r="E3935" s="61" t="b">
        <v>1</v>
      </c>
      <c r="F3935" s="106" t="s">
        <v>13622</v>
      </c>
      <c r="G3935" s="116" t="str">
        <f>HYPERLINK("http://nsgreg.nga.mil/genc/view?v=115879&amp;gencs=T&amp;end_month=3&amp;end_day=31&amp;end_year=2014","Krško")</f>
        <v>Krško</v>
      </c>
      <c r="H3935" s="87" t="str">
        <f>HYPERLINK("http://api.nsgreg.nga.mil/geo-division/ISO3166-2/6/ed3/SI-054","SI-054")</f>
        <v>SI-054</v>
      </c>
    </row>
    <row r="3936" spans="1:8" x14ac:dyDescent="0.2">
      <c r="A3936" s="157"/>
      <c r="B3936" s="31" t="s">
        <v>13623</v>
      </c>
      <c r="C3936" s="31" t="s">
        <v>13624</v>
      </c>
      <c r="D3936" s="31" t="s">
        <v>4131</v>
      </c>
      <c r="E3936" s="61" t="b">
        <v>1</v>
      </c>
      <c r="F3936" s="106" t="s">
        <v>13625</v>
      </c>
      <c r="G3936" s="116" t="str">
        <f>HYPERLINK("http://nsgreg.nga.mil/genc/view?v=115880&amp;gencs=T&amp;end_month=3&amp;end_day=31&amp;end_year=2014","Kungota")</f>
        <v>Kungota</v>
      </c>
      <c r="H3936" s="87" t="str">
        <f>HYPERLINK("http://api.nsgreg.nga.mil/geo-division/ISO3166-2/6/ed3/SI-055","SI-055")</f>
        <v>SI-055</v>
      </c>
    </row>
    <row r="3937" spans="1:8" x14ac:dyDescent="0.2">
      <c r="A3937" s="157"/>
      <c r="B3937" s="31" t="s">
        <v>13626</v>
      </c>
      <c r="C3937" s="31" t="s">
        <v>13627</v>
      </c>
      <c r="D3937" s="31" t="s">
        <v>4131</v>
      </c>
      <c r="E3937" s="61" t="b">
        <v>1</v>
      </c>
      <c r="F3937" s="106" t="s">
        <v>13628</v>
      </c>
      <c r="G3937" s="116" t="str">
        <f>HYPERLINK("http://nsgreg.nga.mil/genc/view?v=115881&amp;gencs=T&amp;end_month=3&amp;end_day=31&amp;end_year=2014","Kuzma")</f>
        <v>Kuzma</v>
      </c>
      <c r="H3937" s="87" t="str">
        <f>HYPERLINK("http://api.nsgreg.nga.mil/geo-division/ISO3166-2/6/ed3/SI-056","SI-056")</f>
        <v>SI-056</v>
      </c>
    </row>
    <row r="3938" spans="1:8" x14ac:dyDescent="0.2">
      <c r="A3938" s="157"/>
      <c r="B3938" s="31" t="s">
        <v>13629</v>
      </c>
      <c r="C3938" s="31" t="s">
        <v>13630</v>
      </c>
      <c r="D3938" s="31" t="s">
        <v>4131</v>
      </c>
      <c r="E3938" s="61" t="b">
        <v>1</v>
      </c>
      <c r="F3938" s="106" t="s">
        <v>13631</v>
      </c>
      <c r="G3938" s="116" t="str">
        <f>HYPERLINK("http://nsgreg.nga.mil/genc/view?v=115882&amp;gencs=T&amp;end_month=3&amp;end_day=31&amp;end_year=2014","Laško")</f>
        <v>Laško</v>
      </c>
      <c r="H3938" s="87" t="str">
        <f>HYPERLINK("http://api.nsgreg.nga.mil/geo-division/ISO3166-2/6/ed3/SI-057","SI-057")</f>
        <v>SI-057</v>
      </c>
    </row>
    <row r="3939" spans="1:8" x14ac:dyDescent="0.2">
      <c r="A3939" s="157"/>
      <c r="B3939" s="31" t="s">
        <v>13632</v>
      </c>
      <c r="C3939" s="31" t="s">
        <v>13633</v>
      </c>
      <c r="D3939" s="31" t="s">
        <v>4131</v>
      </c>
      <c r="E3939" s="61" t="b">
        <v>1</v>
      </c>
      <c r="F3939" s="106" t="s">
        <v>13634</v>
      </c>
      <c r="G3939" s="116" t="str">
        <f>HYPERLINK("http://nsgreg.nga.mil/genc/view?v=115883&amp;gencs=T&amp;end_month=3&amp;end_day=31&amp;end_year=2014","Lenart")</f>
        <v>Lenart</v>
      </c>
      <c r="H3939" s="87" t="str">
        <f>HYPERLINK("http://api.nsgreg.nga.mil/geo-division/ISO3166-2/6/ed3/SI-058","SI-058")</f>
        <v>SI-058</v>
      </c>
    </row>
    <row r="3940" spans="1:8" x14ac:dyDescent="0.2">
      <c r="A3940" s="157"/>
      <c r="B3940" s="31" t="s">
        <v>13635</v>
      </c>
      <c r="C3940" s="31" t="s">
        <v>13636</v>
      </c>
      <c r="D3940" s="31" t="s">
        <v>4131</v>
      </c>
      <c r="E3940" s="61" t="b">
        <v>1</v>
      </c>
      <c r="F3940" s="107" t="s">
        <v>13637</v>
      </c>
      <c r="G3940" s="116" t="str">
        <f>HYPERLINK("http://nsgreg.nga.mil/genc/view?v=203010&amp;end_month=3&amp;end_day=31&amp;end_year=2014","Lendava")</f>
        <v>Lendava</v>
      </c>
      <c r="H3940" s="87" t="str">
        <f>HYPERLINK("http://api.nsgreg.nga.mil/geo-division/GENC/6/ed2/SI-059","SI-059")</f>
        <v>SI-059</v>
      </c>
    </row>
    <row r="3941" spans="1:8" x14ac:dyDescent="0.2">
      <c r="A3941" s="157"/>
      <c r="B3941" s="31" t="s">
        <v>13638</v>
      </c>
      <c r="C3941" s="31" t="s">
        <v>13639</v>
      </c>
      <c r="D3941" s="31" t="s">
        <v>4131</v>
      </c>
      <c r="E3941" s="61" t="b">
        <v>1</v>
      </c>
      <c r="F3941" s="106" t="s">
        <v>13640</v>
      </c>
      <c r="G3941" s="116" t="str">
        <f>HYPERLINK("http://nsgreg.nga.mil/genc/view?v=115885&amp;gencs=T&amp;end_month=3&amp;end_day=31&amp;end_year=2014","Litija")</f>
        <v>Litija</v>
      </c>
      <c r="H3941" s="87" t="str">
        <f>HYPERLINK("http://api.nsgreg.nga.mil/geo-division/ISO3166-2/6/ed3/SI-060","SI-060")</f>
        <v>SI-060</v>
      </c>
    </row>
    <row r="3942" spans="1:8" x14ac:dyDescent="0.2">
      <c r="A3942" s="157"/>
      <c r="B3942" s="31" t="s">
        <v>13641</v>
      </c>
      <c r="C3942" s="31" t="s">
        <v>13642</v>
      </c>
      <c r="D3942" s="31" t="s">
        <v>13600</v>
      </c>
      <c r="E3942" s="61" t="b">
        <v>1</v>
      </c>
      <c r="F3942" s="107" t="s">
        <v>13643</v>
      </c>
      <c r="G3942" s="116" t="str">
        <f>HYPERLINK("http://nsgreg.nga.mil/genc/view?v=203011&amp;end_month=3&amp;end_day=31&amp;end_year=2014","Ljubljana")</f>
        <v>Ljubljana</v>
      </c>
      <c r="H3942" s="87" t="str">
        <f>HYPERLINK("http://api.nsgreg.nga.mil/geo-division/GENC/6/ed2/SI-061","SI-061")</f>
        <v>SI-061</v>
      </c>
    </row>
    <row r="3943" spans="1:8" x14ac:dyDescent="0.2">
      <c r="A3943" s="157"/>
      <c r="B3943" s="31" t="s">
        <v>13644</v>
      </c>
      <c r="C3943" s="31" t="s">
        <v>13645</v>
      </c>
      <c r="D3943" s="31" t="s">
        <v>4131</v>
      </c>
      <c r="E3943" s="61" t="b">
        <v>1</v>
      </c>
      <c r="F3943" s="106" t="s">
        <v>13646</v>
      </c>
      <c r="G3943" s="116" t="str">
        <f>HYPERLINK("http://nsgreg.nga.mil/genc/view?v=115887&amp;gencs=T&amp;end_month=3&amp;end_day=31&amp;end_year=2014","Ljubno")</f>
        <v>Ljubno</v>
      </c>
      <c r="H3943" s="87" t="str">
        <f>HYPERLINK("http://api.nsgreg.nga.mil/geo-division/ISO3166-2/6/ed3/SI-062","SI-062")</f>
        <v>SI-062</v>
      </c>
    </row>
    <row r="3944" spans="1:8" x14ac:dyDescent="0.2">
      <c r="A3944" s="157"/>
      <c r="B3944" s="31" t="s">
        <v>13647</v>
      </c>
      <c r="C3944" s="31" t="s">
        <v>13648</v>
      </c>
      <c r="D3944" s="31" t="s">
        <v>4131</v>
      </c>
      <c r="E3944" s="61" t="b">
        <v>1</v>
      </c>
      <c r="F3944" s="106" t="s">
        <v>13649</v>
      </c>
      <c r="G3944" s="116" t="str">
        <f>HYPERLINK("http://nsgreg.nga.mil/genc/view?v=115888&amp;gencs=T&amp;end_month=3&amp;end_day=31&amp;end_year=2014","Ljutomer")</f>
        <v>Ljutomer</v>
      </c>
      <c r="H3944" s="87" t="str">
        <f>HYPERLINK("http://api.nsgreg.nga.mil/geo-division/ISO3166-2/6/ed3/SI-063","SI-063")</f>
        <v>SI-063</v>
      </c>
    </row>
    <row r="3945" spans="1:8" x14ac:dyDescent="0.2">
      <c r="A3945" s="157"/>
      <c r="B3945" s="31" t="s">
        <v>13650</v>
      </c>
      <c r="C3945" s="31" t="s">
        <v>13651</v>
      </c>
      <c r="D3945" s="31" t="s">
        <v>4131</v>
      </c>
      <c r="E3945" s="61" t="b">
        <v>1</v>
      </c>
      <c r="F3945" s="106" t="s">
        <v>13652</v>
      </c>
      <c r="G3945" s="116" t="str">
        <f>HYPERLINK("http://nsgreg.nga.mil/genc/view?v=115889&amp;gencs=T&amp;end_month=3&amp;end_day=31&amp;end_year=2014","Logatec")</f>
        <v>Logatec</v>
      </c>
      <c r="H3945" s="87" t="str">
        <f>HYPERLINK("http://api.nsgreg.nga.mil/geo-division/ISO3166-2/6/ed3/SI-064","SI-064")</f>
        <v>SI-064</v>
      </c>
    </row>
    <row r="3946" spans="1:8" x14ac:dyDescent="0.2">
      <c r="A3946" s="157"/>
      <c r="B3946" s="31" t="s">
        <v>13653</v>
      </c>
      <c r="C3946" s="31" t="s">
        <v>13654</v>
      </c>
      <c r="D3946" s="31" t="s">
        <v>4131</v>
      </c>
      <c r="E3946" s="61" t="b">
        <v>1</v>
      </c>
      <c r="F3946" s="106" t="s">
        <v>13655</v>
      </c>
      <c r="G3946" s="116" t="str">
        <f>HYPERLINK("http://nsgreg.nga.mil/genc/view?v=116032&amp;gencs=T&amp;end_month=3&amp;end_day=31&amp;end_year=2014","Log-Dragomer")</f>
        <v>Log-Dragomer</v>
      </c>
      <c r="H3946" s="87" t="str">
        <f>HYPERLINK("http://api.nsgreg.nga.mil/geo-division/ISO3166-2/6/ed3/SI-208","SI-208")</f>
        <v>SI-208</v>
      </c>
    </row>
    <row r="3947" spans="1:8" x14ac:dyDescent="0.2">
      <c r="A3947" s="157"/>
      <c r="B3947" s="31" t="s">
        <v>13656</v>
      </c>
      <c r="C3947" s="31" t="s">
        <v>13657</v>
      </c>
      <c r="D3947" s="31" t="s">
        <v>4131</v>
      </c>
      <c r="E3947" s="61" t="b">
        <v>1</v>
      </c>
      <c r="F3947" s="106" t="s">
        <v>13658</v>
      </c>
      <c r="G3947" s="116" t="str">
        <f>HYPERLINK("http://nsgreg.nga.mil/genc/view?v=115890&amp;gencs=T&amp;end_month=3&amp;end_day=31&amp;end_year=2014","Loška Dolina")</f>
        <v>Loška Dolina</v>
      </c>
      <c r="H3947" s="87" t="str">
        <f>HYPERLINK("http://api.nsgreg.nga.mil/geo-division/ISO3166-2/6/ed3/SI-065","SI-065")</f>
        <v>SI-065</v>
      </c>
    </row>
    <row r="3948" spans="1:8" x14ac:dyDescent="0.2">
      <c r="A3948" s="157"/>
      <c r="B3948" s="31" t="s">
        <v>13659</v>
      </c>
      <c r="C3948" s="31" t="s">
        <v>13660</v>
      </c>
      <c r="D3948" s="31" t="s">
        <v>4131</v>
      </c>
      <c r="E3948" s="61" t="b">
        <v>1</v>
      </c>
      <c r="F3948" s="106" t="s">
        <v>13661</v>
      </c>
      <c r="G3948" s="116" t="str">
        <f>HYPERLINK("http://nsgreg.nga.mil/genc/view?v=115891&amp;gencs=T&amp;end_month=3&amp;end_day=31&amp;end_year=2014","Loški Potok")</f>
        <v>Loški Potok</v>
      </c>
      <c r="H3948" s="87" t="str">
        <f>HYPERLINK("http://api.nsgreg.nga.mil/geo-division/ISO3166-2/6/ed3/SI-066","SI-066")</f>
        <v>SI-066</v>
      </c>
    </row>
    <row r="3949" spans="1:8" x14ac:dyDescent="0.2">
      <c r="A3949" s="157"/>
      <c r="B3949" s="31" t="s">
        <v>13662</v>
      </c>
      <c r="C3949" s="31" t="s">
        <v>13663</v>
      </c>
      <c r="D3949" s="31" t="s">
        <v>4131</v>
      </c>
      <c r="E3949" s="61" t="b">
        <v>1</v>
      </c>
      <c r="F3949" s="106" t="s">
        <v>13664</v>
      </c>
      <c r="G3949" s="116" t="str">
        <f>HYPERLINK("http://nsgreg.nga.mil/genc/view?v=115991&amp;gencs=T&amp;end_month=3&amp;end_day=31&amp;end_year=2014","Lovrenc na Pohorju")</f>
        <v>Lovrenc na Pohorju</v>
      </c>
      <c r="H3949" s="87" t="str">
        <f>HYPERLINK("http://api.nsgreg.nga.mil/geo-division/ISO3166-2/6/ed3/SI-167","SI-167")</f>
        <v>SI-167</v>
      </c>
    </row>
    <row r="3950" spans="1:8" x14ac:dyDescent="0.2">
      <c r="A3950" s="157"/>
      <c r="B3950" s="31" t="s">
        <v>13665</v>
      </c>
      <c r="C3950" s="31" t="s">
        <v>13666</v>
      </c>
      <c r="D3950" s="31" t="s">
        <v>4131</v>
      </c>
      <c r="E3950" s="61" t="b">
        <v>1</v>
      </c>
      <c r="F3950" s="106" t="s">
        <v>13667</v>
      </c>
      <c r="G3950" s="116" t="str">
        <f>HYPERLINK("http://nsgreg.nga.mil/genc/view?v=115892&amp;gencs=T&amp;end_month=3&amp;end_day=31&amp;end_year=2014","Luče")</f>
        <v>Luče</v>
      </c>
      <c r="H3950" s="87" t="str">
        <f>HYPERLINK("http://api.nsgreg.nga.mil/geo-division/ISO3166-2/6/ed3/SI-067","SI-067")</f>
        <v>SI-067</v>
      </c>
    </row>
    <row r="3951" spans="1:8" x14ac:dyDescent="0.2">
      <c r="A3951" s="157"/>
      <c r="B3951" s="31" t="s">
        <v>13668</v>
      </c>
      <c r="C3951" s="31" t="s">
        <v>13669</v>
      </c>
      <c r="D3951" s="31" t="s">
        <v>4131</v>
      </c>
      <c r="E3951" s="61" t="b">
        <v>1</v>
      </c>
      <c r="F3951" s="106" t="s">
        <v>13670</v>
      </c>
      <c r="G3951" s="116" t="str">
        <f>HYPERLINK("http://nsgreg.nga.mil/genc/view?v=115893&amp;gencs=T&amp;end_month=3&amp;end_day=31&amp;end_year=2014","Lukovica")</f>
        <v>Lukovica</v>
      </c>
      <c r="H3951" s="87" t="str">
        <f>HYPERLINK("http://api.nsgreg.nga.mil/geo-division/ISO3166-2/6/ed3/SI-068","SI-068")</f>
        <v>SI-068</v>
      </c>
    </row>
    <row r="3952" spans="1:8" x14ac:dyDescent="0.2">
      <c r="A3952" s="157"/>
      <c r="B3952" s="31" t="s">
        <v>13671</v>
      </c>
      <c r="C3952" s="31" t="s">
        <v>13672</v>
      </c>
      <c r="D3952" s="31" t="s">
        <v>4131</v>
      </c>
      <c r="E3952" s="61" t="b">
        <v>1</v>
      </c>
      <c r="F3952" s="106" t="s">
        <v>13673</v>
      </c>
      <c r="G3952" s="116" t="str">
        <f>HYPERLINK("http://nsgreg.nga.mil/genc/view?v=115894&amp;gencs=T&amp;end_month=3&amp;end_day=31&amp;end_year=2014","Majšperk")</f>
        <v>Majšperk</v>
      </c>
      <c r="H3952" s="87" t="str">
        <f>HYPERLINK("http://api.nsgreg.nga.mil/geo-division/ISO3166-2/6/ed3/SI-069","SI-069")</f>
        <v>SI-069</v>
      </c>
    </row>
    <row r="3953" spans="1:8" x14ac:dyDescent="0.2">
      <c r="A3953" s="157"/>
      <c r="B3953" s="31" t="s">
        <v>13674</v>
      </c>
      <c r="C3953" s="31" t="s">
        <v>13675</v>
      </c>
      <c r="D3953" s="31" t="s">
        <v>4131</v>
      </c>
      <c r="E3953" s="61" t="b">
        <v>1</v>
      </c>
      <c r="F3953" s="106" t="s">
        <v>13676</v>
      </c>
      <c r="G3953" s="116" t="str">
        <f>HYPERLINK("http://nsgreg.nga.mil/genc/view?v=116022&amp;gencs=T&amp;end_month=3&amp;end_day=31&amp;end_year=2014","Makole")</f>
        <v>Makole</v>
      </c>
      <c r="H3953" s="87" t="str">
        <f>HYPERLINK("http://api.nsgreg.nga.mil/geo-division/ISO3166-2/6/ed3/SI-198","SI-198")</f>
        <v>SI-198</v>
      </c>
    </row>
    <row r="3954" spans="1:8" x14ac:dyDescent="0.2">
      <c r="A3954" s="157"/>
      <c r="B3954" s="31" t="s">
        <v>13677</v>
      </c>
      <c r="C3954" s="31" t="s">
        <v>13678</v>
      </c>
      <c r="D3954" s="31" t="s">
        <v>13600</v>
      </c>
      <c r="E3954" s="61" t="b">
        <v>1</v>
      </c>
      <c r="F3954" s="107" t="s">
        <v>13679</v>
      </c>
      <c r="G3954" s="116" t="str">
        <f>HYPERLINK("http://nsgreg.nga.mil/genc/view?v=203012&amp;end_month=3&amp;end_day=31&amp;end_year=2014","Maribor")</f>
        <v>Maribor</v>
      </c>
      <c r="H3954" s="87" t="str">
        <f>HYPERLINK("http://api.nsgreg.nga.mil/geo-division/GENC/6/ed2/SI-070","SI-070")</f>
        <v>SI-070</v>
      </c>
    </row>
    <row r="3955" spans="1:8" x14ac:dyDescent="0.2">
      <c r="A3955" s="157"/>
      <c r="B3955" s="31" t="s">
        <v>13680</v>
      </c>
      <c r="C3955" s="31" t="s">
        <v>13681</v>
      </c>
      <c r="D3955" s="31" t="s">
        <v>4131</v>
      </c>
      <c r="E3955" s="61" t="b">
        <v>1</v>
      </c>
      <c r="F3955" s="106" t="s">
        <v>13682</v>
      </c>
      <c r="G3955" s="116" t="str">
        <f>HYPERLINK("http://nsgreg.nga.mil/genc/view?v=115992&amp;gencs=T&amp;end_month=3&amp;end_day=31&amp;end_year=2014","Markovci")</f>
        <v>Markovci</v>
      </c>
      <c r="H3955" s="87" t="str">
        <f>HYPERLINK("http://api.nsgreg.nga.mil/geo-division/ISO3166-2/6/ed3/SI-168","SI-168")</f>
        <v>SI-168</v>
      </c>
    </row>
    <row r="3956" spans="1:8" x14ac:dyDescent="0.2">
      <c r="A3956" s="157"/>
      <c r="B3956" s="31" t="s">
        <v>13683</v>
      </c>
      <c r="C3956" s="31" t="s">
        <v>13684</v>
      </c>
      <c r="D3956" s="31" t="s">
        <v>4131</v>
      </c>
      <c r="E3956" s="61" t="b">
        <v>1</v>
      </c>
      <c r="F3956" s="106" t="s">
        <v>13685</v>
      </c>
      <c r="G3956" s="116" t="str">
        <f>HYPERLINK("http://nsgreg.nga.mil/genc/view?v=115896&amp;gencs=T&amp;end_month=3&amp;end_day=31&amp;end_year=2014","Medvode")</f>
        <v>Medvode</v>
      </c>
      <c r="H3956" s="87" t="str">
        <f>HYPERLINK("http://api.nsgreg.nga.mil/geo-division/ISO3166-2/6/ed3/SI-071","SI-071")</f>
        <v>SI-071</v>
      </c>
    </row>
    <row r="3957" spans="1:8" x14ac:dyDescent="0.2">
      <c r="A3957" s="157"/>
      <c r="B3957" s="31" t="s">
        <v>13686</v>
      </c>
      <c r="C3957" s="31" t="s">
        <v>13687</v>
      </c>
      <c r="D3957" s="31" t="s">
        <v>4131</v>
      </c>
      <c r="E3957" s="61" t="b">
        <v>1</v>
      </c>
      <c r="F3957" s="106" t="s">
        <v>13688</v>
      </c>
      <c r="G3957" s="116" t="str">
        <f>HYPERLINK("http://nsgreg.nga.mil/genc/view?v=115897&amp;gencs=T&amp;end_month=3&amp;end_day=31&amp;end_year=2014","Mengeš")</f>
        <v>Mengeš</v>
      </c>
      <c r="H3957" s="87" t="str">
        <f>HYPERLINK("http://api.nsgreg.nga.mil/geo-division/ISO3166-2/6/ed3/SI-072","SI-072")</f>
        <v>SI-072</v>
      </c>
    </row>
    <row r="3958" spans="1:8" x14ac:dyDescent="0.2">
      <c r="A3958" s="157"/>
      <c r="B3958" s="31" t="s">
        <v>13689</v>
      </c>
      <c r="C3958" s="31" t="s">
        <v>13690</v>
      </c>
      <c r="D3958" s="31" t="s">
        <v>4131</v>
      </c>
      <c r="E3958" s="61" t="b">
        <v>1</v>
      </c>
      <c r="F3958" s="106" t="s">
        <v>13691</v>
      </c>
      <c r="G3958" s="116" t="str">
        <f>HYPERLINK("http://nsgreg.nga.mil/genc/view?v=115898&amp;gencs=T&amp;end_month=3&amp;end_day=31&amp;end_year=2014","Metlika")</f>
        <v>Metlika</v>
      </c>
      <c r="H3958" s="87" t="str">
        <f>HYPERLINK("http://api.nsgreg.nga.mil/geo-division/ISO3166-2/6/ed3/SI-073","SI-073")</f>
        <v>SI-073</v>
      </c>
    </row>
    <row r="3959" spans="1:8" x14ac:dyDescent="0.2">
      <c r="A3959" s="157"/>
      <c r="B3959" s="31" t="s">
        <v>13692</v>
      </c>
      <c r="C3959" s="31" t="s">
        <v>13693</v>
      </c>
      <c r="D3959" s="31" t="s">
        <v>4131</v>
      </c>
      <c r="E3959" s="61" t="b">
        <v>1</v>
      </c>
      <c r="F3959" s="106" t="s">
        <v>13694</v>
      </c>
      <c r="G3959" s="116" t="str">
        <f>HYPERLINK("http://nsgreg.nga.mil/genc/view?v=115899&amp;gencs=T&amp;end_month=3&amp;end_day=31&amp;end_year=2014","Mežica")</f>
        <v>Mežica</v>
      </c>
      <c r="H3959" s="87" t="str">
        <f>HYPERLINK("http://api.nsgreg.nga.mil/geo-division/ISO3166-2/6/ed3/SI-074","SI-074")</f>
        <v>SI-074</v>
      </c>
    </row>
    <row r="3960" spans="1:8" x14ac:dyDescent="0.2">
      <c r="A3960" s="157"/>
      <c r="B3960" s="31" t="s">
        <v>13695</v>
      </c>
      <c r="C3960" s="31" t="s">
        <v>13696</v>
      </c>
      <c r="D3960" s="31" t="s">
        <v>4131</v>
      </c>
      <c r="E3960" s="61" t="b">
        <v>1</v>
      </c>
      <c r="F3960" s="106" t="s">
        <v>13697</v>
      </c>
      <c r="G3960" s="116" t="str">
        <f>HYPERLINK("http://nsgreg.nga.mil/genc/view?v=115993&amp;gencs=T&amp;end_month=3&amp;end_day=31&amp;end_year=2014","Miklavž na Dravskem Polju")</f>
        <v>Miklavž na Dravskem Polju</v>
      </c>
      <c r="H3960" s="87" t="str">
        <f>HYPERLINK("http://api.nsgreg.nga.mil/geo-division/ISO3166-2/6/ed3/SI-169","SI-169")</f>
        <v>SI-169</v>
      </c>
    </row>
    <row r="3961" spans="1:8" x14ac:dyDescent="0.2">
      <c r="A3961" s="157"/>
      <c r="B3961" s="31" t="s">
        <v>13698</v>
      </c>
      <c r="C3961" s="31" t="s">
        <v>13699</v>
      </c>
      <c r="D3961" s="31" t="s">
        <v>4131</v>
      </c>
      <c r="E3961" s="61" t="b">
        <v>1</v>
      </c>
      <c r="F3961" s="106" t="s">
        <v>13700</v>
      </c>
      <c r="G3961" s="116" t="str">
        <f>HYPERLINK("http://nsgreg.nga.mil/genc/view?v=115900&amp;gencs=T&amp;end_month=3&amp;end_day=31&amp;end_year=2014","Miren-Kostanjevica")</f>
        <v>Miren-Kostanjevica</v>
      </c>
      <c r="H3961" s="87" t="str">
        <f>HYPERLINK("http://api.nsgreg.nga.mil/geo-division/ISO3166-2/6/ed3/SI-075","SI-075")</f>
        <v>SI-075</v>
      </c>
    </row>
    <row r="3962" spans="1:8" x14ac:dyDescent="0.2">
      <c r="A3962" s="157"/>
      <c r="B3962" s="31" t="s">
        <v>13701</v>
      </c>
      <c r="C3962" s="31" t="s">
        <v>13702</v>
      </c>
      <c r="D3962" s="31" t="s">
        <v>4131</v>
      </c>
      <c r="E3962" s="61" t="b">
        <v>1</v>
      </c>
      <c r="F3962" s="107" t="s">
        <v>13703</v>
      </c>
      <c r="G3962" s="116" t="str">
        <f>HYPERLINK("http://nsgreg.nga.mil/genc/view?v=203022&amp;end_month=3&amp;end_day=31&amp;end_year=2014","Mirna")</f>
        <v>Mirna</v>
      </c>
      <c r="H3962" s="87" t="str">
        <f>HYPERLINK("http://api.nsgreg.nga.mil/geo-division/GENC/6/ed2/SI-212","SI-212")</f>
        <v>SI-212</v>
      </c>
    </row>
    <row r="3963" spans="1:8" x14ac:dyDescent="0.2">
      <c r="A3963" s="157"/>
      <c r="B3963" s="31" t="s">
        <v>13704</v>
      </c>
      <c r="C3963" s="31" t="s">
        <v>13705</v>
      </c>
      <c r="D3963" s="31" t="s">
        <v>4131</v>
      </c>
      <c r="E3963" s="61" t="b">
        <v>1</v>
      </c>
      <c r="F3963" s="106" t="s">
        <v>13706</v>
      </c>
      <c r="G3963" s="116" t="str">
        <f>HYPERLINK("http://nsgreg.nga.mil/genc/view?v=115994&amp;gencs=T&amp;end_month=3&amp;end_day=31&amp;end_year=2014","Mirna Peč")</f>
        <v>Mirna Peč</v>
      </c>
      <c r="H3963" s="87" t="str">
        <f>HYPERLINK("http://api.nsgreg.nga.mil/geo-division/ISO3166-2/6/ed3/SI-170","SI-170")</f>
        <v>SI-170</v>
      </c>
    </row>
    <row r="3964" spans="1:8" x14ac:dyDescent="0.2">
      <c r="A3964" s="157"/>
      <c r="B3964" s="31" t="s">
        <v>13707</v>
      </c>
      <c r="C3964" s="31" t="s">
        <v>13708</v>
      </c>
      <c r="D3964" s="31" t="s">
        <v>4131</v>
      </c>
      <c r="E3964" s="61" t="b">
        <v>1</v>
      </c>
      <c r="F3964" s="106" t="s">
        <v>13709</v>
      </c>
      <c r="G3964" s="116" t="str">
        <f>HYPERLINK("http://nsgreg.nga.mil/genc/view?v=115901&amp;gencs=T&amp;end_month=3&amp;end_day=31&amp;end_year=2014","Mislinja")</f>
        <v>Mislinja</v>
      </c>
      <c r="H3964" s="87" t="str">
        <f>HYPERLINK("http://api.nsgreg.nga.mil/geo-division/ISO3166-2/6/ed3/SI-076","SI-076")</f>
        <v>SI-076</v>
      </c>
    </row>
    <row r="3965" spans="1:8" x14ac:dyDescent="0.2">
      <c r="A3965" s="157"/>
      <c r="B3965" s="31" t="s">
        <v>13710</v>
      </c>
      <c r="C3965" s="31" t="s">
        <v>13711</v>
      </c>
      <c r="D3965" s="31" t="s">
        <v>4131</v>
      </c>
      <c r="E3965" s="61" t="b">
        <v>1</v>
      </c>
      <c r="F3965" s="106" t="s">
        <v>13712</v>
      </c>
      <c r="G3965" s="116" t="str">
        <f>HYPERLINK("http://nsgreg.nga.mil/genc/view?v=116023&amp;gencs=T&amp;end_month=3&amp;end_day=31&amp;end_year=2014","Mokronog-Trebelno")</f>
        <v>Mokronog-Trebelno</v>
      </c>
      <c r="H3965" s="87" t="str">
        <f>HYPERLINK("http://api.nsgreg.nga.mil/geo-division/ISO3166-2/6/ed3/SI-199","SI-199")</f>
        <v>SI-199</v>
      </c>
    </row>
    <row r="3966" spans="1:8" x14ac:dyDescent="0.2">
      <c r="A3966" s="157"/>
      <c r="B3966" s="31" t="s">
        <v>13713</v>
      </c>
      <c r="C3966" s="31" t="s">
        <v>13714</v>
      </c>
      <c r="D3966" s="31" t="s">
        <v>4131</v>
      </c>
      <c r="E3966" s="61" t="b">
        <v>1</v>
      </c>
      <c r="F3966" s="106" t="s">
        <v>13715</v>
      </c>
      <c r="G3966" s="116" t="str">
        <f>HYPERLINK("http://nsgreg.nga.mil/genc/view?v=115902&amp;gencs=T&amp;end_month=3&amp;end_day=31&amp;end_year=2014","Moravče")</f>
        <v>Moravče</v>
      </c>
      <c r="H3966" s="87" t="str">
        <f>HYPERLINK("http://api.nsgreg.nga.mil/geo-division/ISO3166-2/6/ed3/SI-077","SI-077")</f>
        <v>SI-077</v>
      </c>
    </row>
    <row r="3967" spans="1:8" x14ac:dyDescent="0.2">
      <c r="A3967" s="157"/>
      <c r="B3967" s="31" t="s">
        <v>13716</v>
      </c>
      <c r="C3967" s="31" t="s">
        <v>13717</v>
      </c>
      <c r="D3967" s="31" t="s">
        <v>4131</v>
      </c>
      <c r="E3967" s="61" t="b">
        <v>1</v>
      </c>
      <c r="F3967" s="106" t="s">
        <v>13718</v>
      </c>
      <c r="G3967" s="116" t="str">
        <f>HYPERLINK("http://nsgreg.nga.mil/genc/view?v=115903&amp;gencs=T&amp;end_month=3&amp;end_day=31&amp;end_year=2014","Moravske Toplice")</f>
        <v>Moravske Toplice</v>
      </c>
      <c r="H3967" s="87" t="str">
        <f>HYPERLINK("http://api.nsgreg.nga.mil/geo-division/ISO3166-2/6/ed3/SI-078","SI-078")</f>
        <v>SI-078</v>
      </c>
    </row>
    <row r="3968" spans="1:8" x14ac:dyDescent="0.2">
      <c r="A3968" s="157"/>
      <c r="B3968" s="31" t="s">
        <v>13719</v>
      </c>
      <c r="C3968" s="31" t="s">
        <v>13720</v>
      </c>
      <c r="D3968" s="31" t="s">
        <v>4131</v>
      </c>
      <c r="E3968" s="61" t="b">
        <v>1</v>
      </c>
      <c r="F3968" s="106" t="s">
        <v>13721</v>
      </c>
      <c r="G3968" s="116" t="str">
        <f>HYPERLINK("http://nsgreg.nga.mil/genc/view?v=115904&amp;gencs=T&amp;end_month=3&amp;end_day=31&amp;end_year=2014","Mozirje")</f>
        <v>Mozirje</v>
      </c>
      <c r="H3968" s="87" t="str">
        <f>HYPERLINK("http://api.nsgreg.nga.mil/geo-division/ISO3166-2/6/ed3/SI-079","SI-079")</f>
        <v>SI-079</v>
      </c>
    </row>
    <row r="3969" spans="1:8" x14ac:dyDescent="0.2">
      <c r="A3969" s="157"/>
      <c r="B3969" s="31" t="s">
        <v>13722</v>
      </c>
      <c r="C3969" s="31" t="s">
        <v>13723</v>
      </c>
      <c r="D3969" s="31" t="s">
        <v>13600</v>
      </c>
      <c r="E3969" s="61" t="b">
        <v>1</v>
      </c>
      <c r="F3969" s="107" t="s">
        <v>13724</v>
      </c>
      <c r="G3969" s="116" t="str">
        <f>HYPERLINK("http://nsgreg.nga.mil/genc/view?v=203013&amp;end_month=3&amp;end_day=31&amp;end_year=2014","Murska Sobota")</f>
        <v>Murska Sobota</v>
      </c>
      <c r="H3969" s="87" t="str">
        <f>HYPERLINK("http://api.nsgreg.nga.mil/geo-division/GENC/6/ed2/SI-080","SI-080")</f>
        <v>SI-080</v>
      </c>
    </row>
    <row r="3970" spans="1:8" x14ac:dyDescent="0.2">
      <c r="A3970" s="157"/>
      <c r="B3970" s="31" t="s">
        <v>13725</v>
      </c>
      <c r="C3970" s="31" t="s">
        <v>13726</v>
      </c>
      <c r="D3970" s="31" t="s">
        <v>4131</v>
      </c>
      <c r="E3970" s="61" t="b">
        <v>1</v>
      </c>
      <c r="F3970" s="106" t="s">
        <v>13727</v>
      </c>
      <c r="G3970" s="116" t="str">
        <f>HYPERLINK("http://nsgreg.nga.mil/genc/view?v=115906&amp;gencs=T&amp;end_month=3&amp;end_day=31&amp;end_year=2014","Muta")</f>
        <v>Muta</v>
      </c>
      <c r="H3970" s="87" t="str">
        <f>HYPERLINK("http://api.nsgreg.nga.mil/geo-division/ISO3166-2/6/ed3/SI-081","SI-081")</f>
        <v>SI-081</v>
      </c>
    </row>
    <row r="3971" spans="1:8" x14ac:dyDescent="0.2">
      <c r="A3971" s="157"/>
      <c r="B3971" s="31" t="s">
        <v>13728</v>
      </c>
      <c r="C3971" s="31" t="s">
        <v>13729</v>
      </c>
      <c r="D3971" s="31" t="s">
        <v>4131</v>
      </c>
      <c r="E3971" s="61" t="b">
        <v>1</v>
      </c>
      <c r="F3971" s="106" t="s">
        <v>13730</v>
      </c>
      <c r="G3971" s="116" t="str">
        <f>HYPERLINK("http://nsgreg.nga.mil/genc/view?v=115907&amp;gencs=T&amp;end_month=3&amp;end_day=31&amp;end_year=2014","Naklo")</f>
        <v>Naklo</v>
      </c>
      <c r="H3971" s="87" t="str">
        <f>HYPERLINK("http://api.nsgreg.nga.mil/geo-division/ISO3166-2/6/ed3/SI-082","SI-082")</f>
        <v>SI-082</v>
      </c>
    </row>
    <row r="3972" spans="1:8" x14ac:dyDescent="0.2">
      <c r="A3972" s="157"/>
      <c r="B3972" s="31" t="s">
        <v>13731</v>
      </c>
      <c r="C3972" s="31" t="s">
        <v>13732</v>
      </c>
      <c r="D3972" s="31" t="s">
        <v>4131</v>
      </c>
      <c r="E3972" s="61" t="b">
        <v>1</v>
      </c>
      <c r="F3972" s="106" t="s">
        <v>13733</v>
      </c>
      <c r="G3972" s="116" t="str">
        <f>HYPERLINK("http://nsgreg.nga.mil/genc/view?v=115908&amp;gencs=T&amp;end_month=3&amp;end_day=31&amp;end_year=2014","Nazarje")</f>
        <v>Nazarje</v>
      </c>
      <c r="H3972" s="87" t="str">
        <f>HYPERLINK("http://api.nsgreg.nga.mil/geo-division/ISO3166-2/6/ed3/SI-083","SI-083")</f>
        <v>SI-083</v>
      </c>
    </row>
    <row r="3973" spans="1:8" x14ac:dyDescent="0.2">
      <c r="A3973" s="157"/>
      <c r="B3973" s="31" t="s">
        <v>13734</v>
      </c>
      <c r="C3973" s="31" t="s">
        <v>13735</v>
      </c>
      <c r="D3973" s="31" t="s">
        <v>13600</v>
      </c>
      <c r="E3973" s="61" t="b">
        <v>1</v>
      </c>
      <c r="F3973" s="107" t="s">
        <v>13736</v>
      </c>
      <c r="G3973" s="116" t="str">
        <f>HYPERLINK("http://nsgreg.nga.mil/genc/view?v=203014&amp;end_month=3&amp;end_day=31&amp;end_year=2014","Nova Gorica")</f>
        <v>Nova Gorica</v>
      </c>
      <c r="H3973" s="87" t="str">
        <f>HYPERLINK("http://api.nsgreg.nga.mil/geo-division/GENC/6/ed2/SI-084","SI-084")</f>
        <v>SI-084</v>
      </c>
    </row>
    <row r="3974" spans="1:8" x14ac:dyDescent="0.2">
      <c r="A3974" s="157"/>
      <c r="B3974" s="31" t="s">
        <v>13737</v>
      </c>
      <c r="C3974" s="31" t="s">
        <v>13738</v>
      </c>
      <c r="D3974" s="31" t="s">
        <v>13600</v>
      </c>
      <c r="E3974" s="61" t="b">
        <v>1</v>
      </c>
      <c r="F3974" s="107" t="s">
        <v>13739</v>
      </c>
      <c r="G3974" s="116" t="str">
        <f>HYPERLINK("http://nsgreg.nga.mil/genc/view?v=203015&amp;end_month=3&amp;end_day=31&amp;end_year=2014","Novo Mesto")</f>
        <v>Novo Mesto</v>
      </c>
      <c r="H3974" s="87" t="str">
        <f>HYPERLINK("http://api.nsgreg.nga.mil/geo-division/GENC/6/ed2/SI-085","SI-085")</f>
        <v>SI-085</v>
      </c>
    </row>
    <row r="3975" spans="1:8" x14ac:dyDescent="0.2">
      <c r="A3975" s="157"/>
      <c r="B3975" s="31" t="s">
        <v>13740</v>
      </c>
      <c r="C3975" s="31" t="s">
        <v>13741</v>
      </c>
      <c r="D3975" s="31" t="s">
        <v>4131</v>
      </c>
      <c r="E3975" s="61" t="b">
        <v>1</v>
      </c>
      <c r="F3975" s="106" t="s">
        <v>13742</v>
      </c>
      <c r="G3975" s="116" t="str">
        <f>HYPERLINK("http://nsgreg.nga.mil/genc/view?v=115911&amp;gencs=T&amp;end_month=3&amp;end_day=31&amp;end_year=2014","Odranci")</f>
        <v>Odranci</v>
      </c>
      <c r="H3975" s="87" t="str">
        <f>HYPERLINK("http://api.nsgreg.nga.mil/geo-division/ISO3166-2/6/ed3/SI-086","SI-086")</f>
        <v>SI-086</v>
      </c>
    </row>
    <row r="3976" spans="1:8" x14ac:dyDescent="0.2">
      <c r="A3976" s="157"/>
      <c r="B3976" s="31" t="s">
        <v>13743</v>
      </c>
      <c r="C3976" s="31" t="s">
        <v>13744</v>
      </c>
      <c r="D3976" s="31" t="s">
        <v>4131</v>
      </c>
      <c r="E3976" s="61" t="b">
        <v>1</v>
      </c>
      <c r="F3976" s="106" t="s">
        <v>13745</v>
      </c>
      <c r="G3976" s="116" t="str">
        <f>HYPERLINK("http://nsgreg.nga.mil/genc/view?v=115995&amp;gencs=T&amp;end_month=3&amp;end_day=31&amp;end_year=2014","Oplotnica")</f>
        <v>Oplotnica</v>
      </c>
      <c r="H3976" s="87" t="str">
        <f>HYPERLINK("http://api.nsgreg.nga.mil/geo-division/ISO3166-2/6/ed3/SI-171","SI-171")</f>
        <v>SI-171</v>
      </c>
    </row>
    <row r="3977" spans="1:8" x14ac:dyDescent="0.2">
      <c r="A3977" s="157"/>
      <c r="B3977" s="31" t="s">
        <v>13746</v>
      </c>
      <c r="C3977" s="31" t="s">
        <v>13747</v>
      </c>
      <c r="D3977" s="31" t="s">
        <v>4131</v>
      </c>
      <c r="E3977" s="61" t="b">
        <v>1</v>
      </c>
      <c r="F3977" s="106" t="s">
        <v>13748</v>
      </c>
      <c r="G3977" s="116" t="str">
        <f>HYPERLINK("http://nsgreg.nga.mil/genc/view?v=115912&amp;gencs=T&amp;end_month=3&amp;end_day=31&amp;end_year=2014","Ormož")</f>
        <v>Ormož</v>
      </c>
      <c r="H3977" s="87" t="str">
        <f>HYPERLINK("http://api.nsgreg.nga.mil/geo-division/ISO3166-2/6/ed3/SI-087","SI-087")</f>
        <v>SI-087</v>
      </c>
    </row>
    <row r="3978" spans="1:8" x14ac:dyDescent="0.2">
      <c r="A3978" s="157"/>
      <c r="B3978" s="31" t="s">
        <v>13749</v>
      </c>
      <c r="C3978" s="31" t="s">
        <v>13750</v>
      </c>
      <c r="D3978" s="31" t="s">
        <v>4131</v>
      </c>
      <c r="E3978" s="61" t="b">
        <v>1</v>
      </c>
      <c r="F3978" s="106" t="s">
        <v>13751</v>
      </c>
      <c r="G3978" s="116" t="str">
        <f>HYPERLINK("http://nsgreg.nga.mil/genc/view?v=115913&amp;gencs=T&amp;end_month=3&amp;end_day=31&amp;end_year=2014","Osilnica")</f>
        <v>Osilnica</v>
      </c>
      <c r="H3978" s="87" t="str">
        <f>HYPERLINK("http://api.nsgreg.nga.mil/geo-division/ISO3166-2/6/ed3/SI-088","SI-088")</f>
        <v>SI-088</v>
      </c>
    </row>
    <row r="3979" spans="1:8" x14ac:dyDescent="0.2">
      <c r="A3979" s="157"/>
      <c r="B3979" s="31" t="s">
        <v>13752</v>
      </c>
      <c r="C3979" s="31" t="s">
        <v>13753</v>
      </c>
      <c r="D3979" s="31" t="s">
        <v>4131</v>
      </c>
      <c r="E3979" s="61" t="b">
        <v>1</v>
      </c>
      <c r="F3979" s="106" t="s">
        <v>13754</v>
      </c>
      <c r="G3979" s="116" t="str">
        <f>HYPERLINK("http://nsgreg.nga.mil/genc/view?v=115914&amp;gencs=T&amp;end_month=3&amp;end_day=31&amp;end_year=2014","Pesnica")</f>
        <v>Pesnica</v>
      </c>
      <c r="H3979" s="87" t="str">
        <f>HYPERLINK("http://api.nsgreg.nga.mil/geo-division/ISO3166-2/6/ed3/SI-089","SI-089")</f>
        <v>SI-089</v>
      </c>
    </row>
    <row r="3980" spans="1:8" x14ac:dyDescent="0.2">
      <c r="A3980" s="157"/>
      <c r="B3980" s="31" t="s">
        <v>13755</v>
      </c>
      <c r="C3980" s="31" t="s">
        <v>13756</v>
      </c>
      <c r="D3980" s="31" t="s">
        <v>4131</v>
      </c>
      <c r="E3980" s="61" t="b">
        <v>1</v>
      </c>
      <c r="F3980" s="107" t="s">
        <v>13757</v>
      </c>
      <c r="G3980" s="116" t="str">
        <f>HYPERLINK("http://nsgreg.nga.mil/genc/view?v=203016&amp;end_month=3&amp;end_day=31&amp;end_year=2014","Piran")</f>
        <v>Piran</v>
      </c>
      <c r="H3980" s="87" t="str">
        <f>HYPERLINK("http://api.nsgreg.nga.mil/geo-division/GENC/6/ed2/SI-090","SI-090")</f>
        <v>SI-090</v>
      </c>
    </row>
    <row r="3981" spans="1:8" x14ac:dyDescent="0.2">
      <c r="A3981" s="157"/>
      <c r="B3981" s="31" t="s">
        <v>13758</v>
      </c>
      <c r="C3981" s="31" t="s">
        <v>13759</v>
      </c>
      <c r="D3981" s="31" t="s">
        <v>4131</v>
      </c>
      <c r="E3981" s="61" t="b">
        <v>1</v>
      </c>
      <c r="F3981" s="106" t="s">
        <v>13760</v>
      </c>
      <c r="G3981" s="116" t="str">
        <f>HYPERLINK("http://nsgreg.nga.mil/genc/view?v=115916&amp;gencs=T&amp;end_month=3&amp;end_day=31&amp;end_year=2014","Pivka")</f>
        <v>Pivka</v>
      </c>
      <c r="H3981" s="87" t="str">
        <f>HYPERLINK("http://api.nsgreg.nga.mil/geo-division/ISO3166-2/6/ed3/SI-091","SI-091")</f>
        <v>SI-091</v>
      </c>
    </row>
    <row r="3982" spans="1:8" x14ac:dyDescent="0.2">
      <c r="A3982" s="157"/>
      <c r="B3982" s="31" t="s">
        <v>13761</v>
      </c>
      <c r="C3982" s="31" t="s">
        <v>13762</v>
      </c>
      <c r="D3982" s="31" t="s">
        <v>4131</v>
      </c>
      <c r="E3982" s="61" t="b">
        <v>1</v>
      </c>
      <c r="F3982" s="106" t="s">
        <v>13763</v>
      </c>
      <c r="G3982" s="116" t="str">
        <f>HYPERLINK("http://nsgreg.nga.mil/genc/view?v=115917&amp;gencs=T&amp;end_month=3&amp;end_day=31&amp;end_year=2014","Podčetrtek")</f>
        <v>Podčetrtek</v>
      </c>
      <c r="H3982" s="87" t="str">
        <f>HYPERLINK("http://api.nsgreg.nga.mil/geo-division/ISO3166-2/6/ed3/SI-092","SI-092")</f>
        <v>SI-092</v>
      </c>
    </row>
    <row r="3983" spans="1:8" x14ac:dyDescent="0.2">
      <c r="A3983" s="157"/>
      <c r="B3983" s="31" t="s">
        <v>13764</v>
      </c>
      <c r="C3983" s="31" t="s">
        <v>13765</v>
      </c>
      <c r="D3983" s="31" t="s">
        <v>4131</v>
      </c>
      <c r="E3983" s="61" t="b">
        <v>1</v>
      </c>
      <c r="F3983" s="106" t="s">
        <v>13766</v>
      </c>
      <c r="G3983" s="116" t="str">
        <f>HYPERLINK("http://nsgreg.nga.mil/genc/view?v=115996&amp;gencs=T&amp;end_month=3&amp;end_day=31&amp;end_year=2014","Podlehnik")</f>
        <v>Podlehnik</v>
      </c>
      <c r="H3983" s="87" t="str">
        <f>HYPERLINK("http://api.nsgreg.nga.mil/geo-division/ISO3166-2/6/ed3/SI-172","SI-172")</f>
        <v>SI-172</v>
      </c>
    </row>
    <row r="3984" spans="1:8" x14ac:dyDescent="0.2">
      <c r="A3984" s="157"/>
      <c r="B3984" s="31" t="s">
        <v>13767</v>
      </c>
      <c r="C3984" s="31" t="s">
        <v>13768</v>
      </c>
      <c r="D3984" s="31" t="s">
        <v>4131</v>
      </c>
      <c r="E3984" s="61" t="b">
        <v>1</v>
      </c>
      <c r="F3984" s="106" t="s">
        <v>13769</v>
      </c>
      <c r="G3984" s="116" t="str">
        <f>HYPERLINK("http://nsgreg.nga.mil/genc/view?v=115918&amp;gencs=T&amp;end_month=3&amp;end_day=31&amp;end_year=2014","Podvelka")</f>
        <v>Podvelka</v>
      </c>
      <c r="H3984" s="87" t="str">
        <f>HYPERLINK("http://api.nsgreg.nga.mil/geo-division/ISO3166-2/6/ed3/SI-093","SI-093")</f>
        <v>SI-093</v>
      </c>
    </row>
    <row r="3985" spans="1:8" x14ac:dyDescent="0.2">
      <c r="A3985" s="157"/>
      <c r="B3985" s="31" t="s">
        <v>13770</v>
      </c>
      <c r="C3985" s="31" t="s">
        <v>13771</v>
      </c>
      <c r="D3985" s="31" t="s">
        <v>4131</v>
      </c>
      <c r="E3985" s="61" t="b">
        <v>1</v>
      </c>
      <c r="F3985" s="106" t="s">
        <v>13772</v>
      </c>
      <c r="G3985" s="116" t="str">
        <f>HYPERLINK("http://nsgreg.nga.mil/genc/view?v=116024&amp;gencs=T&amp;end_month=3&amp;end_day=31&amp;end_year=2014","Poljčane")</f>
        <v>Poljčane</v>
      </c>
      <c r="H3985" s="87" t="str">
        <f>HYPERLINK("http://api.nsgreg.nga.mil/geo-division/ISO3166-2/6/ed3/SI-200","SI-200")</f>
        <v>SI-200</v>
      </c>
    </row>
    <row r="3986" spans="1:8" x14ac:dyDescent="0.2">
      <c r="A3986" s="157"/>
      <c r="B3986" s="31" t="s">
        <v>13773</v>
      </c>
      <c r="C3986" s="31" t="s">
        <v>13774</v>
      </c>
      <c r="D3986" s="31" t="s">
        <v>4131</v>
      </c>
      <c r="E3986" s="61" t="b">
        <v>1</v>
      </c>
      <c r="F3986" s="106" t="s">
        <v>13775</v>
      </c>
      <c r="G3986" s="116" t="str">
        <f>HYPERLINK("http://nsgreg.nga.mil/genc/view?v=115997&amp;gencs=T&amp;end_month=3&amp;end_day=31&amp;end_year=2014","Polzela")</f>
        <v>Polzela</v>
      </c>
      <c r="H3986" s="87" t="str">
        <f>HYPERLINK("http://api.nsgreg.nga.mil/geo-division/ISO3166-2/6/ed3/SI-173","SI-173")</f>
        <v>SI-173</v>
      </c>
    </row>
    <row r="3987" spans="1:8" x14ac:dyDescent="0.2">
      <c r="A3987" s="157"/>
      <c r="B3987" s="31" t="s">
        <v>13776</v>
      </c>
      <c r="C3987" s="31" t="s">
        <v>13777</v>
      </c>
      <c r="D3987" s="31" t="s">
        <v>4131</v>
      </c>
      <c r="E3987" s="61" t="b">
        <v>1</v>
      </c>
      <c r="F3987" s="106" t="s">
        <v>13778</v>
      </c>
      <c r="G3987" s="116" t="str">
        <f>HYPERLINK("http://nsgreg.nga.mil/genc/view?v=115919&amp;gencs=T&amp;end_month=3&amp;end_day=31&amp;end_year=2014","Postojna")</f>
        <v>Postojna</v>
      </c>
      <c r="H3987" s="87" t="str">
        <f>HYPERLINK("http://api.nsgreg.nga.mil/geo-division/ISO3166-2/6/ed3/SI-094","SI-094")</f>
        <v>SI-094</v>
      </c>
    </row>
    <row r="3988" spans="1:8" x14ac:dyDescent="0.2">
      <c r="A3988" s="157"/>
      <c r="B3988" s="31" t="s">
        <v>13779</v>
      </c>
      <c r="C3988" s="31" t="s">
        <v>13780</v>
      </c>
      <c r="D3988" s="31" t="s">
        <v>4131</v>
      </c>
      <c r="E3988" s="61" t="b">
        <v>1</v>
      </c>
      <c r="F3988" s="106" t="s">
        <v>13781</v>
      </c>
      <c r="G3988" s="116" t="str">
        <f>HYPERLINK("http://nsgreg.nga.mil/genc/view?v=115998&amp;gencs=T&amp;end_month=3&amp;end_day=31&amp;end_year=2014","Prebold")</f>
        <v>Prebold</v>
      </c>
      <c r="H3988" s="87" t="str">
        <f>HYPERLINK("http://api.nsgreg.nga.mil/geo-division/ISO3166-2/6/ed3/SI-174","SI-174")</f>
        <v>SI-174</v>
      </c>
    </row>
    <row r="3989" spans="1:8" x14ac:dyDescent="0.2">
      <c r="A3989" s="157"/>
      <c r="B3989" s="31" t="s">
        <v>13782</v>
      </c>
      <c r="C3989" s="31" t="s">
        <v>13783</v>
      </c>
      <c r="D3989" s="31" t="s">
        <v>4131</v>
      </c>
      <c r="E3989" s="61" t="b">
        <v>1</v>
      </c>
      <c r="F3989" s="106" t="s">
        <v>13784</v>
      </c>
      <c r="G3989" s="116" t="str">
        <f>HYPERLINK("http://nsgreg.nga.mil/genc/view?v=115920&amp;gencs=T&amp;end_month=3&amp;end_day=31&amp;end_year=2014","Preddvor")</f>
        <v>Preddvor</v>
      </c>
      <c r="H3989" s="87" t="str">
        <f>HYPERLINK("http://api.nsgreg.nga.mil/geo-division/ISO3166-2/6/ed3/SI-095","SI-095")</f>
        <v>SI-095</v>
      </c>
    </row>
    <row r="3990" spans="1:8" x14ac:dyDescent="0.2">
      <c r="A3990" s="157"/>
      <c r="B3990" s="31" t="s">
        <v>13785</v>
      </c>
      <c r="C3990" s="31" t="s">
        <v>13786</v>
      </c>
      <c r="D3990" s="31" t="s">
        <v>4131</v>
      </c>
      <c r="E3990" s="61" t="b">
        <v>1</v>
      </c>
      <c r="F3990" s="106" t="s">
        <v>13787</v>
      </c>
      <c r="G3990" s="116" t="str">
        <f>HYPERLINK("http://nsgreg.nga.mil/genc/view?v=115999&amp;gencs=T&amp;end_month=3&amp;end_day=31&amp;end_year=2014","Prevalje")</f>
        <v>Prevalje</v>
      </c>
      <c r="H3990" s="87" t="str">
        <f>HYPERLINK("http://api.nsgreg.nga.mil/geo-division/ISO3166-2/6/ed3/SI-175","SI-175")</f>
        <v>SI-175</v>
      </c>
    </row>
    <row r="3991" spans="1:8" x14ac:dyDescent="0.2">
      <c r="A3991" s="157"/>
      <c r="B3991" s="31" t="s">
        <v>13788</v>
      </c>
      <c r="C3991" s="31" t="s">
        <v>13789</v>
      </c>
      <c r="D3991" s="31" t="s">
        <v>13600</v>
      </c>
      <c r="E3991" s="61" t="b">
        <v>1</v>
      </c>
      <c r="F3991" s="107" t="s">
        <v>13790</v>
      </c>
      <c r="G3991" s="116" t="str">
        <f>HYPERLINK("http://nsgreg.nga.mil/genc/view?v=203017&amp;end_month=3&amp;end_day=31&amp;end_year=2014","Ptuj")</f>
        <v>Ptuj</v>
      </c>
      <c r="H3991" s="87" t="str">
        <f>HYPERLINK("http://api.nsgreg.nga.mil/geo-division/GENC/6/ed2/SI-096","SI-096")</f>
        <v>SI-096</v>
      </c>
    </row>
    <row r="3992" spans="1:8" x14ac:dyDescent="0.2">
      <c r="A3992" s="157"/>
      <c r="B3992" s="31" t="s">
        <v>13791</v>
      </c>
      <c r="C3992" s="31" t="s">
        <v>13792</v>
      </c>
      <c r="D3992" s="31" t="s">
        <v>4131</v>
      </c>
      <c r="E3992" s="61" t="b">
        <v>1</v>
      </c>
      <c r="F3992" s="106" t="s">
        <v>13793</v>
      </c>
      <c r="G3992" s="116" t="str">
        <f>HYPERLINK("http://nsgreg.nga.mil/genc/view?v=115922&amp;gencs=T&amp;end_month=3&amp;end_day=31&amp;end_year=2014","Puconci")</f>
        <v>Puconci</v>
      </c>
      <c r="H3992" s="87" t="str">
        <f>HYPERLINK("http://api.nsgreg.nga.mil/geo-division/ISO3166-2/6/ed3/SI-097","SI-097")</f>
        <v>SI-097</v>
      </c>
    </row>
    <row r="3993" spans="1:8" x14ac:dyDescent="0.2">
      <c r="A3993" s="157"/>
      <c r="B3993" s="31" t="s">
        <v>13794</v>
      </c>
      <c r="C3993" s="31" t="s">
        <v>13795</v>
      </c>
      <c r="D3993" s="31" t="s">
        <v>4131</v>
      </c>
      <c r="E3993" s="61" t="b">
        <v>1</v>
      </c>
      <c r="F3993" s="106" t="s">
        <v>13796</v>
      </c>
      <c r="G3993" s="116" t="str">
        <f>HYPERLINK("http://nsgreg.nga.mil/genc/view?v=115923&amp;gencs=T&amp;end_month=3&amp;end_day=31&amp;end_year=2014","Rače-Fram")</f>
        <v>Rače-Fram</v>
      </c>
      <c r="H3993" s="87" t="str">
        <f>HYPERLINK("http://api.nsgreg.nga.mil/geo-division/ISO3166-2/6/ed3/SI-098","SI-098")</f>
        <v>SI-098</v>
      </c>
    </row>
    <row r="3994" spans="1:8" x14ac:dyDescent="0.2">
      <c r="A3994" s="157"/>
      <c r="B3994" s="31" t="s">
        <v>13797</v>
      </c>
      <c r="C3994" s="31" t="s">
        <v>13798</v>
      </c>
      <c r="D3994" s="31" t="s">
        <v>4131</v>
      </c>
      <c r="E3994" s="61" t="b">
        <v>1</v>
      </c>
      <c r="F3994" s="106" t="s">
        <v>13799</v>
      </c>
      <c r="G3994" s="116" t="str">
        <f>HYPERLINK("http://nsgreg.nga.mil/genc/view?v=115924&amp;gencs=T&amp;end_month=3&amp;end_day=31&amp;end_year=2014","Radeče")</f>
        <v>Radeče</v>
      </c>
      <c r="H3994" s="87" t="str">
        <f>HYPERLINK("http://api.nsgreg.nga.mil/geo-division/ISO3166-2/6/ed3/SI-099","SI-099")</f>
        <v>SI-099</v>
      </c>
    </row>
    <row r="3995" spans="1:8" x14ac:dyDescent="0.2">
      <c r="A3995" s="157"/>
      <c r="B3995" s="31" t="s">
        <v>13800</v>
      </c>
      <c r="C3995" s="31" t="s">
        <v>13801</v>
      </c>
      <c r="D3995" s="31" t="s">
        <v>4131</v>
      </c>
      <c r="E3995" s="61" t="b">
        <v>1</v>
      </c>
      <c r="F3995" s="106" t="s">
        <v>13802</v>
      </c>
      <c r="G3995" s="116" t="str">
        <f>HYPERLINK("http://nsgreg.nga.mil/genc/view?v=115925&amp;gencs=T&amp;end_month=3&amp;end_day=31&amp;end_year=2014","Radenci")</f>
        <v>Radenci</v>
      </c>
      <c r="H3995" s="87" t="str">
        <f>HYPERLINK("http://api.nsgreg.nga.mil/geo-division/ISO3166-2/6/ed3/SI-100","SI-100")</f>
        <v>SI-100</v>
      </c>
    </row>
    <row r="3996" spans="1:8" x14ac:dyDescent="0.2">
      <c r="A3996" s="157"/>
      <c r="B3996" s="31" t="s">
        <v>13803</v>
      </c>
      <c r="C3996" s="31" t="s">
        <v>13804</v>
      </c>
      <c r="D3996" s="31" t="s">
        <v>4131</v>
      </c>
      <c r="E3996" s="61" t="b">
        <v>1</v>
      </c>
      <c r="F3996" s="106" t="s">
        <v>13805</v>
      </c>
      <c r="G3996" s="116" t="str">
        <f>HYPERLINK("http://nsgreg.nga.mil/genc/view?v=115926&amp;gencs=T&amp;end_month=3&amp;end_day=31&amp;end_year=2014","Radlje ob Dravi")</f>
        <v>Radlje ob Dravi</v>
      </c>
      <c r="H3996" s="87" t="str">
        <f>HYPERLINK("http://api.nsgreg.nga.mil/geo-division/ISO3166-2/6/ed3/SI-101","SI-101")</f>
        <v>SI-101</v>
      </c>
    </row>
    <row r="3997" spans="1:8" x14ac:dyDescent="0.2">
      <c r="A3997" s="157"/>
      <c r="B3997" s="31" t="s">
        <v>13806</v>
      </c>
      <c r="C3997" s="31" t="s">
        <v>13807</v>
      </c>
      <c r="D3997" s="31" t="s">
        <v>4131</v>
      </c>
      <c r="E3997" s="61" t="b">
        <v>1</v>
      </c>
      <c r="F3997" s="106" t="s">
        <v>13808</v>
      </c>
      <c r="G3997" s="116" t="str">
        <f>HYPERLINK("http://nsgreg.nga.mil/genc/view?v=115927&amp;gencs=T&amp;end_month=3&amp;end_day=31&amp;end_year=2014","Radovljica")</f>
        <v>Radovljica</v>
      </c>
      <c r="H3997" s="87" t="str">
        <f>HYPERLINK("http://api.nsgreg.nga.mil/geo-division/ISO3166-2/6/ed3/SI-102","SI-102")</f>
        <v>SI-102</v>
      </c>
    </row>
    <row r="3998" spans="1:8" x14ac:dyDescent="0.2">
      <c r="A3998" s="157"/>
      <c r="B3998" s="31" t="s">
        <v>13809</v>
      </c>
      <c r="C3998" s="31" t="s">
        <v>13810</v>
      </c>
      <c r="D3998" s="31" t="s">
        <v>4131</v>
      </c>
      <c r="E3998" s="61" t="b">
        <v>1</v>
      </c>
      <c r="F3998" s="106" t="s">
        <v>13811</v>
      </c>
      <c r="G3998" s="116" t="str">
        <f>HYPERLINK("http://nsgreg.nga.mil/genc/view?v=115928&amp;gencs=T&amp;end_month=3&amp;end_day=31&amp;end_year=2014","Ravne na Koroškem")</f>
        <v>Ravne na Koroškem</v>
      </c>
      <c r="H3998" s="87" t="str">
        <f>HYPERLINK("http://api.nsgreg.nga.mil/geo-division/ISO3166-2/6/ed3/SI-103","SI-103")</f>
        <v>SI-103</v>
      </c>
    </row>
    <row r="3999" spans="1:8" x14ac:dyDescent="0.2">
      <c r="A3999" s="157"/>
      <c r="B3999" s="31" t="s">
        <v>13812</v>
      </c>
      <c r="C3999" s="31" t="s">
        <v>13813</v>
      </c>
      <c r="D3999" s="31" t="s">
        <v>4131</v>
      </c>
      <c r="E3999" s="61" t="b">
        <v>1</v>
      </c>
      <c r="F3999" s="106" t="s">
        <v>13814</v>
      </c>
      <c r="G3999" s="116" t="str">
        <f>HYPERLINK("http://nsgreg.nga.mil/genc/view?v=116000&amp;gencs=T&amp;end_month=3&amp;end_day=31&amp;end_year=2014","Razkrižje")</f>
        <v>Razkrižje</v>
      </c>
      <c r="H3999" s="87" t="str">
        <f>HYPERLINK("http://api.nsgreg.nga.mil/geo-division/ISO3166-2/6/ed3/SI-176","SI-176")</f>
        <v>SI-176</v>
      </c>
    </row>
    <row r="4000" spans="1:8" x14ac:dyDescent="0.2">
      <c r="A4000" s="157"/>
      <c r="B4000" s="31" t="s">
        <v>13815</v>
      </c>
      <c r="C4000" s="31" t="s">
        <v>13816</v>
      </c>
      <c r="D4000" s="31" t="s">
        <v>4131</v>
      </c>
      <c r="E4000" s="61" t="b">
        <v>1</v>
      </c>
      <c r="F4000" s="106" t="s">
        <v>13817</v>
      </c>
      <c r="G4000" s="116" t="str">
        <f>HYPERLINK("http://nsgreg.nga.mil/genc/view?v=116033&amp;gencs=T&amp;end_month=3&amp;end_day=31&amp;end_year=2014","Rečica ob Savinji")</f>
        <v>Rečica ob Savinji</v>
      </c>
      <c r="H4000" s="87" t="str">
        <f>HYPERLINK("http://api.nsgreg.nga.mil/geo-division/ISO3166-2/6/ed3/SI-209","SI-209")</f>
        <v>SI-209</v>
      </c>
    </row>
    <row r="4001" spans="1:8" x14ac:dyDescent="0.2">
      <c r="A4001" s="157"/>
      <c r="B4001" s="31" t="s">
        <v>13818</v>
      </c>
      <c r="C4001" s="31" t="s">
        <v>13819</v>
      </c>
      <c r="D4001" s="31" t="s">
        <v>4131</v>
      </c>
      <c r="E4001" s="61" t="b">
        <v>1</v>
      </c>
      <c r="F4001" s="106" t="s">
        <v>13820</v>
      </c>
      <c r="G4001" s="116" t="str">
        <f>HYPERLINK("http://nsgreg.nga.mil/genc/view?v=116025&amp;gencs=T&amp;end_month=3&amp;end_day=31&amp;end_year=2014","Renče-Vogrsko")</f>
        <v>Renče-Vogrsko</v>
      </c>
      <c r="H4001" s="87" t="str">
        <f>HYPERLINK("http://api.nsgreg.nga.mil/geo-division/ISO3166-2/6/ed3/SI-201","SI-201")</f>
        <v>SI-201</v>
      </c>
    </row>
    <row r="4002" spans="1:8" x14ac:dyDescent="0.2">
      <c r="A4002" s="157"/>
      <c r="B4002" s="31" t="s">
        <v>13821</v>
      </c>
      <c r="C4002" s="31" t="s">
        <v>13822</v>
      </c>
      <c r="D4002" s="31" t="s">
        <v>4131</v>
      </c>
      <c r="E4002" s="61" t="b">
        <v>1</v>
      </c>
      <c r="F4002" s="106" t="s">
        <v>13823</v>
      </c>
      <c r="G4002" s="116" t="str">
        <f>HYPERLINK("http://nsgreg.nga.mil/genc/view?v=115929&amp;gencs=T&amp;end_month=3&amp;end_day=31&amp;end_year=2014","Ribnica")</f>
        <v>Ribnica</v>
      </c>
      <c r="H4002" s="87" t="str">
        <f>HYPERLINK("http://api.nsgreg.nga.mil/geo-division/ISO3166-2/6/ed3/SI-104","SI-104")</f>
        <v>SI-104</v>
      </c>
    </row>
    <row r="4003" spans="1:8" x14ac:dyDescent="0.2">
      <c r="A4003" s="157"/>
      <c r="B4003" s="31" t="s">
        <v>13824</v>
      </c>
      <c r="C4003" s="31" t="s">
        <v>13825</v>
      </c>
      <c r="D4003" s="31" t="s">
        <v>4131</v>
      </c>
      <c r="E4003" s="61" t="b">
        <v>1</v>
      </c>
      <c r="F4003" s="106" t="s">
        <v>13826</v>
      </c>
      <c r="G4003" s="116" t="str">
        <f>HYPERLINK("http://nsgreg.nga.mil/genc/view?v=116001&amp;gencs=T&amp;end_month=3&amp;end_day=31&amp;end_year=2014","Ribnica na Pohorju")</f>
        <v>Ribnica na Pohorju</v>
      </c>
      <c r="H4003" s="87" t="str">
        <f>HYPERLINK("http://api.nsgreg.nga.mil/geo-division/ISO3166-2/6/ed3/SI-177","SI-177")</f>
        <v>SI-177</v>
      </c>
    </row>
    <row r="4004" spans="1:8" x14ac:dyDescent="0.2">
      <c r="A4004" s="157"/>
      <c r="B4004" s="31" t="s">
        <v>13827</v>
      </c>
      <c r="C4004" s="31" t="s">
        <v>13828</v>
      </c>
      <c r="D4004" s="31" t="s">
        <v>4131</v>
      </c>
      <c r="E4004" s="61" t="b">
        <v>1</v>
      </c>
      <c r="F4004" s="106" t="s">
        <v>13829</v>
      </c>
      <c r="G4004" s="116" t="str">
        <f>HYPERLINK("http://nsgreg.nga.mil/genc/view?v=115931&amp;gencs=T&amp;end_month=3&amp;end_day=31&amp;end_year=2014","Rogaška Slatina")</f>
        <v>Rogaška Slatina</v>
      </c>
      <c r="H4004" s="87" t="str">
        <f>HYPERLINK("http://api.nsgreg.nga.mil/geo-division/ISO3166-2/6/ed3/SI-106","SI-106")</f>
        <v>SI-106</v>
      </c>
    </row>
    <row r="4005" spans="1:8" x14ac:dyDescent="0.2">
      <c r="A4005" s="157"/>
      <c r="B4005" s="31" t="s">
        <v>13830</v>
      </c>
      <c r="C4005" s="31" t="s">
        <v>13831</v>
      </c>
      <c r="D4005" s="31" t="s">
        <v>4131</v>
      </c>
      <c r="E4005" s="61" t="b">
        <v>1</v>
      </c>
      <c r="F4005" s="106" t="s">
        <v>13832</v>
      </c>
      <c r="G4005" s="116" t="str">
        <f>HYPERLINK("http://nsgreg.nga.mil/genc/view?v=115930&amp;gencs=T&amp;end_month=3&amp;end_day=31&amp;end_year=2014","Rogašovci")</f>
        <v>Rogašovci</v>
      </c>
      <c r="H4005" s="87" t="str">
        <f>HYPERLINK("http://api.nsgreg.nga.mil/geo-division/ISO3166-2/6/ed3/SI-105","SI-105")</f>
        <v>SI-105</v>
      </c>
    </row>
    <row r="4006" spans="1:8" x14ac:dyDescent="0.2">
      <c r="A4006" s="157"/>
      <c r="B4006" s="31" t="s">
        <v>13833</v>
      </c>
      <c r="C4006" s="31" t="s">
        <v>13834</v>
      </c>
      <c r="D4006" s="31" t="s">
        <v>4131</v>
      </c>
      <c r="E4006" s="61" t="b">
        <v>1</v>
      </c>
      <c r="F4006" s="106" t="s">
        <v>13835</v>
      </c>
      <c r="G4006" s="116" t="str">
        <f>HYPERLINK("http://nsgreg.nga.mil/genc/view?v=115932&amp;gencs=T&amp;end_month=3&amp;end_day=31&amp;end_year=2014","Rogatec")</f>
        <v>Rogatec</v>
      </c>
      <c r="H4006" s="87" t="str">
        <f>HYPERLINK("http://api.nsgreg.nga.mil/geo-division/ISO3166-2/6/ed3/SI-107","SI-107")</f>
        <v>SI-107</v>
      </c>
    </row>
    <row r="4007" spans="1:8" x14ac:dyDescent="0.2">
      <c r="A4007" s="157"/>
      <c r="B4007" s="31" t="s">
        <v>13836</v>
      </c>
      <c r="C4007" s="31" t="s">
        <v>13837</v>
      </c>
      <c r="D4007" s="31" t="s">
        <v>4131</v>
      </c>
      <c r="E4007" s="61" t="b">
        <v>1</v>
      </c>
      <c r="F4007" s="106" t="s">
        <v>13838</v>
      </c>
      <c r="G4007" s="116" t="str">
        <f>HYPERLINK("http://nsgreg.nga.mil/genc/view?v=115933&amp;gencs=T&amp;end_month=3&amp;end_day=31&amp;end_year=2014","Ruše")</f>
        <v>Ruše</v>
      </c>
      <c r="H4007" s="87" t="str">
        <f>HYPERLINK("http://api.nsgreg.nga.mil/geo-division/ISO3166-2/6/ed3/SI-108","SI-108")</f>
        <v>SI-108</v>
      </c>
    </row>
    <row r="4008" spans="1:8" x14ac:dyDescent="0.2">
      <c r="A4008" s="157"/>
      <c r="B4008" s="31" t="s">
        <v>13839</v>
      </c>
      <c r="C4008" s="31" t="s">
        <v>13840</v>
      </c>
      <c r="D4008" s="31" t="s">
        <v>4131</v>
      </c>
      <c r="E4008" s="61" t="b">
        <v>1</v>
      </c>
      <c r="F4008" s="106" t="s">
        <v>13841</v>
      </c>
      <c r="G4008" s="116" t="str">
        <f>HYPERLINK("http://nsgreg.nga.mil/genc/view?v=115858&amp;gencs=T&amp;end_month=3&amp;end_day=31&amp;end_year=2014","Šalovci")</f>
        <v>Šalovci</v>
      </c>
      <c r="H4008" s="87" t="str">
        <f>HYPERLINK("http://api.nsgreg.nga.mil/geo-division/ISO3166-2/6/ed3/SI-033","SI-033")</f>
        <v>SI-033</v>
      </c>
    </row>
    <row r="4009" spans="1:8" x14ac:dyDescent="0.2">
      <c r="A4009" s="157"/>
      <c r="B4009" s="31" t="s">
        <v>13842</v>
      </c>
      <c r="C4009" s="31" t="s">
        <v>13843</v>
      </c>
      <c r="D4009" s="31" t="s">
        <v>4131</v>
      </c>
      <c r="E4009" s="61" t="b">
        <v>1</v>
      </c>
      <c r="F4009" s="106" t="s">
        <v>13844</v>
      </c>
      <c r="G4009" s="116" t="str">
        <f>HYPERLINK("http://nsgreg.nga.mil/genc/view?v=116002&amp;gencs=T&amp;end_month=3&amp;end_day=31&amp;end_year=2014","Selnica ob Dravi")</f>
        <v>Selnica ob Dravi</v>
      </c>
      <c r="H4009" s="87" t="str">
        <f>HYPERLINK("http://api.nsgreg.nga.mil/geo-division/ISO3166-2/6/ed3/SI-178","SI-178")</f>
        <v>SI-178</v>
      </c>
    </row>
    <row r="4010" spans="1:8" x14ac:dyDescent="0.2">
      <c r="A4010" s="157"/>
      <c r="B4010" s="31" t="s">
        <v>13845</v>
      </c>
      <c r="C4010" s="31" t="s">
        <v>13846</v>
      </c>
      <c r="D4010" s="31" t="s">
        <v>4131</v>
      </c>
      <c r="E4010" s="61" t="b">
        <v>1</v>
      </c>
      <c r="F4010" s="106" t="s">
        <v>13847</v>
      </c>
      <c r="G4010" s="116" t="str">
        <f>HYPERLINK("http://nsgreg.nga.mil/genc/view?v=115934&amp;gencs=T&amp;end_month=3&amp;end_day=31&amp;end_year=2014","Semič")</f>
        <v>Semič</v>
      </c>
      <c r="H4010" s="87" t="str">
        <f>HYPERLINK("http://api.nsgreg.nga.mil/geo-division/ISO3166-2/6/ed3/SI-109","SI-109")</f>
        <v>SI-109</v>
      </c>
    </row>
    <row r="4011" spans="1:8" x14ac:dyDescent="0.2">
      <c r="A4011" s="157"/>
      <c r="B4011" s="31" t="s">
        <v>13848</v>
      </c>
      <c r="C4011" s="31" t="s">
        <v>13849</v>
      </c>
      <c r="D4011" s="31" t="s">
        <v>4131</v>
      </c>
      <c r="E4011" s="61" t="b">
        <v>1</v>
      </c>
      <c r="F4011" s="106" t="s">
        <v>13850</v>
      </c>
      <c r="G4011" s="116" t="str">
        <f>HYPERLINK("http://nsgreg.nga.mil/genc/view?v=116007&amp;gencs=T&amp;end_month=3&amp;end_day=31&amp;end_year=2014","Šempeter-Vrtojba")</f>
        <v>Šempeter-Vrtojba</v>
      </c>
      <c r="H4011" s="87" t="str">
        <f>HYPERLINK("http://api.nsgreg.nga.mil/geo-division/ISO3166-2/6/ed3/SI-183","SI-183")</f>
        <v>SI-183</v>
      </c>
    </row>
    <row r="4012" spans="1:8" x14ac:dyDescent="0.2">
      <c r="A4012" s="157"/>
      <c r="B4012" s="31" t="s">
        <v>13851</v>
      </c>
      <c r="C4012" s="31" t="s">
        <v>13852</v>
      </c>
      <c r="D4012" s="31" t="s">
        <v>4131</v>
      </c>
      <c r="E4012" s="61" t="b">
        <v>1</v>
      </c>
      <c r="F4012" s="106" t="s">
        <v>13853</v>
      </c>
      <c r="G4012" s="116" t="str">
        <f>HYPERLINK("http://nsgreg.nga.mil/genc/view?v=115942&amp;gencs=T&amp;end_month=3&amp;end_day=31&amp;end_year=2014","Šenčur")</f>
        <v>Šenčur</v>
      </c>
      <c r="H4012" s="87" t="str">
        <f>HYPERLINK("http://api.nsgreg.nga.mil/geo-division/ISO3166-2/6/ed3/SI-117","SI-117")</f>
        <v>SI-117</v>
      </c>
    </row>
    <row r="4013" spans="1:8" x14ac:dyDescent="0.2">
      <c r="A4013" s="157"/>
      <c r="B4013" s="31" t="s">
        <v>13854</v>
      </c>
      <c r="C4013" s="31" t="s">
        <v>13855</v>
      </c>
      <c r="D4013" s="31" t="s">
        <v>4131</v>
      </c>
      <c r="E4013" s="61" t="b">
        <v>1</v>
      </c>
      <c r="F4013" s="106" t="s">
        <v>13856</v>
      </c>
      <c r="G4013" s="116" t="str">
        <f>HYPERLINK("http://nsgreg.nga.mil/genc/view?v=115943&amp;gencs=T&amp;end_month=3&amp;end_day=31&amp;end_year=2014","Šentilj")</f>
        <v>Šentilj</v>
      </c>
      <c r="H4013" s="87" t="str">
        <f>HYPERLINK("http://api.nsgreg.nga.mil/geo-division/ISO3166-2/6/ed3/SI-118","SI-118")</f>
        <v>SI-118</v>
      </c>
    </row>
    <row r="4014" spans="1:8" x14ac:dyDescent="0.2">
      <c r="A4014" s="157"/>
      <c r="B4014" s="31" t="s">
        <v>13857</v>
      </c>
      <c r="C4014" s="31" t="s">
        <v>13858</v>
      </c>
      <c r="D4014" s="31" t="s">
        <v>4131</v>
      </c>
      <c r="E4014" s="61" t="b">
        <v>1</v>
      </c>
      <c r="F4014" s="106" t="s">
        <v>13859</v>
      </c>
      <c r="G4014" s="116" t="str">
        <f>HYPERLINK("http://nsgreg.nga.mil/genc/view?v=115944&amp;gencs=T&amp;end_month=3&amp;end_day=31&amp;end_year=2014","Šentjernej")</f>
        <v>Šentjernej</v>
      </c>
      <c r="H4014" s="87" t="str">
        <f>HYPERLINK("http://api.nsgreg.nga.mil/geo-division/ISO3166-2/6/ed3/SI-119","SI-119")</f>
        <v>SI-119</v>
      </c>
    </row>
    <row r="4015" spans="1:8" x14ac:dyDescent="0.2">
      <c r="A4015" s="157"/>
      <c r="B4015" s="31" t="s">
        <v>13860</v>
      </c>
      <c r="C4015" s="31" t="s">
        <v>13861</v>
      </c>
      <c r="D4015" s="31" t="s">
        <v>4131</v>
      </c>
      <c r="E4015" s="61" t="b">
        <v>1</v>
      </c>
      <c r="F4015" s="106" t="s">
        <v>13862</v>
      </c>
      <c r="G4015" s="116" t="str">
        <f>HYPERLINK("http://nsgreg.nga.mil/genc/view?v=115945&amp;gencs=T&amp;end_month=3&amp;end_day=31&amp;end_year=2014","Šentjur")</f>
        <v>Šentjur</v>
      </c>
      <c r="H4015" s="87" t="str">
        <f>HYPERLINK("http://api.nsgreg.nga.mil/geo-division/ISO3166-2/6/ed3/SI-120","SI-120")</f>
        <v>SI-120</v>
      </c>
    </row>
    <row r="4016" spans="1:8" x14ac:dyDescent="0.2">
      <c r="A4016" s="157"/>
      <c r="B4016" s="31" t="s">
        <v>13863</v>
      </c>
      <c r="C4016" s="31" t="s">
        <v>13864</v>
      </c>
      <c r="D4016" s="31" t="s">
        <v>4131</v>
      </c>
      <c r="E4016" s="61" t="b">
        <v>1</v>
      </c>
      <c r="F4016" s="106" t="s">
        <v>13865</v>
      </c>
      <c r="G4016" s="116" t="str">
        <f>HYPERLINK("http://nsgreg.nga.mil/genc/view?v=116035&amp;gencs=T&amp;end_month=3&amp;end_day=31&amp;end_year=2014","Šentrupert")</f>
        <v>Šentrupert</v>
      </c>
      <c r="H4016" s="87" t="str">
        <f>HYPERLINK("http://api.nsgreg.nga.mil/geo-division/ISO3166-2/6/ed3/SI-211","SI-211")</f>
        <v>SI-211</v>
      </c>
    </row>
    <row r="4017" spans="1:8" x14ac:dyDescent="0.2">
      <c r="A4017" s="157"/>
      <c r="B4017" s="31" t="s">
        <v>13866</v>
      </c>
      <c r="C4017" s="31" t="s">
        <v>13867</v>
      </c>
      <c r="D4017" s="31" t="s">
        <v>4131</v>
      </c>
      <c r="E4017" s="61" t="b">
        <v>1</v>
      </c>
      <c r="F4017" s="106" t="s">
        <v>13868</v>
      </c>
      <c r="G4017" s="116" t="str">
        <f>HYPERLINK("http://nsgreg.nga.mil/genc/view?v=115935&amp;gencs=T&amp;end_month=3&amp;end_day=31&amp;end_year=2014","Sevnica")</f>
        <v>Sevnica</v>
      </c>
      <c r="H4017" s="87" t="str">
        <f>HYPERLINK("http://api.nsgreg.nga.mil/geo-division/ISO3166-2/6/ed3/SI-110","SI-110")</f>
        <v>SI-110</v>
      </c>
    </row>
    <row r="4018" spans="1:8" x14ac:dyDescent="0.2">
      <c r="A4018" s="157"/>
      <c r="B4018" s="31" t="s">
        <v>13869</v>
      </c>
      <c r="C4018" s="31" t="s">
        <v>13870</v>
      </c>
      <c r="D4018" s="31" t="s">
        <v>4131</v>
      </c>
      <c r="E4018" s="61" t="b">
        <v>1</v>
      </c>
      <c r="F4018" s="106" t="s">
        <v>13871</v>
      </c>
      <c r="G4018" s="116" t="str">
        <f>HYPERLINK("http://nsgreg.nga.mil/genc/view?v=115936&amp;gencs=T&amp;end_month=3&amp;end_day=31&amp;end_year=2014","Sežana")</f>
        <v>Sežana</v>
      </c>
      <c r="H4018" s="87" t="str">
        <f>HYPERLINK("http://api.nsgreg.nga.mil/geo-division/ISO3166-2/6/ed3/SI-111","SI-111")</f>
        <v>SI-111</v>
      </c>
    </row>
    <row r="4019" spans="1:8" x14ac:dyDescent="0.2">
      <c r="A4019" s="157"/>
      <c r="B4019" s="31" t="s">
        <v>13872</v>
      </c>
      <c r="C4019" s="31" t="s">
        <v>13873</v>
      </c>
      <c r="D4019" s="31" t="s">
        <v>4131</v>
      </c>
      <c r="E4019" s="61" t="b">
        <v>1</v>
      </c>
      <c r="F4019" s="106" t="s">
        <v>13874</v>
      </c>
      <c r="G4019" s="116" t="str">
        <f>HYPERLINK("http://nsgreg.nga.mil/genc/view?v=115946&amp;gencs=T&amp;end_month=3&amp;end_day=31&amp;end_year=2014","Škocjan")</f>
        <v>Škocjan</v>
      </c>
      <c r="H4019" s="87" t="str">
        <f>HYPERLINK("http://api.nsgreg.nga.mil/geo-division/ISO3166-2/6/ed3/SI-121","SI-121")</f>
        <v>SI-121</v>
      </c>
    </row>
    <row r="4020" spans="1:8" x14ac:dyDescent="0.2">
      <c r="A4020" s="157"/>
      <c r="B4020" s="31" t="s">
        <v>13875</v>
      </c>
      <c r="C4020" s="31" t="s">
        <v>13876</v>
      </c>
      <c r="D4020" s="31" t="s">
        <v>4131</v>
      </c>
      <c r="E4020" s="61" t="b">
        <v>1</v>
      </c>
      <c r="F4020" s="106" t="s">
        <v>13877</v>
      </c>
      <c r="G4020" s="116" t="str">
        <f>HYPERLINK("http://nsgreg.nga.mil/genc/view?v=115947&amp;gencs=T&amp;end_month=3&amp;end_day=31&amp;end_year=2014","Škofja Loka")</f>
        <v>Škofja Loka</v>
      </c>
      <c r="H4020" s="87" t="str">
        <f>HYPERLINK("http://api.nsgreg.nga.mil/geo-division/ISO3166-2/6/ed3/SI-122","SI-122")</f>
        <v>SI-122</v>
      </c>
    </row>
    <row r="4021" spans="1:8" x14ac:dyDescent="0.2">
      <c r="A4021" s="157"/>
      <c r="B4021" s="31" t="s">
        <v>13878</v>
      </c>
      <c r="C4021" s="31" t="s">
        <v>13879</v>
      </c>
      <c r="D4021" s="31" t="s">
        <v>4131</v>
      </c>
      <c r="E4021" s="61" t="b">
        <v>1</v>
      </c>
      <c r="F4021" s="106" t="s">
        <v>13880</v>
      </c>
      <c r="G4021" s="116" t="str">
        <f>HYPERLINK("http://nsgreg.nga.mil/genc/view?v=115948&amp;gencs=T&amp;end_month=3&amp;end_day=31&amp;end_year=2014","Škofljica")</f>
        <v>Škofljica</v>
      </c>
      <c r="H4021" s="87" t="str">
        <f>HYPERLINK("http://api.nsgreg.nga.mil/geo-division/ISO3166-2/6/ed3/SI-123","SI-123")</f>
        <v>SI-123</v>
      </c>
    </row>
    <row r="4022" spans="1:8" x14ac:dyDescent="0.2">
      <c r="A4022" s="157"/>
      <c r="B4022" s="31" t="s">
        <v>13881</v>
      </c>
      <c r="C4022" s="31" t="s">
        <v>13882</v>
      </c>
      <c r="D4022" s="31" t="s">
        <v>13600</v>
      </c>
      <c r="E4022" s="61" t="b">
        <v>1</v>
      </c>
      <c r="F4022" s="107" t="s">
        <v>13883</v>
      </c>
      <c r="G4022" s="116" t="str">
        <f>HYPERLINK("http://nsgreg.nga.mil/genc/view?v=203018&amp;end_month=3&amp;end_day=31&amp;end_year=2014","Slovenj Gradec")</f>
        <v>Slovenj Gradec</v>
      </c>
      <c r="H4022" s="87" t="str">
        <f>HYPERLINK("http://api.nsgreg.nga.mil/geo-division/GENC/6/ed2/SI-112","SI-112")</f>
        <v>SI-112</v>
      </c>
    </row>
    <row r="4023" spans="1:8" x14ac:dyDescent="0.2">
      <c r="A4023" s="157"/>
      <c r="B4023" s="31" t="s">
        <v>13884</v>
      </c>
      <c r="C4023" s="31" t="s">
        <v>13885</v>
      </c>
      <c r="D4023" s="31" t="s">
        <v>4131</v>
      </c>
      <c r="E4023" s="61" t="b">
        <v>1</v>
      </c>
      <c r="F4023" s="106" t="s">
        <v>13886</v>
      </c>
      <c r="G4023" s="116" t="str">
        <f>HYPERLINK("http://nsgreg.nga.mil/genc/view?v=115938&amp;gencs=T&amp;end_month=3&amp;end_day=31&amp;end_year=2014","Slovenska Bistrica")</f>
        <v>Slovenska Bistrica</v>
      </c>
      <c r="H4023" s="87" t="str">
        <f>HYPERLINK("http://api.nsgreg.nga.mil/geo-division/ISO3166-2/6/ed3/SI-113","SI-113")</f>
        <v>SI-113</v>
      </c>
    </row>
    <row r="4024" spans="1:8" x14ac:dyDescent="0.2">
      <c r="A4024" s="157"/>
      <c r="B4024" s="31" t="s">
        <v>13887</v>
      </c>
      <c r="C4024" s="31" t="s">
        <v>13888</v>
      </c>
      <c r="D4024" s="31" t="s">
        <v>4131</v>
      </c>
      <c r="E4024" s="61" t="b">
        <v>1</v>
      </c>
      <c r="F4024" s="106" t="s">
        <v>13889</v>
      </c>
      <c r="G4024" s="116" t="str">
        <f>HYPERLINK("http://nsgreg.nga.mil/genc/view?v=115939&amp;gencs=T&amp;end_month=3&amp;end_day=31&amp;end_year=2014","Slovenske Konjice")</f>
        <v>Slovenske Konjice</v>
      </c>
      <c r="H4024" s="87" t="str">
        <f>HYPERLINK("http://api.nsgreg.nga.mil/geo-division/ISO3166-2/6/ed3/SI-114","SI-114")</f>
        <v>SI-114</v>
      </c>
    </row>
    <row r="4025" spans="1:8" x14ac:dyDescent="0.2">
      <c r="A4025" s="157"/>
      <c r="B4025" s="31" t="s">
        <v>13890</v>
      </c>
      <c r="C4025" s="31" t="s">
        <v>13891</v>
      </c>
      <c r="D4025" s="31" t="s">
        <v>4131</v>
      </c>
      <c r="E4025" s="61" t="b">
        <v>1</v>
      </c>
      <c r="F4025" s="106" t="s">
        <v>13892</v>
      </c>
      <c r="G4025" s="116" t="str">
        <f>HYPERLINK("http://nsgreg.nga.mil/genc/view?v=115949&amp;gencs=T&amp;end_month=3&amp;end_day=31&amp;end_year=2014","Šmarje pri Jelšah")</f>
        <v>Šmarje pri Jelšah</v>
      </c>
      <c r="H4025" s="87" t="str">
        <f>HYPERLINK("http://api.nsgreg.nga.mil/geo-division/ISO3166-2/6/ed3/SI-124","SI-124")</f>
        <v>SI-124</v>
      </c>
    </row>
    <row r="4026" spans="1:8" x14ac:dyDescent="0.2">
      <c r="A4026" s="157"/>
      <c r="B4026" s="31" t="s">
        <v>13893</v>
      </c>
      <c r="C4026" s="31" t="s">
        <v>13894</v>
      </c>
      <c r="D4026" s="31" t="s">
        <v>4131</v>
      </c>
      <c r="E4026" s="61" t="b">
        <v>1</v>
      </c>
      <c r="F4026" s="106" t="s">
        <v>13895</v>
      </c>
      <c r="G4026" s="116" t="str">
        <f>HYPERLINK("http://nsgreg.nga.mil/genc/view?v=116030&amp;gencs=T&amp;end_month=3&amp;end_day=31&amp;end_year=2014","Šmarješke Toplice")</f>
        <v>Šmarješke Toplice</v>
      </c>
      <c r="H4026" s="87" t="str">
        <f>HYPERLINK("http://api.nsgreg.nga.mil/geo-division/ISO3166-2/6/ed3/SI-206","SI-206")</f>
        <v>SI-206</v>
      </c>
    </row>
    <row r="4027" spans="1:8" x14ac:dyDescent="0.2">
      <c r="A4027" s="157"/>
      <c r="B4027" s="31" t="s">
        <v>13896</v>
      </c>
      <c r="C4027" s="31" t="s">
        <v>13897</v>
      </c>
      <c r="D4027" s="31" t="s">
        <v>4131</v>
      </c>
      <c r="E4027" s="61" t="b">
        <v>1</v>
      </c>
      <c r="F4027" s="106" t="s">
        <v>13898</v>
      </c>
      <c r="G4027" s="116" t="str">
        <f>HYPERLINK("http://nsgreg.nga.mil/genc/view?v=115950&amp;gencs=T&amp;end_month=3&amp;end_day=31&amp;end_year=2014","Šmartno ob Paki")</f>
        <v>Šmartno ob Paki</v>
      </c>
      <c r="H4027" s="87" t="str">
        <f>HYPERLINK("http://api.nsgreg.nga.mil/geo-division/ISO3166-2/6/ed3/SI-125","SI-125")</f>
        <v>SI-125</v>
      </c>
    </row>
    <row r="4028" spans="1:8" x14ac:dyDescent="0.2">
      <c r="A4028" s="157"/>
      <c r="B4028" s="31" t="s">
        <v>13899</v>
      </c>
      <c r="C4028" s="31" t="s">
        <v>13900</v>
      </c>
      <c r="D4028" s="31" t="s">
        <v>4131</v>
      </c>
      <c r="E4028" s="61" t="b">
        <v>1</v>
      </c>
      <c r="F4028" s="106" t="s">
        <v>13901</v>
      </c>
      <c r="G4028" s="116" t="str">
        <f>HYPERLINK("http://nsgreg.nga.mil/genc/view?v=116018&amp;gencs=T&amp;end_month=3&amp;end_day=31&amp;end_year=2014","Šmartno pri Litiji")</f>
        <v>Šmartno pri Litiji</v>
      </c>
      <c r="H4028" s="87" t="str">
        <f>HYPERLINK("http://api.nsgreg.nga.mil/geo-division/ISO3166-2/6/ed3/SI-194","SI-194")</f>
        <v>SI-194</v>
      </c>
    </row>
    <row r="4029" spans="1:8" x14ac:dyDescent="0.2">
      <c r="A4029" s="157"/>
      <c r="B4029" s="31" t="s">
        <v>13902</v>
      </c>
      <c r="C4029" s="31" t="s">
        <v>13903</v>
      </c>
      <c r="D4029" s="31" t="s">
        <v>4131</v>
      </c>
      <c r="E4029" s="61" t="b">
        <v>1</v>
      </c>
      <c r="F4029" s="106" t="s">
        <v>13904</v>
      </c>
      <c r="G4029" s="116" t="str">
        <f>HYPERLINK("http://nsgreg.nga.mil/genc/view?v=116003&amp;gencs=T&amp;end_month=3&amp;end_day=31&amp;end_year=2014","Sodražica")</f>
        <v>Sodražica</v>
      </c>
      <c r="H4029" s="87" t="str">
        <f>HYPERLINK("http://api.nsgreg.nga.mil/geo-division/ISO3166-2/6/ed3/SI-179","SI-179")</f>
        <v>SI-179</v>
      </c>
    </row>
    <row r="4030" spans="1:8" x14ac:dyDescent="0.2">
      <c r="A4030" s="157"/>
      <c r="B4030" s="31" t="s">
        <v>13905</v>
      </c>
      <c r="C4030" s="31" t="s">
        <v>13906</v>
      </c>
      <c r="D4030" s="31" t="s">
        <v>4131</v>
      </c>
      <c r="E4030" s="61" t="b">
        <v>1</v>
      </c>
      <c r="F4030" s="106" t="s">
        <v>13907</v>
      </c>
      <c r="G4030" s="116" t="str">
        <f>HYPERLINK("http://nsgreg.nga.mil/genc/view?v=116004&amp;gencs=T&amp;end_month=3&amp;end_day=31&amp;end_year=2014","Solčava")</f>
        <v>Solčava</v>
      </c>
      <c r="H4030" s="87" t="str">
        <f>HYPERLINK("http://api.nsgreg.nga.mil/geo-division/ISO3166-2/6/ed3/SI-180","SI-180")</f>
        <v>SI-180</v>
      </c>
    </row>
    <row r="4031" spans="1:8" x14ac:dyDescent="0.2">
      <c r="A4031" s="157"/>
      <c r="B4031" s="31" t="s">
        <v>13908</v>
      </c>
      <c r="C4031" s="31" t="s">
        <v>13909</v>
      </c>
      <c r="D4031" s="31" t="s">
        <v>4131</v>
      </c>
      <c r="E4031" s="61" t="b">
        <v>1</v>
      </c>
      <c r="F4031" s="106" t="s">
        <v>13910</v>
      </c>
      <c r="G4031" s="116" t="str">
        <f>HYPERLINK("http://nsgreg.nga.mil/genc/view?v=115951&amp;gencs=T&amp;end_month=3&amp;end_day=31&amp;end_year=2014","Šoštanj")</f>
        <v>Šoštanj</v>
      </c>
      <c r="H4031" s="87" t="str">
        <f>HYPERLINK("http://api.nsgreg.nga.mil/geo-division/ISO3166-2/6/ed3/SI-126","SI-126")</f>
        <v>SI-126</v>
      </c>
    </row>
    <row r="4032" spans="1:8" x14ac:dyDescent="0.2">
      <c r="A4032" s="157"/>
      <c r="B4032" s="31" t="s">
        <v>13911</v>
      </c>
      <c r="C4032" s="31" t="s">
        <v>13912</v>
      </c>
      <c r="D4032" s="31" t="s">
        <v>4131</v>
      </c>
      <c r="E4032" s="61" t="b">
        <v>1</v>
      </c>
      <c r="F4032" s="106" t="s">
        <v>13913</v>
      </c>
      <c r="G4032" s="116" t="str">
        <f>HYPERLINK("http://nsgreg.nga.mil/genc/view?v=116026&amp;gencs=T&amp;end_month=3&amp;end_day=31&amp;end_year=2014","Središče ob Dravi")</f>
        <v>Središče ob Dravi</v>
      </c>
      <c r="H4032" s="87" t="str">
        <f>HYPERLINK("http://api.nsgreg.nga.mil/geo-division/ISO3166-2/6/ed3/SI-202","SI-202")</f>
        <v>SI-202</v>
      </c>
    </row>
    <row r="4033" spans="1:8" x14ac:dyDescent="0.2">
      <c r="A4033" s="157"/>
      <c r="B4033" s="31" t="s">
        <v>13914</v>
      </c>
      <c r="C4033" s="31" t="s">
        <v>13915</v>
      </c>
      <c r="D4033" s="31" t="s">
        <v>4131</v>
      </c>
      <c r="E4033" s="61" t="b">
        <v>1</v>
      </c>
      <c r="F4033" s="106" t="s">
        <v>13916</v>
      </c>
      <c r="G4033" s="116" t="str">
        <f>HYPERLINK("http://nsgreg.nga.mil/genc/view?v=115940&amp;gencs=T&amp;end_month=3&amp;end_day=31&amp;end_year=2014","Starše")</f>
        <v>Starše</v>
      </c>
      <c r="H4033" s="87" t="str">
        <f>HYPERLINK("http://api.nsgreg.nga.mil/geo-division/ISO3166-2/6/ed3/SI-115","SI-115")</f>
        <v>SI-115</v>
      </c>
    </row>
    <row r="4034" spans="1:8" x14ac:dyDescent="0.2">
      <c r="A4034" s="157"/>
      <c r="B4034" s="31" t="s">
        <v>13917</v>
      </c>
      <c r="C4034" s="31" t="s">
        <v>13918</v>
      </c>
      <c r="D4034" s="31" t="s">
        <v>4131</v>
      </c>
      <c r="E4034" s="61" t="b">
        <v>1</v>
      </c>
      <c r="F4034" s="106" t="s">
        <v>13919</v>
      </c>
      <c r="G4034" s="116" t="str">
        <f>HYPERLINK("http://nsgreg.nga.mil/genc/view?v=115952&amp;gencs=T&amp;end_month=3&amp;end_day=31&amp;end_year=2014","Štore")</f>
        <v>Štore</v>
      </c>
      <c r="H4034" s="87" t="str">
        <f>HYPERLINK("http://api.nsgreg.nga.mil/geo-division/ISO3166-2/6/ed3/SI-127","SI-127")</f>
        <v>SI-127</v>
      </c>
    </row>
    <row r="4035" spans="1:8" x14ac:dyDescent="0.2">
      <c r="A4035" s="157"/>
      <c r="B4035" s="31" t="s">
        <v>13920</v>
      </c>
      <c r="C4035" s="31" t="s">
        <v>13921</v>
      </c>
      <c r="D4035" s="31" t="s">
        <v>4131</v>
      </c>
      <c r="E4035" s="61" t="b">
        <v>1</v>
      </c>
      <c r="F4035" s="106" t="s">
        <v>13922</v>
      </c>
      <c r="G4035" s="116" t="str">
        <f>HYPERLINK("http://nsgreg.nga.mil/genc/view?v=116027&amp;gencs=T&amp;end_month=3&amp;end_day=31&amp;end_year=2014","Straža")</f>
        <v>Straža</v>
      </c>
      <c r="H4035" s="87" t="str">
        <f>HYPERLINK("http://api.nsgreg.nga.mil/geo-division/ISO3166-2/6/ed3/SI-203","SI-203")</f>
        <v>SI-203</v>
      </c>
    </row>
    <row r="4036" spans="1:8" x14ac:dyDescent="0.2">
      <c r="A4036" s="157"/>
      <c r="B4036" s="31" t="s">
        <v>13923</v>
      </c>
      <c r="C4036" s="31" t="s">
        <v>13924</v>
      </c>
      <c r="D4036" s="31" t="s">
        <v>4131</v>
      </c>
      <c r="E4036" s="61" t="b">
        <v>1</v>
      </c>
      <c r="F4036" s="106" t="s">
        <v>13925</v>
      </c>
      <c r="G4036" s="116" t="str">
        <f>HYPERLINK("http://nsgreg.nga.mil/genc/view?v=116005&amp;gencs=T&amp;end_month=3&amp;end_day=31&amp;end_year=2014","Sveta Ana")</f>
        <v>Sveta Ana</v>
      </c>
      <c r="H4036" s="87" t="str">
        <f>HYPERLINK("http://api.nsgreg.nga.mil/geo-division/ISO3166-2/6/ed3/SI-181","SI-181")</f>
        <v>SI-181</v>
      </c>
    </row>
    <row r="4037" spans="1:8" x14ac:dyDescent="0.2">
      <c r="A4037" s="157"/>
      <c r="B4037" s="31" t="s">
        <v>13926</v>
      </c>
      <c r="C4037" s="31" t="s">
        <v>13927</v>
      </c>
      <c r="D4037" s="31" t="s">
        <v>4131</v>
      </c>
      <c r="E4037" s="61" t="b">
        <v>1</v>
      </c>
      <c r="F4037" s="106" t="s">
        <v>13928</v>
      </c>
      <c r="G4037" s="116" t="str">
        <f>HYPERLINK("http://nsgreg.nga.mil/genc/view?v=116028&amp;gencs=T&amp;end_month=3&amp;end_day=31&amp;end_year=2014","Sveta Trojica v Slovenskih Goricah")</f>
        <v>Sveta Trojica v Slovenskih Goricah</v>
      </c>
      <c r="H4037" s="87" t="str">
        <f>HYPERLINK("http://api.nsgreg.nga.mil/geo-division/ISO3166-2/6/ed3/SI-204","SI-204")</f>
        <v>SI-204</v>
      </c>
    </row>
    <row r="4038" spans="1:8" x14ac:dyDescent="0.2">
      <c r="A4038" s="157"/>
      <c r="B4038" s="31" t="s">
        <v>13929</v>
      </c>
      <c r="C4038" s="31" t="s">
        <v>13930</v>
      </c>
      <c r="D4038" s="31" t="s">
        <v>4131</v>
      </c>
      <c r="E4038" s="61" t="b">
        <v>1</v>
      </c>
      <c r="F4038" s="106" t="s">
        <v>13931</v>
      </c>
      <c r="G4038" s="116" t="str">
        <f>HYPERLINK("http://nsgreg.nga.mil/genc/view?v=116006&amp;gencs=T&amp;end_month=3&amp;end_day=31&amp;end_year=2014","Sveti Andraž v Slovenskih Goricah")</f>
        <v>Sveti Andraž v Slovenskih Goricah</v>
      </c>
      <c r="H4038" s="87" t="str">
        <f>HYPERLINK("http://api.nsgreg.nga.mil/geo-division/ISO3166-2/6/ed3/SI-182","SI-182")</f>
        <v>SI-182</v>
      </c>
    </row>
    <row r="4039" spans="1:8" x14ac:dyDescent="0.2">
      <c r="A4039" s="157"/>
      <c r="B4039" s="31" t="s">
        <v>13932</v>
      </c>
      <c r="C4039" s="31" t="s">
        <v>13933</v>
      </c>
      <c r="D4039" s="31" t="s">
        <v>4131</v>
      </c>
      <c r="E4039" s="61" t="b">
        <v>1</v>
      </c>
      <c r="F4039" s="107" t="s">
        <v>13934</v>
      </c>
      <c r="G4039" s="116" t="str">
        <f>HYPERLINK("http://nsgreg.nga.mil/genc/view?v=204511&amp;end_month=3&amp;end_day=31&amp;end_year=2014","Sveti Jurij ob Ščavnici")</f>
        <v>Sveti Jurij ob Ščavnici</v>
      </c>
      <c r="H4039" s="87" t="str">
        <f>HYPERLINK("http://api.nsgreg.nga.mil/geo-division/GENC/6/ed2/SI-116","SI-116")</f>
        <v>SI-116</v>
      </c>
    </row>
    <row r="4040" spans="1:8" x14ac:dyDescent="0.2">
      <c r="A4040" s="157"/>
      <c r="B4040" s="31" t="s">
        <v>13935</v>
      </c>
      <c r="C4040" s="31" t="s">
        <v>13936</v>
      </c>
      <c r="D4040" s="31" t="s">
        <v>4131</v>
      </c>
      <c r="E4040" s="61" t="b">
        <v>1</v>
      </c>
      <c r="F4040" s="106" t="s">
        <v>13937</v>
      </c>
      <c r="G4040" s="116" t="str">
        <f>HYPERLINK("http://nsgreg.nga.mil/genc/view?v=116034&amp;gencs=T&amp;end_month=3&amp;end_day=31&amp;end_year=2014","Sveti Jurij v Slovenskih Goricah")</f>
        <v>Sveti Jurij v Slovenskih Goricah</v>
      </c>
      <c r="H4040" s="87" t="str">
        <f>HYPERLINK("http://api.nsgreg.nga.mil/geo-division/ISO3166-2/6/ed3/SI-210","SI-210")</f>
        <v>SI-210</v>
      </c>
    </row>
    <row r="4041" spans="1:8" x14ac:dyDescent="0.2">
      <c r="A4041" s="157"/>
      <c r="B4041" s="31" t="s">
        <v>13938</v>
      </c>
      <c r="C4041" s="31" t="s">
        <v>13939</v>
      </c>
      <c r="D4041" s="31" t="s">
        <v>4131</v>
      </c>
      <c r="E4041" s="61" t="b">
        <v>1</v>
      </c>
      <c r="F4041" s="106" t="s">
        <v>13940</v>
      </c>
      <c r="G4041" s="116" t="str">
        <f>HYPERLINK("http://nsgreg.nga.mil/genc/view?v=116029&amp;gencs=T&amp;end_month=3&amp;end_day=31&amp;end_year=2014","Sveti Tomaž")</f>
        <v>Sveti Tomaž</v>
      </c>
      <c r="H4041" s="87" t="str">
        <f>HYPERLINK("http://api.nsgreg.nga.mil/geo-division/ISO3166-2/6/ed3/SI-205","SI-205")</f>
        <v>SI-205</v>
      </c>
    </row>
    <row r="4042" spans="1:8" x14ac:dyDescent="0.2">
      <c r="A4042" s="157"/>
      <c r="B4042" s="31" t="s">
        <v>13941</v>
      </c>
      <c r="C4042" s="31" t="s">
        <v>13942</v>
      </c>
      <c r="D4042" s="31" t="s">
        <v>4131</v>
      </c>
      <c r="E4042" s="61" t="b">
        <v>1</v>
      </c>
      <c r="F4042" s="106" t="s">
        <v>13943</v>
      </c>
      <c r="G4042" s="116" t="str">
        <f>HYPERLINK("http://nsgreg.nga.mil/genc/view?v=116008&amp;gencs=T&amp;end_month=3&amp;end_day=31&amp;end_year=2014","Tabor")</f>
        <v>Tabor</v>
      </c>
      <c r="H4042" s="87" t="str">
        <f>HYPERLINK("http://api.nsgreg.nga.mil/geo-division/ISO3166-2/6/ed3/SI-184","SI-184")</f>
        <v>SI-184</v>
      </c>
    </row>
    <row r="4043" spans="1:8" x14ac:dyDescent="0.2">
      <c r="A4043" s="157"/>
      <c r="B4043" s="31" t="s">
        <v>13944</v>
      </c>
      <c r="C4043" s="31" t="s">
        <v>13945</v>
      </c>
      <c r="D4043" s="31" t="s">
        <v>4131</v>
      </c>
      <c r="E4043" s="61" t="b">
        <v>1</v>
      </c>
      <c r="F4043" s="106" t="s">
        <v>13946</v>
      </c>
      <c r="G4043" s="116" t="str">
        <f>HYPERLINK("http://nsgreg.nga.mil/genc/view?v=115835&amp;gencs=T&amp;end_month=3&amp;end_day=31&amp;end_year=2014","Tišina")</f>
        <v>Tišina</v>
      </c>
      <c r="H4043" s="87" t="str">
        <f>HYPERLINK("http://api.nsgreg.nga.mil/geo-division/ISO3166-2/6/ed3/SI-010","SI-010")</f>
        <v>SI-010</v>
      </c>
    </row>
    <row r="4044" spans="1:8" x14ac:dyDescent="0.2">
      <c r="A4044" s="157"/>
      <c r="B4044" s="31" t="s">
        <v>13947</v>
      </c>
      <c r="C4044" s="31" t="s">
        <v>13948</v>
      </c>
      <c r="D4044" s="31" t="s">
        <v>4131</v>
      </c>
      <c r="E4044" s="61" t="b">
        <v>1</v>
      </c>
      <c r="F4044" s="106" t="s">
        <v>13949</v>
      </c>
      <c r="G4044" s="116" t="str">
        <f>HYPERLINK("http://nsgreg.nga.mil/genc/view?v=115953&amp;gencs=T&amp;end_month=3&amp;end_day=31&amp;end_year=2014","Tolmin")</f>
        <v>Tolmin</v>
      </c>
      <c r="H4044" s="87" t="str">
        <f>HYPERLINK("http://api.nsgreg.nga.mil/geo-division/ISO3166-2/6/ed3/SI-128","SI-128")</f>
        <v>SI-128</v>
      </c>
    </row>
    <row r="4045" spans="1:8" x14ac:dyDescent="0.2">
      <c r="A4045" s="157"/>
      <c r="B4045" s="31" t="s">
        <v>13950</v>
      </c>
      <c r="C4045" s="31" t="s">
        <v>13951</v>
      </c>
      <c r="D4045" s="31" t="s">
        <v>4131</v>
      </c>
      <c r="E4045" s="61" t="b">
        <v>1</v>
      </c>
      <c r="F4045" s="106" t="s">
        <v>13952</v>
      </c>
      <c r="G4045" s="116" t="str">
        <f>HYPERLINK("http://nsgreg.nga.mil/genc/view?v=115954&amp;gencs=T&amp;end_month=3&amp;end_day=31&amp;end_year=2014","Trbovlje")</f>
        <v>Trbovlje</v>
      </c>
      <c r="H4045" s="87" t="str">
        <f>HYPERLINK("http://api.nsgreg.nga.mil/geo-division/ISO3166-2/6/ed3/SI-129","SI-129")</f>
        <v>SI-129</v>
      </c>
    </row>
    <row r="4046" spans="1:8" x14ac:dyDescent="0.2">
      <c r="A4046" s="157"/>
      <c r="B4046" s="31" t="s">
        <v>13953</v>
      </c>
      <c r="C4046" s="31" t="s">
        <v>13954</v>
      </c>
      <c r="D4046" s="31" t="s">
        <v>4131</v>
      </c>
      <c r="E4046" s="61" t="b">
        <v>1</v>
      </c>
      <c r="F4046" s="106" t="s">
        <v>13955</v>
      </c>
      <c r="G4046" s="116" t="str">
        <f>HYPERLINK("http://nsgreg.nga.mil/genc/view?v=115955&amp;gencs=T&amp;end_month=3&amp;end_day=31&amp;end_year=2014","Trebnje")</f>
        <v>Trebnje</v>
      </c>
      <c r="H4046" s="87" t="str">
        <f>HYPERLINK("http://api.nsgreg.nga.mil/geo-division/ISO3166-2/6/ed3/SI-130","SI-130")</f>
        <v>SI-130</v>
      </c>
    </row>
    <row r="4047" spans="1:8" x14ac:dyDescent="0.2">
      <c r="A4047" s="157"/>
      <c r="B4047" s="31" t="s">
        <v>13956</v>
      </c>
      <c r="C4047" s="31" t="s">
        <v>13957</v>
      </c>
      <c r="D4047" s="31" t="s">
        <v>4131</v>
      </c>
      <c r="E4047" s="61" t="b">
        <v>1</v>
      </c>
      <c r="F4047" s="106" t="s">
        <v>13958</v>
      </c>
      <c r="G4047" s="116" t="str">
        <f>HYPERLINK("http://nsgreg.nga.mil/genc/view?v=116009&amp;gencs=T&amp;end_month=3&amp;end_day=31&amp;end_year=2014","Trnovska Vas")</f>
        <v>Trnovska Vas</v>
      </c>
      <c r="H4047" s="87" t="str">
        <f>HYPERLINK("http://api.nsgreg.nga.mil/geo-division/ISO3166-2/6/ed3/SI-185","SI-185")</f>
        <v>SI-185</v>
      </c>
    </row>
    <row r="4048" spans="1:8" x14ac:dyDescent="0.2">
      <c r="A4048" s="157"/>
      <c r="B4048" s="31" t="s">
        <v>13959</v>
      </c>
      <c r="C4048" s="31" t="s">
        <v>13960</v>
      </c>
      <c r="D4048" s="31" t="s">
        <v>4131</v>
      </c>
      <c r="E4048" s="61" t="b">
        <v>1</v>
      </c>
      <c r="F4048" s="106" t="s">
        <v>13961</v>
      </c>
      <c r="G4048" s="116" t="str">
        <f>HYPERLINK("http://nsgreg.nga.mil/genc/view?v=115956&amp;gencs=T&amp;end_month=3&amp;end_day=31&amp;end_year=2014","Tržič")</f>
        <v>Tržič</v>
      </c>
      <c r="H4048" s="87" t="str">
        <f>HYPERLINK("http://api.nsgreg.nga.mil/geo-division/ISO3166-2/6/ed3/SI-131","SI-131")</f>
        <v>SI-131</v>
      </c>
    </row>
    <row r="4049" spans="1:8" x14ac:dyDescent="0.2">
      <c r="A4049" s="157"/>
      <c r="B4049" s="31" t="s">
        <v>13962</v>
      </c>
      <c r="C4049" s="31" t="s">
        <v>13963</v>
      </c>
      <c r="D4049" s="31" t="s">
        <v>4131</v>
      </c>
      <c r="E4049" s="61" t="b">
        <v>1</v>
      </c>
      <c r="F4049" s="106" t="s">
        <v>13964</v>
      </c>
      <c r="G4049" s="116" t="str">
        <f>HYPERLINK("http://nsgreg.nga.mil/genc/view?v=116010&amp;gencs=T&amp;end_month=3&amp;end_day=31&amp;end_year=2014","Trzin")</f>
        <v>Trzin</v>
      </c>
      <c r="H4049" s="87" t="str">
        <f>HYPERLINK("http://api.nsgreg.nga.mil/geo-division/ISO3166-2/6/ed3/SI-186","SI-186")</f>
        <v>SI-186</v>
      </c>
    </row>
    <row r="4050" spans="1:8" x14ac:dyDescent="0.2">
      <c r="A4050" s="157"/>
      <c r="B4050" s="31" t="s">
        <v>13965</v>
      </c>
      <c r="C4050" s="31" t="s">
        <v>13966</v>
      </c>
      <c r="D4050" s="31" t="s">
        <v>4131</v>
      </c>
      <c r="E4050" s="61" t="b">
        <v>1</v>
      </c>
      <c r="F4050" s="106" t="s">
        <v>13967</v>
      </c>
      <c r="G4050" s="116" t="str">
        <f>HYPERLINK("http://nsgreg.nga.mil/genc/view?v=115957&amp;gencs=T&amp;end_month=3&amp;end_day=31&amp;end_year=2014","Turnišče")</f>
        <v>Turnišče</v>
      </c>
      <c r="H4050" s="87" t="str">
        <f>HYPERLINK("http://api.nsgreg.nga.mil/geo-division/ISO3166-2/6/ed3/SI-132","SI-132")</f>
        <v>SI-132</v>
      </c>
    </row>
    <row r="4051" spans="1:8" x14ac:dyDescent="0.2">
      <c r="A4051" s="157"/>
      <c r="B4051" s="31" t="s">
        <v>13968</v>
      </c>
      <c r="C4051" s="31" t="s">
        <v>13969</v>
      </c>
      <c r="D4051" s="31" t="s">
        <v>13600</v>
      </c>
      <c r="E4051" s="61" t="b">
        <v>1</v>
      </c>
      <c r="F4051" s="107" t="s">
        <v>13970</v>
      </c>
      <c r="G4051" s="116" t="str">
        <f>HYPERLINK("http://nsgreg.nga.mil/genc/view?v=203019&amp;end_month=3&amp;end_day=31&amp;end_year=2014","Velenje")</f>
        <v>Velenje</v>
      </c>
      <c r="H4051" s="87" t="str">
        <f>HYPERLINK("http://api.nsgreg.nga.mil/geo-division/GENC/6/ed2/SI-133","SI-133")</f>
        <v>SI-133</v>
      </c>
    </row>
    <row r="4052" spans="1:8" x14ac:dyDescent="0.2">
      <c r="A4052" s="157"/>
      <c r="B4052" s="31" t="s">
        <v>13971</v>
      </c>
      <c r="C4052" s="31" t="s">
        <v>13972</v>
      </c>
      <c r="D4052" s="31" t="s">
        <v>4131</v>
      </c>
      <c r="E4052" s="61" t="b">
        <v>1</v>
      </c>
      <c r="F4052" s="106" t="s">
        <v>13973</v>
      </c>
      <c r="G4052" s="116" t="str">
        <f>HYPERLINK("http://nsgreg.nga.mil/genc/view?v=116011&amp;gencs=T&amp;end_month=3&amp;end_day=31&amp;end_year=2014","Velika Polana")</f>
        <v>Velika Polana</v>
      </c>
      <c r="H4052" s="87" t="str">
        <f>HYPERLINK("http://api.nsgreg.nga.mil/geo-division/ISO3166-2/6/ed3/SI-187","SI-187")</f>
        <v>SI-187</v>
      </c>
    </row>
    <row r="4053" spans="1:8" x14ac:dyDescent="0.2">
      <c r="A4053" s="157"/>
      <c r="B4053" s="31" t="s">
        <v>13974</v>
      </c>
      <c r="C4053" s="31" t="s">
        <v>13975</v>
      </c>
      <c r="D4053" s="31" t="s">
        <v>4131</v>
      </c>
      <c r="E4053" s="61" t="b">
        <v>1</v>
      </c>
      <c r="F4053" s="106" t="s">
        <v>13976</v>
      </c>
      <c r="G4053" s="116" t="str">
        <f>HYPERLINK("http://nsgreg.nga.mil/genc/view?v=115959&amp;gencs=T&amp;end_month=3&amp;end_day=31&amp;end_year=2014","Velike Lašče")</f>
        <v>Velike Lašče</v>
      </c>
      <c r="H4053" s="87" t="str">
        <f>HYPERLINK("http://api.nsgreg.nga.mil/geo-division/ISO3166-2/6/ed3/SI-134","SI-134")</f>
        <v>SI-134</v>
      </c>
    </row>
    <row r="4054" spans="1:8" x14ac:dyDescent="0.2">
      <c r="A4054" s="157"/>
      <c r="B4054" s="31" t="s">
        <v>13977</v>
      </c>
      <c r="C4054" s="31" t="s">
        <v>13978</v>
      </c>
      <c r="D4054" s="31" t="s">
        <v>4131</v>
      </c>
      <c r="E4054" s="61" t="b">
        <v>1</v>
      </c>
      <c r="F4054" s="106" t="s">
        <v>13979</v>
      </c>
      <c r="G4054" s="116" t="str">
        <f>HYPERLINK("http://nsgreg.nga.mil/genc/view?v=116012&amp;gencs=T&amp;end_month=3&amp;end_day=31&amp;end_year=2014","Veržej")</f>
        <v>Veržej</v>
      </c>
      <c r="H4054" s="87" t="str">
        <f>HYPERLINK("http://api.nsgreg.nga.mil/geo-division/ISO3166-2/6/ed3/SI-188","SI-188")</f>
        <v>SI-188</v>
      </c>
    </row>
    <row r="4055" spans="1:8" x14ac:dyDescent="0.2">
      <c r="A4055" s="157"/>
      <c r="B4055" s="31" t="s">
        <v>13980</v>
      </c>
      <c r="C4055" s="31" t="s">
        <v>13981</v>
      </c>
      <c r="D4055" s="31" t="s">
        <v>4131</v>
      </c>
      <c r="E4055" s="61" t="b">
        <v>1</v>
      </c>
      <c r="F4055" s="106" t="s">
        <v>13982</v>
      </c>
      <c r="G4055" s="116" t="str">
        <f>HYPERLINK("http://nsgreg.nga.mil/genc/view?v=115960&amp;gencs=T&amp;end_month=3&amp;end_day=31&amp;end_year=2014","Videm")</f>
        <v>Videm</v>
      </c>
      <c r="H4055" s="87" t="str">
        <f>HYPERLINK("http://api.nsgreg.nga.mil/geo-division/ISO3166-2/6/ed3/SI-135","SI-135")</f>
        <v>SI-135</v>
      </c>
    </row>
    <row r="4056" spans="1:8" x14ac:dyDescent="0.2">
      <c r="A4056" s="157"/>
      <c r="B4056" s="31" t="s">
        <v>13983</v>
      </c>
      <c r="C4056" s="31" t="s">
        <v>13984</v>
      </c>
      <c r="D4056" s="31" t="s">
        <v>4131</v>
      </c>
      <c r="E4056" s="61" t="b">
        <v>1</v>
      </c>
      <c r="F4056" s="106" t="s">
        <v>13985</v>
      </c>
      <c r="G4056" s="116" t="str">
        <f>HYPERLINK("http://nsgreg.nga.mil/genc/view?v=115961&amp;gencs=T&amp;end_month=3&amp;end_day=31&amp;end_year=2014","Vipava")</f>
        <v>Vipava</v>
      </c>
      <c r="H4056" s="87" t="str">
        <f>HYPERLINK("http://api.nsgreg.nga.mil/geo-division/ISO3166-2/6/ed3/SI-136","SI-136")</f>
        <v>SI-136</v>
      </c>
    </row>
    <row r="4057" spans="1:8" x14ac:dyDescent="0.2">
      <c r="A4057" s="157"/>
      <c r="B4057" s="31" t="s">
        <v>13986</v>
      </c>
      <c r="C4057" s="31" t="s">
        <v>13987</v>
      </c>
      <c r="D4057" s="31" t="s">
        <v>4131</v>
      </c>
      <c r="E4057" s="61" t="b">
        <v>1</v>
      </c>
      <c r="F4057" s="106" t="s">
        <v>13988</v>
      </c>
      <c r="G4057" s="116" t="str">
        <f>HYPERLINK("http://nsgreg.nga.mil/genc/view?v=115962&amp;gencs=T&amp;end_month=3&amp;end_day=31&amp;end_year=2014","Vitanje")</f>
        <v>Vitanje</v>
      </c>
      <c r="H4057" s="87" t="str">
        <f>HYPERLINK("http://api.nsgreg.nga.mil/geo-division/ISO3166-2/6/ed3/SI-137","SI-137")</f>
        <v>SI-137</v>
      </c>
    </row>
    <row r="4058" spans="1:8" x14ac:dyDescent="0.2">
      <c r="A4058" s="157"/>
      <c r="B4058" s="31" t="s">
        <v>13989</v>
      </c>
      <c r="C4058" s="31" t="s">
        <v>13990</v>
      </c>
      <c r="D4058" s="31" t="s">
        <v>4131</v>
      </c>
      <c r="E4058" s="61" t="b">
        <v>1</v>
      </c>
      <c r="F4058" s="106" t="s">
        <v>13991</v>
      </c>
      <c r="G4058" s="116" t="str">
        <f>HYPERLINK("http://nsgreg.nga.mil/genc/view?v=115963&amp;gencs=T&amp;end_month=3&amp;end_day=31&amp;end_year=2014","Vodice")</f>
        <v>Vodice</v>
      </c>
      <c r="H4058" s="87" t="str">
        <f>HYPERLINK("http://api.nsgreg.nga.mil/geo-division/ISO3166-2/6/ed3/SI-138","SI-138")</f>
        <v>SI-138</v>
      </c>
    </row>
    <row r="4059" spans="1:8" x14ac:dyDescent="0.2">
      <c r="A4059" s="157"/>
      <c r="B4059" s="31" t="s">
        <v>13992</v>
      </c>
      <c r="C4059" s="31" t="s">
        <v>13993</v>
      </c>
      <c r="D4059" s="31" t="s">
        <v>4131</v>
      </c>
      <c r="E4059" s="61" t="b">
        <v>1</v>
      </c>
      <c r="F4059" s="106" t="s">
        <v>13994</v>
      </c>
      <c r="G4059" s="116" t="str">
        <f>HYPERLINK("http://nsgreg.nga.mil/genc/view?v=115964&amp;gencs=T&amp;end_month=3&amp;end_day=31&amp;end_year=2014","Vojnik")</f>
        <v>Vojnik</v>
      </c>
      <c r="H4059" s="87" t="str">
        <f>HYPERLINK("http://api.nsgreg.nga.mil/geo-division/ISO3166-2/6/ed3/SI-139","SI-139")</f>
        <v>SI-139</v>
      </c>
    </row>
    <row r="4060" spans="1:8" x14ac:dyDescent="0.2">
      <c r="A4060" s="157"/>
      <c r="B4060" s="31" t="s">
        <v>13995</v>
      </c>
      <c r="C4060" s="31" t="s">
        <v>13996</v>
      </c>
      <c r="D4060" s="31" t="s">
        <v>4131</v>
      </c>
      <c r="E4060" s="61" t="b">
        <v>1</v>
      </c>
      <c r="F4060" s="106" t="s">
        <v>13997</v>
      </c>
      <c r="G4060" s="116" t="str">
        <f>HYPERLINK("http://nsgreg.nga.mil/genc/view?v=116013&amp;gencs=T&amp;end_month=3&amp;end_day=31&amp;end_year=2014","Vransko")</f>
        <v>Vransko</v>
      </c>
      <c r="H4060" s="87" t="str">
        <f>HYPERLINK("http://api.nsgreg.nga.mil/geo-division/ISO3166-2/6/ed3/SI-189","SI-189")</f>
        <v>SI-189</v>
      </c>
    </row>
    <row r="4061" spans="1:8" x14ac:dyDescent="0.2">
      <c r="A4061" s="157"/>
      <c r="B4061" s="31" t="s">
        <v>13998</v>
      </c>
      <c r="C4061" s="31" t="s">
        <v>13999</v>
      </c>
      <c r="D4061" s="31" t="s">
        <v>4131</v>
      </c>
      <c r="E4061" s="61" t="b">
        <v>1</v>
      </c>
      <c r="F4061" s="106" t="s">
        <v>14000</v>
      </c>
      <c r="G4061" s="116" t="str">
        <f>HYPERLINK("http://nsgreg.nga.mil/genc/view?v=115965&amp;gencs=T&amp;end_month=3&amp;end_day=31&amp;end_year=2014","Vrhnika")</f>
        <v>Vrhnika</v>
      </c>
      <c r="H4061" s="87" t="str">
        <f>HYPERLINK("http://api.nsgreg.nga.mil/geo-division/ISO3166-2/6/ed3/SI-140","SI-140")</f>
        <v>SI-140</v>
      </c>
    </row>
    <row r="4062" spans="1:8" x14ac:dyDescent="0.2">
      <c r="A4062" s="157"/>
      <c r="B4062" s="31" t="s">
        <v>14001</v>
      </c>
      <c r="C4062" s="31" t="s">
        <v>14002</v>
      </c>
      <c r="D4062" s="31" t="s">
        <v>4131</v>
      </c>
      <c r="E4062" s="61" t="b">
        <v>1</v>
      </c>
      <c r="F4062" s="106" t="s">
        <v>14003</v>
      </c>
      <c r="G4062" s="116" t="str">
        <f>HYPERLINK("http://nsgreg.nga.mil/genc/view?v=115966&amp;gencs=T&amp;end_month=3&amp;end_day=31&amp;end_year=2014","Vuzenica")</f>
        <v>Vuzenica</v>
      </c>
      <c r="H4062" s="87" t="str">
        <f>HYPERLINK("http://api.nsgreg.nga.mil/geo-division/ISO3166-2/6/ed3/SI-141","SI-141")</f>
        <v>SI-141</v>
      </c>
    </row>
    <row r="4063" spans="1:8" x14ac:dyDescent="0.2">
      <c r="A4063" s="157"/>
      <c r="B4063" s="31" t="s">
        <v>14004</v>
      </c>
      <c r="C4063" s="31" t="s">
        <v>14005</v>
      </c>
      <c r="D4063" s="31" t="s">
        <v>4131</v>
      </c>
      <c r="E4063" s="61" t="b">
        <v>1</v>
      </c>
      <c r="F4063" s="106" t="s">
        <v>14006</v>
      </c>
      <c r="G4063" s="116" t="str">
        <f>HYPERLINK("http://nsgreg.nga.mil/genc/view?v=115967&amp;gencs=T&amp;end_month=3&amp;end_day=31&amp;end_year=2014","Zagorje ob Savi")</f>
        <v>Zagorje ob Savi</v>
      </c>
      <c r="H4063" s="87" t="str">
        <f>HYPERLINK("http://api.nsgreg.nga.mil/geo-division/ISO3166-2/6/ed3/SI-142","SI-142")</f>
        <v>SI-142</v>
      </c>
    </row>
    <row r="4064" spans="1:8" x14ac:dyDescent="0.2">
      <c r="A4064" s="157"/>
      <c r="B4064" s="31" t="s">
        <v>14007</v>
      </c>
      <c r="C4064" s="31" t="s">
        <v>14008</v>
      </c>
      <c r="D4064" s="31" t="s">
        <v>4131</v>
      </c>
      <c r="E4064" s="61" t="b">
        <v>1</v>
      </c>
      <c r="F4064" s="106" t="s">
        <v>14009</v>
      </c>
      <c r="G4064" s="116" t="str">
        <f>HYPERLINK("http://nsgreg.nga.mil/genc/view?v=116014&amp;gencs=T&amp;end_month=3&amp;end_day=31&amp;end_year=2014","Žalec")</f>
        <v>Žalec</v>
      </c>
      <c r="H4064" s="87" t="str">
        <f>HYPERLINK("http://api.nsgreg.nga.mil/geo-division/ISO3166-2/6/ed3/SI-190","SI-190")</f>
        <v>SI-190</v>
      </c>
    </row>
    <row r="4065" spans="1:8" x14ac:dyDescent="0.2">
      <c r="A4065" s="157"/>
      <c r="B4065" s="31" t="s">
        <v>14010</v>
      </c>
      <c r="C4065" s="31" t="s">
        <v>14011</v>
      </c>
      <c r="D4065" s="31" t="s">
        <v>4131</v>
      </c>
      <c r="E4065" s="61" t="b">
        <v>1</v>
      </c>
      <c r="F4065" s="106" t="s">
        <v>14012</v>
      </c>
      <c r="G4065" s="116" t="str">
        <f>HYPERLINK("http://nsgreg.nga.mil/genc/view?v=115968&amp;gencs=T&amp;end_month=3&amp;end_day=31&amp;end_year=2014","Zavrč")</f>
        <v>Zavrč</v>
      </c>
      <c r="H4065" s="87" t="str">
        <f>HYPERLINK("http://api.nsgreg.nga.mil/geo-division/ISO3166-2/6/ed3/SI-143","SI-143")</f>
        <v>SI-143</v>
      </c>
    </row>
    <row r="4066" spans="1:8" x14ac:dyDescent="0.2">
      <c r="A4066" s="157"/>
      <c r="B4066" s="31" t="s">
        <v>14013</v>
      </c>
      <c r="C4066" s="31" t="s">
        <v>14014</v>
      </c>
      <c r="D4066" s="31" t="s">
        <v>4131</v>
      </c>
      <c r="E4066" s="61" t="b">
        <v>1</v>
      </c>
      <c r="F4066" s="106" t="s">
        <v>14015</v>
      </c>
      <c r="G4066" s="116" t="str">
        <f>HYPERLINK("http://nsgreg.nga.mil/genc/view?v=115970&amp;gencs=T&amp;end_month=3&amp;end_day=31&amp;end_year=2014","Železniki")</f>
        <v>Železniki</v>
      </c>
      <c r="H4066" s="87" t="str">
        <f>HYPERLINK("http://api.nsgreg.nga.mil/geo-division/ISO3166-2/6/ed3/SI-146","SI-146")</f>
        <v>SI-146</v>
      </c>
    </row>
    <row r="4067" spans="1:8" x14ac:dyDescent="0.2">
      <c r="A4067" s="157"/>
      <c r="B4067" s="31" t="s">
        <v>14016</v>
      </c>
      <c r="C4067" s="31" t="s">
        <v>14017</v>
      </c>
      <c r="D4067" s="31" t="s">
        <v>4131</v>
      </c>
      <c r="E4067" s="61" t="b">
        <v>1</v>
      </c>
      <c r="F4067" s="106" t="s">
        <v>14018</v>
      </c>
      <c r="G4067" s="116" t="str">
        <f>HYPERLINK("http://nsgreg.nga.mil/genc/view?v=116015&amp;gencs=T&amp;end_month=3&amp;end_day=31&amp;end_year=2014","Žetale")</f>
        <v>Žetale</v>
      </c>
      <c r="H4067" s="87" t="str">
        <f>HYPERLINK("http://api.nsgreg.nga.mil/geo-division/ISO3166-2/6/ed3/SI-191","SI-191")</f>
        <v>SI-191</v>
      </c>
    </row>
    <row r="4068" spans="1:8" x14ac:dyDescent="0.2">
      <c r="A4068" s="157"/>
      <c r="B4068" s="31" t="s">
        <v>14019</v>
      </c>
      <c r="C4068" s="31" t="s">
        <v>14020</v>
      </c>
      <c r="D4068" s="31" t="s">
        <v>4131</v>
      </c>
      <c r="E4068" s="61" t="b">
        <v>1</v>
      </c>
      <c r="F4068" s="106" t="s">
        <v>14021</v>
      </c>
      <c r="G4068" s="116" t="str">
        <f>HYPERLINK("http://nsgreg.nga.mil/genc/view?v=115971&amp;gencs=T&amp;end_month=3&amp;end_day=31&amp;end_year=2014","Žiri")</f>
        <v>Žiri</v>
      </c>
      <c r="H4068" s="87" t="str">
        <f>HYPERLINK("http://api.nsgreg.nga.mil/geo-division/ISO3166-2/6/ed3/SI-147","SI-147")</f>
        <v>SI-147</v>
      </c>
    </row>
    <row r="4069" spans="1:8" x14ac:dyDescent="0.2">
      <c r="A4069" s="157"/>
      <c r="B4069" s="31" t="s">
        <v>14022</v>
      </c>
      <c r="C4069" s="31" t="s">
        <v>14023</v>
      </c>
      <c r="D4069" s="31" t="s">
        <v>4131</v>
      </c>
      <c r="E4069" s="61" t="b">
        <v>1</v>
      </c>
      <c r="F4069" s="106" t="s">
        <v>14024</v>
      </c>
      <c r="G4069" s="116" t="str">
        <f>HYPERLINK("http://nsgreg.nga.mil/genc/view?v=116016&amp;gencs=T&amp;end_month=3&amp;end_day=31&amp;end_year=2014","Žirovnica")</f>
        <v>Žirovnica</v>
      </c>
      <c r="H4069" s="87" t="str">
        <f>HYPERLINK("http://api.nsgreg.nga.mil/geo-division/ISO3166-2/6/ed3/SI-192","SI-192")</f>
        <v>SI-192</v>
      </c>
    </row>
    <row r="4070" spans="1:8" x14ac:dyDescent="0.2">
      <c r="A4070" s="157"/>
      <c r="B4070" s="31" t="s">
        <v>14025</v>
      </c>
      <c r="C4070" s="31" t="s">
        <v>14026</v>
      </c>
      <c r="D4070" s="31" t="s">
        <v>4131</v>
      </c>
      <c r="E4070" s="61" t="b">
        <v>1</v>
      </c>
      <c r="F4070" s="106" t="s">
        <v>14027</v>
      </c>
      <c r="G4070" s="116" t="str">
        <f>HYPERLINK("http://nsgreg.nga.mil/genc/view?v=115969&amp;gencs=T&amp;end_month=3&amp;end_day=31&amp;end_year=2014","Zreče")</f>
        <v>Zreče</v>
      </c>
      <c r="H4070" s="87" t="str">
        <f>HYPERLINK("http://api.nsgreg.nga.mil/geo-division/ISO3166-2/6/ed3/SI-144","SI-144")</f>
        <v>SI-144</v>
      </c>
    </row>
    <row r="4071" spans="1:8" x14ac:dyDescent="0.2">
      <c r="A4071" s="158"/>
      <c r="B4071" s="58" t="s">
        <v>14028</v>
      </c>
      <c r="C4071" s="58" t="s">
        <v>14029</v>
      </c>
      <c r="D4071" s="58" t="s">
        <v>4131</v>
      </c>
      <c r="E4071" s="62" t="b">
        <v>1</v>
      </c>
      <c r="F4071" s="108" t="s">
        <v>14030</v>
      </c>
      <c r="G4071" s="117" t="str">
        <f>HYPERLINK("http://nsgreg.nga.mil/genc/view?v=116017&amp;gencs=T&amp;end_month=3&amp;end_day=31&amp;end_year=2014","Žužemberk")</f>
        <v>Žužemberk</v>
      </c>
      <c r="H4071" s="89" t="str">
        <f>HYPERLINK("http://api.nsgreg.nga.mil/geo-division/ISO3166-2/6/ed3/SI-193","SI-193")</f>
        <v>SI-193</v>
      </c>
    </row>
    <row r="4072" spans="1:8" x14ac:dyDescent="0.2">
      <c r="A4072" s="156" t="str">
        <f>HYPERLINK("[#]Geopolitical_Entities!A233:I233","SOLOMON ISLANDS")</f>
        <v>SOLOMON ISLANDS</v>
      </c>
      <c r="B4072" s="52" t="s">
        <v>14031</v>
      </c>
      <c r="C4072" s="52" t="s">
        <v>3420</v>
      </c>
      <c r="D4072" s="52" t="s">
        <v>1920</v>
      </c>
      <c r="E4072" s="60" t="b">
        <v>1</v>
      </c>
      <c r="F4072" s="109" t="s">
        <v>14032</v>
      </c>
      <c r="G4072" s="118" t="str">
        <f>HYPERLINK("http://nsgreg.nga.mil/genc/view?v=115745&amp;gencs=T&amp;end_month=3&amp;end_day=31&amp;end_year=2014","Central")</f>
        <v>Central</v>
      </c>
      <c r="H4072" s="91" t="str">
        <f>HYPERLINK("http://api.nsgreg.nga.mil/geo-division/ISO3166-2/6/ed3/SB-CE","SB-CE")</f>
        <v>SB-CE</v>
      </c>
    </row>
    <row r="4073" spans="1:8" x14ac:dyDescent="0.2">
      <c r="A4073" s="157"/>
      <c r="B4073" s="31" t="s">
        <v>14033</v>
      </c>
      <c r="C4073" s="31" t="s">
        <v>12563</v>
      </c>
      <c r="D4073" s="31" t="s">
        <v>1920</v>
      </c>
      <c r="E4073" s="61" t="b">
        <v>1</v>
      </c>
      <c r="F4073" s="106" t="s">
        <v>14034</v>
      </c>
      <c r="G4073" s="116" t="str">
        <f>HYPERLINK("http://nsgreg.nga.mil/genc/view?v=115746&amp;gencs=T&amp;end_month=3&amp;end_day=31&amp;end_year=2014","Choiseul")</f>
        <v>Choiseul</v>
      </c>
      <c r="H4073" s="87" t="str">
        <f>HYPERLINK("http://api.nsgreg.nga.mil/geo-division/ISO3166-2/6/ed3/SB-CH","SB-CH")</f>
        <v>SB-CH</v>
      </c>
    </row>
    <row r="4074" spans="1:8" x14ac:dyDescent="0.2">
      <c r="A4074" s="157"/>
      <c r="B4074" s="31" t="s">
        <v>14035</v>
      </c>
      <c r="C4074" s="31" t="s">
        <v>14036</v>
      </c>
      <c r="D4074" s="31" t="s">
        <v>1920</v>
      </c>
      <c r="E4074" s="61" t="b">
        <v>1</v>
      </c>
      <c r="F4074" s="106" t="s">
        <v>14037</v>
      </c>
      <c r="G4074" s="116" t="str">
        <f>HYPERLINK("http://nsgreg.nga.mil/genc/view?v=115748&amp;gencs=T&amp;end_month=3&amp;end_day=31&amp;end_year=2014","Guadalcanal")</f>
        <v>Guadalcanal</v>
      </c>
      <c r="H4074" s="87" t="str">
        <f>HYPERLINK("http://api.nsgreg.nga.mil/geo-division/ISO3166-2/6/ed3/SB-GU","SB-GU")</f>
        <v>SB-GU</v>
      </c>
    </row>
    <row r="4075" spans="1:8" x14ac:dyDescent="0.2">
      <c r="A4075" s="157"/>
      <c r="B4075" s="31" t="s">
        <v>14038</v>
      </c>
      <c r="C4075" s="31" t="s">
        <v>14039</v>
      </c>
      <c r="D4075" s="98" t="s">
        <v>11109</v>
      </c>
      <c r="E4075" s="99" t="b">
        <v>0</v>
      </c>
      <c r="F4075" s="107" t="s">
        <v>14040</v>
      </c>
      <c r="G4075" s="116" t="str">
        <f>HYPERLINK("http://nsgreg.nga.mil/genc/view?v=202940&amp;end_month=3&amp;end_day=31&amp;end_year=2014","Honiara")</f>
        <v>Honiara</v>
      </c>
      <c r="H4075" s="87" t="str">
        <f>HYPERLINK("http://api.nsgreg.nga.mil/geo-division/GENC/6/ed2/SB-CT","SB-CT")</f>
        <v>SB-CT</v>
      </c>
    </row>
    <row r="4076" spans="1:8" x14ac:dyDescent="0.2">
      <c r="A4076" s="157"/>
      <c r="B4076" s="31" t="s">
        <v>14041</v>
      </c>
      <c r="C4076" s="31" t="s">
        <v>14042</v>
      </c>
      <c r="D4076" s="31" t="s">
        <v>1920</v>
      </c>
      <c r="E4076" s="61" t="b">
        <v>1</v>
      </c>
      <c r="F4076" s="106" t="s">
        <v>14043</v>
      </c>
      <c r="G4076" s="116" t="str">
        <f>HYPERLINK("http://nsgreg.nga.mil/genc/view?v=115749&amp;gencs=T&amp;end_month=3&amp;end_day=31&amp;end_year=2014","Isabel")</f>
        <v>Isabel</v>
      </c>
      <c r="H4076" s="87" t="str">
        <f>HYPERLINK("http://api.nsgreg.nga.mil/geo-division/ISO3166-2/6/ed3/SB-IS","SB-IS")</f>
        <v>SB-IS</v>
      </c>
    </row>
    <row r="4077" spans="1:8" x14ac:dyDescent="0.2">
      <c r="A4077" s="157"/>
      <c r="B4077" s="31" t="s">
        <v>14044</v>
      </c>
      <c r="C4077" s="31" t="s">
        <v>14045</v>
      </c>
      <c r="D4077" s="31" t="s">
        <v>1920</v>
      </c>
      <c r="E4077" s="61" t="b">
        <v>1</v>
      </c>
      <c r="F4077" s="107" t="s">
        <v>14046</v>
      </c>
      <c r="G4077" s="116" t="str">
        <f>HYPERLINK("http://nsgreg.nga.mil/genc/view?v=202941&amp;end_month=3&amp;end_day=31&amp;end_year=2014","Makira")</f>
        <v>Makira</v>
      </c>
      <c r="H4077" s="87" t="str">
        <f>HYPERLINK("http://api.nsgreg.nga.mil/geo-division/GENC/6/ed2/SB-MK","SB-MK")</f>
        <v>SB-MK</v>
      </c>
    </row>
    <row r="4078" spans="1:8" x14ac:dyDescent="0.2">
      <c r="A4078" s="157"/>
      <c r="B4078" s="31" t="s">
        <v>14047</v>
      </c>
      <c r="C4078" s="31" t="s">
        <v>14048</v>
      </c>
      <c r="D4078" s="31" t="s">
        <v>1920</v>
      </c>
      <c r="E4078" s="61" t="b">
        <v>1</v>
      </c>
      <c r="F4078" s="106" t="s">
        <v>14049</v>
      </c>
      <c r="G4078" s="116" t="str">
        <f>HYPERLINK("http://nsgreg.nga.mil/genc/view?v=115751&amp;gencs=T&amp;end_month=3&amp;end_day=31&amp;end_year=2014","Malaita")</f>
        <v>Malaita</v>
      </c>
      <c r="H4078" s="87" t="str">
        <f>HYPERLINK("http://api.nsgreg.nga.mil/geo-division/ISO3166-2/6/ed3/SB-ML","SB-ML")</f>
        <v>SB-ML</v>
      </c>
    </row>
    <row r="4079" spans="1:8" x14ac:dyDescent="0.2">
      <c r="A4079" s="157"/>
      <c r="B4079" s="31" t="s">
        <v>14050</v>
      </c>
      <c r="C4079" s="31" t="s">
        <v>14051</v>
      </c>
      <c r="D4079" s="31" t="s">
        <v>1920</v>
      </c>
      <c r="E4079" s="61" t="b">
        <v>1</v>
      </c>
      <c r="F4079" s="106" t="s">
        <v>14052</v>
      </c>
      <c r="G4079" s="116" t="str">
        <f>HYPERLINK("http://nsgreg.nga.mil/genc/view?v=115752&amp;gencs=T&amp;end_month=3&amp;end_day=31&amp;end_year=2014","Rennell and Bellona")</f>
        <v>Rennell and Bellona</v>
      </c>
      <c r="H4079" s="87" t="str">
        <f>HYPERLINK("http://api.nsgreg.nga.mil/geo-division/ISO3166-2/6/ed3/SB-RB","SB-RB")</f>
        <v>SB-RB</v>
      </c>
    </row>
    <row r="4080" spans="1:8" x14ac:dyDescent="0.2">
      <c r="A4080" s="157"/>
      <c r="B4080" s="31" t="s">
        <v>14053</v>
      </c>
      <c r="C4080" s="31" t="s">
        <v>14054</v>
      </c>
      <c r="D4080" s="31" t="s">
        <v>1920</v>
      </c>
      <c r="E4080" s="61" t="b">
        <v>1</v>
      </c>
      <c r="F4080" s="106" t="s">
        <v>14055</v>
      </c>
      <c r="G4080" s="116" t="str">
        <f>HYPERLINK("http://nsgreg.nga.mil/genc/view?v=115753&amp;gencs=T&amp;end_month=3&amp;end_day=31&amp;end_year=2014","Temotu")</f>
        <v>Temotu</v>
      </c>
      <c r="H4080" s="87" t="str">
        <f>HYPERLINK("http://api.nsgreg.nga.mil/geo-division/ISO3166-2/6/ed3/SB-TE","SB-TE")</f>
        <v>SB-TE</v>
      </c>
    </row>
    <row r="4081" spans="1:8" x14ac:dyDescent="0.2">
      <c r="A4081" s="158"/>
      <c r="B4081" s="58" t="s">
        <v>14056</v>
      </c>
      <c r="C4081" s="58" t="s">
        <v>5631</v>
      </c>
      <c r="D4081" s="58" t="s">
        <v>1920</v>
      </c>
      <c r="E4081" s="62" t="b">
        <v>1</v>
      </c>
      <c r="F4081" s="108" t="s">
        <v>14057</v>
      </c>
      <c r="G4081" s="117" t="str">
        <f>HYPERLINK("http://nsgreg.nga.mil/genc/view?v=115754&amp;gencs=T&amp;end_month=3&amp;end_day=31&amp;end_year=2014","Western")</f>
        <v>Western</v>
      </c>
      <c r="H4081" s="89" t="str">
        <f>HYPERLINK("http://api.nsgreg.nga.mil/geo-division/ISO3166-2/6/ed3/SB-WE","SB-WE")</f>
        <v>SB-WE</v>
      </c>
    </row>
    <row r="4082" spans="1:8" x14ac:dyDescent="0.2">
      <c r="A4082" s="156" t="str">
        <f>HYPERLINK("[#]Geopolitical_Entities!A234:I234","SOMALIA")</f>
        <v>SOMALIA</v>
      </c>
      <c r="B4082" s="52" t="s">
        <v>14058</v>
      </c>
      <c r="C4082" s="52" t="s">
        <v>14059</v>
      </c>
      <c r="D4082" s="52" t="s">
        <v>3137</v>
      </c>
      <c r="E4082" s="60" t="b">
        <v>1</v>
      </c>
      <c r="F4082" s="110" t="s">
        <v>14060</v>
      </c>
      <c r="G4082" s="118" t="str">
        <f>HYPERLINK("http://nsgreg.nga.mil/genc/view?v=203033&amp;end_month=3&amp;end_day=31&amp;end_year=2014","Awdal")</f>
        <v>Awdal</v>
      </c>
      <c r="H4082" s="91" t="str">
        <f>HYPERLINK("http://api.nsgreg.nga.mil/geo-division/GENC/6/ed2/SO-AW","SO-AW")</f>
        <v>SO-AW</v>
      </c>
    </row>
    <row r="4083" spans="1:8" x14ac:dyDescent="0.2">
      <c r="A4083" s="157"/>
      <c r="B4083" s="31" t="s">
        <v>14061</v>
      </c>
      <c r="C4083" s="31" t="s">
        <v>14062</v>
      </c>
      <c r="D4083" s="31" t="s">
        <v>3137</v>
      </c>
      <c r="E4083" s="61" t="b">
        <v>1</v>
      </c>
      <c r="F4083" s="107" t="s">
        <v>14063</v>
      </c>
      <c r="G4083" s="116" t="str">
        <f>HYPERLINK("http://nsgreg.nga.mil/genc/view?v=203034&amp;end_month=3&amp;end_day=31&amp;end_year=2014","Bakool")</f>
        <v>Bakool</v>
      </c>
      <c r="H4083" s="87" t="str">
        <f>HYPERLINK("http://api.nsgreg.nga.mil/geo-division/GENC/6/ed2/SO-BK","SO-BK")</f>
        <v>SO-BK</v>
      </c>
    </row>
    <row r="4084" spans="1:8" x14ac:dyDescent="0.2">
      <c r="A4084" s="157"/>
      <c r="B4084" s="31" t="s">
        <v>14064</v>
      </c>
      <c r="C4084" s="31" t="s">
        <v>14065</v>
      </c>
      <c r="D4084" s="31" t="s">
        <v>3137</v>
      </c>
      <c r="E4084" s="61" t="b">
        <v>1</v>
      </c>
      <c r="F4084" s="107" t="s">
        <v>14066</v>
      </c>
      <c r="G4084" s="116" t="str">
        <f>HYPERLINK("http://nsgreg.nga.mil/genc/view?v=203035&amp;end_month=3&amp;end_day=31&amp;end_year=2014","Banaadir")</f>
        <v>Banaadir</v>
      </c>
      <c r="H4084" s="87" t="str">
        <f>HYPERLINK("http://api.nsgreg.nga.mil/geo-division/GENC/6/ed2/SO-BN","SO-BN")</f>
        <v>SO-BN</v>
      </c>
    </row>
    <row r="4085" spans="1:8" x14ac:dyDescent="0.2">
      <c r="A4085" s="157"/>
      <c r="B4085" s="31" t="s">
        <v>14067</v>
      </c>
      <c r="C4085" s="31" t="s">
        <v>7476</v>
      </c>
      <c r="D4085" s="31" t="s">
        <v>3137</v>
      </c>
      <c r="E4085" s="61" t="b">
        <v>1</v>
      </c>
      <c r="F4085" s="107" t="s">
        <v>14068</v>
      </c>
      <c r="G4085" s="116" t="str">
        <f>HYPERLINK("http://nsgreg.nga.mil/genc/view?v=203036&amp;end_month=3&amp;end_day=31&amp;end_year=2014","Bari")</f>
        <v>Bari</v>
      </c>
      <c r="H4085" s="87" t="str">
        <f>HYPERLINK("http://api.nsgreg.nga.mil/geo-division/GENC/6/ed2/SO-BR","SO-BR")</f>
        <v>SO-BR</v>
      </c>
    </row>
    <row r="4086" spans="1:8" x14ac:dyDescent="0.2">
      <c r="A4086" s="157"/>
      <c r="B4086" s="31" t="s">
        <v>14069</v>
      </c>
      <c r="C4086" s="31" t="s">
        <v>14070</v>
      </c>
      <c r="D4086" s="31" t="s">
        <v>3137</v>
      </c>
      <c r="E4086" s="61" t="b">
        <v>1</v>
      </c>
      <c r="F4086" s="107" t="s">
        <v>14071</v>
      </c>
      <c r="G4086" s="116" t="str">
        <f>HYPERLINK("http://nsgreg.nga.mil/genc/view?v=203037&amp;end_month=3&amp;end_day=31&amp;end_year=2014","Bay")</f>
        <v>Bay</v>
      </c>
      <c r="H4086" s="87" t="str">
        <f>HYPERLINK("http://api.nsgreg.nga.mil/geo-division/GENC/6/ed2/SO-BY","SO-BY")</f>
        <v>SO-BY</v>
      </c>
    </row>
    <row r="4087" spans="1:8" x14ac:dyDescent="0.2">
      <c r="A4087" s="157"/>
      <c r="B4087" s="31" t="s">
        <v>14072</v>
      </c>
      <c r="C4087" s="31" t="s">
        <v>14073</v>
      </c>
      <c r="D4087" s="31" t="s">
        <v>3137</v>
      </c>
      <c r="E4087" s="61" t="b">
        <v>1</v>
      </c>
      <c r="F4087" s="107" t="s">
        <v>14074</v>
      </c>
      <c r="G4087" s="116" t="str">
        <f>HYPERLINK("http://nsgreg.nga.mil/genc/view?v=203038&amp;end_month=3&amp;end_day=31&amp;end_year=2014","Galguduud")</f>
        <v>Galguduud</v>
      </c>
      <c r="H4087" s="87" t="str">
        <f>HYPERLINK("http://api.nsgreg.nga.mil/geo-division/GENC/6/ed2/SO-GA","SO-GA")</f>
        <v>SO-GA</v>
      </c>
    </row>
    <row r="4088" spans="1:8" x14ac:dyDescent="0.2">
      <c r="A4088" s="157"/>
      <c r="B4088" s="31" t="s">
        <v>14075</v>
      </c>
      <c r="C4088" s="31" t="s">
        <v>14076</v>
      </c>
      <c r="D4088" s="31" t="s">
        <v>3137</v>
      </c>
      <c r="E4088" s="61" t="b">
        <v>1</v>
      </c>
      <c r="F4088" s="107" t="s">
        <v>14077</v>
      </c>
      <c r="G4088" s="116" t="str">
        <f>HYPERLINK("http://nsgreg.nga.mil/genc/view?v=203039&amp;end_month=3&amp;end_day=31&amp;end_year=2014","Gedo")</f>
        <v>Gedo</v>
      </c>
      <c r="H4088" s="87" t="str">
        <f>HYPERLINK("http://api.nsgreg.nga.mil/geo-division/GENC/6/ed2/SO-GE","SO-GE")</f>
        <v>SO-GE</v>
      </c>
    </row>
    <row r="4089" spans="1:8" x14ac:dyDescent="0.2">
      <c r="A4089" s="157"/>
      <c r="B4089" s="31" t="s">
        <v>14078</v>
      </c>
      <c r="C4089" s="31" t="s">
        <v>14079</v>
      </c>
      <c r="D4089" s="31" t="s">
        <v>3137</v>
      </c>
      <c r="E4089" s="61" t="b">
        <v>1</v>
      </c>
      <c r="F4089" s="107" t="s">
        <v>14080</v>
      </c>
      <c r="G4089" s="116" t="str">
        <f>HYPERLINK("http://nsgreg.nga.mil/genc/view?v=203040&amp;end_month=3&amp;end_day=31&amp;end_year=2014","Hiiraan")</f>
        <v>Hiiraan</v>
      </c>
      <c r="H4089" s="87" t="str">
        <f>HYPERLINK("http://api.nsgreg.nga.mil/geo-division/GENC/6/ed2/SO-HI","SO-HI")</f>
        <v>SO-HI</v>
      </c>
    </row>
    <row r="4090" spans="1:8" x14ac:dyDescent="0.2">
      <c r="A4090" s="157"/>
      <c r="B4090" s="31" t="s">
        <v>14081</v>
      </c>
      <c r="C4090" s="31" t="s">
        <v>14082</v>
      </c>
      <c r="D4090" s="31" t="s">
        <v>3137</v>
      </c>
      <c r="E4090" s="61" t="b">
        <v>1</v>
      </c>
      <c r="F4090" s="107" t="s">
        <v>14083</v>
      </c>
      <c r="G4090" s="116" t="str">
        <f>HYPERLINK("http://nsgreg.nga.mil/genc/view?v=203041&amp;end_month=3&amp;end_day=31&amp;end_year=2014","Jubbada Dhexe")</f>
        <v>Jubbada Dhexe</v>
      </c>
      <c r="H4090" s="87" t="str">
        <f>HYPERLINK("http://api.nsgreg.nga.mil/geo-division/GENC/6/ed2/SO-JD","SO-JD")</f>
        <v>SO-JD</v>
      </c>
    </row>
    <row r="4091" spans="1:8" x14ac:dyDescent="0.2">
      <c r="A4091" s="157"/>
      <c r="B4091" s="31" t="s">
        <v>14084</v>
      </c>
      <c r="C4091" s="31" t="s">
        <v>14085</v>
      </c>
      <c r="D4091" s="31" t="s">
        <v>3137</v>
      </c>
      <c r="E4091" s="61" t="b">
        <v>1</v>
      </c>
      <c r="F4091" s="107" t="s">
        <v>14086</v>
      </c>
      <c r="G4091" s="116" t="str">
        <f>HYPERLINK("http://nsgreg.nga.mil/genc/view?v=203042&amp;end_month=3&amp;end_day=31&amp;end_year=2014","Jubbada Hoose")</f>
        <v>Jubbada Hoose</v>
      </c>
      <c r="H4091" s="87" t="str">
        <f>HYPERLINK("http://api.nsgreg.nga.mil/geo-division/GENC/6/ed2/SO-JH","SO-JH")</f>
        <v>SO-JH</v>
      </c>
    </row>
    <row r="4092" spans="1:8" x14ac:dyDescent="0.2">
      <c r="A4092" s="157"/>
      <c r="B4092" s="31" t="s">
        <v>14087</v>
      </c>
      <c r="C4092" s="31" t="s">
        <v>14088</v>
      </c>
      <c r="D4092" s="31" t="s">
        <v>3137</v>
      </c>
      <c r="E4092" s="61" t="b">
        <v>1</v>
      </c>
      <c r="F4092" s="107" t="s">
        <v>14089</v>
      </c>
      <c r="G4092" s="116" t="str">
        <f>HYPERLINK("http://nsgreg.nga.mil/genc/view?v=203043&amp;end_month=3&amp;end_day=31&amp;end_year=2014","Mudug")</f>
        <v>Mudug</v>
      </c>
      <c r="H4092" s="87" t="str">
        <f>HYPERLINK("http://api.nsgreg.nga.mil/geo-division/GENC/6/ed2/SO-MU","SO-MU")</f>
        <v>SO-MU</v>
      </c>
    </row>
    <row r="4093" spans="1:8" x14ac:dyDescent="0.2">
      <c r="A4093" s="157"/>
      <c r="B4093" s="31" t="s">
        <v>14090</v>
      </c>
      <c r="C4093" s="31" t="s">
        <v>14091</v>
      </c>
      <c r="D4093" s="31" t="s">
        <v>3137</v>
      </c>
      <c r="E4093" s="61" t="b">
        <v>1</v>
      </c>
      <c r="F4093" s="107" t="s">
        <v>14092</v>
      </c>
      <c r="G4093" s="116" t="str">
        <f>HYPERLINK("http://nsgreg.nga.mil/genc/view?v=203044&amp;end_month=3&amp;end_day=31&amp;end_year=2014","Nugaal")</f>
        <v>Nugaal</v>
      </c>
      <c r="H4093" s="87" t="str">
        <f>HYPERLINK("http://api.nsgreg.nga.mil/geo-division/GENC/6/ed2/SO-NU","SO-NU")</f>
        <v>SO-NU</v>
      </c>
    </row>
    <row r="4094" spans="1:8" x14ac:dyDescent="0.2">
      <c r="A4094" s="157"/>
      <c r="B4094" s="31" t="s">
        <v>14093</v>
      </c>
      <c r="C4094" s="31" t="s">
        <v>14094</v>
      </c>
      <c r="D4094" s="31" t="s">
        <v>3137</v>
      </c>
      <c r="E4094" s="61" t="b">
        <v>1</v>
      </c>
      <c r="F4094" s="107" t="s">
        <v>14095</v>
      </c>
      <c r="G4094" s="116" t="str">
        <f>HYPERLINK("http://nsgreg.nga.mil/genc/view?v=203045&amp;end_month=3&amp;end_day=31&amp;end_year=2014","Sanaag")</f>
        <v>Sanaag</v>
      </c>
      <c r="H4094" s="87" t="str">
        <f>HYPERLINK("http://api.nsgreg.nga.mil/geo-division/GENC/6/ed2/SO-SA","SO-SA")</f>
        <v>SO-SA</v>
      </c>
    </row>
    <row r="4095" spans="1:8" x14ac:dyDescent="0.2">
      <c r="A4095" s="157"/>
      <c r="B4095" s="31" t="s">
        <v>14096</v>
      </c>
      <c r="C4095" s="31" t="s">
        <v>14097</v>
      </c>
      <c r="D4095" s="31" t="s">
        <v>3137</v>
      </c>
      <c r="E4095" s="61" t="b">
        <v>1</v>
      </c>
      <c r="F4095" s="107" t="s">
        <v>14098</v>
      </c>
      <c r="G4095" s="116" t="str">
        <f>HYPERLINK("http://nsgreg.nga.mil/genc/view?v=203046&amp;end_month=3&amp;end_day=31&amp;end_year=2014","Shabeellaha Dhexe")</f>
        <v>Shabeellaha Dhexe</v>
      </c>
      <c r="H4095" s="87" t="str">
        <f>HYPERLINK("http://api.nsgreg.nga.mil/geo-division/GENC/6/ed2/SO-SD","SO-SD")</f>
        <v>SO-SD</v>
      </c>
    </row>
    <row r="4096" spans="1:8" x14ac:dyDescent="0.2">
      <c r="A4096" s="157"/>
      <c r="B4096" s="31" t="s">
        <v>14099</v>
      </c>
      <c r="C4096" s="31" t="s">
        <v>14100</v>
      </c>
      <c r="D4096" s="31" t="s">
        <v>3137</v>
      </c>
      <c r="E4096" s="61" t="b">
        <v>1</v>
      </c>
      <c r="F4096" s="107" t="s">
        <v>14101</v>
      </c>
      <c r="G4096" s="116" t="str">
        <f>HYPERLINK("http://nsgreg.nga.mil/genc/view?v=203047&amp;end_month=3&amp;end_day=31&amp;end_year=2014","Shabeellaha Hoose")</f>
        <v>Shabeellaha Hoose</v>
      </c>
      <c r="H4096" s="87" t="str">
        <f>HYPERLINK("http://api.nsgreg.nga.mil/geo-division/GENC/6/ed2/SO-SH","SO-SH")</f>
        <v>SO-SH</v>
      </c>
    </row>
    <row r="4097" spans="1:8" x14ac:dyDescent="0.2">
      <c r="A4097" s="157"/>
      <c r="B4097" s="31" t="s">
        <v>14102</v>
      </c>
      <c r="C4097" s="31" t="s">
        <v>14103</v>
      </c>
      <c r="D4097" s="31" t="s">
        <v>3137</v>
      </c>
      <c r="E4097" s="61" t="b">
        <v>1</v>
      </c>
      <c r="F4097" s="107" t="s">
        <v>14104</v>
      </c>
      <c r="G4097" s="116" t="str">
        <f>HYPERLINK("http://nsgreg.nga.mil/genc/view?v=203048&amp;end_month=3&amp;end_day=31&amp;end_year=2014","Sool")</f>
        <v>Sool</v>
      </c>
      <c r="H4097" s="87" t="str">
        <f>HYPERLINK("http://api.nsgreg.nga.mil/geo-division/GENC/6/ed2/SO-SO","SO-SO")</f>
        <v>SO-SO</v>
      </c>
    </row>
    <row r="4098" spans="1:8" x14ac:dyDescent="0.2">
      <c r="A4098" s="157"/>
      <c r="B4098" s="31" t="s">
        <v>14105</v>
      </c>
      <c r="C4098" s="31" t="s">
        <v>14106</v>
      </c>
      <c r="D4098" s="31" t="s">
        <v>3137</v>
      </c>
      <c r="E4098" s="61" t="b">
        <v>1</v>
      </c>
      <c r="F4098" s="107" t="s">
        <v>14107</v>
      </c>
      <c r="G4098" s="116" t="str">
        <f>HYPERLINK("http://nsgreg.nga.mil/genc/view?v=203049&amp;end_month=3&amp;end_day=31&amp;end_year=2014","Togdheer")</f>
        <v>Togdheer</v>
      </c>
      <c r="H4098" s="87" t="str">
        <f>HYPERLINK("http://api.nsgreg.nga.mil/geo-division/GENC/6/ed2/SO-TO","SO-TO")</f>
        <v>SO-TO</v>
      </c>
    </row>
    <row r="4099" spans="1:8" x14ac:dyDescent="0.2">
      <c r="A4099" s="158"/>
      <c r="B4099" s="58" t="s">
        <v>14108</v>
      </c>
      <c r="C4099" s="58" t="s">
        <v>14109</v>
      </c>
      <c r="D4099" s="58" t="s">
        <v>3137</v>
      </c>
      <c r="E4099" s="62" t="b">
        <v>1</v>
      </c>
      <c r="F4099" s="111" t="s">
        <v>14110</v>
      </c>
      <c r="G4099" s="117" t="str">
        <f>HYPERLINK("http://nsgreg.nga.mil/genc/view?v=203050&amp;end_month=3&amp;end_day=31&amp;end_year=2014","Woqooyi Galbeed")</f>
        <v>Woqooyi Galbeed</v>
      </c>
      <c r="H4099" s="89" t="str">
        <f>HYPERLINK("http://api.nsgreg.nga.mil/geo-division/GENC/6/ed2/SO-WO","SO-WO")</f>
        <v>SO-WO</v>
      </c>
    </row>
    <row r="4100" spans="1:8" x14ac:dyDescent="0.2">
      <c r="A4100" s="156" t="str">
        <f>HYPERLINK("[#]Geopolitical_Entities!A235:I235","SOUTH AFRICA")</f>
        <v>SOUTH AFRICA</v>
      </c>
      <c r="B4100" s="52" t="s">
        <v>14111</v>
      </c>
      <c r="C4100" s="52" t="s">
        <v>14112</v>
      </c>
      <c r="D4100" s="52" t="s">
        <v>1920</v>
      </c>
      <c r="E4100" s="60" t="b">
        <v>1</v>
      </c>
      <c r="F4100" s="110" t="s">
        <v>14113</v>
      </c>
      <c r="G4100" s="118" t="str">
        <f>HYPERLINK("http://nsgreg.nga.mil/genc/view?v=203377&amp;end_month=3&amp;end_day=31&amp;end_year=2014","Eastern Cape")</f>
        <v>Eastern Cape</v>
      </c>
      <c r="H4100" s="91" t="str">
        <f>HYPERLINK("http://api.nsgreg.nga.mil/geo-division/GENC/6/ed2/ZA-EC","ZA-EC")</f>
        <v>ZA-EC</v>
      </c>
    </row>
    <row r="4101" spans="1:8" x14ac:dyDescent="0.2">
      <c r="A4101" s="157"/>
      <c r="B4101" s="31" t="s">
        <v>14114</v>
      </c>
      <c r="C4101" s="31" t="s">
        <v>14115</v>
      </c>
      <c r="D4101" s="31" t="s">
        <v>1920</v>
      </c>
      <c r="E4101" s="61" t="b">
        <v>1</v>
      </c>
      <c r="F4101" s="107" t="s">
        <v>14116</v>
      </c>
      <c r="G4101" s="116" t="str">
        <f>HYPERLINK("http://nsgreg.nga.mil/genc/view?v=203378&amp;end_month=3&amp;end_day=31&amp;end_year=2014","Free State")</f>
        <v>Free State</v>
      </c>
      <c r="H4101" s="87" t="str">
        <f>HYPERLINK("http://api.nsgreg.nga.mil/geo-division/GENC/6/ed2/ZA-FS","ZA-FS")</f>
        <v>ZA-FS</v>
      </c>
    </row>
    <row r="4102" spans="1:8" x14ac:dyDescent="0.2">
      <c r="A4102" s="157"/>
      <c r="B4102" s="31" t="s">
        <v>14117</v>
      </c>
      <c r="C4102" s="31" t="s">
        <v>14118</v>
      </c>
      <c r="D4102" s="31" t="s">
        <v>1920</v>
      </c>
      <c r="E4102" s="61" t="b">
        <v>1</v>
      </c>
      <c r="F4102" s="107" t="s">
        <v>14119</v>
      </c>
      <c r="G4102" s="116" t="str">
        <f>HYPERLINK("http://nsgreg.nga.mil/genc/view?v=203379&amp;end_month=3&amp;end_day=31&amp;end_year=2014","Gauteng")</f>
        <v>Gauteng</v>
      </c>
      <c r="H4102" s="87" t="str">
        <f>HYPERLINK("http://api.nsgreg.nga.mil/geo-division/GENC/6/ed2/ZA-GT","ZA-GT")</f>
        <v>ZA-GT</v>
      </c>
    </row>
    <row r="4103" spans="1:8" x14ac:dyDescent="0.2">
      <c r="A4103" s="157"/>
      <c r="B4103" s="31" t="s">
        <v>14120</v>
      </c>
      <c r="C4103" s="31" t="s">
        <v>14121</v>
      </c>
      <c r="D4103" s="31" t="s">
        <v>1920</v>
      </c>
      <c r="E4103" s="61" t="b">
        <v>1</v>
      </c>
      <c r="F4103" s="107" t="s">
        <v>14122</v>
      </c>
      <c r="G4103" s="116" t="str">
        <f>HYPERLINK("http://nsgreg.nga.mil/genc/view?v=203383&amp;end_month=3&amp;end_day=31&amp;end_year=2014","KwaZulu-Natal")</f>
        <v>KwaZulu-Natal</v>
      </c>
      <c r="H4103" s="87" t="str">
        <f>HYPERLINK("http://api.nsgreg.nga.mil/geo-division/GENC/6/ed2/ZA-NL","ZA-NL")</f>
        <v>ZA-NL</v>
      </c>
    </row>
    <row r="4104" spans="1:8" x14ac:dyDescent="0.2">
      <c r="A4104" s="157"/>
      <c r="B4104" s="31" t="s">
        <v>14123</v>
      </c>
      <c r="C4104" s="31" t="s">
        <v>14124</v>
      </c>
      <c r="D4104" s="31" t="s">
        <v>1920</v>
      </c>
      <c r="E4104" s="61" t="b">
        <v>1</v>
      </c>
      <c r="F4104" s="107" t="s">
        <v>14125</v>
      </c>
      <c r="G4104" s="116" t="str">
        <f>HYPERLINK("http://nsgreg.nga.mil/genc/view?v=203380&amp;end_month=3&amp;end_day=31&amp;end_year=2014","Limpopo")</f>
        <v>Limpopo</v>
      </c>
      <c r="H4104" s="87" t="str">
        <f>HYPERLINK("http://api.nsgreg.nga.mil/geo-division/GENC/6/ed2/ZA-LP","ZA-LP")</f>
        <v>ZA-LP</v>
      </c>
    </row>
    <row r="4105" spans="1:8" x14ac:dyDescent="0.2">
      <c r="A4105" s="157"/>
      <c r="B4105" s="31" t="s">
        <v>14126</v>
      </c>
      <c r="C4105" s="31" t="s">
        <v>14127</v>
      </c>
      <c r="D4105" s="31" t="s">
        <v>1920</v>
      </c>
      <c r="E4105" s="61" t="b">
        <v>1</v>
      </c>
      <c r="F4105" s="107" t="s">
        <v>14128</v>
      </c>
      <c r="G4105" s="116" t="str">
        <f>HYPERLINK("http://nsgreg.nga.mil/genc/view?v=203381&amp;end_month=3&amp;end_day=31&amp;end_year=2014","Mpumalanga")</f>
        <v>Mpumalanga</v>
      </c>
      <c r="H4105" s="87" t="str">
        <f>HYPERLINK("http://api.nsgreg.nga.mil/geo-division/GENC/6/ed2/ZA-MP","ZA-MP")</f>
        <v>ZA-MP</v>
      </c>
    </row>
    <row r="4106" spans="1:8" x14ac:dyDescent="0.2">
      <c r="A4106" s="157"/>
      <c r="B4106" s="31" t="s">
        <v>14129</v>
      </c>
      <c r="C4106" s="31" t="s">
        <v>14130</v>
      </c>
      <c r="D4106" s="31" t="s">
        <v>1920</v>
      </c>
      <c r="E4106" s="61" t="b">
        <v>1</v>
      </c>
      <c r="F4106" s="107" t="s">
        <v>14131</v>
      </c>
      <c r="G4106" s="116" t="str">
        <f>HYPERLINK("http://nsgreg.nga.mil/genc/view?v=203382&amp;end_month=3&amp;end_day=31&amp;end_year=2014","Northern Cape")</f>
        <v>Northern Cape</v>
      </c>
      <c r="H4106" s="87" t="str">
        <f>HYPERLINK("http://api.nsgreg.nga.mil/geo-division/GENC/6/ed2/ZA-NC","ZA-NC")</f>
        <v>ZA-NC</v>
      </c>
    </row>
    <row r="4107" spans="1:8" x14ac:dyDescent="0.2">
      <c r="A4107" s="157"/>
      <c r="B4107" s="31" t="s">
        <v>14132</v>
      </c>
      <c r="C4107" s="31" t="s">
        <v>3454</v>
      </c>
      <c r="D4107" s="31" t="s">
        <v>1920</v>
      </c>
      <c r="E4107" s="61" t="b">
        <v>1</v>
      </c>
      <c r="F4107" s="107" t="s">
        <v>14133</v>
      </c>
      <c r="G4107" s="116" t="str">
        <f>HYPERLINK("http://nsgreg.nga.mil/genc/view?v=203384&amp;end_month=3&amp;end_day=31&amp;end_year=2014","North West")</f>
        <v>North West</v>
      </c>
      <c r="H4107" s="87" t="str">
        <f>HYPERLINK("http://api.nsgreg.nga.mil/geo-division/GENC/6/ed2/ZA-NW","ZA-NW")</f>
        <v>ZA-NW</v>
      </c>
    </row>
    <row r="4108" spans="1:8" x14ac:dyDescent="0.2">
      <c r="A4108" s="158"/>
      <c r="B4108" s="58" t="s">
        <v>14134</v>
      </c>
      <c r="C4108" s="58" t="s">
        <v>14135</v>
      </c>
      <c r="D4108" s="58" t="s">
        <v>1920</v>
      </c>
      <c r="E4108" s="62" t="b">
        <v>1</v>
      </c>
      <c r="F4108" s="111" t="s">
        <v>14136</v>
      </c>
      <c r="G4108" s="117" t="str">
        <f>HYPERLINK("http://nsgreg.nga.mil/genc/view?v=203385&amp;end_month=3&amp;end_day=31&amp;end_year=2014","Western Cape")</f>
        <v>Western Cape</v>
      </c>
      <c r="H4108" s="89" t="str">
        <f>HYPERLINK("http://api.nsgreg.nga.mil/geo-division/GENC/6/ed2/ZA-WC","ZA-WC")</f>
        <v>ZA-WC</v>
      </c>
    </row>
    <row r="4109" spans="1:8" x14ac:dyDescent="0.2">
      <c r="A4109" s="156" t="str">
        <f>HYPERLINK("[#]Geopolitical_Entities!A237:I237","SOUTH SUDAN")</f>
        <v>SOUTH SUDAN</v>
      </c>
      <c r="B4109" s="52" t="s">
        <v>14137</v>
      </c>
      <c r="C4109" s="52" t="s">
        <v>14138</v>
      </c>
      <c r="D4109" s="52" t="s">
        <v>2512</v>
      </c>
      <c r="E4109" s="60" t="b">
        <v>1</v>
      </c>
      <c r="F4109" s="109" t="s">
        <v>14139</v>
      </c>
      <c r="G4109" s="118" t="str">
        <f>HYPERLINK("http://nsgreg.nga.mil/genc/view?v=116101&amp;gencs=T&amp;end_month=3&amp;end_day=31&amp;end_year=2014","Central Equatoria")</f>
        <v>Central Equatoria</v>
      </c>
      <c r="H4109" s="91" t="str">
        <f>HYPERLINK("http://api.nsgreg.nga.mil/geo-division/ISO3166-2/6/ed3/SS-EC","SS-EC")</f>
        <v>SS-EC</v>
      </c>
    </row>
    <row r="4110" spans="1:8" x14ac:dyDescent="0.2">
      <c r="A4110" s="157"/>
      <c r="B4110" s="31" t="s">
        <v>14140</v>
      </c>
      <c r="C4110" s="31" t="s">
        <v>14141</v>
      </c>
      <c r="D4110" s="31" t="s">
        <v>2512</v>
      </c>
      <c r="E4110" s="61" t="b">
        <v>1</v>
      </c>
      <c r="F4110" s="106" t="s">
        <v>14142</v>
      </c>
      <c r="G4110" s="116" t="str">
        <f>HYPERLINK("http://nsgreg.nga.mil/genc/view?v=116102&amp;gencs=T&amp;end_month=3&amp;end_day=31&amp;end_year=2014","Eastern Equatoria")</f>
        <v>Eastern Equatoria</v>
      </c>
      <c r="H4110" s="87" t="str">
        <f>HYPERLINK("http://api.nsgreg.nga.mil/geo-division/ISO3166-2/6/ed3/SS-EE","SS-EE")</f>
        <v>SS-EE</v>
      </c>
    </row>
    <row r="4111" spans="1:8" x14ac:dyDescent="0.2">
      <c r="A4111" s="157"/>
      <c r="B4111" s="31" t="s">
        <v>14143</v>
      </c>
      <c r="C4111" s="31" t="s">
        <v>14144</v>
      </c>
      <c r="D4111" s="31" t="s">
        <v>2512</v>
      </c>
      <c r="E4111" s="61" t="b">
        <v>1</v>
      </c>
      <c r="F4111" s="106" t="s">
        <v>14145</v>
      </c>
      <c r="G4111" s="116" t="str">
        <f>HYPERLINK("http://nsgreg.nga.mil/genc/view?v=116104&amp;gencs=T&amp;end_month=3&amp;end_day=31&amp;end_year=2014","Jonglei")</f>
        <v>Jonglei</v>
      </c>
      <c r="H4111" s="87" t="str">
        <f>HYPERLINK("http://api.nsgreg.nga.mil/geo-division/ISO3166-2/6/ed3/SS-JG","SS-JG")</f>
        <v>SS-JG</v>
      </c>
    </row>
    <row r="4112" spans="1:8" x14ac:dyDescent="0.2">
      <c r="A4112" s="157"/>
      <c r="B4112" s="31" t="s">
        <v>14146</v>
      </c>
      <c r="C4112" s="31" t="s">
        <v>14147</v>
      </c>
      <c r="D4112" s="31" t="s">
        <v>2512</v>
      </c>
      <c r="E4112" s="61" t="b">
        <v>1</v>
      </c>
      <c r="F4112" s="106" t="s">
        <v>14148</v>
      </c>
      <c r="G4112" s="116" t="str">
        <f>HYPERLINK("http://nsgreg.nga.mil/genc/view?v=116105&amp;gencs=T&amp;end_month=3&amp;end_day=31&amp;end_year=2014","Lakes")</f>
        <v>Lakes</v>
      </c>
      <c r="H4112" s="87" t="str">
        <f>HYPERLINK("http://api.nsgreg.nga.mil/geo-division/ISO3166-2/6/ed3/SS-LK","SS-LK")</f>
        <v>SS-LK</v>
      </c>
    </row>
    <row r="4113" spans="1:8" x14ac:dyDescent="0.2">
      <c r="A4113" s="157"/>
      <c r="B4113" s="31" t="s">
        <v>14149</v>
      </c>
      <c r="C4113" s="31" t="s">
        <v>14150</v>
      </c>
      <c r="D4113" s="31" t="s">
        <v>2512</v>
      </c>
      <c r="E4113" s="61" t="b">
        <v>1</v>
      </c>
      <c r="F4113" s="106" t="s">
        <v>14151</v>
      </c>
      <c r="G4113" s="116" t="str">
        <f>HYPERLINK("http://nsgreg.nga.mil/genc/view?v=116099&amp;gencs=T&amp;end_month=3&amp;end_day=31&amp;end_year=2014","Northern Bahr el Ghazal")</f>
        <v>Northern Bahr el Ghazal</v>
      </c>
      <c r="H4113" s="87" t="str">
        <f>HYPERLINK("http://api.nsgreg.nga.mil/geo-division/ISO3166-2/6/ed3/SS-BN","SS-BN")</f>
        <v>SS-BN</v>
      </c>
    </row>
    <row r="4114" spans="1:8" x14ac:dyDescent="0.2">
      <c r="A4114" s="157"/>
      <c r="B4114" s="31" t="s">
        <v>14152</v>
      </c>
      <c r="C4114" s="31" t="s">
        <v>14153</v>
      </c>
      <c r="D4114" s="31" t="s">
        <v>2512</v>
      </c>
      <c r="E4114" s="61" t="b">
        <v>1</v>
      </c>
      <c r="F4114" s="106" t="s">
        <v>14154</v>
      </c>
      <c r="G4114" s="116" t="str">
        <f>HYPERLINK("http://nsgreg.nga.mil/genc/view?v=116107&amp;gencs=T&amp;end_month=3&amp;end_day=31&amp;end_year=2014","Unity")</f>
        <v>Unity</v>
      </c>
      <c r="H4114" s="87" t="str">
        <f>HYPERLINK("http://api.nsgreg.nga.mil/geo-division/ISO3166-2/6/ed3/SS-UY","SS-UY")</f>
        <v>SS-UY</v>
      </c>
    </row>
    <row r="4115" spans="1:8" x14ac:dyDescent="0.2">
      <c r="A4115" s="157"/>
      <c r="B4115" s="31" t="s">
        <v>14155</v>
      </c>
      <c r="C4115" s="31" t="s">
        <v>14156</v>
      </c>
      <c r="D4115" s="31" t="s">
        <v>2512</v>
      </c>
      <c r="E4115" s="61" t="b">
        <v>1</v>
      </c>
      <c r="F4115" s="106" t="s">
        <v>14157</v>
      </c>
      <c r="G4115" s="116" t="str">
        <f>HYPERLINK("http://nsgreg.nga.mil/genc/view?v=116106&amp;gencs=T&amp;end_month=3&amp;end_day=31&amp;end_year=2014","Upper Nile")</f>
        <v>Upper Nile</v>
      </c>
      <c r="H4115" s="87" t="str">
        <f>HYPERLINK("http://api.nsgreg.nga.mil/geo-division/ISO3166-2/6/ed3/SS-NU","SS-NU")</f>
        <v>SS-NU</v>
      </c>
    </row>
    <row r="4116" spans="1:8" x14ac:dyDescent="0.2">
      <c r="A4116" s="157"/>
      <c r="B4116" s="31" t="s">
        <v>14158</v>
      </c>
      <c r="C4116" s="31" t="s">
        <v>14159</v>
      </c>
      <c r="D4116" s="31" t="s">
        <v>2512</v>
      </c>
      <c r="E4116" s="61" t="b">
        <v>1</v>
      </c>
      <c r="F4116" s="106" t="s">
        <v>14160</v>
      </c>
      <c r="G4116" s="116" t="str">
        <f>HYPERLINK("http://nsgreg.nga.mil/genc/view?v=116108&amp;gencs=T&amp;end_month=3&amp;end_day=31&amp;end_year=2014","Warrap")</f>
        <v>Warrap</v>
      </c>
      <c r="H4116" s="87" t="str">
        <f>HYPERLINK("http://api.nsgreg.nga.mil/geo-division/ISO3166-2/6/ed3/SS-WR","SS-WR")</f>
        <v>SS-WR</v>
      </c>
    </row>
    <row r="4117" spans="1:8" x14ac:dyDescent="0.2">
      <c r="A4117" s="157"/>
      <c r="B4117" s="31" t="s">
        <v>14161</v>
      </c>
      <c r="C4117" s="31" t="s">
        <v>14162</v>
      </c>
      <c r="D4117" s="31" t="s">
        <v>2512</v>
      </c>
      <c r="E4117" s="61" t="b">
        <v>1</v>
      </c>
      <c r="F4117" s="106" t="s">
        <v>14163</v>
      </c>
      <c r="G4117" s="116" t="str">
        <f>HYPERLINK("http://nsgreg.nga.mil/genc/view?v=116100&amp;gencs=T&amp;end_month=3&amp;end_day=31&amp;end_year=2014","Western Bahr el Ghazal")</f>
        <v>Western Bahr el Ghazal</v>
      </c>
      <c r="H4117" s="87" t="str">
        <f>HYPERLINK("http://api.nsgreg.nga.mil/geo-division/ISO3166-2/6/ed3/SS-BW","SS-BW")</f>
        <v>SS-BW</v>
      </c>
    </row>
    <row r="4118" spans="1:8" x14ac:dyDescent="0.2">
      <c r="A4118" s="158"/>
      <c r="B4118" s="58" t="s">
        <v>14164</v>
      </c>
      <c r="C4118" s="58" t="s">
        <v>14165</v>
      </c>
      <c r="D4118" s="58" t="s">
        <v>2512</v>
      </c>
      <c r="E4118" s="62" t="b">
        <v>1</v>
      </c>
      <c r="F4118" s="108" t="s">
        <v>14166</v>
      </c>
      <c r="G4118" s="117" t="str">
        <f>HYPERLINK("http://nsgreg.nga.mil/genc/view?v=116103&amp;gencs=T&amp;end_month=3&amp;end_day=31&amp;end_year=2014","Western Equatoria")</f>
        <v>Western Equatoria</v>
      </c>
      <c r="H4118" s="89" t="str">
        <f>HYPERLINK("http://api.nsgreg.nga.mil/geo-division/ISO3166-2/6/ed3/SS-EW","SS-EW")</f>
        <v>SS-EW</v>
      </c>
    </row>
    <row r="4119" spans="1:8" x14ac:dyDescent="0.2">
      <c r="A4119" s="156" t="str">
        <f>HYPERLINK("[#]Geopolitical_Entities!A238:I238","SPAIN")</f>
        <v>SPAIN</v>
      </c>
      <c r="B4119" s="52" t="s">
        <v>14167</v>
      </c>
      <c r="C4119" s="52" t="s">
        <v>14168</v>
      </c>
      <c r="D4119" s="102" t="s">
        <v>1920</v>
      </c>
      <c r="E4119" s="103" t="b">
        <v>0</v>
      </c>
      <c r="F4119" s="110" t="s">
        <v>14169</v>
      </c>
      <c r="G4119" s="118" t="str">
        <f>HYPERLINK("http://nsgreg.nga.mil/genc/view?v=201111&amp;end_month=3&amp;end_day=31&amp;end_year=2014","A Coruña")</f>
        <v>A Coruña</v>
      </c>
      <c r="H4119" s="91" t="str">
        <f>HYPERLINK("http://api.nsgreg.nga.mil/geo-division/GENC/6/ed2/ES-C","ES-C")</f>
        <v>ES-C</v>
      </c>
    </row>
    <row r="4120" spans="1:8" x14ac:dyDescent="0.2">
      <c r="A4120" s="157"/>
      <c r="B4120" s="31" t="s">
        <v>14170</v>
      </c>
      <c r="C4120" s="31" t="s">
        <v>14171</v>
      </c>
      <c r="D4120" s="98" t="s">
        <v>1920</v>
      </c>
      <c r="E4120" s="99" t="b">
        <v>0</v>
      </c>
      <c r="F4120" s="107" t="s">
        <v>14172</v>
      </c>
      <c r="G4120" s="116" t="str">
        <f>HYPERLINK("http://nsgreg.nga.mil/genc/view?v=201131&amp;end_month=3&amp;end_day=31&amp;end_year=2014","Álava")</f>
        <v>Álava</v>
      </c>
      <c r="H4120" s="87" t="str">
        <f>HYPERLINK("http://api.nsgreg.nga.mil/geo-division/GENC/6/ed2/ES-VI","ES-VI")</f>
        <v>ES-VI</v>
      </c>
    </row>
    <row r="4121" spans="1:8" x14ac:dyDescent="0.2">
      <c r="A4121" s="157"/>
      <c r="B4121" s="31" t="s">
        <v>14173</v>
      </c>
      <c r="C4121" s="31" t="s">
        <v>14174</v>
      </c>
      <c r="D4121" s="98" t="s">
        <v>1920</v>
      </c>
      <c r="E4121" s="99" t="b">
        <v>0</v>
      </c>
      <c r="F4121" s="106" t="s">
        <v>14175</v>
      </c>
      <c r="G4121" s="116" t="str">
        <f>HYPERLINK("http://nsgreg.nga.mil/genc/view?v=113093&amp;gencs=T&amp;end_month=3&amp;end_day=31&amp;end_year=2014","Albacete")</f>
        <v>Albacete</v>
      </c>
      <c r="H4121" s="87" t="str">
        <f>HYPERLINK("http://api.nsgreg.nga.mil/geo-division/ISO3166-2/6/ed3/ES-AB","ES-AB")</f>
        <v>ES-AB</v>
      </c>
    </row>
    <row r="4122" spans="1:8" x14ac:dyDescent="0.2">
      <c r="A4122" s="157"/>
      <c r="B4122" s="31" t="s">
        <v>14176</v>
      </c>
      <c r="C4122" s="31" t="s">
        <v>14177</v>
      </c>
      <c r="D4122" s="98" t="s">
        <v>1920</v>
      </c>
      <c r="E4122" s="99" t="b">
        <v>0</v>
      </c>
      <c r="F4122" s="107" t="s">
        <v>14178</v>
      </c>
      <c r="G4122" s="116" t="str">
        <f>HYPERLINK("http://nsgreg.nga.mil/genc/view?v=201107&amp;end_month=3&amp;end_day=31&amp;end_year=2014","Alicante")</f>
        <v>Alicante</v>
      </c>
      <c r="H4122" s="87" t="str">
        <f>HYPERLINK("http://api.nsgreg.nga.mil/geo-division/GENC/6/ed2/ES-A","ES-A")</f>
        <v>ES-A</v>
      </c>
    </row>
    <row r="4123" spans="1:8" x14ac:dyDescent="0.2">
      <c r="A4123" s="157"/>
      <c r="B4123" s="31" t="s">
        <v>14179</v>
      </c>
      <c r="C4123" s="31" t="s">
        <v>14180</v>
      </c>
      <c r="D4123" s="98" t="s">
        <v>1920</v>
      </c>
      <c r="E4123" s="99" t="b">
        <v>0</v>
      </c>
      <c r="F4123" s="106" t="s">
        <v>14181</v>
      </c>
      <c r="G4123" s="116" t="str">
        <f>HYPERLINK("http://nsgreg.nga.mil/genc/view?v=113094&amp;gencs=T&amp;end_month=3&amp;end_day=31&amp;end_year=2014","Almería")</f>
        <v>Almería</v>
      </c>
      <c r="H4123" s="87" t="str">
        <f>HYPERLINK("http://api.nsgreg.nga.mil/geo-division/ISO3166-2/6/ed3/ES-AL","ES-AL")</f>
        <v>ES-AL</v>
      </c>
    </row>
    <row r="4124" spans="1:8" x14ac:dyDescent="0.2">
      <c r="A4124" s="157"/>
      <c r="B4124" s="31" t="s">
        <v>14182</v>
      </c>
      <c r="C4124" s="31" t="s">
        <v>14183</v>
      </c>
      <c r="D4124" s="31" t="s">
        <v>14184</v>
      </c>
      <c r="E4124" s="61" t="b">
        <v>1</v>
      </c>
      <c r="F4124" s="106" t="s">
        <v>14185</v>
      </c>
      <c r="G4124" s="116" t="str">
        <f>HYPERLINK("http://nsgreg.nga.mil/genc/view?v=113095&amp;gencs=T&amp;end_month=3&amp;end_day=31&amp;end_year=2014","Andalucía")</f>
        <v>Andalucía</v>
      </c>
      <c r="H4124" s="87" t="str">
        <f>HYPERLINK("http://api.nsgreg.nga.mil/geo-division/ISO3166-2/6/ed3/ES-AN","ES-AN")</f>
        <v>ES-AN</v>
      </c>
    </row>
    <row r="4125" spans="1:8" x14ac:dyDescent="0.2">
      <c r="A4125" s="157"/>
      <c r="B4125" s="31" t="s">
        <v>14186</v>
      </c>
      <c r="C4125" s="31" t="s">
        <v>14187</v>
      </c>
      <c r="D4125" s="31" t="s">
        <v>14184</v>
      </c>
      <c r="E4125" s="61" t="b">
        <v>1</v>
      </c>
      <c r="F4125" s="106" t="s">
        <v>14188</v>
      </c>
      <c r="G4125" s="116" t="str">
        <f>HYPERLINK("http://nsgreg.nga.mil/genc/view?v=113096&amp;gencs=T&amp;end_month=3&amp;end_day=31&amp;end_year=2014","Aragón")</f>
        <v>Aragón</v>
      </c>
      <c r="H4125" s="87" t="str">
        <f>HYPERLINK("http://api.nsgreg.nga.mil/geo-division/ISO3166-2/6/ed3/ES-AR","ES-AR")</f>
        <v>ES-AR</v>
      </c>
    </row>
    <row r="4126" spans="1:8" x14ac:dyDescent="0.2">
      <c r="A4126" s="157"/>
      <c r="B4126" s="31" t="s">
        <v>14189</v>
      </c>
      <c r="C4126" s="31" t="s">
        <v>14190</v>
      </c>
      <c r="D4126" s="31" t="s">
        <v>14184</v>
      </c>
      <c r="E4126" s="61" t="b">
        <v>1</v>
      </c>
      <c r="F4126" s="107" t="s">
        <v>14191</v>
      </c>
      <c r="G4126" s="116" t="str">
        <f>HYPERLINK("http://nsgreg.nga.mil/genc/view?v=201108&amp;end_month=3&amp;end_day=31&amp;end_year=2014","Asturias")</f>
        <v>Asturias</v>
      </c>
      <c r="H4126" s="87" t="str">
        <f>HYPERLINK("http://api.nsgreg.nga.mil/geo-division/GENC/6/ed2/ES-AS","ES-AS")</f>
        <v>ES-AS</v>
      </c>
    </row>
    <row r="4127" spans="1:8" x14ac:dyDescent="0.2">
      <c r="A4127" s="157"/>
      <c r="B4127" s="31" t="s">
        <v>14192</v>
      </c>
      <c r="C4127" s="31" t="s">
        <v>14190</v>
      </c>
      <c r="D4127" s="98" t="s">
        <v>1920</v>
      </c>
      <c r="E4127" s="99" t="b">
        <v>0</v>
      </c>
      <c r="F4127" s="106" t="s">
        <v>14193</v>
      </c>
      <c r="G4127" s="116" t="str">
        <f>HYPERLINK("http://nsgreg.nga.mil/genc/view?v=113138&amp;gencs=T&amp;end_month=3&amp;end_day=31&amp;end_year=2014","Asturias")</f>
        <v>Asturias</v>
      </c>
      <c r="H4127" s="87" t="str">
        <f>HYPERLINK("http://api.nsgreg.nga.mil/geo-division/ISO3166-2/6/ed3/ES-O","ES-O")</f>
        <v>ES-O</v>
      </c>
    </row>
    <row r="4128" spans="1:8" x14ac:dyDescent="0.2">
      <c r="A4128" s="157"/>
      <c r="B4128" s="31" t="s">
        <v>14194</v>
      </c>
      <c r="C4128" s="31" t="s">
        <v>14195</v>
      </c>
      <c r="D4128" s="98" t="s">
        <v>1920</v>
      </c>
      <c r="E4128" s="99" t="b">
        <v>0</v>
      </c>
      <c r="F4128" s="106" t="s">
        <v>14196</v>
      </c>
      <c r="G4128" s="116" t="str">
        <f>HYPERLINK("http://nsgreg.nga.mil/genc/view?v=113098&amp;gencs=T&amp;end_month=3&amp;end_day=31&amp;end_year=2014","Ávila")</f>
        <v>Ávila</v>
      </c>
      <c r="H4128" s="87" t="str">
        <f>HYPERLINK("http://api.nsgreg.nga.mil/geo-division/ISO3166-2/6/ed3/ES-AV","ES-AV")</f>
        <v>ES-AV</v>
      </c>
    </row>
    <row r="4129" spans="1:8" x14ac:dyDescent="0.2">
      <c r="A4129" s="157"/>
      <c r="B4129" s="31" t="s">
        <v>14197</v>
      </c>
      <c r="C4129" s="31" t="s">
        <v>14198</v>
      </c>
      <c r="D4129" s="98" t="s">
        <v>1920</v>
      </c>
      <c r="E4129" s="99" t="b">
        <v>0</v>
      </c>
      <c r="F4129" s="106" t="s">
        <v>14199</v>
      </c>
      <c r="G4129" s="116" t="str">
        <f>HYPERLINK("http://nsgreg.nga.mil/genc/view?v=113100&amp;gencs=T&amp;end_month=3&amp;end_day=31&amp;end_year=2014","Badajoz")</f>
        <v>Badajoz</v>
      </c>
      <c r="H4129" s="87" t="str">
        <f>HYPERLINK("http://api.nsgreg.nga.mil/geo-division/ISO3166-2/6/ed3/ES-BA","ES-BA")</f>
        <v>ES-BA</v>
      </c>
    </row>
    <row r="4130" spans="1:8" x14ac:dyDescent="0.2">
      <c r="A4130" s="157"/>
      <c r="B4130" s="31" t="s">
        <v>14200</v>
      </c>
      <c r="C4130" s="31" t="s">
        <v>14201</v>
      </c>
      <c r="D4130" s="98" t="s">
        <v>1920</v>
      </c>
      <c r="E4130" s="99" t="b">
        <v>0</v>
      </c>
      <c r="F4130" s="107" t="s">
        <v>14202</v>
      </c>
      <c r="G4130" s="116" t="str">
        <f>HYPERLINK("http://nsgreg.nga.mil/genc/view?v=201124&amp;end_month=3&amp;end_day=31&amp;end_year=2014","Baleares")</f>
        <v>Baleares</v>
      </c>
      <c r="H4130" s="87" t="str">
        <f>HYPERLINK("http://api.nsgreg.nga.mil/geo-division/GENC/6/ed2/ES-PM","ES-PM")</f>
        <v>ES-PM</v>
      </c>
    </row>
    <row r="4131" spans="1:8" x14ac:dyDescent="0.2">
      <c r="A4131" s="157"/>
      <c r="B4131" s="31" t="s">
        <v>14203</v>
      </c>
      <c r="C4131" s="31" t="s">
        <v>14204</v>
      </c>
      <c r="D4131" s="98" t="s">
        <v>1920</v>
      </c>
      <c r="E4131" s="99" t="b">
        <v>0</v>
      </c>
      <c r="F4131" s="107" t="s">
        <v>14205</v>
      </c>
      <c r="G4131" s="116" t="str">
        <f>HYPERLINK("http://nsgreg.nga.mil/genc/view?v=201109&amp;end_month=3&amp;end_day=31&amp;end_year=2014","Barcelona")</f>
        <v>Barcelona</v>
      </c>
      <c r="H4131" s="87" t="str">
        <f>HYPERLINK("http://api.nsgreg.nga.mil/geo-division/GENC/6/ed2/ES-B","ES-B")</f>
        <v>ES-B</v>
      </c>
    </row>
    <row r="4132" spans="1:8" x14ac:dyDescent="0.2">
      <c r="A4132" s="157"/>
      <c r="B4132" s="31" t="s">
        <v>14206</v>
      </c>
      <c r="C4132" s="31" t="s">
        <v>14207</v>
      </c>
      <c r="D4132" s="98" t="s">
        <v>1920</v>
      </c>
      <c r="E4132" s="99" t="b">
        <v>0</v>
      </c>
      <c r="F4132" s="106" t="s">
        <v>14208</v>
      </c>
      <c r="G4132" s="116" t="str">
        <f>HYPERLINK("http://nsgreg.nga.mil/genc/view?v=113102&amp;gencs=T&amp;end_month=3&amp;end_day=31&amp;end_year=2014","Burgos")</f>
        <v>Burgos</v>
      </c>
      <c r="H4132" s="87" t="str">
        <f>HYPERLINK("http://api.nsgreg.nga.mil/geo-division/ISO3166-2/6/ed3/ES-BU","ES-BU")</f>
        <v>ES-BU</v>
      </c>
    </row>
    <row r="4133" spans="1:8" x14ac:dyDescent="0.2">
      <c r="A4133" s="157"/>
      <c r="B4133" s="31" t="s">
        <v>14209</v>
      </c>
      <c r="C4133" s="31" t="s">
        <v>14210</v>
      </c>
      <c r="D4133" s="98" t="s">
        <v>1920</v>
      </c>
      <c r="E4133" s="99" t="b">
        <v>0</v>
      </c>
      <c r="F4133" s="106" t="s">
        <v>14211</v>
      </c>
      <c r="G4133" s="116" t="str">
        <f>HYPERLINK("http://nsgreg.nga.mil/genc/view?v=113106&amp;gencs=T&amp;end_month=3&amp;end_day=31&amp;end_year=2014","Cáceres")</f>
        <v>Cáceres</v>
      </c>
      <c r="H4133" s="87" t="str">
        <f>HYPERLINK("http://api.nsgreg.nga.mil/geo-division/ISO3166-2/6/ed3/ES-CC","ES-CC")</f>
        <v>ES-CC</v>
      </c>
    </row>
    <row r="4134" spans="1:8" x14ac:dyDescent="0.2">
      <c r="A4134" s="157"/>
      <c r="B4134" s="31" t="s">
        <v>14212</v>
      </c>
      <c r="C4134" s="31" t="s">
        <v>14213</v>
      </c>
      <c r="D4134" s="98" t="s">
        <v>1920</v>
      </c>
      <c r="E4134" s="99" t="b">
        <v>0</v>
      </c>
      <c r="F4134" s="106" t="s">
        <v>14214</v>
      </c>
      <c r="G4134" s="116" t="str">
        <f>HYPERLINK("http://nsgreg.nga.mil/genc/view?v=113104&amp;gencs=T&amp;end_month=3&amp;end_day=31&amp;end_year=2014","Cádiz")</f>
        <v>Cádiz</v>
      </c>
      <c r="H4134" s="87" t="str">
        <f>HYPERLINK("http://api.nsgreg.nga.mil/geo-division/ISO3166-2/6/ed3/ES-CA","ES-CA")</f>
        <v>ES-CA</v>
      </c>
    </row>
    <row r="4135" spans="1:8" x14ac:dyDescent="0.2">
      <c r="A4135" s="157"/>
      <c r="B4135" s="31" t="s">
        <v>14215</v>
      </c>
      <c r="C4135" s="31" t="s">
        <v>14216</v>
      </c>
      <c r="D4135" s="31" t="s">
        <v>14184</v>
      </c>
      <c r="E4135" s="61" t="b">
        <v>1</v>
      </c>
      <c r="F4135" s="106" t="s">
        <v>14217</v>
      </c>
      <c r="G4135" s="116" t="str">
        <f>HYPERLINK("http://nsgreg.nga.mil/genc/view?v=113110&amp;gencs=T&amp;end_month=3&amp;end_day=31&amp;end_year=2014","Canarias")</f>
        <v>Canarias</v>
      </c>
      <c r="H4135" s="87" t="str">
        <f>HYPERLINK("http://api.nsgreg.nga.mil/geo-division/ISO3166-2/6/ed3/ES-CN","ES-CN")</f>
        <v>ES-CN</v>
      </c>
    </row>
    <row r="4136" spans="1:8" x14ac:dyDescent="0.2">
      <c r="A4136" s="157"/>
      <c r="B4136" s="31" t="s">
        <v>14218</v>
      </c>
      <c r="C4136" s="31" t="s">
        <v>14219</v>
      </c>
      <c r="D4136" s="31" t="s">
        <v>14184</v>
      </c>
      <c r="E4136" s="61" t="b">
        <v>1</v>
      </c>
      <c r="F4136" s="106" t="s">
        <v>14220</v>
      </c>
      <c r="G4136" s="116" t="str">
        <f>HYPERLINK("http://nsgreg.nga.mil/genc/view?v=113105&amp;gencs=T&amp;end_month=3&amp;end_day=31&amp;end_year=2014","Cantabria")</f>
        <v>Cantabria</v>
      </c>
      <c r="H4136" s="87" t="str">
        <f>HYPERLINK("http://api.nsgreg.nga.mil/geo-division/ISO3166-2/6/ed3/ES-CB","ES-CB")</f>
        <v>ES-CB</v>
      </c>
    </row>
    <row r="4137" spans="1:8" x14ac:dyDescent="0.2">
      <c r="A4137" s="157"/>
      <c r="B4137" s="31" t="s">
        <v>14221</v>
      </c>
      <c r="C4137" s="31" t="s">
        <v>14219</v>
      </c>
      <c r="D4137" s="98" t="s">
        <v>1920</v>
      </c>
      <c r="E4137" s="99" t="b">
        <v>0</v>
      </c>
      <c r="F4137" s="106" t="s">
        <v>14222</v>
      </c>
      <c r="G4137" s="116" t="str">
        <f>HYPERLINK("http://nsgreg.nga.mil/genc/view?v=113145&amp;gencs=T&amp;end_month=3&amp;end_day=31&amp;end_year=2014","Cantabria")</f>
        <v>Cantabria</v>
      </c>
      <c r="H4137" s="87" t="str">
        <f>HYPERLINK("http://api.nsgreg.nga.mil/geo-division/ISO3166-2/6/ed3/ES-S","ES-S")</f>
        <v>ES-S</v>
      </c>
    </row>
    <row r="4138" spans="1:8" x14ac:dyDescent="0.2">
      <c r="A4138" s="157"/>
      <c r="B4138" s="31" t="s">
        <v>14223</v>
      </c>
      <c r="C4138" s="31" t="s">
        <v>14224</v>
      </c>
      <c r="D4138" s="98" t="s">
        <v>1920</v>
      </c>
      <c r="E4138" s="99" t="b">
        <v>0</v>
      </c>
      <c r="F4138" s="107" t="s">
        <v>14225</v>
      </c>
      <c r="G4138" s="116" t="str">
        <f>HYPERLINK("http://nsgreg.nga.mil/genc/view?v=201112&amp;end_month=3&amp;end_day=31&amp;end_year=2014","Castellón")</f>
        <v>Castellón</v>
      </c>
      <c r="H4138" s="87" t="str">
        <f>HYPERLINK("http://api.nsgreg.nga.mil/geo-division/GENC/6/ed2/ES-CS","ES-CS")</f>
        <v>ES-CS</v>
      </c>
    </row>
    <row r="4139" spans="1:8" x14ac:dyDescent="0.2">
      <c r="A4139" s="157"/>
      <c r="B4139" s="31" t="s">
        <v>14226</v>
      </c>
      <c r="C4139" s="31" t="s">
        <v>14227</v>
      </c>
      <c r="D4139" s="31" t="s">
        <v>14184</v>
      </c>
      <c r="E4139" s="61" t="b">
        <v>1</v>
      </c>
      <c r="F4139" s="106" t="s">
        <v>14228</v>
      </c>
      <c r="G4139" s="116" t="str">
        <f>HYPERLINK("http://nsgreg.nga.mil/genc/view?v=113109&amp;gencs=T&amp;end_month=3&amp;end_day=31&amp;end_year=2014","Castilla-La Mancha")</f>
        <v>Castilla-La Mancha</v>
      </c>
      <c r="H4139" s="87" t="str">
        <f>HYPERLINK("http://api.nsgreg.nga.mil/geo-division/ISO3166-2/6/ed3/ES-CM","ES-CM")</f>
        <v>ES-CM</v>
      </c>
    </row>
    <row r="4140" spans="1:8" x14ac:dyDescent="0.2">
      <c r="A4140" s="157"/>
      <c r="B4140" s="31" t="s">
        <v>14229</v>
      </c>
      <c r="C4140" s="31" t="s">
        <v>14230</v>
      </c>
      <c r="D4140" s="31" t="s">
        <v>14184</v>
      </c>
      <c r="E4140" s="61" t="b">
        <v>1</v>
      </c>
      <c r="F4140" s="106" t="s">
        <v>14231</v>
      </c>
      <c r="G4140" s="116" t="str">
        <f>HYPERLINK("http://nsgreg.nga.mil/genc/view?v=113108&amp;gencs=T&amp;end_month=3&amp;end_day=31&amp;end_year=2014","Castilla y León")</f>
        <v>Castilla y León</v>
      </c>
      <c r="H4140" s="87" t="str">
        <f>HYPERLINK("http://api.nsgreg.nga.mil/geo-division/ISO3166-2/6/ed3/ES-CL","ES-CL")</f>
        <v>ES-CL</v>
      </c>
    </row>
    <row r="4141" spans="1:8" x14ac:dyDescent="0.2">
      <c r="A4141" s="157"/>
      <c r="B4141" s="31" t="s">
        <v>14232</v>
      </c>
      <c r="C4141" s="31" t="s">
        <v>14233</v>
      </c>
      <c r="D4141" s="31" t="s">
        <v>14184</v>
      </c>
      <c r="E4141" s="61" t="b">
        <v>1</v>
      </c>
      <c r="F4141" s="107" t="s">
        <v>14234</v>
      </c>
      <c r="G4141" s="116" t="str">
        <f>HYPERLINK("http://nsgreg.nga.mil/genc/view?v=201113&amp;end_month=3&amp;end_day=31&amp;end_year=2014","Cataluña")</f>
        <v>Cataluña</v>
      </c>
      <c r="H4141" s="87" t="str">
        <f>HYPERLINK("http://api.nsgreg.nga.mil/geo-division/GENC/6/ed2/ES-CT","ES-CT")</f>
        <v>ES-CT</v>
      </c>
    </row>
    <row r="4142" spans="1:8" x14ac:dyDescent="0.2">
      <c r="A4142" s="157"/>
      <c r="B4142" s="31" t="s">
        <v>14235</v>
      </c>
      <c r="C4142" s="31" t="s">
        <v>14236</v>
      </c>
      <c r="D4142" s="31" t="s">
        <v>14237</v>
      </c>
      <c r="E4142" s="61" t="b">
        <v>1</v>
      </c>
      <c r="F4142" s="107" t="s">
        <v>14238</v>
      </c>
      <c r="G4142" s="116" t="str">
        <f>HYPERLINK("http://nsgreg.nga.mil/genc/view?v=204512&amp;end_month=3&amp;end_day=31&amp;end_year=2014","Ceuta")</f>
        <v>Ceuta</v>
      </c>
      <c r="H4142" s="87" t="str">
        <f>HYPERLINK("http://api.nsgreg.nga.mil/geo-division/GENC/6/ed2/ES-CE","ES-CE")</f>
        <v>ES-CE</v>
      </c>
    </row>
    <row r="4143" spans="1:8" x14ac:dyDescent="0.2">
      <c r="A4143" s="157"/>
      <c r="B4143" s="31" t="s">
        <v>14239</v>
      </c>
      <c r="C4143" s="31" t="s">
        <v>14240</v>
      </c>
      <c r="D4143" s="98" t="s">
        <v>1920</v>
      </c>
      <c r="E4143" s="99" t="b">
        <v>0</v>
      </c>
      <c r="F4143" s="106" t="s">
        <v>14241</v>
      </c>
      <c r="G4143" s="116" t="str">
        <f>HYPERLINK("http://nsgreg.nga.mil/genc/view?v=113112&amp;gencs=T&amp;end_month=3&amp;end_day=31&amp;end_year=2014","Ciudad Real")</f>
        <v>Ciudad Real</v>
      </c>
      <c r="H4143" s="87" t="str">
        <f>HYPERLINK("http://api.nsgreg.nga.mil/geo-division/ISO3166-2/6/ed3/ES-CR","ES-CR")</f>
        <v>ES-CR</v>
      </c>
    </row>
    <row r="4144" spans="1:8" x14ac:dyDescent="0.2">
      <c r="A4144" s="157"/>
      <c r="B4144" s="31" t="s">
        <v>14242</v>
      </c>
      <c r="C4144" s="31" t="s">
        <v>2417</v>
      </c>
      <c r="D4144" s="98" t="s">
        <v>1920</v>
      </c>
      <c r="E4144" s="99" t="b">
        <v>0</v>
      </c>
      <c r="F4144" s="106" t="s">
        <v>14243</v>
      </c>
      <c r="G4144" s="116" t="str">
        <f>HYPERLINK("http://nsgreg.nga.mil/genc/view?v=113111&amp;gencs=T&amp;end_month=3&amp;end_day=31&amp;end_year=2014","Córdoba")</f>
        <v>Córdoba</v>
      </c>
      <c r="H4144" s="87" t="str">
        <f>HYPERLINK("http://api.nsgreg.nga.mil/geo-division/ISO3166-2/6/ed3/ES-CO","ES-CO")</f>
        <v>ES-CO</v>
      </c>
    </row>
    <row r="4145" spans="1:8" x14ac:dyDescent="0.2">
      <c r="A4145" s="157"/>
      <c r="B4145" s="31" t="s">
        <v>14244</v>
      </c>
      <c r="C4145" s="31" t="s">
        <v>14245</v>
      </c>
      <c r="D4145" s="98" t="s">
        <v>1920</v>
      </c>
      <c r="E4145" s="99" t="b">
        <v>0</v>
      </c>
      <c r="F4145" s="106" t="s">
        <v>14246</v>
      </c>
      <c r="G4145" s="116" t="str">
        <f>HYPERLINK("http://nsgreg.nga.mil/genc/view?v=113115&amp;gencs=T&amp;end_month=3&amp;end_day=31&amp;end_year=2014","Cuenca")</f>
        <v>Cuenca</v>
      </c>
      <c r="H4145" s="87" t="str">
        <f>HYPERLINK("http://api.nsgreg.nga.mil/geo-division/ISO3166-2/6/ed3/ES-CU","ES-CU")</f>
        <v>ES-CU</v>
      </c>
    </row>
    <row r="4146" spans="1:8" x14ac:dyDescent="0.2">
      <c r="A4146" s="157"/>
      <c r="B4146" s="31" t="s">
        <v>14247</v>
      </c>
      <c r="C4146" s="31" t="s">
        <v>14248</v>
      </c>
      <c r="D4146" s="31" t="s">
        <v>14184</v>
      </c>
      <c r="E4146" s="61" t="b">
        <v>1</v>
      </c>
      <c r="F4146" s="106" t="s">
        <v>14249</v>
      </c>
      <c r="G4146" s="116" t="str">
        <f>HYPERLINK("http://nsgreg.nga.mil/genc/view?v=113116&amp;gencs=T&amp;end_month=3&amp;end_day=31&amp;end_year=2014","Extremadura")</f>
        <v>Extremadura</v>
      </c>
      <c r="H4146" s="87" t="str">
        <f>HYPERLINK("http://api.nsgreg.nga.mil/geo-division/ISO3166-2/6/ed3/ES-EX","ES-EX")</f>
        <v>ES-EX</v>
      </c>
    </row>
    <row r="4147" spans="1:8" x14ac:dyDescent="0.2">
      <c r="A4147" s="157"/>
      <c r="B4147" s="31" t="s">
        <v>14250</v>
      </c>
      <c r="C4147" s="31" t="s">
        <v>14251</v>
      </c>
      <c r="D4147" s="31" t="s">
        <v>14184</v>
      </c>
      <c r="E4147" s="61" t="b">
        <v>1</v>
      </c>
      <c r="F4147" s="107" t="s">
        <v>14252</v>
      </c>
      <c r="G4147" s="116" t="str">
        <f>HYPERLINK("http://nsgreg.nga.mil/genc/view?v=201114&amp;end_month=3&amp;end_day=31&amp;end_year=2014","Galicia")</f>
        <v>Galicia</v>
      </c>
      <c r="H4147" s="87" t="str">
        <f>HYPERLINK("http://api.nsgreg.nga.mil/geo-division/GENC/6/ed2/ES-GA","ES-GA")</f>
        <v>ES-GA</v>
      </c>
    </row>
    <row r="4148" spans="1:8" x14ac:dyDescent="0.2">
      <c r="A4148" s="157"/>
      <c r="B4148" s="31" t="s">
        <v>14253</v>
      </c>
      <c r="C4148" s="31" t="s">
        <v>14254</v>
      </c>
      <c r="D4148" s="98" t="s">
        <v>1920</v>
      </c>
      <c r="E4148" s="99" t="b">
        <v>0</v>
      </c>
      <c r="F4148" s="107" t="s">
        <v>14255</v>
      </c>
      <c r="G4148" s="116" t="str">
        <f>HYPERLINK("http://nsgreg.nga.mil/genc/view?v=201115&amp;end_month=3&amp;end_day=31&amp;end_year=2014","Gerona")</f>
        <v>Gerona</v>
      </c>
      <c r="H4148" s="87" t="str">
        <f>HYPERLINK("http://api.nsgreg.nga.mil/geo-division/GENC/6/ed2/ES-GI","ES-GI")</f>
        <v>ES-GI</v>
      </c>
    </row>
    <row r="4149" spans="1:8" x14ac:dyDescent="0.2">
      <c r="A4149" s="157"/>
      <c r="B4149" s="31" t="s">
        <v>14256</v>
      </c>
      <c r="C4149" s="31" t="s">
        <v>11012</v>
      </c>
      <c r="D4149" s="98" t="s">
        <v>1920</v>
      </c>
      <c r="E4149" s="99" t="b">
        <v>0</v>
      </c>
      <c r="F4149" s="106" t="s">
        <v>14257</v>
      </c>
      <c r="G4149" s="116" t="str">
        <f>HYPERLINK("http://nsgreg.nga.mil/genc/view?v=113120&amp;gencs=T&amp;end_month=3&amp;end_day=31&amp;end_year=2014","Granada")</f>
        <v>Granada</v>
      </c>
      <c r="H4149" s="87" t="str">
        <f>HYPERLINK("http://api.nsgreg.nga.mil/geo-division/ISO3166-2/6/ed3/ES-GR","ES-GR")</f>
        <v>ES-GR</v>
      </c>
    </row>
    <row r="4150" spans="1:8" x14ac:dyDescent="0.2">
      <c r="A4150" s="157"/>
      <c r="B4150" s="31" t="s">
        <v>14258</v>
      </c>
      <c r="C4150" s="31" t="s">
        <v>14259</v>
      </c>
      <c r="D4150" s="98" t="s">
        <v>1920</v>
      </c>
      <c r="E4150" s="99" t="b">
        <v>0</v>
      </c>
      <c r="F4150" s="106" t="s">
        <v>14260</v>
      </c>
      <c r="G4150" s="116" t="str">
        <f>HYPERLINK("http://nsgreg.nga.mil/genc/view?v=113121&amp;gencs=T&amp;end_month=3&amp;end_day=31&amp;end_year=2014","Guadalajara")</f>
        <v>Guadalajara</v>
      </c>
      <c r="H4150" s="87" t="str">
        <f>HYPERLINK("http://api.nsgreg.nga.mil/geo-division/ISO3166-2/6/ed3/ES-GU","ES-GU")</f>
        <v>ES-GU</v>
      </c>
    </row>
    <row r="4151" spans="1:8" x14ac:dyDescent="0.2">
      <c r="A4151" s="157"/>
      <c r="B4151" s="31" t="s">
        <v>14261</v>
      </c>
      <c r="C4151" s="31" t="s">
        <v>14262</v>
      </c>
      <c r="D4151" s="98" t="s">
        <v>1920</v>
      </c>
      <c r="E4151" s="99" t="b">
        <v>0</v>
      </c>
      <c r="F4151" s="107" t="s">
        <v>14263</v>
      </c>
      <c r="G4151" s="116" t="str">
        <f>HYPERLINK("http://nsgreg.nga.mil/genc/view?v=201127&amp;end_month=3&amp;end_day=31&amp;end_year=2014","Guipúzcoa")</f>
        <v>Guipúzcoa</v>
      </c>
      <c r="H4151" s="87" t="str">
        <f>HYPERLINK("http://api.nsgreg.nga.mil/geo-division/GENC/6/ed2/ES-SS","ES-SS")</f>
        <v>ES-SS</v>
      </c>
    </row>
    <row r="4152" spans="1:8" x14ac:dyDescent="0.2">
      <c r="A4152" s="157"/>
      <c r="B4152" s="31" t="s">
        <v>14264</v>
      </c>
      <c r="C4152" s="31" t="s">
        <v>14265</v>
      </c>
      <c r="D4152" s="98" t="s">
        <v>1920</v>
      </c>
      <c r="E4152" s="99" t="b">
        <v>0</v>
      </c>
      <c r="F4152" s="106" t="s">
        <v>14266</v>
      </c>
      <c r="G4152" s="116" t="str">
        <f>HYPERLINK("http://nsgreg.nga.mil/genc/view?v=113122&amp;gencs=T&amp;end_month=3&amp;end_day=31&amp;end_year=2014","Huelva")</f>
        <v>Huelva</v>
      </c>
      <c r="H4152" s="87" t="str">
        <f>HYPERLINK("http://api.nsgreg.nga.mil/geo-division/ISO3166-2/6/ed3/ES-H","ES-H")</f>
        <v>ES-H</v>
      </c>
    </row>
    <row r="4153" spans="1:8" x14ac:dyDescent="0.2">
      <c r="A4153" s="157"/>
      <c r="B4153" s="31" t="s">
        <v>14267</v>
      </c>
      <c r="C4153" s="31" t="s">
        <v>14268</v>
      </c>
      <c r="D4153" s="98" t="s">
        <v>1920</v>
      </c>
      <c r="E4153" s="99" t="b">
        <v>0</v>
      </c>
      <c r="F4153" s="106" t="s">
        <v>14269</v>
      </c>
      <c r="G4153" s="116" t="str">
        <f>HYPERLINK("http://nsgreg.nga.mil/genc/view?v=113123&amp;gencs=T&amp;end_month=3&amp;end_day=31&amp;end_year=2014","Huesca")</f>
        <v>Huesca</v>
      </c>
      <c r="H4153" s="87" t="str">
        <f>HYPERLINK("http://api.nsgreg.nga.mil/geo-division/ISO3166-2/6/ed3/ES-HU","ES-HU")</f>
        <v>ES-HU</v>
      </c>
    </row>
    <row r="4154" spans="1:8" x14ac:dyDescent="0.2">
      <c r="A4154" s="157"/>
      <c r="B4154" s="31" t="s">
        <v>14270</v>
      </c>
      <c r="C4154" s="31" t="s">
        <v>14271</v>
      </c>
      <c r="D4154" s="31" t="s">
        <v>14184</v>
      </c>
      <c r="E4154" s="61" t="b">
        <v>1</v>
      </c>
      <c r="F4154" s="107" t="s">
        <v>14272</v>
      </c>
      <c r="G4154" s="116" t="str">
        <f>HYPERLINK("http://nsgreg.nga.mil/genc/view?v=201116&amp;end_month=3&amp;end_day=31&amp;end_year=2014","Illes Balears")</f>
        <v>Illes Balears</v>
      </c>
      <c r="H4154" s="87" t="str">
        <f>HYPERLINK("http://api.nsgreg.nga.mil/geo-division/GENC/6/ed2/ES-IB","ES-IB")</f>
        <v>ES-IB</v>
      </c>
    </row>
    <row r="4155" spans="1:8" x14ac:dyDescent="0.2">
      <c r="A4155" s="157"/>
      <c r="B4155" s="31" t="s">
        <v>14273</v>
      </c>
      <c r="C4155" s="31" t="s">
        <v>14274</v>
      </c>
      <c r="D4155" s="98" t="s">
        <v>1920</v>
      </c>
      <c r="E4155" s="99" t="b">
        <v>0</v>
      </c>
      <c r="F4155" s="106" t="s">
        <v>14275</v>
      </c>
      <c r="G4155" s="116" t="str">
        <f>HYPERLINK("http://nsgreg.nga.mil/genc/view?v=113125&amp;gencs=T&amp;end_month=3&amp;end_day=31&amp;end_year=2014","Jaén")</f>
        <v>Jaén</v>
      </c>
      <c r="H4155" s="87" t="str">
        <f>HYPERLINK("http://api.nsgreg.nga.mil/geo-division/ISO3166-2/6/ed3/ES-J","ES-J")</f>
        <v>ES-J</v>
      </c>
    </row>
    <row r="4156" spans="1:8" x14ac:dyDescent="0.2">
      <c r="A4156" s="157"/>
      <c r="B4156" s="31" t="s">
        <v>14276</v>
      </c>
      <c r="C4156" s="31" t="s">
        <v>2435</v>
      </c>
      <c r="D4156" s="31" t="s">
        <v>14184</v>
      </c>
      <c r="E4156" s="61" t="b">
        <v>1</v>
      </c>
      <c r="F4156" s="106" t="s">
        <v>14277</v>
      </c>
      <c r="G4156" s="116" t="str">
        <f>HYPERLINK("http://nsgreg.nga.mil/genc/view?v=113144&amp;gencs=T&amp;end_month=3&amp;end_day=31&amp;end_year=2014","La Rioja")</f>
        <v>La Rioja</v>
      </c>
      <c r="H4156" s="87" t="str">
        <f>HYPERLINK("http://api.nsgreg.nga.mil/geo-division/ISO3166-2/6/ed3/ES-RI","ES-RI")</f>
        <v>ES-RI</v>
      </c>
    </row>
    <row r="4157" spans="1:8" x14ac:dyDescent="0.2">
      <c r="A4157" s="157"/>
      <c r="B4157" s="31" t="s">
        <v>14278</v>
      </c>
      <c r="C4157" s="31" t="s">
        <v>2435</v>
      </c>
      <c r="D4157" s="98" t="s">
        <v>1920</v>
      </c>
      <c r="E4157" s="99" t="b">
        <v>0</v>
      </c>
      <c r="F4157" s="106" t="s">
        <v>14279</v>
      </c>
      <c r="G4157" s="116" t="str">
        <f>HYPERLINK("http://nsgreg.nga.mil/genc/view?v=113128&amp;gencs=T&amp;end_month=3&amp;end_day=31&amp;end_year=2014","La Rioja")</f>
        <v>La Rioja</v>
      </c>
      <c r="H4157" s="87" t="str">
        <f>HYPERLINK("http://api.nsgreg.nga.mil/geo-division/ISO3166-2/6/ed3/ES-LO","ES-LO")</f>
        <v>ES-LO</v>
      </c>
    </row>
    <row r="4158" spans="1:8" x14ac:dyDescent="0.2">
      <c r="A4158" s="157"/>
      <c r="B4158" s="31" t="s">
        <v>14280</v>
      </c>
      <c r="C4158" s="31" t="s">
        <v>14281</v>
      </c>
      <c r="D4158" s="98" t="s">
        <v>1920</v>
      </c>
      <c r="E4158" s="99" t="b">
        <v>0</v>
      </c>
      <c r="F4158" s="106" t="s">
        <v>14282</v>
      </c>
      <c r="G4158" s="116" t="str">
        <f>HYPERLINK("http://nsgreg.nga.mil/genc/view?v=113118&amp;gencs=T&amp;end_month=3&amp;end_day=31&amp;end_year=2014","Las Palmas")</f>
        <v>Las Palmas</v>
      </c>
      <c r="H4158" s="87" t="str">
        <f>HYPERLINK("http://api.nsgreg.nga.mil/geo-division/ISO3166-2/6/ed3/ES-GC","ES-GC")</f>
        <v>ES-GC</v>
      </c>
    </row>
    <row r="4159" spans="1:8" x14ac:dyDescent="0.2">
      <c r="A4159" s="157"/>
      <c r="B4159" s="31" t="s">
        <v>14283</v>
      </c>
      <c r="C4159" s="31" t="s">
        <v>11018</v>
      </c>
      <c r="D4159" s="98" t="s">
        <v>1920</v>
      </c>
      <c r="E4159" s="99" t="b">
        <v>0</v>
      </c>
      <c r="F4159" s="106" t="s">
        <v>14284</v>
      </c>
      <c r="G4159" s="116" t="str">
        <f>HYPERLINK("http://nsgreg.nga.mil/genc/view?v=113127&amp;gencs=T&amp;end_month=3&amp;end_day=31&amp;end_year=2014","León")</f>
        <v>León</v>
      </c>
      <c r="H4159" s="87" t="str">
        <f>HYPERLINK("http://api.nsgreg.nga.mil/geo-division/ISO3166-2/6/ed3/ES-LE","ES-LE")</f>
        <v>ES-LE</v>
      </c>
    </row>
    <row r="4160" spans="1:8" x14ac:dyDescent="0.2">
      <c r="A4160" s="157"/>
      <c r="B4160" s="31" t="s">
        <v>14285</v>
      </c>
      <c r="C4160" s="31" t="s">
        <v>14286</v>
      </c>
      <c r="D4160" s="98" t="s">
        <v>1920</v>
      </c>
      <c r="E4160" s="99" t="b">
        <v>0</v>
      </c>
      <c r="F4160" s="107" t="s">
        <v>14287</v>
      </c>
      <c r="G4160" s="116" t="str">
        <f>HYPERLINK("http://nsgreg.nga.mil/genc/view?v=201117&amp;end_month=3&amp;end_day=31&amp;end_year=2014","Lérida")</f>
        <v>Lérida</v>
      </c>
      <c r="H4160" s="87" t="str">
        <f>HYPERLINK("http://api.nsgreg.nga.mil/geo-division/GENC/6/ed2/ES-L","ES-L")</f>
        <v>ES-L</v>
      </c>
    </row>
    <row r="4161" spans="1:8" x14ac:dyDescent="0.2">
      <c r="A4161" s="157"/>
      <c r="B4161" s="31" t="s">
        <v>14288</v>
      </c>
      <c r="C4161" s="31" t="s">
        <v>14289</v>
      </c>
      <c r="D4161" s="98" t="s">
        <v>1920</v>
      </c>
      <c r="E4161" s="99" t="b">
        <v>0</v>
      </c>
      <c r="F4161" s="107" t="s">
        <v>14290</v>
      </c>
      <c r="G4161" s="116" t="str">
        <f>HYPERLINK("http://nsgreg.nga.mil/genc/view?v=201118&amp;end_month=3&amp;end_day=31&amp;end_year=2014","Lugo")</f>
        <v>Lugo</v>
      </c>
      <c r="H4161" s="87" t="str">
        <f>HYPERLINK("http://api.nsgreg.nga.mil/geo-division/GENC/6/ed2/ES-LU","ES-LU")</f>
        <v>ES-LU</v>
      </c>
    </row>
    <row r="4162" spans="1:8" x14ac:dyDescent="0.2">
      <c r="A4162" s="157"/>
      <c r="B4162" s="31" t="s">
        <v>14291</v>
      </c>
      <c r="C4162" s="31" t="s">
        <v>14292</v>
      </c>
      <c r="D4162" s="31" t="s">
        <v>14184</v>
      </c>
      <c r="E4162" s="61" t="b">
        <v>1</v>
      </c>
      <c r="F4162" s="107" t="s">
        <v>14293</v>
      </c>
      <c r="G4162" s="116" t="str">
        <f>HYPERLINK("http://nsgreg.nga.mil/genc/view?v=201120&amp;end_month=3&amp;end_day=31&amp;end_year=2014","Madrid")</f>
        <v>Madrid</v>
      </c>
      <c r="H4162" s="87" t="str">
        <f>HYPERLINK("http://api.nsgreg.nga.mil/geo-division/GENC/6/ed2/ES-MD","ES-MD")</f>
        <v>ES-MD</v>
      </c>
    </row>
    <row r="4163" spans="1:8" x14ac:dyDescent="0.2">
      <c r="A4163" s="157"/>
      <c r="B4163" s="31" t="s">
        <v>14294</v>
      </c>
      <c r="C4163" s="31" t="s">
        <v>14292</v>
      </c>
      <c r="D4163" s="98" t="s">
        <v>1920</v>
      </c>
      <c r="E4163" s="99" t="b">
        <v>0</v>
      </c>
      <c r="F4163" s="106" t="s">
        <v>14295</v>
      </c>
      <c r="G4163" s="116" t="str">
        <f>HYPERLINK("http://nsgreg.nga.mil/genc/view?v=113130&amp;gencs=T&amp;end_month=3&amp;end_day=31&amp;end_year=2014","Madrid")</f>
        <v>Madrid</v>
      </c>
      <c r="H4163" s="87" t="str">
        <f>HYPERLINK("http://api.nsgreg.nga.mil/geo-division/ISO3166-2/6/ed3/ES-M","ES-M")</f>
        <v>ES-M</v>
      </c>
    </row>
    <row r="4164" spans="1:8" x14ac:dyDescent="0.2">
      <c r="A4164" s="157"/>
      <c r="B4164" s="31" t="s">
        <v>14296</v>
      </c>
      <c r="C4164" s="31" t="s">
        <v>14297</v>
      </c>
      <c r="D4164" s="98" t="s">
        <v>1920</v>
      </c>
      <c r="E4164" s="99" t="b">
        <v>0</v>
      </c>
      <c r="F4164" s="106" t="s">
        <v>14298</v>
      </c>
      <c r="G4164" s="116" t="str">
        <f>HYPERLINK("http://nsgreg.nga.mil/genc/view?v=113131&amp;gencs=T&amp;end_month=3&amp;end_day=31&amp;end_year=2014","Málaga")</f>
        <v>Málaga</v>
      </c>
      <c r="H4164" s="87" t="str">
        <f>HYPERLINK("http://api.nsgreg.nga.mil/geo-division/ISO3166-2/6/ed3/ES-MA","ES-MA")</f>
        <v>ES-MA</v>
      </c>
    </row>
    <row r="4165" spans="1:8" x14ac:dyDescent="0.2">
      <c r="A4165" s="157"/>
      <c r="B4165" s="31" t="s">
        <v>14299</v>
      </c>
      <c r="C4165" s="31" t="s">
        <v>14300</v>
      </c>
      <c r="D4165" s="31" t="s">
        <v>14237</v>
      </c>
      <c r="E4165" s="61" t="b">
        <v>1</v>
      </c>
      <c r="F4165" s="107" t="s">
        <v>14301</v>
      </c>
      <c r="G4165" s="116" t="str">
        <f>HYPERLINK("http://nsgreg.nga.mil/genc/view?v=204513&amp;end_month=3&amp;end_day=31&amp;end_year=2014","Melilla")</f>
        <v>Melilla</v>
      </c>
      <c r="H4165" s="87" t="str">
        <f>HYPERLINK("http://api.nsgreg.nga.mil/geo-division/GENC/6/ed2/ES-ML","ES-ML")</f>
        <v>ES-ML</v>
      </c>
    </row>
    <row r="4166" spans="1:8" x14ac:dyDescent="0.2">
      <c r="A4166" s="157"/>
      <c r="B4166" s="31" t="s">
        <v>14302</v>
      </c>
      <c r="C4166" s="31" t="s">
        <v>14303</v>
      </c>
      <c r="D4166" s="31" t="s">
        <v>14184</v>
      </c>
      <c r="E4166" s="61" t="b">
        <v>1</v>
      </c>
      <c r="F4166" s="107" t="s">
        <v>14304</v>
      </c>
      <c r="G4166" s="116" t="str">
        <f>HYPERLINK("http://nsgreg.nga.mil/genc/view?v=201119&amp;end_month=3&amp;end_day=31&amp;end_year=2014","Murcia")</f>
        <v>Murcia</v>
      </c>
      <c r="H4166" s="87" t="str">
        <f>HYPERLINK("http://api.nsgreg.nga.mil/geo-division/GENC/6/ed2/ES-MC","ES-MC")</f>
        <v>ES-MC</v>
      </c>
    </row>
    <row r="4167" spans="1:8" x14ac:dyDescent="0.2">
      <c r="A4167" s="157"/>
      <c r="B4167" s="31" t="s">
        <v>14305</v>
      </c>
      <c r="C4167" s="31" t="s">
        <v>14303</v>
      </c>
      <c r="D4167" s="98" t="s">
        <v>1920</v>
      </c>
      <c r="E4167" s="99" t="b">
        <v>0</v>
      </c>
      <c r="F4167" s="106" t="s">
        <v>14306</v>
      </c>
      <c r="G4167" s="116" t="str">
        <f>HYPERLINK("http://nsgreg.nga.mil/genc/view?v=113135&amp;gencs=T&amp;end_month=3&amp;end_day=31&amp;end_year=2014","Murcia")</f>
        <v>Murcia</v>
      </c>
      <c r="H4167" s="87" t="str">
        <f>HYPERLINK("http://api.nsgreg.nga.mil/geo-division/ISO3166-2/6/ed3/ES-MU","ES-MU")</f>
        <v>ES-MU</v>
      </c>
    </row>
    <row r="4168" spans="1:8" x14ac:dyDescent="0.2">
      <c r="A4168" s="157"/>
      <c r="B4168" s="31" t="s">
        <v>14307</v>
      </c>
      <c r="C4168" s="31" t="s">
        <v>14308</v>
      </c>
      <c r="D4168" s="31" t="s">
        <v>14184</v>
      </c>
      <c r="E4168" s="61" t="b">
        <v>1</v>
      </c>
      <c r="F4168" s="107" t="s">
        <v>14309</v>
      </c>
      <c r="G4168" s="116" t="str">
        <f>HYPERLINK("http://nsgreg.nga.mil/genc/view?v=201122&amp;end_month=3&amp;end_day=31&amp;end_year=2014","Navarra")</f>
        <v>Navarra</v>
      </c>
      <c r="H4168" s="87" t="str">
        <f>HYPERLINK("http://api.nsgreg.nga.mil/geo-division/GENC/6/ed2/ES-NC","ES-NC")</f>
        <v>ES-NC</v>
      </c>
    </row>
    <row r="4169" spans="1:8" x14ac:dyDescent="0.2">
      <c r="A4169" s="157"/>
      <c r="B4169" s="31" t="s">
        <v>14310</v>
      </c>
      <c r="C4169" s="31" t="s">
        <v>14308</v>
      </c>
      <c r="D4169" s="98" t="s">
        <v>1920</v>
      </c>
      <c r="E4169" s="99" t="b">
        <v>0</v>
      </c>
      <c r="F4169" s="107" t="s">
        <v>14311</v>
      </c>
      <c r="G4169" s="116" t="str">
        <f>HYPERLINK("http://nsgreg.nga.mil/genc/view?v=201121&amp;end_month=3&amp;end_day=31&amp;end_year=2014","Navarra")</f>
        <v>Navarra</v>
      </c>
      <c r="H4169" s="87" t="str">
        <f>HYPERLINK("http://api.nsgreg.nga.mil/geo-division/GENC/6/ed2/ES-NA","ES-NA")</f>
        <v>ES-NA</v>
      </c>
    </row>
    <row r="4170" spans="1:8" x14ac:dyDescent="0.2">
      <c r="A4170" s="157"/>
      <c r="B4170" s="31" t="s">
        <v>14312</v>
      </c>
      <c r="C4170" s="31" t="s">
        <v>14313</v>
      </c>
      <c r="D4170" s="98" t="s">
        <v>1920</v>
      </c>
      <c r="E4170" s="99" t="b">
        <v>0</v>
      </c>
      <c r="F4170" s="107" t="s">
        <v>14314</v>
      </c>
      <c r="G4170" s="116" t="str">
        <f>HYPERLINK("http://nsgreg.nga.mil/genc/view?v=201123&amp;end_month=3&amp;end_day=31&amp;end_year=2014","Ourense")</f>
        <v>Ourense</v>
      </c>
      <c r="H4170" s="87" t="str">
        <f>HYPERLINK("http://api.nsgreg.nga.mil/geo-division/GENC/6/ed2/ES-OR","ES-OR")</f>
        <v>ES-OR</v>
      </c>
    </row>
    <row r="4171" spans="1:8" x14ac:dyDescent="0.2">
      <c r="A4171" s="157"/>
      <c r="B4171" s="31" t="s">
        <v>14315</v>
      </c>
      <c r="C4171" s="31" t="s">
        <v>14316</v>
      </c>
      <c r="D4171" s="31" t="s">
        <v>14184</v>
      </c>
      <c r="E4171" s="61" t="b">
        <v>1</v>
      </c>
      <c r="F4171" s="107" t="s">
        <v>14317</v>
      </c>
      <c r="G4171" s="116" t="str">
        <f>HYPERLINK("http://nsgreg.nga.mil/genc/view?v=201126&amp;end_month=3&amp;end_day=31&amp;end_year=2014","País Vasco")</f>
        <v>País Vasco</v>
      </c>
      <c r="H4171" s="87" t="str">
        <f>HYPERLINK("http://api.nsgreg.nga.mil/geo-division/GENC/6/ed2/ES-PV","ES-PV")</f>
        <v>ES-PV</v>
      </c>
    </row>
    <row r="4172" spans="1:8" x14ac:dyDescent="0.2">
      <c r="A4172" s="157"/>
      <c r="B4172" s="31" t="s">
        <v>14318</v>
      </c>
      <c r="C4172" s="31" t="s">
        <v>14319</v>
      </c>
      <c r="D4172" s="98" t="s">
        <v>1920</v>
      </c>
      <c r="E4172" s="99" t="b">
        <v>0</v>
      </c>
      <c r="F4172" s="106" t="s">
        <v>14320</v>
      </c>
      <c r="G4172" s="116" t="str">
        <f>HYPERLINK("http://nsgreg.nga.mil/genc/view?v=113140&amp;gencs=T&amp;end_month=3&amp;end_day=31&amp;end_year=2014","Palencia")</f>
        <v>Palencia</v>
      </c>
      <c r="H4172" s="87" t="str">
        <f>HYPERLINK("http://api.nsgreg.nga.mil/geo-division/ISO3166-2/6/ed3/ES-P","ES-P")</f>
        <v>ES-P</v>
      </c>
    </row>
    <row r="4173" spans="1:8" x14ac:dyDescent="0.2">
      <c r="A4173" s="157"/>
      <c r="B4173" s="31" t="s">
        <v>14321</v>
      </c>
      <c r="C4173" s="31" t="s">
        <v>14322</v>
      </c>
      <c r="D4173" s="98" t="s">
        <v>1920</v>
      </c>
      <c r="E4173" s="99" t="b">
        <v>0</v>
      </c>
      <c r="F4173" s="107" t="s">
        <v>14323</v>
      </c>
      <c r="G4173" s="116" t="str">
        <f>HYPERLINK("http://nsgreg.nga.mil/genc/view?v=201125&amp;end_month=3&amp;end_day=31&amp;end_year=2014","Pontevedra")</f>
        <v>Pontevedra</v>
      </c>
      <c r="H4173" s="87" t="str">
        <f>HYPERLINK("http://api.nsgreg.nga.mil/geo-division/GENC/6/ed2/ES-PO","ES-PO")</f>
        <v>ES-PO</v>
      </c>
    </row>
    <row r="4174" spans="1:8" x14ac:dyDescent="0.2">
      <c r="A4174" s="157"/>
      <c r="B4174" s="31" t="s">
        <v>14324</v>
      </c>
      <c r="C4174" s="31" t="s">
        <v>14325</v>
      </c>
      <c r="D4174" s="98" t="s">
        <v>1920</v>
      </c>
      <c r="E4174" s="99" t="b">
        <v>0</v>
      </c>
      <c r="F4174" s="106" t="s">
        <v>14326</v>
      </c>
      <c r="G4174" s="116" t="str">
        <f>HYPERLINK("http://nsgreg.nga.mil/genc/view?v=113146&amp;gencs=T&amp;end_month=3&amp;end_day=31&amp;end_year=2014","Salamanca")</f>
        <v>Salamanca</v>
      </c>
      <c r="H4174" s="87" t="str">
        <f>HYPERLINK("http://api.nsgreg.nga.mil/geo-division/ISO3166-2/6/ed3/ES-SA","ES-SA")</f>
        <v>ES-SA</v>
      </c>
    </row>
    <row r="4175" spans="1:8" x14ac:dyDescent="0.2">
      <c r="A4175" s="157"/>
      <c r="B4175" s="31" t="s">
        <v>14327</v>
      </c>
      <c r="C4175" s="31" t="s">
        <v>14328</v>
      </c>
      <c r="D4175" s="98" t="s">
        <v>1920</v>
      </c>
      <c r="E4175" s="99" t="b">
        <v>0</v>
      </c>
      <c r="F4175" s="106" t="s">
        <v>14329</v>
      </c>
      <c r="G4175" s="116" t="str">
        <f>HYPERLINK("http://nsgreg.nga.mil/genc/view?v=113153&amp;gencs=T&amp;end_month=3&amp;end_day=31&amp;end_year=2014","Santa Cruz de Tenerife")</f>
        <v>Santa Cruz de Tenerife</v>
      </c>
      <c r="H4175" s="87" t="str">
        <f>HYPERLINK("http://api.nsgreg.nga.mil/geo-division/ISO3166-2/6/ed3/ES-TF","ES-TF")</f>
        <v>ES-TF</v>
      </c>
    </row>
    <row r="4176" spans="1:8" x14ac:dyDescent="0.2">
      <c r="A4176" s="157"/>
      <c r="B4176" s="31" t="s">
        <v>14330</v>
      </c>
      <c r="C4176" s="31" t="s">
        <v>14331</v>
      </c>
      <c r="D4176" s="98" t="s">
        <v>1920</v>
      </c>
      <c r="E4176" s="99" t="b">
        <v>0</v>
      </c>
      <c r="F4176" s="106" t="s">
        <v>14332</v>
      </c>
      <c r="G4176" s="116" t="str">
        <f>HYPERLINK("http://nsgreg.nga.mil/genc/view?v=113148&amp;gencs=T&amp;end_month=3&amp;end_day=31&amp;end_year=2014","Segovia")</f>
        <v>Segovia</v>
      </c>
      <c r="H4176" s="87" t="str">
        <f>HYPERLINK("http://api.nsgreg.nga.mil/geo-division/ISO3166-2/6/ed3/ES-SG","ES-SG")</f>
        <v>ES-SG</v>
      </c>
    </row>
    <row r="4177" spans="1:8" x14ac:dyDescent="0.2">
      <c r="A4177" s="157"/>
      <c r="B4177" s="31" t="s">
        <v>14333</v>
      </c>
      <c r="C4177" s="31" t="s">
        <v>14334</v>
      </c>
      <c r="D4177" s="98" t="s">
        <v>1920</v>
      </c>
      <c r="E4177" s="99" t="b">
        <v>0</v>
      </c>
      <c r="F4177" s="106" t="s">
        <v>14335</v>
      </c>
      <c r="G4177" s="116" t="str">
        <f>HYPERLINK("http://nsgreg.nga.mil/genc/view?v=113147&amp;gencs=T&amp;end_month=3&amp;end_day=31&amp;end_year=2014","Sevilla")</f>
        <v>Sevilla</v>
      </c>
      <c r="H4177" s="87" t="str">
        <f>HYPERLINK("http://api.nsgreg.nga.mil/geo-division/ISO3166-2/6/ed3/ES-SE","ES-SE")</f>
        <v>ES-SE</v>
      </c>
    </row>
    <row r="4178" spans="1:8" x14ac:dyDescent="0.2">
      <c r="A4178" s="157"/>
      <c r="B4178" s="31" t="s">
        <v>14336</v>
      </c>
      <c r="C4178" s="31" t="s">
        <v>14337</v>
      </c>
      <c r="D4178" s="98" t="s">
        <v>1920</v>
      </c>
      <c r="E4178" s="99" t="b">
        <v>0</v>
      </c>
      <c r="F4178" s="106" t="s">
        <v>14338</v>
      </c>
      <c r="G4178" s="116" t="str">
        <f>HYPERLINK("http://nsgreg.nga.mil/genc/view?v=113149&amp;gencs=T&amp;end_month=3&amp;end_day=31&amp;end_year=2014","Soria")</f>
        <v>Soria</v>
      </c>
      <c r="H4178" s="87" t="str">
        <f>HYPERLINK("http://api.nsgreg.nga.mil/geo-division/ISO3166-2/6/ed3/ES-SO","ES-SO")</f>
        <v>ES-SO</v>
      </c>
    </row>
    <row r="4179" spans="1:8" x14ac:dyDescent="0.2">
      <c r="A4179" s="157"/>
      <c r="B4179" s="31" t="s">
        <v>14339</v>
      </c>
      <c r="C4179" s="31" t="s">
        <v>14340</v>
      </c>
      <c r="D4179" s="98" t="s">
        <v>1920</v>
      </c>
      <c r="E4179" s="99" t="b">
        <v>0</v>
      </c>
      <c r="F4179" s="107" t="s">
        <v>14341</v>
      </c>
      <c r="G4179" s="116" t="str">
        <f>HYPERLINK("http://nsgreg.nga.mil/genc/view?v=201128&amp;end_month=3&amp;end_day=31&amp;end_year=2014","Tarragona")</f>
        <v>Tarragona</v>
      </c>
      <c r="H4179" s="87" t="str">
        <f>HYPERLINK("http://api.nsgreg.nga.mil/geo-division/GENC/6/ed2/ES-T","ES-T")</f>
        <v>ES-T</v>
      </c>
    </row>
    <row r="4180" spans="1:8" x14ac:dyDescent="0.2">
      <c r="A4180" s="157"/>
      <c r="B4180" s="31" t="s">
        <v>14342</v>
      </c>
      <c r="C4180" s="31" t="s">
        <v>14343</v>
      </c>
      <c r="D4180" s="98" t="s">
        <v>1920</v>
      </c>
      <c r="E4180" s="99" t="b">
        <v>0</v>
      </c>
      <c r="F4180" s="106" t="s">
        <v>14344</v>
      </c>
      <c r="G4180" s="116" t="str">
        <f>HYPERLINK("http://nsgreg.nga.mil/genc/view?v=113152&amp;gencs=T&amp;end_month=3&amp;end_day=31&amp;end_year=2014","Teruel")</f>
        <v>Teruel</v>
      </c>
      <c r="H4180" s="87" t="str">
        <f>HYPERLINK("http://api.nsgreg.nga.mil/geo-division/ISO3166-2/6/ed3/ES-TE","ES-TE")</f>
        <v>ES-TE</v>
      </c>
    </row>
    <row r="4181" spans="1:8" x14ac:dyDescent="0.2">
      <c r="A4181" s="157"/>
      <c r="B4181" s="31" t="s">
        <v>14345</v>
      </c>
      <c r="C4181" s="31" t="s">
        <v>3210</v>
      </c>
      <c r="D4181" s="98" t="s">
        <v>1920</v>
      </c>
      <c r="E4181" s="99" t="b">
        <v>0</v>
      </c>
      <c r="F4181" s="106" t="s">
        <v>14346</v>
      </c>
      <c r="G4181" s="116" t="str">
        <f>HYPERLINK("http://nsgreg.nga.mil/genc/view?v=113154&amp;gencs=T&amp;end_month=3&amp;end_day=31&amp;end_year=2014","Toledo")</f>
        <v>Toledo</v>
      </c>
      <c r="H4181" s="87" t="str">
        <f>HYPERLINK("http://api.nsgreg.nga.mil/geo-division/ISO3166-2/6/ed3/ES-TO","ES-TO")</f>
        <v>ES-TO</v>
      </c>
    </row>
    <row r="4182" spans="1:8" x14ac:dyDescent="0.2">
      <c r="A4182" s="157"/>
      <c r="B4182" s="31" t="s">
        <v>14347</v>
      </c>
      <c r="C4182" s="31" t="s">
        <v>14348</v>
      </c>
      <c r="D4182" s="98" t="s">
        <v>1920</v>
      </c>
      <c r="E4182" s="99" t="b">
        <v>0</v>
      </c>
      <c r="F4182" s="107" t="s">
        <v>14349</v>
      </c>
      <c r="G4182" s="116" t="str">
        <f>HYPERLINK("http://nsgreg.nga.mil/genc/view?v=201129&amp;end_month=3&amp;end_day=31&amp;end_year=2014","Valencia")</f>
        <v>Valencia</v>
      </c>
      <c r="H4182" s="87" t="str">
        <f>HYPERLINK("http://api.nsgreg.nga.mil/geo-division/GENC/6/ed2/ES-V","ES-V")</f>
        <v>ES-V</v>
      </c>
    </row>
    <row r="4183" spans="1:8" x14ac:dyDescent="0.2">
      <c r="A4183" s="157"/>
      <c r="B4183" s="31" t="s">
        <v>14350</v>
      </c>
      <c r="C4183" s="31" t="s">
        <v>14351</v>
      </c>
      <c r="D4183" s="31" t="s">
        <v>14184</v>
      </c>
      <c r="E4183" s="61" t="b">
        <v>1</v>
      </c>
      <c r="F4183" s="106" t="s">
        <v>14352</v>
      </c>
      <c r="G4183" s="116" t="str">
        <f>HYPERLINK("http://nsgreg.nga.mil/genc/view?v=113157&amp;gencs=T&amp;end_month=3&amp;end_day=31&amp;end_year=2014","Valenciana, Comunidad")</f>
        <v>Valenciana, Comunidad</v>
      </c>
      <c r="H4183" s="87" t="str">
        <f>HYPERLINK("http://api.nsgreg.nga.mil/geo-division/ISO3166-2/6/ed3/ES-VC","ES-VC")</f>
        <v>ES-VC</v>
      </c>
    </row>
    <row r="4184" spans="1:8" x14ac:dyDescent="0.2">
      <c r="A4184" s="157"/>
      <c r="B4184" s="31" t="s">
        <v>14353</v>
      </c>
      <c r="C4184" s="31" t="s">
        <v>14354</v>
      </c>
      <c r="D4184" s="98" t="s">
        <v>1920</v>
      </c>
      <c r="E4184" s="99" t="b">
        <v>0</v>
      </c>
      <c r="F4184" s="106" t="s">
        <v>14355</v>
      </c>
      <c r="G4184" s="116" t="str">
        <f>HYPERLINK("http://nsgreg.nga.mil/genc/view?v=113156&amp;gencs=T&amp;end_month=3&amp;end_day=31&amp;end_year=2014","Valladolid")</f>
        <v>Valladolid</v>
      </c>
      <c r="H4184" s="87" t="str">
        <f>HYPERLINK("http://api.nsgreg.nga.mil/geo-division/ISO3166-2/6/ed3/ES-VA","ES-VA")</f>
        <v>ES-VA</v>
      </c>
    </row>
    <row r="4185" spans="1:8" x14ac:dyDescent="0.2">
      <c r="A4185" s="157"/>
      <c r="B4185" s="31" t="s">
        <v>14356</v>
      </c>
      <c r="C4185" s="31" t="s">
        <v>14357</v>
      </c>
      <c r="D4185" s="98" t="s">
        <v>1920</v>
      </c>
      <c r="E4185" s="99" t="b">
        <v>0</v>
      </c>
      <c r="F4185" s="107" t="s">
        <v>14358</v>
      </c>
      <c r="G4185" s="116" t="str">
        <f>HYPERLINK("http://nsgreg.nga.mil/genc/view?v=201110&amp;end_month=3&amp;end_day=31&amp;end_year=2014","Vizcaya")</f>
        <v>Vizcaya</v>
      </c>
      <c r="H4185" s="87" t="str">
        <f>HYPERLINK("http://api.nsgreg.nga.mil/geo-division/GENC/6/ed2/ES-BI","ES-BI")</f>
        <v>ES-BI</v>
      </c>
    </row>
    <row r="4186" spans="1:8" x14ac:dyDescent="0.2">
      <c r="A4186" s="157"/>
      <c r="B4186" s="31" t="s">
        <v>14359</v>
      </c>
      <c r="C4186" s="31" t="s">
        <v>14360</v>
      </c>
      <c r="D4186" s="98" t="s">
        <v>1920</v>
      </c>
      <c r="E4186" s="99" t="b">
        <v>0</v>
      </c>
      <c r="F4186" s="106" t="s">
        <v>14361</v>
      </c>
      <c r="G4186" s="116" t="str">
        <f>HYPERLINK("http://nsgreg.nga.mil/genc/view?v=113160&amp;gencs=T&amp;end_month=3&amp;end_day=31&amp;end_year=2014","Zamora")</f>
        <v>Zamora</v>
      </c>
      <c r="H4186" s="87" t="str">
        <f>HYPERLINK("http://api.nsgreg.nga.mil/geo-division/ISO3166-2/6/ed3/ES-ZA","ES-ZA")</f>
        <v>ES-ZA</v>
      </c>
    </row>
    <row r="4187" spans="1:8" x14ac:dyDescent="0.2">
      <c r="A4187" s="158"/>
      <c r="B4187" s="58" t="s">
        <v>14362</v>
      </c>
      <c r="C4187" s="58" t="s">
        <v>14363</v>
      </c>
      <c r="D4187" s="100" t="s">
        <v>1920</v>
      </c>
      <c r="E4187" s="101" t="b">
        <v>0</v>
      </c>
      <c r="F4187" s="108" t="s">
        <v>14364</v>
      </c>
      <c r="G4187" s="117" t="str">
        <f>HYPERLINK("http://nsgreg.nga.mil/genc/view?v=113159&amp;gencs=T&amp;end_month=3&amp;end_day=31&amp;end_year=2014","Zaragoza")</f>
        <v>Zaragoza</v>
      </c>
      <c r="H4187" s="89" t="str">
        <f>HYPERLINK("http://api.nsgreg.nga.mil/geo-division/ISO3166-2/6/ed3/ES-Z","ES-Z")</f>
        <v>ES-Z</v>
      </c>
    </row>
    <row r="4188" spans="1:8" x14ac:dyDescent="0.2">
      <c r="A4188" s="156" t="str">
        <f>HYPERLINK("[#]Geopolitical_Entities!A240:I240","SRI LANKA")</f>
        <v>SRI LANKA</v>
      </c>
      <c r="B4188" s="52" t="s">
        <v>14365</v>
      </c>
      <c r="C4188" s="52" t="s">
        <v>14366</v>
      </c>
      <c r="D4188" s="102" t="s">
        <v>2026</v>
      </c>
      <c r="E4188" s="103" t="b">
        <v>0</v>
      </c>
      <c r="F4188" s="110" t="s">
        <v>14367</v>
      </c>
      <c r="G4188" s="118" t="str">
        <f>HYPERLINK("http://nsgreg.nga.mil/genc/view?v=201812&amp;end_month=3&amp;end_day=31&amp;end_year=2014","Ampara")</f>
        <v>Ampara</v>
      </c>
      <c r="H4188" s="91" t="str">
        <f>HYPERLINK("http://api.nsgreg.nga.mil/geo-division/GENC/6/ed2/LK-52","LK-52")</f>
        <v>LK-52</v>
      </c>
    </row>
    <row r="4189" spans="1:8" x14ac:dyDescent="0.2">
      <c r="A4189" s="157"/>
      <c r="B4189" s="31" t="s">
        <v>14368</v>
      </c>
      <c r="C4189" s="31" t="s">
        <v>14369</v>
      </c>
      <c r="D4189" s="98" t="s">
        <v>2026</v>
      </c>
      <c r="E4189" s="99" t="b">
        <v>0</v>
      </c>
      <c r="F4189" s="107" t="s">
        <v>14370</v>
      </c>
      <c r="G4189" s="116" t="str">
        <f>HYPERLINK("http://nsgreg.nga.mil/genc/view?v=201818&amp;end_month=3&amp;end_day=31&amp;end_year=2014","Anuradhapura")</f>
        <v>Anuradhapura</v>
      </c>
      <c r="H4189" s="87" t="str">
        <f>HYPERLINK("http://api.nsgreg.nga.mil/geo-division/GENC/6/ed2/LK-71","LK-71")</f>
        <v>LK-71</v>
      </c>
    </row>
    <row r="4190" spans="1:8" x14ac:dyDescent="0.2">
      <c r="A4190" s="157"/>
      <c r="B4190" s="31" t="s">
        <v>14371</v>
      </c>
      <c r="C4190" s="31" t="s">
        <v>14372</v>
      </c>
      <c r="D4190" s="98" t="s">
        <v>2026</v>
      </c>
      <c r="E4190" s="99" t="b">
        <v>0</v>
      </c>
      <c r="F4190" s="107" t="s">
        <v>14373</v>
      </c>
      <c r="G4190" s="116" t="str">
        <f>HYPERLINK("http://nsgreg.nga.mil/genc/view?v=201821&amp;end_month=3&amp;end_day=31&amp;end_year=2014","Badulla")</f>
        <v>Badulla</v>
      </c>
      <c r="H4190" s="87" t="str">
        <f>HYPERLINK("http://api.nsgreg.nga.mil/geo-division/GENC/6/ed2/LK-81","LK-81")</f>
        <v>LK-81</v>
      </c>
    </row>
    <row r="4191" spans="1:8" x14ac:dyDescent="0.2">
      <c r="A4191" s="157"/>
      <c r="B4191" s="31" t="s">
        <v>14374</v>
      </c>
      <c r="C4191" s="31" t="s">
        <v>14375</v>
      </c>
      <c r="D4191" s="98" t="s">
        <v>2026</v>
      </c>
      <c r="E4191" s="99" t="b">
        <v>0</v>
      </c>
      <c r="F4191" s="107" t="s">
        <v>14376</v>
      </c>
      <c r="G4191" s="116" t="str">
        <f>HYPERLINK("http://nsgreg.nga.mil/genc/view?v=201811&amp;end_month=3&amp;end_day=31&amp;end_year=2014","Batticaloa")</f>
        <v>Batticaloa</v>
      </c>
      <c r="H4191" s="87" t="str">
        <f>HYPERLINK("http://api.nsgreg.nga.mil/geo-division/GENC/6/ed2/LK-51","LK-51")</f>
        <v>LK-51</v>
      </c>
    </row>
    <row r="4192" spans="1:8" x14ac:dyDescent="0.2">
      <c r="A4192" s="157"/>
      <c r="B4192" s="31" t="s">
        <v>14377</v>
      </c>
      <c r="C4192" s="31" t="s">
        <v>3420</v>
      </c>
      <c r="D4192" s="31" t="s">
        <v>1920</v>
      </c>
      <c r="E4192" s="61" t="b">
        <v>1</v>
      </c>
      <c r="F4192" s="107" t="s">
        <v>14378</v>
      </c>
      <c r="G4192" s="116" t="str">
        <f>HYPERLINK("http://nsgreg.nga.mil/genc/view?v=201796&amp;end_month=3&amp;end_day=31&amp;end_year=2014","Central")</f>
        <v>Central</v>
      </c>
      <c r="H4192" s="87" t="str">
        <f>HYPERLINK("http://api.nsgreg.nga.mil/geo-division/GENC/6/ed2/LK-2","LK-2")</f>
        <v>LK-2</v>
      </c>
    </row>
    <row r="4193" spans="1:8" x14ac:dyDescent="0.2">
      <c r="A4193" s="157"/>
      <c r="B4193" s="31" t="s">
        <v>14379</v>
      </c>
      <c r="C4193" s="31" t="s">
        <v>14380</v>
      </c>
      <c r="D4193" s="98" t="s">
        <v>2026</v>
      </c>
      <c r="E4193" s="99" t="b">
        <v>0</v>
      </c>
      <c r="F4193" s="107" t="s">
        <v>14381</v>
      </c>
      <c r="G4193" s="116" t="str">
        <f>HYPERLINK("http://nsgreg.nga.mil/genc/view?v=201793&amp;end_month=3&amp;end_day=31&amp;end_year=2014","Colombo")</f>
        <v>Colombo</v>
      </c>
      <c r="H4193" s="87" t="str">
        <f>HYPERLINK("http://api.nsgreg.nga.mil/geo-division/GENC/6/ed2/LK-11","LK-11")</f>
        <v>LK-11</v>
      </c>
    </row>
    <row r="4194" spans="1:8" x14ac:dyDescent="0.2">
      <c r="A4194" s="157"/>
      <c r="B4194" s="31" t="s">
        <v>14382</v>
      </c>
      <c r="C4194" s="31" t="s">
        <v>5622</v>
      </c>
      <c r="D4194" s="31" t="s">
        <v>1920</v>
      </c>
      <c r="E4194" s="61" t="b">
        <v>1</v>
      </c>
      <c r="F4194" s="107" t="s">
        <v>14383</v>
      </c>
      <c r="G4194" s="116" t="str">
        <f>HYPERLINK("http://nsgreg.nga.mil/genc/view?v=201810&amp;end_month=3&amp;end_day=31&amp;end_year=2014","Eastern")</f>
        <v>Eastern</v>
      </c>
      <c r="H4194" s="87" t="str">
        <f>HYPERLINK("http://api.nsgreg.nga.mil/geo-division/GENC/6/ed2/LK-5","LK-5")</f>
        <v>LK-5</v>
      </c>
    </row>
    <row r="4195" spans="1:8" x14ac:dyDescent="0.2">
      <c r="A4195" s="157"/>
      <c r="B4195" s="31" t="s">
        <v>14384</v>
      </c>
      <c r="C4195" s="31" t="s">
        <v>14385</v>
      </c>
      <c r="D4195" s="98" t="s">
        <v>2026</v>
      </c>
      <c r="E4195" s="99" t="b">
        <v>0</v>
      </c>
      <c r="F4195" s="107" t="s">
        <v>14386</v>
      </c>
      <c r="G4195" s="116" t="str">
        <f>HYPERLINK("http://nsgreg.nga.mil/genc/view?v=201801&amp;end_month=3&amp;end_day=31&amp;end_year=2014","Galle")</f>
        <v>Galle</v>
      </c>
      <c r="H4195" s="87" t="str">
        <f>HYPERLINK("http://api.nsgreg.nga.mil/geo-division/GENC/6/ed2/LK-31","LK-31")</f>
        <v>LK-31</v>
      </c>
    </row>
    <row r="4196" spans="1:8" x14ac:dyDescent="0.2">
      <c r="A4196" s="157"/>
      <c r="B4196" s="31" t="s">
        <v>14387</v>
      </c>
      <c r="C4196" s="31" t="s">
        <v>14388</v>
      </c>
      <c r="D4196" s="98" t="s">
        <v>2026</v>
      </c>
      <c r="E4196" s="99" t="b">
        <v>0</v>
      </c>
      <c r="F4196" s="107" t="s">
        <v>14389</v>
      </c>
      <c r="G4196" s="116" t="str">
        <f>HYPERLINK("http://nsgreg.nga.mil/genc/view?v=201794&amp;end_month=3&amp;end_day=31&amp;end_year=2014","Gampaha")</f>
        <v>Gampaha</v>
      </c>
      <c r="H4196" s="87" t="str">
        <f>HYPERLINK("http://api.nsgreg.nga.mil/geo-division/GENC/6/ed2/LK-12","LK-12")</f>
        <v>LK-12</v>
      </c>
    </row>
    <row r="4197" spans="1:8" x14ac:dyDescent="0.2">
      <c r="A4197" s="157"/>
      <c r="B4197" s="31" t="s">
        <v>14390</v>
      </c>
      <c r="C4197" s="31" t="s">
        <v>14391</v>
      </c>
      <c r="D4197" s="98" t="s">
        <v>2026</v>
      </c>
      <c r="E4197" s="99" t="b">
        <v>0</v>
      </c>
      <c r="F4197" s="107" t="s">
        <v>14392</v>
      </c>
      <c r="G4197" s="116" t="str">
        <f>HYPERLINK("http://nsgreg.nga.mil/genc/view?v=201803&amp;end_month=3&amp;end_day=31&amp;end_year=2014","Hambantota")</f>
        <v>Hambantota</v>
      </c>
      <c r="H4197" s="87" t="str">
        <f>HYPERLINK("http://api.nsgreg.nga.mil/geo-division/GENC/6/ed2/LK-33","LK-33")</f>
        <v>LK-33</v>
      </c>
    </row>
    <row r="4198" spans="1:8" x14ac:dyDescent="0.2">
      <c r="A4198" s="157"/>
      <c r="B4198" s="31" t="s">
        <v>14393</v>
      </c>
      <c r="C4198" s="31" t="s">
        <v>14394</v>
      </c>
      <c r="D4198" s="98" t="s">
        <v>2026</v>
      </c>
      <c r="E4198" s="99" t="b">
        <v>0</v>
      </c>
      <c r="F4198" s="107" t="s">
        <v>14395</v>
      </c>
      <c r="G4198" s="116" t="str">
        <f>HYPERLINK("http://nsgreg.nga.mil/genc/view?v=201805&amp;end_month=3&amp;end_day=31&amp;end_year=2014","Jaffna")</f>
        <v>Jaffna</v>
      </c>
      <c r="H4198" s="87" t="str">
        <f>HYPERLINK("http://api.nsgreg.nga.mil/geo-division/GENC/6/ed2/LK-41","LK-41")</f>
        <v>LK-41</v>
      </c>
    </row>
    <row r="4199" spans="1:8" x14ac:dyDescent="0.2">
      <c r="A4199" s="157"/>
      <c r="B4199" s="31" t="s">
        <v>14396</v>
      </c>
      <c r="C4199" s="31" t="s">
        <v>14397</v>
      </c>
      <c r="D4199" s="98" t="s">
        <v>2026</v>
      </c>
      <c r="E4199" s="99" t="b">
        <v>0</v>
      </c>
      <c r="F4199" s="107" t="s">
        <v>14398</v>
      </c>
      <c r="G4199" s="116" t="str">
        <f>HYPERLINK("http://nsgreg.nga.mil/genc/view?v=201795&amp;end_month=3&amp;end_day=31&amp;end_year=2014","Kalutara")</f>
        <v>Kalutara</v>
      </c>
      <c r="H4199" s="87" t="str">
        <f>HYPERLINK("http://api.nsgreg.nga.mil/geo-division/GENC/6/ed2/LK-13","LK-13")</f>
        <v>LK-13</v>
      </c>
    </row>
    <row r="4200" spans="1:8" x14ac:dyDescent="0.2">
      <c r="A4200" s="157"/>
      <c r="B4200" s="31" t="s">
        <v>14399</v>
      </c>
      <c r="C4200" s="31" t="s">
        <v>14400</v>
      </c>
      <c r="D4200" s="98" t="s">
        <v>2026</v>
      </c>
      <c r="E4200" s="99" t="b">
        <v>0</v>
      </c>
      <c r="F4200" s="107" t="s">
        <v>14401</v>
      </c>
      <c r="G4200" s="116" t="str">
        <f>HYPERLINK("http://nsgreg.nga.mil/genc/view?v=201797&amp;end_month=3&amp;end_day=31&amp;end_year=2014","Kandy")</f>
        <v>Kandy</v>
      </c>
      <c r="H4200" s="87" t="str">
        <f>HYPERLINK("http://api.nsgreg.nga.mil/geo-division/GENC/6/ed2/LK-21","LK-21")</f>
        <v>LK-21</v>
      </c>
    </row>
    <row r="4201" spans="1:8" x14ac:dyDescent="0.2">
      <c r="A4201" s="157"/>
      <c r="B4201" s="31" t="s">
        <v>14402</v>
      </c>
      <c r="C4201" s="31" t="s">
        <v>14403</v>
      </c>
      <c r="D4201" s="98" t="s">
        <v>2026</v>
      </c>
      <c r="E4201" s="99" t="b">
        <v>0</v>
      </c>
      <c r="F4201" s="107" t="s">
        <v>14404</v>
      </c>
      <c r="G4201" s="116" t="str">
        <f>HYPERLINK("http://nsgreg.nga.mil/genc/view?v=201825&amp;end_month=3&amp;end_day=31&amp;end_year=2014","Kegalla")</f>
        <v>Kegalla</v>
      </c>
      <c r="H4201" s="87" t="str">
        <f>HYPERLINK("http://api.nsgreg.nga.mil/geo-division/GENC/6/ed2/LK-92","LK-92")</f>
        <v>LK-92</v>
      </c>
    </row>
    <row r="4202" spans="1:8" x14ac:dyDescent="0.2">
      <c r="A4202" s="157"/>
      <c r="B4202" s="31" t="s">
        <v>14405</v>
      </c>
      <c r="C4202" s="31" t="s">
        <v>14406</v>
      </c>
      <c r="D4202" s="98" t="s">
        <v>2026</v>
      </c>
      <c r="E4202" s="99" t="b">
        <v>0</v>
      </c>
      <c r="F4202" s="107" t="s">
        <v>14407</v>
      </c>
      <c r="G4202" s="116" t="str">
        <f>HYPERLINK("http://nsgreg.nga.mil/genc/view?v=201806&amp;end_month=3&amp;end_day=31&amp;end_year=2014","Kilinochchi")</f>
        <v>Kilinochchi</v>
      </c>
      <c r="H4202" s="87" t="str">
        <f>HYPERLINK("http://api.nsgreg.nga.mil/geo-division/GENC/6/ed2/LK-42","LK-42")</f>
        <v>LK-42</v>
      </c>
    </row>
    <row r="4203" spans="1:8" x14ac:dyDescent="0.2">
      <c r="A4203" s="157"/>
      <c r="B4203" s="31" t="s">
        <v>14408</v>
      </c>
      <c r="C4203" s="31" t="s">
        <v>14409</v>
      </c>
      <c r="D4203" s="98" t="s">
        <v>2026</v>
      </c>
      <c r="E4203" s="99" t="b">
        <v>0</v>
      </c>
      <c r="F4203" s="107" t="s">
        <v>14410</v>
      </c>
      <c r="G4203" s="116" t="str">
        <f>HYPERLINK("http://nsgreg.nga.mil/genc/view?v=201815&amp;end_month=3&amp;end_day=31&amp;end_year=2014","Kurunegala")</f>
        <v>Kurunegala</v>
      </c>
      <c r="H4203" s="87" t="str">
        <f>HYPERLINK("http://api.nsgreg.nga.mil/geo-division/GENC/6/ed2/LK-61","LK-61")</f>
        <v>LK-61</v>
      </c>
    </row>
    <row r="4204" spans="1:8" x14ac:dyDescent="0.2">
      <c r="A4204" s="157"/>
      <c r="B4204" s="31" t="s">
        <v>14411</v>
      </c>
      <c r="C4204" s="31" t="s">
        <v>14412</v>
      </c>
      <c r="D4204" s="98" t="s">
        <v>2026</v>
      </c>
      <c r="E4204" s="99" t="b">
        <v>0</v>
      </c>
      <c r="F4204" s="107" t="s">
        <v>14413</v>
      </c>
      <c r="G4204" s="116" t="str">
        <f>HYPERLINK("http://nsgreg.nga.mil/genc/view?v=201807&amp;end_month=3&amp;end_day=31&amp;end_year=2014","Mannar")</f>
        <v>Mannar</v>
      </c>
      <c r="H4204" s="87" t="str">
        <f>HYPERLINK("http://api.nsgreg.nga.mil/geo-division/GENC/6/ed2/LK-43","LK-43")</f>
        <v>LK-43</v>
      </c>
    </row>
    <row r="4205" spans="1:8" x14ac:dyDescent="0.2">
      <c r="A4205" s="157"/>
      <c r="B4205" s="31" t="s">
        <v>14414</v>
      </c>
      <c r="C4205" s="31" t="s">
        <v>14415</v>
      </c>
      <c r="D4205" s="98" t="s">
        <v>2026</v>
      </c>
      <c r="E4205" s="99" t="b">
        <v>0</v>
      </c>
      <c r="F4205" s="107" t="s">
        <v>14416</v>
      </c>
      <c r="G4205" s="116" t="str">
        <f>HYPERLINK("http://nsgreg.nga.mil/genc/view?v=201798&amp;end_month=3&amp;end_day=31&amp;end_year=2014","Matale")</f>
        <v>Matale</v>
      </c>
      <c r="H4205" s="87" t="str">
        <f>HYPERLINK("http://api.nsgreg.nga.mil/geo-division/GENC/6/ed2/LK-22","LK-22")</f>
        <v>LK-22</v>
      </c>
    </row>
    <row r="4206" spans="1:8" x14ac:dyDescent="0.2">
      <c r="A4206" s="157"/>
      <c r="B4206" s="31" t="s">
        <v>14417</v>
      </c>
      <c r="C4206" s="31" t="s">
        <v>14418</v>
      </c>
      <c r="D4206" s="98" t="s">
        <v>2026</v>
      </c>
      <c r="E4206" s="99" t="b">
        <v>0</v>
      </c>
      <c r="F4206" s="107" t="s">
        <v>14419</v>
      </c>
      <c r="G4206" s="116" t="str">
        <f>HYPERLINK("http://nsgreg.nga.mil/genc/view?v=201802&amp;end_month=3&amp;end_day=31&amp;end_year=2014","Matara")</f>
        <v>Matara</v>
      </c>
      <c r="H4206" s="87" t="str">
        <f>HYPERLINK("http://api.nsgreg.nga.mil/geo-division/GENC/6/ed2/LK-32","LK-32")</f>
        <v>LK-32</v>
      </c>
    </row>
    <row r="4207" spans="1:8" x14ac:dyDescent="0.2">
      <c r="A4207" s="157"/>
      <c r="B4207" s="31" t="s">
        <v>14420</v>
      </c>
      <c r="C4207" s="31" t="s">
        <v>14421</v>
      </c>
      <c r="D4207" s="98" t="s">
        <v>2026</v>
      </c>
      <c r="E4207" s="99" t="b">
        <v>0</v>
      </c>
      <c r="F4207" s="107" t="s">
        <v>14422</v>
      </c>
      <c r="G4207" s="116" t="str">
        <f>HYPERLINK("http://nsgreg.nga.mil/genc/view?v=201822&amp;end_month=3&amp;end_day=31&amp;end_year=2014","Monaragala")</f>
        <v>Monaragala</v>
      </c>
      <c r="H4207" s="87" t="str">
        <f>HYPERLINK("http://api.nsgreg.nga.mil/geo-division/GENC/6/ed2/LK-82","LK-82")</f>
        <v>LK-82</v>
      </c>
    </row>
    <row r="4208" spans="1:8" x14ac:dyDescent="0.2">
      <c r="A4208" s="157"/>
      <c r="B4208" s="31" t="s">
        <v>14423</v>
      </c>
      <c r="C4208" s="31" t="s">
        <v>14424</v>
      </c>
      <c r="D4208" s="98" t="s">
        <v>2026</v>
      </c>
      <c r="E4208" s="99" t="b">
        <v>0</v>
      </c>
      <c r="F4208" s="107" t="s">
        <v>14425</v>
      </c>
      <c r="G4208" s="116" t="str">
        <f>HYPERLINK("http://nsgreg.nga.mil/genc/view?v=201809&amp;end_month=3&amp;end_day=31&amp;end_year=2014","Mullaittivu")</f>
        <v>Mullaittivu</v>
      </c>
      <c r="H4208" s="87" t="str">
        <f>HYPERLINK("http://api.nsgreg.nga.mil/geo-division/GENC/6/ed2/LK-45","LK-45")</f>
        <v>LK-45</v>
      </c>
    </row>
    <row r="4209" spans="1:8" x14ac:dyDescent="0.2">
      <c r="A4209" s="157"/>
      <c r="B4209" s="31" t="s">
        <v>14426</v>
      </c>
      <c r="C4209" s="31" t="s">
        <v>14427</v>
      </c>
      <c r="D4209" s="31" t="s">
        <v>1920</v>
      </c>
      <c r="E4209" s="61" t="b">
        <v>1</v>
      </c>
      <c r="F4209" s="107" t="s">
        <v>14428</v>
      </c>
      <c r="G4209" s="116" t="str">
        <f>HYPERLINK("http://nsgreg.nga.mil/genc/view?v=201804&amp;end_month=3&amp;end_day=31&amp;end_year=2014","North Central")</f>
        <v>North Central</v>
      </c>
      <c r="H4209" s="87" t="str">
        <f>HYPERLINK("http://api.nsgreg.nga.mil/geo-division/GENC/6/ed2/LK-4","LK-4")</f>
        <v>LK-4</v>
      </c>
    </row>
    <row r="4210" spans="1:8" x14ac:dyDescent="0.2">
      <c r="A4210" s="157"/>
      <c r="B4210" s="31" t="s">
        <v>14429</v>
      </c>
      <c r="C4210" s="31" t="s">
        <v>5625</v>
      </c>
      <c r="D4210" s="31" t="s">
        <v>1920</v>
      </c>
      <c r="E4210" s="61" t="b">
        <v>1</v>
      </c>
      <c r="F4210" s="107" t="s">
        <v>14430</v>
      </c>
      <c r="G4210" s="116" t="str">
        <f>HYPERLINK("http://nsgreg.nga.mil/genc/view?v=201817&amp;end_month=3&amp;end_day=31&amp;end_year=2014","Northern")</f>
        <v>Northern</v>
      </c>
      <c r="H4210" s="87" t="str">
        <f>HYPERLINK("http://api.nsgreg.nga.mil/geo-division/GENC/6/ed2/LK-7","LK-7")</f>
        <v>LK-7</v>
      </c>
    </row>
    <row r="4211" spans="1:8" x14ac:dyDescent="0.2">
      <c r="A4211" s="157"/>
      <c r="B4211" s="31" t="s">
        <v>14431</v>
      </c>
      <c r="C4211" s="31" t="s">
        <v>14432</v>
      </c>
      <c r="D4211" s="31" t="s">
        <v>1920</v>
      </c>
      <c r="E4211" s="61" t="b">
        <v>1</v>
      </c>
      <c r="F4211" s="107" t="s">
        <v>14433</v>
      </c>
      <c r="G4211" s="116" t="str">
        <f>HYPERLINK("http://nsgreg.nga.mil/genc/view?v=201814&amp;end_month=3&amp;end_day=31&amp;end_year=2014","North Western")</f>
        <v>North Western</v>
      </c>
      <c r="H4211" s="87" t="str">
        <f>HYPERLINK("http://api.nsgreg.nga.mil/geo-division/GENC/6/ed2/LK-6","LK-6")</f>
        <v>LK-6</v>
      </c>
    </row>
    <row r="4212" spans="1:8" x14ac:dyDescent="0.2">
      <c r="A4212" s="157"/>
      <c r="B4212" s="31" t="s">
        <v>14434</v>
      </c>
      <c r="C4212" s="31" t="s">
        <v>14435</v>
      </c>
      <c r="D4212" s="98" t="s">
        <v>2026</v>
      </c>
      <c r="E4212" s="99" t="b">
        <v>0</v>
      </c>
      <c r="F4212" s="107" t="s">
        <v>14436</v>
      </c>
      <c r="G4212" s="116" t="str">
        <f>HYPERLINK("http://nsgreg.nga.mil/genc/view?v=201799&amp;end_month=3&amp;end_day=31&amp;end_year=2014","Nuwara Eliya")</f>
        <v>Nuwara Eliya</v>
      </c>
      <c r="H4212" s="87" t="str">
        <f>HYPERLINK("http://api.nsgreg.nga.mil/geo-division/GENC/6/ed2/LK-23","LK-23")</f>
        <v>LK-23</v>
      </c>
    </row>
    <row r="4213" spans="1:8" x14ac:dyDescent="0.2">
      <c r="A4213" s="157"/>
      <c r="B4213" s="31" t="s">
        <v>14437</v>
      </c>
      <c r="C4213" s="31" t="s">
        <v>14438</v>
      </c>
      <c r="D4213" s="98" t="s">
        <v>2026</v>
      </c>
      <c r="E4213" s="99" t="b">
        <v>0</v>
      </c>
      <c r="F4213" s="107" t="s">
        <v>14439</v>
      </c>
      <c r="G4213" s="116" t="str">
        <f>HYPERLINK("http://nsgreg.nga.mil/genc/view?v=201819&amp;end_month=3&amp;end_day=31&amp;end_year=2014","Polonnaruwa")</f>
        <v>Polonnaruwa</v>
      </c>
      <c r="H4213" s="87" t="str">
        <f>HYPERLINK("http://api.nsgreg.nga.mil/geo-division/GENC/6/ed2/LK-72","LK-72")</f>
        <v>LK-72</v>
      </c>
    </row>
    <row r="4214" spans="1:8" x14ac:dyDescent="0.2">
      <c r="A4214" s="157"/>
      <c r="B4214" s="31" t="s">
        <v>14440</v>
      </c>
      <c r="C4214" s="31" t="s">
        <v>14441</v>
      </c>
      <c r="D4214" s="98" t="s">
        <v>2026</v>
      </c>
      <c r="E4214" s="99" t="b">
        <v>0</v>
      </c>
      <c r="F4214" s="107" t="s">
        <v>14442</v>
      </c>
      <c r="G4214" s="116" t="str">
        <f>HYPERLINK("http://nsgreg.nga.mil/genc/view?v=201816&amp;end_month=3&amp;end_day=31&amp;end_year=2014","Puttalam")</f>
        <v>Puttalam</v>
      </c>
      <c r="H4214" s="87" t="str">
        <f>HYPERLINK("http://api.nsgreg.nga.mil/geo-division/GENC/6/ed2/LK-62","LK-62")</f>
        <v>LK-62</v>
      </c>
    </row>
    <row r="4215" spans="1:8" x14ac:dyDescent="0.2">
      <c r="A4215" s="157"/>
      <c r="B4215" s="31" t="s">
        <v>14443</v>
      </c>
      <c r="C4215" s="31" t="s">
        <v>14444</v>
      </c>
      <c r="D4215" s="98" t="s">
        <v>2026</v>
      </c>
      <c r="E4215" s="99" t="b">
        <v>0</v>
      </c>
      <c r="F4215" s="107" t="s">
        <v>14445</v>
      </c>
      <c r="G4215" s="116" t="str">
        <f>HYPERLINK("http://nsgreg.nga.mil/genc/view?v=201824&amp;end_month=3&amp;end_day=31&amp;end_year=2014","Ratnapura")</f>
        <v>Ratnapura</v>
      </c>
      <c r="H4215" s="87" t="str">
        <f>HYPERLINK("http://api.nsgreg.nga.mil/geo-division/GENC/6/ed2/LK-91","LK-91")</f>
        <v>LK-91</v>
      </c>
    </row>
    <row r="4216" spans="1:8" x14ac:dyDescent="0.2">
      <c r="A4216" s="157"/>
      <c r="B4216" s="31" t="s">
        <v>14446</v>
      </c>
      <c r="C4216" s="31" t="s">
        <v>14447</v>
      </c>
      <c r="D4216" s="31" t="s">
        <v>1920</v>
      </c>
      <c r="E4216" s="61" t="b">
        <v>1</v>
      </c>
      <c r="F4216" s="107" t="s">
        <v>14448</v>
      </c>
      <c r="G4216" s="116" t="str">
        <f>HYPERLINK("http://nsgreg.nga.mil/genc/view?v=201823&amp;end_month=3&amp;end_day=31&amp;end_year=2014","Sabaragamuwa")</f>
        <v>Sabaragamuwa</v>
      </c>
      <c r="H4216" s="87" t="str">
        <f>HYPERLINK("http://api.nsgreg.nga.mil/geo-division/GENC/6/ed2/LK-9","LK-9")</f>
        <v>LK-9</v>
      </c>
    </row>
    <row r="4217" spans="1:8" x14ac:dyDescent="0.2">
      <c r="A4217" s="157"/>
      <c r="B4217" s="31" t="s">
        <v>14449</v>
      </c>
      <c r="C4217" s="31" t="s">
        <v>3463</v>
      </c>
      <c r="D4217" s="31" t="s">
        <v>1920</v>
      </c>
      <c r="E4217" s="61" t="b">
        <v>1</v>
      </c>
      <c r="F4217" s="107" t="s">
        <v>14450</v>
      </c>
      <c r="G4217" s="116" t="str">
        <f>HYPERLINK("http://nsgreg.nga.mil/genc/view?v=201800&amp;end_month=3&amp;end_day=31&amp;end_year=2014","Southern")</f>
        <v>Southern</v>
      </c>
      <c r="H4217" s="87" t="str">
        <f>HYPERLINK("http://api.nsgreg.nga.mil/geo-division/GENC/6/ed2/LK-3","LK-3")</f>
        <v>LK-3</v>
      </c>
    </row>
    <row r="4218" spans="1:8" x14ac:dyDescent="0.2">
      <c r="A4218" s="157"/>
      <c r="B4218" s="31" t="s">
        <v>14451</v>
      </c>
      <c r="C4218" s="31" t="s">
        <v>14452</v>
      </c>
      <c r="D4218" s="98" t="s">
        <v>2026</v>
      </c>
      <c r="E4218" s="99" t="b">
        <v>0</v>
      </c>
      <c r="F4218" s="107" t="s">
        <v>14453</v>
      </c>
      <c r="G4218" s="116" t="str">
        <f>HYPERLINK("http://nsgreg.nga.mil/genc/view?v=201813&amp;end_month=3&amp;end_day=31&amp;end_year=2014","Trincomalee")</f>
        <v>Trincomalee</v>
      </c>
      <c r="H4218" s="87" t="str">
        <f>HYPERLINK("http://api.nsgreg.nga.mil/geo-division/GENC/6/ed2/LK-53","LK-53")</f>
        <v>LK-53</v>
      </c>
    </row>
    <row r="4219" spans="1:8" x14ac:dyDescent="0.2">
      <c r="A4219" s="157"/>
      <c r="B4219" s="31" t="s">
        <v>14454</v>
      </c>
      <c r="C4219" s="31" t="s">
        <v>14455</v>
      </c>
      <c r="D4219" s="31" t="s">
        <v>1920</v>
      </c>
      <c r="E4219" s="61" t="b">
        <v>1</v>
      </c>
      <c r="F4219" s="107" t="s">
        <v>14456</v>
      </c>
      <c r="G4219" s="116" t="str">
        <f>HYPERLINK("http://nsgreg.nga.mil/genc/view?v=201820&amp;end_month=3&amp;end_day=31&amp;end_year=2014","Uva")</f>
        <v>Uva</v>
      </c>
      <c r="H4219" s="87" t="str">
        <f>HYPERLINK("http://api.nsgreg.nga.mil/geo-division/GENC/6/ed2/LK-8","LK-8")</f>
        <v>LK-8</v>
      </c>
    </row>
    <row r="4220" spans="1:8" x14ac:dyDescent="0.2">
      <c r="A4220" s="157"/>
      <c r="B4220" s="31" t="s">
        <v>14457</v>
      </c>
      <c r="C4220" s="31" t="s">
        <v>14458</v>
      </c>
      <c r="D4220" s="98" t="s">
        <v>2026</v>
      </c>
      <c r="E4220" s="99" t="b">
        <v>0</v>
      </c>
      <c r="F4220" s="107" t="s">
        <v>14459</v>
      </c>
      <c r="G4220" s="116" t="str">
        <f>HYPERLINK("http://nsgreg.nga.mil/genc/view?v=201808&amp;end_month=3&amp;end_day=31&amp;end_year=2014","Vavuniya")</f>
        <v>Vavuniya</v>
      </c>
      <c r="H4220" s="87" t="str">
        <f>HYPERLINK("http://api.nsgreg.nga.mil/geo-division/GENC/6/ed2/LK-44","LK-44")</f>
        <v>LK-44</v>
      </c>
    </row>
    <row r="4221" spans="1:8" x14ac:dyDescent="0.2">
      <c r="A4221" s="158"/>
      <c r="B4221" s="58" t="s">
        <v>14460</v>
      </c>
      <c r="C4221" s="58" t="s">
        <v>5631</v>
      </c>
      <c r="D4221" s="58" t="s">
        <v>1920</v>
      </c>
      <c r="E4221" s="62" t="b">
        <v>1</v>
      </c>
      <c r="F4221" s="111" t="s">
        <v>14461</v>
      </c>
      <c r="G4221" s="117" t="str">
        <f>HYPERLINK("http://nsgreg.nga.mil/genc/view?v=201792&amp;end_month=3&amp;end_day=31&amp;end_year=2014","Western")</f>
        <v>Western</v>
      </c>
      <c r="H4221" s="89" t="str">
        <f>HYPERLINK("http://api.nsgreg.nga.mil/geo-division/GENC/6/ed2/LK-1","LK-1")</f>
        <v>LK-1</v>
      </c>
    </row>
    <row r="4222" spans="1:8" x14ac:dyDescent="0.2">
      <c r="A4222" s="156" t="str">
        <f>HYPERLINK("[#]Geopolitical_Entities!A241:I241","SUDAN")</f>
        <v>SUDAN</v>
      </c>
      <c r="B4222" s="52" t="s">
        <v>14462</v>
      </c>
      <c r="C4222" s="52" t="s">
        <v>5372</v>
      </c>
      <c r="D4222" s="52" t="s">
        <v>2512</v>
      </c>
      <c r="E4222" s="60" t="b">
        <v>1</v>
      </c>
      <c r="F4222" s="110" t="s">
        <v>14463</v>
      </c>
      <c r="G4222" s="118" t="str">
        <f>HYPERLINK("http://nsgreg.nga.mil/genc/view?v=202982&amp;end_month=3&amp;end_day=31&amp;end_year=2014","Al Baḩr al Aḩmar")</f>
        <v>Al Baḩr al Aḩmar</v>
      </c>
      <c r="H4222" s="91" t="str">
        <f>HYPERLINK("http://api.nsgreg.nga.mil/geo-division/GENC/6/ed2/SD-RS","SD-RS")</f>
        <v>SD-RS</v>
      </c>
    </row>
    <row r="4223" spans="1:8" x14ac:dyDescent="0.2">
      <c r="A4223" s="157"/>
      <c r="B4223" s="31" t="s">
        <v>14464</v>
      </c>
      <c r="C4223" s="31" t="s">
        <v>14465</v>
      </c>
      <c r="D4223" s="31" t="s">
        <v>2512</v>
      </c>
      <c r="E4223" s="61" t="b">
        <v>1</v>
      </c>
      <c r="F4223" s="107" t="s">
        <v>14466</v>
      </c>
      <c r="G4223" s="116" t="str">
        <f>HYPERLINK("http://nsgreg.nga.mil/genc/view?v=202973&amp;end_month=3&amp;end_day=31&amp;end_year=2014","Al Jazīra")</f>
        <v>Al Jazīra</v>
      </c>
      <c r="H4223" s="87" t="str">
        <f>HYPERLINK("http://api.nsgreg.nga.mil/geo-division/GENC/6/ed2/SD-GZ","SD-GZ")</f>
        <v>SD-GZ</v>
      </c>
    </row>
    <row r="4224" spans="1:8" x14ac:dyDescent="0.2">
      <c r="A4224" s="157"/>
      <c r="B4224" s="31" t="s">
        <v>14467</v>
      </c>
      <c r="C4224" s="31" t="s">
        <v>14468</v>
      </c>
      <c r="D4224" s="31" t="s">
        <v>2512</v>
      </c>
      <c r="E4224" s="61" t="b">
        <v>1</v>
      </c>
      <c r="F4224" s="107" t="s">
        <v>14469</v>
      </c>
      <c r="G4224" s="116" t="str">
        <f>HYPERLINK("http://nsgreg.nga.mil/genc/view?v=202975&amp;end_month=3&amp;end_day=31&amp;end_year=2014","Al Kharţoum")</f>
        <v>Al Kharţoum</v>
      </c>
      <c r="H4224" s="87" t="str">
        <f>HYPERLINK("http://api.nsgreg.nga.mil/geo-division/GENC/6/ed2/SD-KH","SD-KH")</f>
        <v>SD-KH</v>
      </c>
    </row>
    <row r="4225" spans="1:8" x14ac:dyDescent="0.2">
      <c r="A4225" s="157"/>
      <c r="B4225" s="31" t="s">
        <v>14470</v>
      </c>
      <c r="C4225" s="31" t="s">
        <v>14471</v>
      </c>
      <c r="D4225" s="31" t="s">
        <v>2512</v>
      </c>
      <c r="E4225" s="61" t="b">
        <v>1</v>
      </c>
      <c r="F4225" s="107" t="s">
        <v>14472</v>
      </c>
      <c r="G4225" s="116" t="str">
        <f>HYPERLINK("http://nsgreg.nga.mil/genc/view?v=202972&amp;end_month=3&amp;end_day=31&amp;end_year=2014","Al Qaḑārif")</f>
        <v>Al Qaḑārif</v>
      </c>
      <c r="H4225" s="87" t="str">
        <f>HYPERLINK("http://api.nsgreg.nga.mil/geo-division/GENC/6/ed2/SD-GD","SD-GD")</f>
        <v>SD-GD</v>
      </c>
    </row>
    <row r="4226" spans="1:8" x14ac:dyDescent="0.2">
      <c r="A4226" s="157"/>
      <c r="B4226" s="31" t="s">
        <v>14473</v>
      </c>
      <c r="C4226" s="31" t="s">
        <v>14474</v>
      </c>
      <c r="D4226" s="31" t="s">
        <v>2512</v>
      </c>
      <c r="E4226" s="61" t="b">
        <v>1</v>
      </c>
      <c r="F4226" s="107" t="s">
        <v>14475</v>
      </c>
      <c r="G4226" s="116" t="str">
        <f>HYPERLINK("http://nsgreg.nga.mil/genc/view?v=202981&amp;end_month=3&amp;end_day=31&amp;end_year=2014","An Nīl al Abyaḑ")</f>
        <v>An Nīl al Abyaḑ</v>
      </c>
      <c r="H4226" s="87" t="str">
        <f>HYPERLINK("http://api.nsgreg.nga.mil/geo-division/GENC/6/ed2/SD-NW","SD-NW")</f>
        <v>SD-NW</v>
      </c>
    </row>
    <row r="4227" spans="1:8" x14ac:dyDescent="0.2">
      <c r="A4227" s="157"/>
      <c r="B4227" s="31" t="s">
        <v>14476</v>
      </c>
      <c r="C4227" s="31" t="s">
        <v>14477</v>
      </c>
      <c r="D4227" s="31" t="s">
        <v>2512</v>
      </c>
      <c r="E4227" s="61" t="b">
        <v>1</v>
      </c>
      <c r="F4227" s="107" t="s">
        <v>14478</v>
      </c>
      <c r="G4227" s="116" t="str">
        <f>HYPERLINK("http://nsgreg.nga.mil/genc/view?v=202978&amp;end_month=3&amp;end_day=31&amp;end_year=2014","An Nīl al Azraq")</f>
        <v>An Nīl al Azraq</v>
      </c>
      <c r="H4227" s="87" t="str">
        <f>HYPERLINK("http://api.nsgreg.nga.mil/geo-division/GENC/6/ed2/SD-NB","SD-NB")</f>
        <v>SD-NB</v>
      </c>
    </row>
    <row r="4228" spans="1:8" x14ac:dyDescent="0.2">
      <c r="A4228" s="157"/>
      <c r="B4228" s="31" t="s">
        <v>14479</v>
      </c>
      <c r="C4228" s="31" t="s">
        <v>14480</v>
      </c>
      <c r="D4228" s="31" t="s">
        <v>2512</v>
      </c>
      <c r="E4228" s="61" t="b">
        <v>1</v>
      </c>
      <c r="F4228" s="107" t="s">
        <v>14481</v>
      </c>
      <c r="G4228" s="116" t="str">
        <f>HYPERLINK("http://nsgreg.nga.mil/genc/view?v=202979&amp;end_month=3&amp;end_day=31&amp;end_year=2014","Ash Shimālīyya")</f>
        <v>Ash Shimālīyya</v>
      </c>
      <c r="H4228" s="87" t="str">
        <f>HYPERLINK("http://api.nsgreg.nga.mil/geo-division/GENC/6/ed2/SD-NO","SD-NO")</f>
        <v>SD-NO</v>
      </c>
    </row>
    <row r="4229" spans="1:8" x14ac:dyDescent="0.2">
      <c r="A4229" s="157"/>
      <c r="B4229" s="31" t="s">
        <v>14482</v>
      </c>
      <c r="C4229" s="31" t="s">
        <v>14483</v>
      </c>
      <c r="D4229" s="31" t="s">
        <v>2512</v>
      </c>
      <c r="E4229" s="61" t="b">
        <v>1</v>
      </c>
      <c r="F4229" s="107" t="s">
        <v>14484</v>
      </c>
      <c r="G4229" s="116" t="str">
        <f>HYPERLINK("http://nsgreg.nga.mil/genc/view?v=202971&amp;end_month=3&amp;end_day=31&amp;end_year=2014","Gharb Dārfūr")</f>
        <v>Gharb Dārfūr</v>
      </c>
      <c r="H4229" s="87" t="str">
        <f>HYPERLINK("http://api.nsgreg.nga.mil/geo-division/GENC/6/ed2/SD-DW","SD-DW")</f>
        <v>SD-DW</v>
      </c>
    </row>
    <row r="4230" spans="1:8" x14ac:dyDescent="0.2">
      <c r="A4230" s="157"/>
      <c r="B4230" s="31" t="s">
        <v>14485</v>
      </c>
      <c r="C4230" s="31" t="s">
        <v>14486</v>
      </c>
      <c r="D4230" s="31" t="s">
        <v>2512</v>
      </c>
      <c r="E4230" s="61" t="b">
        <v>1</v>
      </c>
      <c r="F4230" s="107" t="s">
        <v>14487</v>
      </c>
      <c r="G4230" s="116" t="str">
        <f>HYPERLINK("http://nsgreg.nga.mil/genc/view?v=202970&amp;end_month=3&amp;end_day=31&amp;end_year=2014","Janūb Dārfūr")</f>
        <v>Janūb Dārfūr</v>
      </c>
      <c r="H4230" s="87" t="str">
        <f>HYPERLINK("http://api.nsgreg.nga.mil/geo-division/GENC/6/ed2/SD-DS","SD-DS")</f>
        <v>SD-DS</v>
      </c>
    </row>
    <row r="4231" spans="1:8" x14ac:dyDescent="0.2">
      <c r="A4231" s="157"/>
      <c r="B4231" s="31" t="s">
        <v>14488</v>
      </c>
      <c r="C4231" s="31" t="s">
        <v>14489</v>
      </c>
      <c r="D4231" s="31" t="s">
        <v>2512</v>
      </c>
      <c r="E4231" s="61" t="b">
        <v>1</v>
      </c>
      <c r="F4231" s="107" t="s">
        <v>14490</v>
      </c>
      <c r="G4231" s="116" t="str">
        <f>HYPERLINK("http://nsgreg.nga.mil/genc/view?v=202977&amp;end_month=3&amp;end_day=31&amp;end_year=2014","Janūb Kurdufān")</f>
        <v>Janūb Kurdufān</v>
      </c>
      <c r="H4231" s="87" t="str">
        <f>HYPERLINK("http://api.nsgreg.nga.mil/geo-division/GENC/6/ed2/SD-KS","SD-KS")</f>
        <v>SD-KS</v>
      </c>
    </row>
    <row r="4232" spans="1:8" x14ac:dyDescent="0.2">
      <c r="A4232" s="157"/>
      <c r="B4232" s="31" t="s">
        <v>14491</v>
      </c>
      <c r="C4232" s="31" t="s">
        <v>14492</v>
      </c>
      <c r="D4232" s="31" t="s">
        <v>2512</v>
      </c>
      <c r="E4232" s="61" t="b">
        <v>1</v>
      </c>
      <c r="F4232" s="107" t="s">
        <v>14493</v>
      </c>
      <c r="G4232" s="116" t="str">
        <f>HYPERLINK("http://nsgreg.nga.mil/genc/view?v=202974&amp;end_month=3&amp;end_day=31&amp;end_year=2014","Kassalā")</f>
        <v>Kassalā</v>
      </c>
      <c r="H4232" s="87" t="str">
        <f>HYPERLINK("http://api.nsgreg.nga.mil/geo-division/GENC/6/ed2/SD-KA","SD-KA")</f>
        <v>SD-KA</v>
      </c>
    </row>
    <row r="4233" spans="1:8" x14ac:dyDescent="0.2">
      <c r="A4233" s="157"/>
      <c r="B4233" s="31" t="s">
        <v>14494</v>
      </c>
      <c r="C4233" s="31" t="s">
        <v>14495</v>
      </c>
      <c r="D4233" s="31" t="s">
        <v>2512</v>
      </c>
      <c r="E4233" s="61" t="b">
        <v>1</v>
      </c>
      <c r="F4233" s="107" t="s">
        <v>14496</v>
      </c>
      <c r="G4233" s="116" t="str">
        <f>HYPERLINK("http://nsgreg.nga.mil/genc/view?v=202980&amp;end_month=3&amp;end_day=31&amp;end_year=2014","Nahr an Nīl")</f>
        <v>Nahr an Nīl</v>
      </c>
      <c r="H4233" s="87" t="str">
        <f>HYPERLINK("http://api.nsgreg.nga.mil/geo-division/GENC/6/ed2/SD-NR","SD-NR")</f>
        <v>SD-NR</v>
      </c>
    </row>
    <row r="4234" spans="1:8" x14ac:dyDescent="0.2">
      <c r="A4234" s="157"/>
      <c r="B4234" s="31" t="s">
        <v>14497</v>
      </c>
      <c r="C4234" s="31" t="s">
        <v>14498</v>
      </c>
      <c r="D4234" s="31" t="s">
        <v>2512</v>
      </c>
      <c r="E4234" s="61" t="b">
        <v>1</v>
      </c>
      <c r="F4234" s="107" t="s">
        <v>14499</v>
      </c>
      <c r="G4234" s="116" t="str">
        <f>HYPERLINK("http://nsgreg.nga.mil/genc/view?v=202968&amp;end_month=3&amp;end_day=31&amp;end_year=2014","Sharq Dārfūr")</f>
        <v>Sharq Dārfūr</v>
      </c>
      <c r="H4234" s="87" t="str">
        <f>HYPERLINK("http://api.nsgreg.nga.mil/geo-division/GENC/6/ed2/SD-DE","SD-DE")</f>
        <v>SD-DE</v>
      </c>
    </row>
    <row r="4235" spans="1:8" x14ac:dyDescent="0.2">
      <c r="A4235" s="157"/>
      <c r="B4235" s="31" t="s">
        <v>14500</v>
      </c>
      <c r="C4235" s="31" t="s">
        <v>14501</v>
      </c>
      <c r="D4235" s="31" t="s">
        <v>2512</v>
      </c>
      <c r="E4235" s="61" t="b">
        <v>1</v>
      </c>
      <c r="F4235" s="107" t="s">
        <v>14502</v>
      </c>
      <c r="G4235" s="116" t="str">
        <f>HYPERLINK("http://nsgreg.nga.mil/genc/view?v=202969&amp;end_month=3&amp;end_day=31&amp;end_year=2014","Shimāl Dārfūr")</f>
        <v>Shimāl Dārfūr</v>
      </c>
      <c r="H4235" s="87" t="str">
        <f>HYPERLINK("http://api.nsgreg.nga.mil/geo-division/GENC/6/ed2/SD-DN","SD-DN")</f>
        <v>SD-DN</v>
      </c>
    </row>
    <row r="4236" spans="1:8" x14ac:dyDescent="0.2">
      <c r="A4236" s="157"/>
      <c r="B4236" s="31" t="s">
        <v>14503</v>
      </c>
      <c r="C4236" s="31" t="s">
        <v>14504</v>
      </c>
      <c r="D4236" s="31" t="s">
        <v>2512</v>
      </c>
      <c r="E4236" s="61" t="b">
        <v>1</v>
      </c>
      <c r="F4236" s="107" t="s">
        <v>14505</v>
      </c>
      <c r="G4236" s="116" t="str">
        <f>HYPERLINK("http://nsgreg.nga.mil/genc/view?v=202976&amp;end_month=3&amp;end_day=31&amp;end_year=2014","Shimāl Kurdufān")</f>
        <v>Shimāl Kurdufān</v>
      </c>
      <c r="H4236" s="87" t="str">
        <f>HYPERLINK("http://api.nsgreg.nga.mil/geo-division/GENC/6/ed2/SD-KN","SD-KN")</f>
        <v>SD-KN</v>
      </c>
    </row>
    <row r="4237" spans="1:8" x14ac:dyDescent="0.2">
      <c r="A4237" s="157"/>
      <c r="B4237" s="31" t="s">
        <v>14506</v>
      </c>
      <c r="C4237" s="31" t="s">
        <v>14507</v>
      </c>
      <c r="D4237" s="31" t="s">
        <v>2512</v>
      </c>
      <c r="E4237" s="61" t="b">
        <v>1</v>
      </c>
      <c r="F4237" s="107" t="s">
        <v>14508</v>
      </c>
      <c r="G4237" s="116" t="str">
        <f>HYPERLINK("http://nsgreg.nga.mil/genc/view?v=202983&amp;end_month=3&amp;end_day=31&amp;end_year=2014","Sinnār")</f>
        <v>Sinnār</v>
      </c>
      <c r="H4237" s="87" t="str">
        <f>HYPERLINK("http://api.nsgreg.nga.mil/geo-division/GENC/6/ed2/SD-SI","SD-SI")</f>
        <v>SD-SI</v>
      </c>
    </row>
    <row r="4238" spans="1:8" x14ac:dyDescent="0.2">
      <c r="A4238" s="158"/>
      <c r="B4238" s="58" t="s">
        <v>14509</v>
      </c>
      <c r="C4238" s="58" t="s">
        <v>14510</v>
      </c>
      <c r="D4238" s="58" t="s">
        <v>2512</v>
      </c>
      <c r="E4238" s="62" t="b">
        <v>1</v>
      </c>
      <c r="F4238" s="111" t="s">
        <v>14511</v>
      </c>
      <c r="G4238" s="117" t="str">
        <f>HYPERLINK("http://nsgreg.nga.mil/genc/view?v=202967&amp;end_month=3&amp;end_day=31&amp;end_year=2014","Wasaţ Dārfūr")</f>
        <v>Wasaţ Dārfūr</v>
      </c>
      <c r="H4238" s="89" t="str">
        <f>HYPERLINK("http://api.nsgreg.nga.mil/geo-division/GENC/6/ed2/SD-DC","SD-DC")</f>
        <v>SD-DC</v>
      </c>
    </row>
    <row r="4239" spans="1:8" x14ac:dyDescent="0.2">
      <c r="A4239" s="156" t="str">
        <f>HYPERLINK("[#]Geopolitical_Entities!A242:I242","SURINAME")</f>
        <v>SURINAME</v>
      </c>
      <c r="B4239" s="52" t="s">
        <v>14512</v>
      </c>
      <c r="C4239" s="52" t="s">
        <v>14513</v>
      </c>
      <c r="D4239" s="52" t="s">
        <v>2026</v>
      </c>
      <c r="E4239" s="60" t="b">
        <v>1</v>
      </c>
      <c r="F4239" s="109" t="s">
        <v>14514</v>
      </c>
      <c r="G4239" s="118" t="str">
        <f>HYPERLINK("http://nsgreg.nga.mil/genc/view?v=116089&amp;gencs=T&amp;end_month=3&amp;end_day=31&amp;end_year=2014","Brokopondo")</f>
        <v>Brokopondo</v>
      </c>
      <c r="H4239" s="91" t="str">
        <f>HYPERLINK("http://api.nsgreg.nga.mil/geo-division/ISO3166-2/6/ed3/SR-BR","SR-BR")</f>
        <v>SR-BR</v>
      </c>
    </row>
    <row r="4240" spans="1:8" x14ac:dyDescent="0.2">
      <c r="A4240" s="157"/>
      <c r="B4240" s="31" t="s">
        <v>14515</v>
      </c>
      <c r="C4240" s="31" t="s">
        <v>14516</v>
      </c>
      <c r="D4240" s="31" t="s">
        <v>2026</v>
      </c>
      <c r="E4240" s="61" t="b">
        <v>1</v>
      </c>
      <c r="F4240" s="106" t="s">
        <v>14517</v>
      </c>
      <c r="G4240" s="116" t="str">
        <f>HYPERLINK("http://nsgreg.nga.mil/genc/view?v=116090&amp;gencs=T&amp;end_month=3&amp;end_day=31&amp;end_year=2014","Commewijne")</f>
        <v>Commewijne</v>
      </c>
      <c r="H4240" s="87" t="str">
        <f>HYPERLINK("http://api.nsgreg.nga.mil/geo-division/ISO3166-2/6/ed3/SR-CM","SR-CM")</f>
        <v>SR-CM</v>
      </c>
    </row>
    <row r="4241" spans="1:8" x14ac:dyDescent="0.2">
      <c r="A4241" s="157"/>
      <c r="B4241" s="31" t="s">
        <v>14518</v>
      </c>
      <c r="C4241" s="31" t="s">
        <v>14519</v>
      </c>
      <c r="D4241" s="31" t="s">
        <v>2026</v>
      </c>
      <c r="E4241" s="61" t="b">
        <v>1</v>
      </c>
      <c r="F4241" s="106" t="s">
        <v>14520</v>
      </c>
      <c r="G4241" s="116" t="str">
        <f>HYPERLINK("http://nsgreg.nga.mil/genc/view?v=116091&amp;gencs=T&amp;end_month=3&amp;end_day=31&amp;end_year=2014","Coronie")</f>
        <v>Coronie</v>
      </c>
      <c r="H4241" s="87" t="str">
        <f>HYPERLINK("http://api.nsgreg.nga.mil/geo-division/ISO3166-2/6/ed3/SR-CR","SR-CR")</f>
        <v>SR-CR</v>
      </c>
    </row>
    <row r="4242" spans="1:8" x14ac:dyDescent="0.2">
      <c r="A4242" s="157"/>
      <c r="B4242" s="31" t="s">
        <v>14521</v>
      </c>
      <c r="C4242" s="31" t="s">
        <v>14522</v>
      </c>
      <c r="D4242" s="31" t="s">
        <v>2026</v>
      </c>
      <c r="E4242" s="61" t="b">
        <v>1</v>
      </c>
      <c r="F4242" s="106" t="s">
        <v>14523</v>
      </c>
      <c r="G4242" s="116" t="str">
        <f>HYPERLINK("http://nsgreg.nga.mil/genc/view?v=116092&amp;gencs=T&amp;end_month=3&amp;end_day=31&amp;end_year=2014","Marowijne")</f>
        <v>Marowijne</v>
      </c>
      <c r="H4242" s="87" t="str">
        <f>HYPERLINK("http://api.nsgreg.nga.mil/geo-division/ISO3166-2/6/ed3/SR-MA","SR-MA")</f>
        <v>SR-MA</v>
      </c>
    </row>
    <row r="4243" spans="1:8" x14ac:dyDescent="0.2">
      <c r="A4243" s="157"/>
      <c r="B4243" s="31" t="s">
        <v>14524</v>
      </c>
      <c r="C4243" s="31" t="s">
        <v>14525</v>
      </c>
      <c r="D4243" s="31" t="s">
        <v>2026</v>
      </c>
      <c r="E4243" s="61" t="b">
        <v>1</v>
      </c>
      <c r="F4243" s="106" t="s">
        <v>14526</v>
      </c>
      <c r="G4243" s="116" t="str">
        <f>HYPERLINK("http://nsgreg.nga.mil/genc/view?v=116093&amp;gencs=T&amp;end_month=3&amp;end_day=31&amp;end_year=2014","Nickerie")</f>
        <v>Nickerie</v>
      </c>
      <c r="H4243" s="87" t="str">
        <f>HYPERLINK("http://api.nsgreg.nga.mil/geo-division/ISO3166-2/6/ed3/SR-NI","SR-NI")</f>
        <v>SR-NI</v>
      </c>
    </row>
    <row r="4244" spans="1:8" x14ac:dyDescent="0.2">
      <c r="A4244" s="157"/>
      <c r="B4244" s="31" t="s">
        <v>14527</v>
      </c>
      <c r="C4244" s="31" t="s">
        <v>14528</v>
      </c>
      <c r="D4244" s="31" t="s">
        <v>2026</v>
      </c>
      <c r="E4244" s="61" t="b">
        <v>1</v>
      </c>
      <c r="F4244" s="106" t="s">
        <v>14529</v>
      </c>
      <c r="G4244" s="116" t="str">
        <f>HYPERLINK("http://nsgreg.nga.mil/genc/view?v=116095&amp;gencs=T&amp;end_month=3&amp;end_day=31&amp;end_year=2014","Para")</f>
        <v>Para</v>
      </c>
      <c r="H4244" s="87" t="str">
        <f>HYPERLINK("http://api.nsgreg.nga.mil/geo-division/ISO3166-2/6/ed3/SR-PR","SR-PR")</f>
        <v>SR-PR</v>
      </c>
    </row>
    <row r="4245" spans="1:8" x14ac:dyDescent="0.2">
      <c r="A4245" s="157"/>
      <c r="B4245" s="31" t="s">
        <v>14530</v>
      </c>
      <c r="C4245" s="31" t="s">
        <v>14531</v>
      </c>
      <c r="D4245" s="31" t="s">
        <v>2026</v>
      </c>
      <c r="E4245" s="61" t="b">
        <v>1</v>
      </c>
      <c r="F4245" s="106" t="s">
        <v>14532</v>
      </c>
      <c r="G4245" s="116" t="str">
        <f>HYPERLINK("http://nsgreg.nga.mil/genc/view?v=116094&amp;gencs=T&amp;end_month=3&amp;end_day=31&amp;end_year=2014","Paramaribo")</f>
        <v>Paramaribo</v>
      </c>
      <c r="H4245" s="87" t="str">
        <f>HYPERLINK("http://api.nsgreg.nga.mil/geo-division/ISO3166-2/6/ed3/SR-PM","SR-PM")</f>
        <v>SR-PM</v>
      </c>
    </row>
    <row r="4246" spans="1:8" x14ac:dyDescent="0.2">
      <c r="A4246" s="157"/>
      <c r="B4246" s="31" t="s">
        <v>14533</v>
      </c>
      <c r="C4246" s="31" t="s">
        <v>14534</v>
      </c>
      <c r="D4246" s="31" t="s">
        <v>2026</v>
      </c>
      <c r="E4246" s="61" t="b">
        <v>1</v>
      </c>
      <c r="F4246" s="106" t="s">
        <v>14535</v>
      </c>
      <c r="G4246" s="116" t="str">
        <f>HYPERLINK("http://nsgreg.nga.mil/genc/view?v=116096&amp;gencs=T&amp;end_month=3&amp;end_day=31&amp;end_year=2014","Saramacca")</f>
        <v>Saramacca</v>
      </c>
      <c r="H4246" s="87" t="str">
        <f>HYPERLINK("http://api.nsgreg.nga.mil/geo-division/ISO3166-2/6/ed3/SR-SA","SR-SA")</f>
        <v>SR-SA</v>
      </c>
    </row>
    <row r="4247" spans="1:8" x14ac:dyDescent="0.2">
      <c r="A4247" s="157"/>
      <c r="B4247" s="31" t="s">
        <v>14536</v>
      </c>
      <c r="C4247" s="31" t="s">
        <v>14537</v>
      </c>
      <c r="D4247" s="31" t="s">
        <v>2026</v>
      </c>
      <c r="E4247" s="61" t="b">
        <v>1</v>
      </c>
      <c r="F4247" s="106" t="s">
        <v>14538</v>
      </c>
      <c r="G4247" s="116" t="str">
        <f>HYPERLINK("http://nsgreg.nga.mil/genc/view?v=116097&amp;gencs=T&amp;end_month=3&amp;end_day=31&amp;end_year=2014","Sipaliwini")</f>
        <v>Sipaliwini</v>
      </c>
      <c r="H4247" s="87" t="str">
        <f>HYPERLINK("http://api.nsgreg.nga.mil/geo-division/ISO3166-2/6/ed3/SR-SI","SR-SI")</f>
        <v>SR-SI</v>
      </c>
    </row>
    <row r="4248" spans="1:8" x14ac:dyDescent="0.2">
      <c r="A4248" s="158"/>
      <c r="B4248" s="58" t="s">
        <v>14539</v>
      </c>
      <c r="C4248" s="58" t="s">
        <v>14540</v>
      </c>
      <c r="D4248" s="58" t="s">
        <v>2026</v>
      </c>
      <c r="E4248" s="62" t="b">
        <v>1</v>
      </c>
      <c r="F4248" s="108" t="s">
        <v>14541</v>
      </c>
      <c r="G4248" s="117" t="str">
        <f>HYPERLINK("http://nsgreg.nga.mil/genc/view?v=116098&amp;gencs=T&amp;end_month=3&amp;end_day=31&amp;end_year=2014","Wanica")</f>
        <v>Wanica</v>
      </c>
      <c r="H4248" s="89" t="str">
        <f>HYPERLINK("http://api.nsgreg.nga.mil/geo-division/ISO3166-2/6/ed3/SR-WA","SR-WA")</f>
        <v>SR-WA</v>
      </c>
    </row>
    <row r="4249" spans="1:8" x14ac:dyDescent="0.2">
      <c r="A4249" s="156" t="str">
        <f>HYPERLINK("[#]Geopolitical_Entities!A244:I244","SWAZILAND")</f>
        <v>SWAZILAND</v>
      </c>
      <c r="B4249" s="52" t="s">
        <v>14542</v>
      </c>
      <c r="C4249" s="52" t="s">
        <v>14543</v>
      </c>
      <c r="D4249" s="52" t="s">
        <v>2026</v>
      </c>
      <c r="E4249" s="60" t="b">
        <v>1</v>
      </c>
      <c r="F4249" s="110" t="s">
        <v>14544</v>
      </c>
      <c r="G4249" s="118" t="str">
        <f>HYPERLINK("http://nsgreg.nga.mil/genc/view?v=203055&amp;end_month=3&amp;end_day=31&amp;end_year=2014","Hhohho")</f>
        <v>Hhohho</v>
      </c>
      <c r="H4249" s="91" t="str">
        <f>HYPERLINK("http://api.nsgreg.nga.mil/geo-division/GENC/6/ed2/SZ-HH","SZ-HH")</f>
        <v>SZ-HH</v>
      </c>
    </row>
    <row r="4250" spans="1:8" x14ac:dyDescent="0.2">
      <c r="A4250" s="157"/>
      <c r="B4250" s="31" t="s">
        <v>14545</v>
      </c>
      <c r="C4250" s="31" t="s">
        <v>14546</v>
      </c>
      <c r="D4250" s="31" t="s">
        <v>2026</v>
      </c>
      <c r="E4250" s="61" t="b">
        <v>1</v>
      </c>
      <c r="F4250" s="107" t="s">
        <v>14547</v>
      </c>
      <c r="G4250" s="116" t="str">
        <f>HYPERLINK("http://nsgreg.nga.mil/genc/view?v=203056&amp;end_month=3&amp;end_day=31&amp;end_year=2014","Lubombo")</f>
        <v>Lubombo</v>
      </c>
      <c r="H4250" s="87" t="str">
        <f>HYPERLINK("http://api.nsgreg.nga.mil/geo-division/GENC/6/ed2/SZ-LU","SZ-LU")</f>
        <v>SZ-LU</v>
      </c>
    </row>
    <row r="4251" spans="1:8" x14ac:dyDescent="0.2">
      <c r="A4251" s="157"/>
      <c r="B4251" s="31" t="s">
        <v>14548</v>
      </c>
      <c r="C4251" s="31" t="s">
        <v>14549</v>
      </c>
      <c r="D4251" s="31" t="s">
        <v>2026</v>
      </c>
      <c r="E4251" s="61" t="b">
        <v>1</v>
      </c>
      <c r="F4251" s="107" t="s">
        <v>14550</v>
      </c>
      <c r="G4251" s="116" t="str">
        <f>HYPERLINK("http://nsgreg.nga.mil/genc/view?v=203057&amp;end_month=3&amp;end_day=31&amp;end_year=2014","Manzini")</f>
        <v>Manzini</v>
      </c>
      <c r="H4251" s="87" t="str">
        <f>HYPERLINK("http://api.nsgreg.nga.mil/geo-division/GENC/6/ed2/SZ-MA","SZ-MA")</f>
        <v>SZ-MA</v>
      </c>
    </row>
    <row r="4252" spans="1:8" x14ac:dyDescent="0.2">
      <c r="A4252" s="158"/>
      <c r="B4252" s="58" t="s">
        <v>14551</v>
      </c>
      <c r="C4252" s="58" t="s">
        <v>14552</v>
      </c>
      <c r="D4252" s="58" t="s">
        <v>2026</v>
      </c>
      <c r="E4252" s="62" t="b">
        <v>1</v>
      </c>
      <c r="F4252" s="111" t="s">
        <v>14553</v>
      </c>
      <c r="G4252" s="117" t="str">
        <f>HYPERLINK("http://nsgreg.nga.mil/genc/view?v=203058&amp;end_month=3&amp;end_day=31&amp;end_year=2014","Shiselweni")</f>
        <v>Shiselweni</v>
      </c>
      <c r="H4252" s="89" t="str">
        <f>HYPERLINK("http://api.nsgreg.nga.mil/geo-division/GENC/6/ed2/SZ-SH","SZ-SH")</f>
        <v>SZ-SH</v>
      </c>
    </row>
    <row r="4253" spans="1:8" x14ac:dyDescent="0.2">
      <c r="A4253" s="156" t="str">
        <f>HYPERLINK("[#]Geopolitical_Entities!A245:I245","SWEDEN")</f>
        <v>SWEDEN</v>
      </c>
      <c r="B4253" s="52" t="s">
        <v>14554</v>
      </c>
      <c r="C4253" s="52" t="s">
        <v>14555</v>
      </c>
      <c r="D4253" s="52" t="s">
        <v>2023</v>
      </c>
      <c r="E4253" s="60" t="b">
        <v>1</v>
      </c>
      <c r="F4253" s="110" t="s">
        <v>14556</v>
      </c>
      <c r="G4253" s="118" t="str">
        <f>HYPERLINK("http://nsgreg.nga.mil/genc/view?v=202994&amp;end_month=3&amp;end_day=31&amp;end_year=2014","Blekinge")</f>
        <v>Blekinge</v>
      </c>
      <c r="H4253" s="91" t="str">
        <f>HYPERLINK("http://api.nsgreg.nga.mil/geo-division/GENC/6/ed2/SE-K","SE-K")</f>
        <v>SE-K</v>
      </c>
    </row>
    <row r="4254" spans="1:8" x14ac:dyDescent="0.2">
      <c r="A4254" s="157"/>
      <c r="B4254" s="31" t="s">
        <v>14557</v>
      </c>
      <c r="C4254" s="31" t="s">
        <v>14558</v>
      </c>
      <c r="D4254" s="31" t="s">
        <v>2023</v>
      </c>
      <c r="E4254" s="61" t="b">
        <v>1</v>
      </c>
      <c r="F4254" s="107" t="s">
        <v>14559</v>
      </c>
      <c r="G4254" s="116" t="str">
        <f>HYPERLINK("http://nsgreg.nga.mil/genc/view?v=203001&amp;end_month=3&amp;end_day=31&amp;end_year=2014","Dalarna")</f>
        <v>Dalarna</v>
      </c>
      <c r="H4254" s="87" t="str">
        <f>HYPERLINK("http://api.nsgreg.nga.mil/geo-division/GENC/6/ed2/SE-W","SE-W")</f>
        <v>SE-W</v>
      </c>
    </row>
    <row r="4255" spans="1:8" x14ac:dyDescent="0.2">
      <c r="A4255" s="157"/>
      <c r="B4255" s="31" t="s">
        <v>14560</v>
      </c>
      <c r="C4255" s="31" t="s">
        <v>14561</v>
      </c>
      <c r="D4255" s="31" t="s">
        <v>2023</v>
      </c>
      <c r="E4255" s="61" t="b">
        <v>1</v>
      </c>
      <c r="F4255" s="107" t="s">
        <v>14562</v>
      </c>
      <c r="G4255" s="116" t="str">
        <f>HYPERLINK("http://nsgreg.nga.mil/genc/view?v=203002&amp;end_month=3&amp;end_day=31&amp;end_year=2014","Gävleborg")</f>
        <v>Gävleborg</v>
      </c>
      <c r="H4255" s="87" t="str">
        <f>HYPERLINK("http://api.nsgreg.nga.mil/geo-division/GENC/6/ed2/SE-X","SE-X")</f>
        <v>SE-X</v>
      </c>
    </row>
    <row r="4256" spans="1:8" x14ac:dyDescent="0.2">
      <c r="A4256" s="157"/>
      <c r="B4256" s="31" t="s">
        <v>14563</v>
      </c>
      <c r="C4256" s="31" t="s">
        <v>14564</v>
      </c>
      <c r="D4256" s="31" t="s">
        <v>2023</v>
      </c>
      <c r="E4256" s="61" t="b">
        <v>1</v>
      </c>
      <c r="F4256" s="107" t="s">
        <v>14565</v>
      </c>
      <c r="G4256" s="116" t="str">
        <f>HYPERLINK("http://nsgreg.nga.mil/genc/view?v=202993&amp;end_month=3&amp;end_day=31&amp;end_year=2014","Gotland")</f>
        <v>Gotland</v>
      </c>
      <c r="H4256" s="87" t="str">
        <f>HYPERLINK("http://api.nsgreg.nga.mil/geo-division/GENC/6/ed2/SE-I","SE-I")</f>
        <v>SE-I</v>
      </c>
    </row>
    <row r="4257" spans="1:8" x14ac:dyDescent="0.2">
      <c r="A4257" s="157"/>
      <c r="B4257" s="31" t="s">
        <v>14566</v>
      </c>
      <c r="C4257" s="31" t="s">
        <v>14567</v>
      </c>
      <c r="D4257" s="31" t="s">
        <v>2023</v>
      </c>
      <c r="E4257" s="61" t="b">
        <v>1</v>
      </c>
      <c r="F4257" s="107" t="s">
        <v>14568</v>
      </c>
      <c r="G4257" s="116" t="str">
        <f>HYPERLINK("http://nsgreg.nga.mil/genc/view?v=202996&amp;end_month=3&amp;end_day=31&amp;end_year=2014","Halland")</f>
        <v>Halland</v>
      </c>
      <c r="H4257" s="87" t="str">
        <f>HYPERLINK("http://api.nsgreg.nga.mil/geo-division/GENC/6/ed2/SE-N","SE-N")</f>
        <v>SE-N</v>
      </c>
    </row>
    <row r="4258" spans="1:8" x14ac:dyDescent="0.2">
      <c r="A4258" s="157"/>
      <c r="B4258" s="31" t="s">
        <v>14569</v>
      </c>
      <c r="C4258" s="31" t="s">
        <v>14570</v>
      </c>
      <c r="D4258" s="31" t="s">
        <v>2023</v>
      </c>
      <c r="E4258" s="61" t="b">
        <v>1</v>
      </c>
      <c r="F4258" s="107" t="s">
        <v>14571</v>
      </c>
      <c r="G4258" s="116" t="str">
        <f>HYPERLINK("http://nsgreg.nga.mil/genc/view?v=203004&amp;end_month=3&amp;end_day=31&amp;end_year=2014","Jämtland")</f>
        <v>Jämtland</v>
      </c>
      <c r="H4258" s="87" t="str">
        <f>HYPERLINK("http://api.nsgreg.nga.mil/geo-division/GENC/6/ed2/SE-Z","SE-Z")</f>
        <v>SE-Z</v>
      </c>
    </row>
    <row r="4259" spans="1:8" x14ac:dyDescent="0.2">
      <c r="A4259" s="157"/>
      <c r="B4259" s="31" t="s">
        <v>14572</v>
      </c>
      <c r="C4259" s="31" t="s">
        <v>14573</v>
      </c>
      <c r="D4259" s="31" t="s">
        <v>2023</v>
      </c>
      <c r="E4259" s="61" t="b">
        <v>1</v>
      </c>
      <c r="F4259" s="107" t="s">
        <v>14574</v>
      </c>
      <c r="G4259" s="116" t="str">
        <f>HYPERLINK("http://nsgreg.nga.mil/genc/view?v=202990&amp;end_month=3&amp;end_day=31&amp;end_year=2014","Jönköping")</f>
        <v>Jönköping</v>
      </c>
      <c r="H4259" s="87" t="str">
        <f>HYPERLINK("http://api.nsgreg.nga.mil/geo-division/GENC/6/ed2/SE-F","SE-F")</f>
        <v>SE-F</v>
      </c>
    </row>
    <row r="4260" spans="1:8" x14ac:dyDescent="0.2">
      <c r="A4260" s="157"/>
      <c r="B4260" s="31" t="s">
        <v>14575</v>
      </c>
      <c r="C4260" s="31" t="s">
        <v>14576</v>
      </c>
      <c r="D4260" s="31" t="s">
        <v>2023</v>
      </c>
      <c r="E4260" s="61" t="b">
        <v>1</v>
      </c>
      <c r="F4260" s="107" t="s">
        <v>14577</v>
      </c>
      <c r="G4260" s="116" t="str">
        <f>HYPERLINK("http://nsgreg.nga.mil/genc/view?v=202992&amp;end_month=3&amp;end_day=31&amp;end_year=2014","Kalmar")</f>
        <v>Kalmar</v>
      </c>
      <c r="H4260" s="87" t="str">
        <f>HYPERLINK("http://api.nsgreg.nga.mil/geo-division/GENC/6/ed2/SE-H","SE-H")</f>
        <v>SE-H</v>
      </c>
    </row>
    <row r="4261" spans="1:8" x14ac:dyDescent="0.2">
      <c r="A4261" s="157"/>
      <c r="B4261" s="31" t="s">
        <v>14578</v>
      </c>
      <c r="C4261" s="31" t="s">
        <v>14579</v>
      </c>
      <c r="D4261" s="31" t="s">
        <v>2023</v>
      </c>
      <c r="E4261" s="61" t="b">
        <v>1</v>
      </c>
      <c r="F4261" s="107" t="s">
        <v>14580</v>
      </c>
      <c r="G4261" s="116" t="str">
        <f>HYPERLINK("http://nsgreg.nga.mil/genc/view?v=202991&amp;end_month=3&amp;end_day=31&amp;end_year=2014","Kronoberg")</f>
        <v>Kronoberg</v>
      </c>
      <c r="H4261" s="87" t="str">
        <f>HYPERLINK("http://api.nsgreg.nga.mil/geo-division/GENC/6/ed2/SE-G","SE-G")</f>
        <v>SE-G</v>
      </c>
    </row>
    <row r="4262" spans="1:8" x14ac:dyDescent="0.2">
      <c r="A4262" s="157"/>
      <c r="B4262" s="31" t="s">
        <v>14581</v>
      </c>
      <c r="C4262" s="31" t="s">
        <v>14582</v>
      </c>
      <c r="D4262" s="31" t="s">
        <v>2023</v>
      </c>
      <c r="E4262" s="61" t="b">
        <v>1</v>
      </c>
      <c r="F4262" s="107" t="s">
        <v>14583</v>
      </c>
      <c r="G4262" s="116" t="str">
        <f>HYPERLINK("http://nsgreg.nga.mil/genc/view?v=202986&amp;end_month=3&amp;end_day=31&amp;end_year=2014","Norrbotten")</f>
        <v>Norrbotten</v>
      </c>
      <c r="H4262" s="87" t="str">
        <f>HYPERLINK("http://api.nsgreg.nga.mil/geo-division/GENC/6/ed2/SE-BD","SE-BD")</f>
        <v>SE-BD</v>
      </c>
    </row>
    <row r="4263" spans="1:8" x14ac:dyDescent="0.2">
      <c r="A4263" s="157"/>
      <c r="B4263" s="31" t="s">
        <v>14584</v>
      </c>
      <c r="C4263" s="31" t="s">
        <v>14585</v>
      </c>
      <c r="D4263" s="31" t="s">
        <v>2023</v>
      </c>
      <c r="E4263" s="61" t="b">
        <v>1</v>
      </c>
      <c r="F4263" s="107" t="s">
        <v>14586</v>
      </c>
      <c r="G4263" s="116" t="str">
        <f>HYPERLINK("http://nsgreg.nga.mil/genc/view?v=202999&amp;end_month=3&amp;end_day=31&amp;end_year=2014","Örebro")</f>
        <v>Örebro</v>
      </c>
      <c r="H4263" s="87" t="str">
        <f>HYPERLINK("http://api.nsgreg.nga.mil/geo-division/GENC/6/ed2/SE-T","SE-T")</f>
        <v>SE-T</v>
      </c>
    </row>
    <row r="4264" spans="1:8" x14ac:dyDescent="0.2">
      <c r="A4264" s="157"/>
      <c r="B4264" s="31" t="s">
        <v>14587</v>
      </c>
      <c r="C4264" s="31" t="s">
        <v>14588</v>
      </c>
      <c r="D4264" s="31" t="s">
        <v>2023</v>
      </c>
      <c r="E4264" s="61" t="b">
        <v>1</v>
      </c>
      <c r="F4264" s="107" t="s">
        <v>14589</v>
      </c>
      <c r="G4264" s="116" t="str">
        <f>HYPERLINK("http://nsgreg.nga.mil/genc/view?v=202989&amp;end_month=3&amp;end_day=31&amp;end_year=2014","Östergötland")</f>
        <v>Östergötland</v>
      </c>
      <c r="H4264" s="87" t="str">
        <f>HYPERLINK("http://api.nsgreg.nga.mil/geo-division/GENC/6/ed2/SE-E","SE-E")</f>
        <v>SE-E</v>
      </c>
    </row>
    <row r="4265" spans="1:8" x14ac:dyDescent="0.2">
      <c r="A4265" s="157"/>
      <c r="B4265" s="31" t="s">
        <v>14590</v>
      </c>
      <c r="C4265" s="31" t="s">
        <v>14591</v>
      </c>
      <c r="D4265" s="31" t="s">
        <v>2023</v>
      </c>
      <c r="E4265" s="61" t="b">
        <v>1</v>
      </c>
      <c r="F4265" s="107" t="s">
        <v>14592</v>
      </c>
      <c r="G4265" s="116" t="str">
        <f>HYPERLINK("http://nsgreg.nga.mil/genc/view?v=202995&amp;end_month=3&amp;end_day=31&amp;end_year=2014","Skåne")</f>
        <v>Skåne</v>
      </c>
      <c r="H4265" s="87" t="str">
        <f>HYPERLINK("http://api.nsgreg.nga.mil/geo-division/GENC/6/ed2/SE-M","SE-M")</f>
        <v>SE-M</v>
      </c>
    </row>
    <row r="4266" spans="1:8" x14ac:dyDescent="0.2">
      <c r="A4266" s="157"/>
      <c r="B4266" s="31" t="s">
        <v>14593</v>
      </c>
      <c r="C4266" s="31" t="s">
        <v>14594</v>
      </c>
      <c r="D4266" s="31" t="s">
        <v>2023</v>
      </c>
      <c r="E4266" s="61" t="b">
        <v>1</v>
      </c>
      <c r="F4266" s="107" t="s">
        <v>14595</v>
      </c>
      <c r="G4266" s="116" t="str">
        <f>HYPERLINK("http://nsgreg.nga.mil/genc/view?v=202988&amp;end_month=3&amp;end_day=31&amp;end_year=2014","Södermanland")</f>
        <v>Södermanland</v>
      </c>
      <c r="H4266" s="87" t="str">
        <f>HYPERLINK("http://api.nsgreg.nga.mil/geo-division/GENC/6/ed2/SE-D","SE-D")</f>
        <v>SE-D</v>
      </c>
    </row>
    <row r="4267" spans="1:8" x14ac:dyDescent="0.2">
      <c r="A4267" s="157"/>
      <c r="B4267" s="31" t="s">
        <v>14596</v>
      </c>
      <c r="C4267" s="31" t="s">
        <v>14597</v>
      </c>
      <c r="D4267" s="31" t="s">
        <v>2023</v>
      </c>
      <c r="E4267" s="61" t="b">
        <v>1</v>
      </c>
      <c r="F4267" s="107" t="s">
        <v>14598</v>
      </c>
      <c r="G4267" s="116" t="str">
        <f>HYPERLINK("http://nsgreg.nga.mil/genc/view?v=202984&amp;end_month=3&amp;end_day=31&amp;end_year=2014","Stockholm")</f>
        <v>Stockholm</v>
      </c>
      <c r="H4267" s="87" t="str">
        <f>HYPERLINK("http://api.nsgreg.nga.mil/geo-division/GENC/6/ed2/SE-AB","SE-AB")</f>
        <v>SE-AB</v>
      </c>
    </row>
    <row r="4268" spans="1:8" x14ac:dyDescent="0.2">
      <c r="A4268" s="157"/>
      <c r="B4268" s="31" t="s">
        <v>14599</v>
      </c>
      <c r="C4268" s="31" t="s">
        <v>14600</v>
      </c>
      <c r="D4268" s="31" t="s">
        <v>2023</v>
      </c>
      <c r="E4268" s="61" t="b">
        <v>1</v>
      </c>
      <c r="F4268" s="107" t="s">
        <v>14601</v>
      </c>
      <c r="G4268" s="116" t="str">
        <f>HYPERLINK("http://nsgreg.nga.mil/genc/view?v=202987&amp;end_month=3&amp;end_day=31&amp;end_year=2014","Uppsala")</f>
        <v>Uppsala</v>
      </c>
      <c r="H4268" s="87" t="str">
        <f>HYPERLINK("http://api.nsgreg.nga.mil/geo-division/GENC/6/ed2/SE-C","SE-C")</f>
        <v>SE-C</v>
      </c>
    </row>
    <row r="4269" spans="1:8" x14ac:dyDescent="0.2">
      <c r="A4269" s="157"/>
      <c r="B4269" s="31" t="s">
        <v>14602</v>
      </c>
      <c r="C4269" s="31" t="s">
        <v>14603</v>
      </c>
      <c r="D4269" s="31" t="s">
        <v>2023</v>
      </c>
      <c r="E4269" s="61" t="b">
        <v>1</v>
      </c>
      <c r="F4269" s="107" t="s">
        <v>14604</v>
      </c>
      <c r="G4269" s="116" t="str">
        <f>HYPERLINK("http://nsgreg.nga.mil/genc/view?v=202998&amp;end_month=3&amp;end_day=31&amp;end_year=2014","Värmland")</f>
        <v>Värmland</v>
      </c>
      <c r="H4269" s="87" t="str">
        <f>HYPERLINK("http://api.nsgreg.nga.mil/geo-division/GENC/6/ed2/SE-S","SE-S")</f>
        <v>SE-S</v>
      </c>
    </row>
    <row r="4270" spans="1:8" x14ac:dyDescent="0.2">
      <c r="A4270" s="157"/>
      <c r="B4270" s="31" t="s">
        <v>14605</v>
      </c>
      <c r="C4270" s="31" t="s">
        <v>14606</v>
      </c>
      <c r="D4270" s="31" t="s">
        <v>2023</v>
      </c>
      <c r="E4270" s="61" t="b">
        <v>1</v>
      </c>
      <c r="F4270" s="107" t="s">
        <v>14607</v>
      </c>
      <c r="G4270" s="116" t="str">
        <f>HYPERLINK("http://nsgreg.nga.mil/genc/view?v=202985&amp;end_month=3&amp;end_day=31&amp;end_year=2014","Västerbotten")</f>
        <v>Västerbotten</v>
      </c>
      <c r="H4270" s="87" t="str">
        <f>HYPERLINK("http://api.nsgreg.nga.mil/geo-division/GENC/6/ed2/SE-AC","SE-AC")</f>
        <v>SE-AC</v>
      </c>
    </row>
    <row r="4271" spans="1:8" x14ac:dyDescent="0.2">
      <c r="A4271" s="157"/>
      <c r="B4271" s="31" t="s">
        <v>14608</v>
      </c>
      <c r="C4271" s="31" t="s">
        <v>14609</v>
      </c>
      <c r="D4271" s="31" t="s">
        <v>2023</v>
      </c>
      <c r="E4271" s="61" t="b">
        <v>1</v>
      </c>
      <c r="F4271" s="107" t="s">
        <v>14610</v>
      </c>
      <c r="G4271" s="116" t="str">
        <f>HYPERLINK("http://nsgreg.nga.mil/genc/view?v=203003&amp;end_month=3&amp;end_day=31&amp;end_year=2014","Västernorrland")</f>
        <v>Västernorrland</v>
      </c>
      <c r="H4271" s="87" t="str">
        <f>HYPERLINK("http://api.nsgreg.nga.mil/geo-division/GENC/6/ed2/SE-Y","SE-Y")</f>
        <v>SE-Y</v>
      </c>
    </row>
    <row r="4272" spans="1:8" x14ac:dyDescent="0.2">
      <c r="A4272" s="157"/>
      <c r="B4272" s="31" t="s">
        <v>14611</v>
      </c>
      <c r="C4272" s="31" t="s">
        <v>14612</v>
      </c>
      <c r="D4272" s="31" t="s">
        <v>2023</v>
      </c>
      <c r="E4272" s="61" t="b">
        <v>1</v>
      </c>
      <c r="F4272" s="107" t="s">
        <v>14613</v>
      </c>
      <c r="G4272" s="116" t="str">
        <f>HYPERLINK("http://nsgreg.nga.mil/genc/view?v=203000&amp;end_month=3&amp;end_day=31&amp;end_year=2014","Västmanland")</f>
        <v>Västmanland</v>
      </c>
      <c r="H4272" s="87" t="str">
        <f>HYPERLINK("http://api.nsgreg.nga.mil/geo-division/GENC/6/ed2/SE-U","SE-U")</f>
        <v>SE-U</v>
      </c>
    </row>
    <row r="4273" spans="1:8" x14ac:dyDescent="0.2">
      <c r="A4273" s="158"/>
      <c r="B4273" s="58" t="s">
        <v>14614</v>
      </c>
      <c r="C4273" s="58" t="s">
        <v>14615</v>
      </c>
      <c r="D4273" s="58" t="s">
        <v>2023</v>
      </c>
      <c r="E4273" s="62" t="b">
        <v>1</v>
      </c>
      <c r="F4273" s="111" t="s">
        <v>14616</v>
      </c>
      <c r="G4273" s="117" t="str">
        <f>HYPERLINK("http://nsgreg.nga.mil/genc/view?v=202997&amp;end_month=3&amp;end_day=31&amp;end_year=2014","Västra Götaland")</f>
        <v>Västra Götaland</v>
      </c>
      <c r="H4273" s="89" t="str">
        <f>HYPERLINK("http://api.nsgreg.nga.mil/geo-division/GENC/6/ed2/SE-O","SE-O")</f>
        <v>SE-O</v>
      </c>
    </row>
    <row r="4274" spans="1:8" x14ac:dyDescent="0.2">
      <c r="A4274" s="156" t="str">
        <f>HYPERLINK("[#]Geopolitical_Entities!A246:I246","SWITZERLAND")</f>
        <v>SWITZERLAND</v>
      </c>
      <c r="B4274" s="52" t="s">
        <v>14617</v>
      </c>
      <c r="C4274" s="52" t="s">
        <v>14618</v>
      </c>
      <c r="D4274" s="52" t="s">
        <v>3379</v>
      </c>
      <c r="E4274" s="60" t="b">
        <v>1</v>
      </c>
      <c r="F4274" s="110" t="s">
        <v>14619</v>
      </c>
      <c r="G4274" s="118" t="str">
        <f>HYPERLINK("http://nsgreg.nga.mil/genc/view?v=200966&amp;end_month=3&amp;end_day=31&amp;end_year=2014","Aargau")</f>
        <v>Aargau</v>
      </c>
      <c r="H4274" s="91" t="str">
        <f>HYPERLINK("http://api.nsgreg.nga.mil/geo-division/GENC/6/ed2/CH-AG","CH-AG")</f>
        <v>CH-AG</v>
      </c>
    </row>
    <row r="4275" spans="1:8" x14ac:dyDescent="0.2">
      <c r="A4275" s="157"/>
      <c r="B4275" s="31" t="s">
        <v>14620</v>
      </c>
      <c r="C4275" s="31" t="s">
        <v>14621</v>
      </c>
      <c r="D4275" s="31" t="s">
        <v>3379</v>
      </c>
      <c r="E4275" s="61" t="b">
        <v>1</v>
      </c>
      <c r="F4275" s="107" t="s">
        <v>14622</v>
      </c>
      <c r="G4275" s="116" t="str">
        <f>HYPERLINK("http://nsgreg.nga.mil/genc/view?v=200968&amp;end_month=3&amp;end_day=31&amp;end_year=2014","Appenzell Ausserrhoden")</f>
        <v>Appenzell Ausserrhoden</v>
      </c>
      <c r="H4275" s="87" t="str">
        <f>HYPERLINK("http://api.nsgreg.nga.mil/geo-division/GENC/6/ed2/CH-AR","CH-AR")</f>
        <v>CH-AR</v>
      </c>
    </row>
    <row r="4276" spans="1:8" x14ac:dyDescent="0.2">
      <c r="A4276" s="157"/>
      <c r="B4276" s="31" t="s">
        <v>14623</v>
      </c>
      <c r="C4276" s="31" t="s">
        <v>14624</v>
      </c>
      <c r="D4276" s="31" t="s">
        <v>3379</v>
      </c>
      <c r="E4276" s="61" t="b">
        <v>1</v>
      </c>
      <c r="F4276" s="107" t="s">
        <v>14625</v>
      </c>
      <c r="G4276" s="116" t="str">
        <f>HYPERLINK("http://nsgreg.nga.mil/genc/view?v=200967&amp;end_month=3&amp;end_day=31&amp;end_year=2014","Appenzell Innerrhoden")</f>
        <v>Appenzell Innerrhoden</v>
      </c>
      <c r="H4276" s="87" t="str">
        <f>HYPERLINK("http://api.nsgreg.nga.mil/geo-division/GENC/6/ed2/CH-AI","CH-AI")</f>
        <v>CH-AI</v>
      </c>
    </row>
    <row r="4277" spans="1:8" x14ac:dyDescent="0.2">
      <c r="A4277" s="157"/>
      <c r="B4277" s="31" t="s">
        <v>14626</v>
      </c>
      <c r="C4277" s="31" t="s">
        <v>14627</v>
      </c>
      <c r="D4277" s="31" t="s">
        <v>3379</v>
      </c>
      <c r="E4277" s="61" t="b">
        <v>1</v>
      </c>
      <c r="F4277" s="107" t="s">
        <v>14628</v>
      </c>
      <c r="G4277" s="116" t="str">
        <f>HYPERLINK("http://nsgreg.nga.mil/genc/view?v=200970&amp;end_month=3&amp;end_day=31&amp;end_year=2014","Basel-Landschaft")</f>
        <v>Basel-Landschaft</v>
      </c>
      <c r="H4277" s="87" t="str">
        <f>HYPERLINK("http://api.nsgreg.nga.mil/geo-division/GENC/6/ed2/CH-BL","CH-BL")</f>
        <v>CH-BL</v>
      </c>
    </row>
    <row r="4278" spans="1:8" x14ac:dyDescent="0.2">
      <c r="A4278" s="157"/>
      <c r="B4278" s="31" t="s">
        <v>14629</v>
      </c>
      <c r="C4278" s="31" t="s">
        <v>14630</v>
      </c>
      <c r="D4278" s="31" t="s">
        <v>3379</v>
      </c>
      <c r="E4278" s="61" t="b">
        <v>1</v>
      </c>
      <c r="F4278" s="107" t="s">
        <v>14631</v>
      </c>
      <c r="G4278" s="116" t="str">
        <f>HYPERLINK("http://nsgreg.nga.mil/genc/view?v=200971&amp;end_month=3&amp;end_day=31&amp;end_year=2014","Basel-Stadt")</f>
        <v>Basel-Stadt</v>
      </c>
      <c r="H4278" s="87" t="str">
        <f>HYPERLINK("http://api.nsgreg.nga.mil/geo-division/GENC/6/ed2/CH-BS","CH-BS")</f>
        <v>CH-BS</v>
      </c>
    </row>
    <row r="4279" spans="1:8" x14ac:dyDescent="0.2">
      <c r="A4279" s="157"/>
      <c r="B4279" s="31" t="s">
        <v>14632</v>
      </c>
      <c r="C4279" s="31" t="s">
        <v>14633</v>
      </c>
      <c r="D4279" s="31" t="s">
        <v>3379</v>
      </c>
      <c r="E4279" s="61" t="b">
        <v>1</v>
      </c>
      <c r="F4279" s="107" t="s">
        <v>14634</v>
      </c>
      <c r="G4279" s="116" t="str">
        <f>HYPERLINK("http://nsgreg.nga.mil/genc/view?v=200969&amp;end_month=3&amp;end_day=31&amp;end_year=2014","Bern")</f>
        <v>Bern</v>
      </c>
      <c r="H4279" s="87" t="str">
        <f>HYPERLINK("http://api.nsgreg.nga.mil/geo-division/GENC/6/ed2/CH-BE","CH-BE")</f>
        <v>CH-BE</v>
      </c>
    </row>
    <row r="4280" spans="1:8" x14ac:dyDescent="0.2">
      <c r="A4280" s="157"/>
      <c r="B4280" s="31" t="s">
        <v>14635</v>
      </c>
      <c r="C4280" s="31" t="s">
        <v>14636</v>
      </c>
      <c r="D4280" s="31" t="s">
        <v>3379</v>
      </c>
      <c r="E4280" s="61" t="b">
        <v>1</v>
      </c>
      <c r="F4280" s="107" t="s">
        <v>14637</v>
      </c>
      <c r="G4280" s="116" t="str">
        <f>HYPERLINK("http://nsgreg.nga.mil/genc/view?v=200972&amp;end_month=3&amp;end_day=31&amp;end_year=2014","Fribourg")</f>
        <v>Fribourg</v>
      </c>
      <c r="H4280" s="87" t="str">
        <f>HYPERLINK("http://api.nsgreg.nga.mil/geo-division/GENC/6/ed2/CH-FR","CH-FR")</f>
        <v>CH-FR</v>
      </c>
    </row>
    <row r="4281" spans="1:8" x14ac:dyDescent="0.2">
      <c r="A4281" s="157"/>
      <c r="B4281" s="31" t="s">
        <v>14638</v>
      </c>
      <c r="C4281" s="31" t="s">
        <v>14639</v>
      </c>
      <c r="D4281" s="31" t="s">
        <v>3379</v>
      </c>
      <c r="E4281" s="61" t="b">
        <v>1</v>
      </c>
      <c r="F4281" s="107" t="s">
        <v>14640</v>
      </c>
      <c r="G4281" s="116" t="str">
        <f>HYPERLINK("http://nsgreg.nga.mil/genc/view?v=200973&amp;end_month=3&amp;end_day=31&amp;end_year=2014","Genève")</f>
        <v>Genève</v>
      </c>
      <c r="H4281" s="87" t="str">
        <f>HYPERLINK("http://api.nsgreg.nga.mil/geo-division/GENC/6/ed2/CH-GE","CH-GE")</f>
        <v>CH-GE</v>
      </c>
    </row>
    <row r="4282" spans="1:8" x14ac:dyDescent="0.2">
      <c r="A4282" s="157"/>
      <c r="B4282" s="31" t="s">
        <v>14641</v>
      </c>
      <c r="C4282" s="31" t="s">
        <v>14642</v>
      </c>
      <c r="D4282" s="31" t="s">
        <v>3379</v>
      </c>
      <c r="E4282" s="61" t="b">
        <v>1</v>
      </c>
      <c r="F4282" s="107" t="s">
        <v>14643</v>
      </c>
      <c r="G4282" s="116" t="str">
        <f>HYPERLINK("http://nsgreg.nga.mil/genc/view?v=200974&amp;end_month=3&amp;end_day=31&amp;end_year=2014","Glarus")</f>
        <v>Glarus</v>
      </c>
      <c r="H4282" s="87" t="str">
        <f>HYPERLINK("http://api.nsgreg.nga.mil/geo-division/GENC/6/ed2/CH-GL","CH-GL")</f>
        <v>CH-GL</v>
      </c>
    </row>
    <row r="4283" spans="1:8" x14ac:dyDescent="0.2">
      <c r="A4283" s="157"/>
      <c r="B4283" s="31" t="s">
        <v>14644</v>
      </c>
      <c r="C4283" s="31" t="s">
        <v>14645</v>
      </c>
      <c r="D4283" s="31" t="s">
        <v>3379</v>
      </c>
      <c r="E4283" s="61" t="b">
        <v>1</v>
      </c>
      <c r="F4283" s="107" t="s">
        <v>14646</v>
      </c>
      <c r="G4283" s="116" t="str">
        <f>HYPERLINK("http://nsgreg.nga.mil/genc/view?v=200975&amp;end_month=3&amp;end_day=31&amp;end_year=2014","Graubünden")</f>
        <v>Graubünden</v>
      </c>
      <c r="H4283" s="87" t="str">
        <f>HYPERLINK("http://api.nsgreg.nga.mil/geo-division/GENC/6/ed2/CH-GR","CH-GR")</f>
        <v>CH-GR</v>
      </c>
    </row>
    <row r="4284" spans="1:8" x14ac:dyDescent="0.2">
      <c r="A4284" s="157"/>
      <c r="B4284" s="31" t="s">
        <v>14647</v>
      </c>
      <c r="C4284" s="31" t="s">
        <v>5889</v>
      </c>
      <c r="D4284" s="31" t="s">
        <v>3379</v>
      </c>
      <c r="E4284" s="61" t="b">
        <v>1</v>
      </c>
      <c r="F4284" s="107" t="s">
        <v>14648</v>
      </c>
      <c r="G4284" s="116" t="str">
        <f>HYPERLINK("http://nsgreg.nga.mil/genc/view?v=200976&amp;end_month=3&amp;end_day=31&amp;end_year=2014","Jura")</f>
        <v>Jura</v>
      </c>
      <c r="H4284" s="87" t="str">
        <f>HYPERLINK("http://api.nsgreg.nga.mil/geo-division/GENC/6/ed2/CH-JU","CH-JU")</f>
        <v>CH-JU</v>
      </c>
    </row>
    <row r="4285" spans="1:8" x14ac:dyDescent="0.2">
      <c r="A4285" s="157"/>
      <c r="B4285" s="31" t="s">
        <v>14649</v>
      </c>
      <c r="C4285" s="31" t="s">
        <v>14650</v>
      </c>
      <c r="D4285" s="31" t="s">
        <v>3379</v>
      </c>
      <c r="E4285" s="61" t="b">
        <v>1</v>
      </c>
      <c r="F4285" s="107" t="s">
        <v>14651</v>
      </c>
      <c r="G4285" s="116" t="str">
        <f>HYPERLINK("http://nsgreg.nga.mil/genc/view?v=200977&amp;end_month=3&amp;end_day=31&amp;end_year=2014","Luzern")</f>
        <v>Luzern</v>
      </c>
      <c r="H4285" s="87" t="str">
        <f>HYPERLINK("http://api.nsgreg.nga.mil/geo-division/GENC/6/ed2/CH-LU","CH-LU")</f>
        <v>CH-LU</v>
      </c>
    </row>
    <row r="4286" spans="1:8" x14ac:dyDescent="0.2">
      <c r="A4286" s="157"/>
      <c r="B4286" s="31" t="s">
        <v>14652</v>
      </c>
      <c r="C4286" s="31" t="s">
        <v>14653</v>
      </c>
      <c r="D4286" s="31" t="s">
        <v>3379</v>
      </c>
      <c r="E4286" s="61" t="b">
        <v>1</v>
      </c>
      <c r="F4286" s="107" t="s">
        <v>14654</v>
      </c>
      <c r="G4286" s="116" t="str">
        <f>HYPERLINK("http://nsgreg.nga.mil/genc/view?v=200978&amp;end_month=3&amp;end_day=31&amp;end_year=2014","Neuchâtel")</f>
        <v>Neuchâtel</v>
      </c>
      <c r="H4286" s="87" t="str">
        <f>HYPERLINK("http://api.nsgreg.nga.mil/geo-division/GENC/6/ed2/CH-NE","CH-NE")</f>
        <v>CH-NE</v>
      </c>
    </row>
    <row r="4287" spans="1:8" x14ac:dyDescent="0.2">
      <c r="A4287" s="157"/>
      <c r="B4287" s="31" t="s">
        <v>14655</v>
      </c>
      <c r="C4287" s="31" t="s">
        <v>14656</v>
      </c>
      <c r="D4287" s="31" t="s">
        <v>3379</v>
      </c>
      <c r="E4287" s="61" t="b">
        <v>1</v>
      </c>
      <c r="F4287" s="107" t="s">
        <v>14657</v>
      </c>
      <c r="G4287" s="116" t="str">
        <f>HYPERLINK("http://nsgreg.nga.mil/genc/view?v=200979&amp;end_month=3&amp;end_day=31&amp;end_year=2014","Nidwalden")</f>
        <v>Nidwalden</v>
      </c>
      <c r="H4287" s="87" t="str">
        <f>HYPERLINK("http://api.nsgreg.nga.mil/geo-division/GENC/6/ed2/CH-NW","CH-NW")</f>
        <v>CH-NW</v>
      </c>
    </row>
    <row r="4288" spans="1:8" x14ac:dyDescent="0.2">
      <c r="A4288" s="157"/>
      <c r="B4288" s="31" t="s">
        <v>14658</v>
      </c>
      <c r="C4288" s="31" t="s">
        <v>14659</v>
      </c>
      <c r="D4288" s="31" t="s">
        <v>3379</v>
      </c>
      <c r="E4288" s="61" t="b">
        <v>1</v>
      </c>
      <c r="F4288" s="107" t="s">
        <v>14660</v>
      </c>
      <c r="G4288" s="116" t="str">
        <f>HYPERLINK("http://nsgreg.nga.mil/genc/view?v=200980&amp;end_month=3&amp;end_day=31&amp;end_year=2014","Obwalden")</f>
        <v>Obwalden</v>
      </c>
      <c r="H4288" s="87" t="str">
        <f>HYPERLINK("http://api.nsgreg.nga.mil/geo-division/GENC/6/ed2/CH-OW","CH-OW")</f>
        <v>CH-OW</v>
      </c>
    </row>
    <row r="4289" spans="1:8" x14ac:dyDescent="0.2">
      <c r="A4289" s="157"/>
      <c r="B4289" s="31" t="s">
        <v>14661</v>
      </c>
      <c r="C4289" s="31" t="s">
        <v>14662</v>
      </c>
      <c r="D4289" s="31" t="s">
        <v>3379</v>
      </c>
      <c r="E4289" s="61" t="b">
        <v>1</v>
      </c>
      <c r="F4289" s="107" t="s">
        <v>14663</v>
      </c>
      <c r="G4289" s="116" t="str">
        <f>HYPERLINK("http://nsgreg.nga.mil/genc/view?v=200981&amp;end_month=3&amp;end_day=31&amp;end_year=2014","Sankt Gallen")</f>
        <v>Sankt Gallen</v>
      </c>
      <c r="H4289" s="87" t="str">
        <f>HYPERLINK("http://api.nsgreg.nga.mil/geo-division/GENC/6/ed2/CH-SG","CH-SG")</f>
        <v>CH-SG</v>
      </c>
    </row>
    <row r="4290" spans="1:8" x14ac:dyDescent="0.2">
      <c r="A4290" s="157"/>
      <c r="B4290" s="31" t="s">
        <v>14664</v>
      </c>
      <c r="C4290" s="31" t="s">
        <v>14665</v>
      </c>
      <c r="D4290" s="31" t="s">
        <v>3379</v>
      </c>
      <c r="E4290" s="61" t="b">
        <v>1</v>
      </c>
      <c r="F4290" s="107" t="s">
        <v>14666</v>
      </c>
      <c r="G4290" s="116" t="str">
        <f>HYPERLINK("http://nsgreg.nga.mil/genc/view?v=200982&amp;end_month=3&amp;end_day=31&amp;end_year=2014","Schaffhausen")</f>
        <v>Schaffhausen</v>
      </c>
      <c r="H4290" s="87" t="str">
        <f>HYPERLINK("http://api.nsgreg.nga.mil/geo-division/GENC/6/ed2/CH-SH","CH-SH")</f>
        <v>CH-SH</v>
      </c>
    </row>
    <row r="4291" spans="1:8" x14ac:dyDescent="0.2">
      <c r="A4291" s="157"/>
      <c r="B4291" s="31" t="s">
        <v>14667</v>
      </c>
      <c r="C4291" s="31" t="s">
        <v>14668</v>
      </c>
      <c r="D4291" s="31" t="s">
        <v>3379</v>
      </c>
      <c r="E4291" s="61" t="b">
        <v>1</v>
      </c>
      <c r="F4291" s="107" t="s">
        <v>14669</v>
      </c>
      <c r="G4291" s="116" t="str">
        <f>HYPERLINK("http://nsgreg.nga.mil/genc/view?v=200984&amp;end_month=3&amp;end_day=31&amp;end_year=2014","Schwyz")</f>
        <v>Schwyz</v>
      </c>
      <c r="H4291" s="87" t="str">
        <f>HYPERLINK("http://api.nsgreg.nga.mil/geo-division/GENC/6/ed2/CH-SZ","CH-SZ")</f>
        <v>CH-SZ</v>
      </c>
    </row>
    <row r="4292" spans="1:8" x14ac:dyDescent="0.2">
      <c r="A4292" s="157"/>
      <c r="B4292" s="31" t="s">
        <v>14670</v>
      </c>
      <c r="C4292" s="31" t="s">
        <v>14671</v>
      </c>
      <c r="D4292" s="31" t="s">
        <v>3379</v>
      </c>
      <c r="E4292" s="61" t="b">
        <v>1</v>
      </c>
      <c r="F4292" s="107" t="s">
        <v>14672</v>
      </c>
      <c r="G4292" s="116" t="str">
        <f>HYPERLINK("http://nsgreg.nga.mil/genc/view?v=200983&amp;end_month=3&amp;end_day=31&amp;end_year=2014","Solothurn")</f>
        <v>Solothurn</v>
      </c>
      <c r="H4292" s="87" t="str">
        <f>HYPERLINK("http://api.nsgreg.nga.mil/geo-division/GENC/6/ed2/CH-SO","CH-SO")</f>
        <v>CH-SO</v>
      </c>
    </row>
    <row r="4293" spans="1:8" x14ac:dyDescent="0.2">
      <c r="A4293" s="157"/>
      <c r="B4293" s="31" t="s">
        <v>14673</v>
      </c>
      <c r="C4293" s="31" t="s">
        <v>14674</v>
      </c>
      <c r="D4293" s="31" t="s">
        <v>3379</v>
      </c>
      <c r="E4293" s="61" t="b">
        <v>1</v>
      </c>
      <c r="F4293" s="107" t="s">
        <v>14675</v>
      </c>
      <c r="G4293" s="116" t="str">
        <f>HYPERLINK("http://nsgreg.nga.mil/genc/view?v=200985&amp;end_month=3&amp;end_day=31&amp;end_year=2014","Thurgau")</f>
        <v>Thurgau</v>
      </c>
      <c r="H4293" s="87" t="str">
        <f>HYPERLINK("http://api.nsgreg.nga.mil/geo-division/GENC/6/ed2/CH-TG","CH-TG")</f>
        <v>CH-TG</v>
      </c>
    </row>
    <row r="4294" spans="1:8" x14ac:dyDescent="0.2">
      <c r="A4294" s="157"/>
      <c r="B4294" s="31" t="s">
        <v>14676</v>
      </c>
      <c r="C4294" s="31" t="s">
        <v>14677</v>
      </c>
      <c r="D4294" s="31" t="s">
        <v>3379</v>
      </c>
      <c r="E4294" s="61" t="b">
        <v>1</v>
      </c>
      <c r="F4294" s="107" t="s">
        <v>14678</v>
      </c>
      <c r="G4294" s="116" t="str">
        <f>HYPERLINK("http://nsgreg.nga.mil/genc/view?v=200986&amp;end_month=3&amp;end_day=31&amp;end_year=2014","Ticino")</f>
        <v>Ticino</v>
      </c>
      <c r="H4294" s="87" t="str">
        <f>HYPERLINK("http://api.nsgreg.nga.mil/geo-division/GENC/6/ed2/CH-TI","CH-TI")</f>
        <v>CH-TI</v>
      </c>
    </row>
    <row r="4295" spans="1:8" x14ac:dyDescent="0.2">
      <c r="A4295" s="157"/>
      <c r="B4295" s="31" t="s">
        <v>14679</v>
      </c>
      <c r="C4295" s="31" t="s">
        <v>14680</v>
      </c>
      <c r="D4295" s="31" t="s">
        <v>3379</v>
      </c>
      <c r="E4295" s="61" t="b">
        <v>1</v>
      </c>
      <c r="F4295" s="107" t="s">
        <v>14681</v>
      </c>
      <c r="G4295" s="116" t="str">
        <f>HYPERLINK("http://nsgreg.nga.mil/genc/view?v=200987&amp;end_month=3&amp;end_day=31&amp;end_year=2014","Uri")</f>
        <v>Uri</v>
      </c>
      <c r="H4295" s="87" t="str">
        <f>HYPERLINK("http://api.nsgreg.nga.mil/geo-division/GENC/6/ed2/CH-UR","CH-UR")</f>
        <v>CH-UR</v>
      </c>
    </row>
    <row r="4296" spans="1:8" x14ac:dyDescent="0.2">
      <c r="A4296" s="157"/>
      <c r="B4296" s="31" t="s">
        <v>14682</v>
      </c>
      <c r="C4296" s="31" t="s">
        <v>14683</v>
      </c>
      <c r="D4296" s="31" t="s">
        <v>3379</v>
      </c>
      <c r="E4296" s="61" t="b">
        <v>1</v>
      </c>
      <c r="F4296" s="107" t="s">
        <v>14684</v>
      </c>
      <c r="G4296" s="116" t="str">
        <f>HYPERLINK("http://nsgreg.nga.mil/genc/view?v=200989&amp;end_month=3&amp;end_day=31&amp;end_year=2014","Valais")</f>
        <v>Valais</v>
      </c>
      <c r="H4296" s="87" t="str">
        <f>HYPERLINK("http://api.nsgreg.nga.mil/geo-division/GENC/6/ed2/CH-VS","CH-VS")</f>
        <v>CH-VS</v>
      </c>
    </row>
    <row r="4297" spans="1:8" x14ac:dyDescent="0.2">
      <c r="A4297" s="157"/>
      <c r="B4297" s="31" t="s">
        <v>14685</v>
      </c>
      <c r="C4297" s="31" t="s">
        <v>14686</v>
      </c>
      <c r="D4297" s="31" t="s">
        <v>3379</v>
      </c>
      <c r="E4297" s="61" t="b">
        <v>1</v>
      </c>
      <c r="F4297" s="107" t="s">
        <v>14687</v>
      </c>
      <c r="G4297" s="116" t="str">
        <f>HYPERLINK("http://nsgreg.nga.mil/genc/view?v=200988&amp;end_month=3&amp;end_day=31&amp;end_year=2014","Vaud")</f>
        <v>Vaud</v>
      </c>
      <c r="H4297" s="87" t="str">
        <f>HYPERLINK("http://api.nsgreg.nga.mil/geo-division/GENC/6/ed2/CH-VD","CH-VD")</f>
        <v>CH-VD</v>
      </c>
    </row>
    <row r="4298" spans="1:8" x14ac:dyDescent="0.2">
      <c r="A4298" s="157"/>
      <c r="B4298" s="31" t="s">
        <v>14688</v>
      </c>
      <c r="C4298" s="31" t="s">
        <v>14689</v>
      </c>
      <c r="D4298" s="31" t="s">
        <v>3379</v>
      </c>
      <c r="E4298" s="61" t="b">
        <v>1</v>
      </c>
      <c r="F4298" s="107" t="s">
        <v>14690</v>
      </c>
      <c r="G4298" s="116" t="str">
        <f>HYPERLINK("http://nsgreg.nga.mil/genc/view?v=200990&amp;end_month=3&amp;end_day=31&amp;end_year=2014","Zug")</f>
        <v>Zug</v>
      </c>
      <c r="H4298" s="87" t="str">
        <f>HYPERLINK("http://api.nsgreg.nga.mil/geo-division/GENC/6/ed2/CH-ZG","CH-ZG")</f>
        <v>CH-ZG</v>
      </c>
    </row>
    <row r="4299" spans="1:8" x14ac:dyDescent="0.2">
      <c r="A4299" s="158"/>
      <c r="B4299" s="58" t="s">
        <v>14691</v>
      </c>
      <c r="C4299" s="58" t="s">
        <v>14692</v>
      </c>
      <c r="D4299" s="58" t="s">
        <v>3379</v>
      </c>
      <c r="E4299" s="62" t="b">
        <v>1</v>
      </c>
      <c r="F4299" s="111" t="s">
        <v>14693</v>
      </c>
      <c r="G4299" s="117" t="str">
        <f>HYPERLINK("http://nsgreg.nga.mil/genc/view?v=200991&amp;end_month=3&amp;end_day=31&amp;end_year=2014","Zürich")</f>
        <v>Zürich</v>
      </c>
      <c r="H4299" s="89" t="str">
        <f>HYPERLINK("http://api.nsgreg.nga.mil/geo-division/GENC/6/ed2/CH-ZH","CH-ZH")</f>
        <v>CH-ZH</v>
      </c>
    </row>
    <row r="4300" spans="1:8" x14ac:dyDescent="0.2">
      <c r="A4300" s="156" t="str">
        <f>HYPERLINK("[#]Geopolitical_Entities!A247:I247","SYRIA")</f>
        <v>SYRIA</v>
      </c>
      <c r="B4300" s="52" t="s">
        <v>14694</v>
      </c>
      <c r="C4300" s="52" t="s">
        <v>14695</v>
      </c>
      <c r="D4300" s="52" t="s">
        <v>1920</v>
      </c>
      <c r="E4300" s="60" t="b">
        <v>1</v>
      </c>
      <c r="F4300" s="109" t="s">
        <v>14696</v>
      </c>
      <c r="G4300" s="118" t="str">
        <f>HYPERLINK("http://nsgreg.nga.mil/genc/view?v=116128&amp;gencs=T&amp;end_month=3&amp;end_day=31&amp;end_year=2014","Al Ḩasakah")</f>
        <v>Al Ḩasakah</v>
      </c>
      <c r="H4300" s="91" t="str">
        <f>HYPERLINK("http://api.nsgreg.nga.mil/geo-division/ISO3166-2/6/ed3/SY-HA","SY-HA")</f>
        <v>SY-HA</v>
      </c>
    </row>
    <row r="4301" spans="1:8" x14ac:dyDescent="0.2">
      <c r="A4301" s="157"/>
      <c r="B4301" s="31" t="s">
        <v>14697</v>
      </c>
      <c r="C4301" s="31" t="s">
        <v>14698</v>
      </c>
      <c r="D4301" s="31" t="s">
        <v>1920</v>
      </c>
      <c r="E4301" s="61" t="b">
        <v>1</v>
      </c>
      <c r="F4301" s="106" t="s">
        <v>14699</v>
      </c>
      <c r="G4301" s="116" t="str">
        <f>HYPERLINK("http://nsgreg.nga.mil/genc/view?v=116133&amp;gencs=T&amp;end_month=3&amp;end_day=31&amp;end_year=2014","Al Lādhiqīyah")</f>
        <v>Al Lādhiqīyah</v>
      </c>
      <c r="H4301" s="87" t="str">
        <f>HYPERLINK("http://api.nsgreg.nga.mil/geo-division/ISO3166-2/6/ed3/SY-LA","SY-LA")</f>
        <v>SY-LA</v>
      </c>
    </row>
    <row r="4302" spans="1:8" x14ac:dyDescent="0.2">
      <c r="A4302" s="157"/>
      <c r="B4302" s="31" t="s">
        <v>14700</v>
      </c>
      <c r="C4302" s="31" t="s">
        <v>14701</v>
      </c>
      <c r="D4302" s="31" t="s">
        <v>1920</v>
      </c>
      <c r="E4302" s="61" t="b">
        <v>1</v>
      </c>
      <c r="F4302" s="106" t="s">
        <v>14702</v>
      </c>
      <c r="G4302" s="116" t="str">
        <f>HYPERLINK("http://nsgreg.nga.mil/genc/view?v=116134&amp;gencs=T&amp;end_month=3&amp;end_day=31&amp;end_year=2014","Al Qunayţirah")</f>
        <v>Al Qunayţirah</v>
      </c>
      <c r="H4302" s="87" t="str">
        <f>HYPERLINK("http://api.nsgreg.nga.mil/geo-division/ISO3166-2/6/ed3/SY-QU","SY-QU")</f>
        <v>SY-QU</v>
      </c>
    </row>
    <row r="4303" spans="1:8" x14ac:dyDescent="0.2">
      <c r="A4303" s="157"/>
      <c r="B4303" s="31" t="s">
        <v>14703</v>
      </c>
      <c r="C4303" s="31" t="s">
        <v>14704</v>
      </c>
      <c r="D4303" s="31" t="s">
        <v>1920</v>
      </c>
      <c r="E4303" s="61" t="b">
        <v>1</v>
      </c>
      <c r="F4303" s="106" t="s">
        <v>14705</v>
      </c>
      <c r="G4303" s="116" t="str">
        <f>HYPERLINK("http://nsgreg.nga.mil/genc/view?v=116135&amp;gencs=T&amp;end_month=3&amp;end_day=31&amp;end_year=2014","Ar Raqqah")</f>
        <v>Ar Raqqah</v>
      </c>
      <c r="H4303" s="87" t="str">
        <f>HYPERLINK("http://api.nsgreg.nga.mil/geo-division/ISO3166-2/6/ed3/SY-RA","SY-RA")</f>
        <v>SY-RA</v>
      </c>
    </row>
    <row r="4304" spans="1:8" x14ac:dyDescent="0.2">
      <c r="A4304" s="157"/>
      <c r="B4304" s="31" t="s">
        <v>14706</v>
      </c>
      <c r="C4304" s="31" t="s">
        <v>14707</v>
      </c>
      <c r="D4304" s="31" t="s">
        <v>1920</v>
      </c>
      <c r="E4304" s="61" t="b">
        <v>1</v>
      </c>
      <c r="F4304" s="106" t="s">
        <v>14708</v>
      </c>
      <c r="G4304" s="116" t="str">
        <f>HYPERLINK("http://nsgreg.nga.mil/genc/view?v=116137&amp;gencs=T&amp;end_month=3&amp;end_day=31&amp;end_year=2014","As Suwaydā’")</f>
        <v>As Suwaydā’</v>
      </c>
      <c r="H4304" s="87" t="str">
        <f>HYPERLINK("http://api.nsgreg.nga.mil/geo-division/ISO3166-2/6/ed3/SY-SU","SY-SU")</f>
        <v>SY-SU</v>
      </c>
    </row>
    <row r="4305" spans="1:8" x14ac:dyDescent="0.2">
      <c r="A4305" s="157"/>
      <c r="B4305" s="31" t="s">
        <v>14709</v>
      </c>
      <c r="C4305" s="31" t="s">
        <v>14710</v>
      </c>
      <c r="D4305" s="31" t="s">
        <v>1920</v>
      </c>
      <c r="E4305" s="61" t="b">
        <v>1</v>
      </c>
      <c r="F4305" s="106" t="s">
        <v>14711</v>
      </c>
      <c r="G4305" s="116" t="str">
        <f>HYPERLINK("http://nsgreg.nga.mil/genc/view?v=116126&amp;gencs=T&amp;end_month=3&amp;end_day=31&amp;end_year=2014","Dar‘ā")</f>
        <v>Dar‘ā</v>
      </c>
      <c r="H4305" s="87" t="str">
        <f>HYPERLINK("http://api.nsgreg.nga.mil/geo-division/ISO3166-2/6/ed3/SY-DR","SY-DR")</f>
        <v>SY-DR</v>
      </c>
    </row>
    <row r="4306" spans="1:8" x14ac:dyDescent="0.2">
      <c r="A4306" s="157"/>
      <c r="B4306" s="31" t="s">
        <v>14712</v>
      </c>
      <c r="C4306" s="31" t="s">
        <v>14713</v>
      </c>
      <c r="D4306" s="31" t="s">
        <v>1920</v>
      </c>
      <c r="E4306" s="61" t="b">
        <v>1</v>
      </c>
      <c r="F4306" s="106" t="s">
        <v>14714</v>
      </c>
      <c r="G4306" s="116" t="str">
        <f>HYPERLINK("http://nsgreg.nga.mil/genc/view?v=116127&amp;gencs=T&amp;end_month=3&amp;end_day=31&amp;end_year=2014","Dayr az Zawr")</f>
        <v>Dayr az Zawr</v>
      </c>
      <c r="H4306" s="87" t="str">
        <f>HYPERLINK("http://api.nsgreg.nga.mil/geo-division/ISO3166-2/6/ed3/SY-DY","SY-DY")</f>
        <v>SY-DY</v>
      </c>
    </row>
    <row r="4307" spans="1:8" x14ac:dyDescent="0.2">
      <c r="A4307" s="157"/>
      <c r="B4307" s="31" t="s">
        <v>14715</v>
      </c>
      <c r="C4307" s="31" t="s">
        <v>14716</v>
      </c>
      <c r="D4307" s="31" t="s">
        <v>1920</v>
      </c>
      <c r="E4307" s="61" t="b">
        <v>1</v>
      </c>
      <c r="F4307" s="106" t="s">
        <v>14717</v>
      </c>
      <c r="G4307" s="116" t="str">
        <f>HYPERLINK("http://nsgreg.nga.mil/genc/view?v=116125&amp;gencs=T&amp;end_month=3&amp;end_day=31&amp;end_year=2014","Dimashq")</f>
        <v>Dimashq</v>
      </c>
      <c r="H4307" s="87" t="str">
        <f>HYPERLINK("http://api.nsgreg.nga.mil/geo-division/ISO3166-2/6/ed3/SY-DI","SY-DI")</f>
        <v>SY-DI</v>
      </c>
    </row>
    <row r="4308" spans="1:8" x14ac:dyDescent="0.2">
      <c r="A4308" s="157"/>
      <c r="B4308" s="31" t="s">
        <v>14718</v>
      </c>
      <c r="C4308" s="31" t="s">
        <v>14719</v>
      </c>
      <c r="D4308" s="31" t="s">
        <v>1920</v>
      </c>
      <c r="E4308" s="61" t="b">
        <v>1</v>
      </c>
      <c r="F4308" s="106" t="s">
        <v>14720</v>
      </c>
      <c r="G4308" s="116" t="str">
        <f>HYPERLINK("http://nsgreg.nga.mil/genc/view?v=116130&amp;gencs=T&amp;end_month=3&amp;end_day=31&amp;end_year=2014","Ḩalab")</f>
        <v>Ḩalab</v>
      </c>
      <c r="H4308" s="87" t="str">
        <f>HYPERLINK("http://api.nsgreg.nga.mil/geo-division/ISO3166-2/6/ed3/SY-HL","SY-HL")</f>
        <v>SY-HL</v>
      </c>
    </row>
    <row r="4309" spans="1:8" x14ac:dyDescent="0.2">
      <c r="A4309" s="157"/>
      <c r="B4309" s="31" t="s">
        <v>14721</v>
      </c>
      <c r="C4309" s="31" t="s">
        <v>14722</v>
      </c>
      <c r="D4309" s="31" t="s">
        <v>1920</v>
      </c>
      <c r="E4309" s="61" t="b">
        <v>1</v>
      </c>
      <c r="F4309" s="106" t="s">
        <v>14723</v>
      </c>
      <c r="G4309" s="116" t="str">
        <f>HYPERLINK("http://nsgreg.nga.mil/genc/view?v=116131&amp;gencs=T&amp;end_month=3&amp;end_day=31&amp;end_year=2014","Ḩamāh")</f>
        <v>Ḩamāh</v>
      </c>
      <c r="H4309" s="87" t="str">
        <f>HYPERLINK("http://api.nsgreg.nga.mil/geo-division/ISO3166-2/6/ed3/SY-HM","SY-HM")</f>
        <v>SY-HM</v>
      </c>
    </row>
    <row r="4310" spans="1:8" x14ac:dyDescent="0.2">
      <c r="A4310" s="157"/>
      <c r="B4310" s="31" t="s">
        <v>14724</v>
      </c>
      <c r="C4310" s="31" t="s">
        <v>14725</v>
      </c>
      <c r="D4310" s="31" t="s">
        <v>1920</v>
      </c>
      <c r="E4310" s="61" t="b">
        <v>1</v>
      </c>
      <c r="F4310" s="106" t="s">
        <v>14726</v>
      </c>
      <c r="G4310" s="116" t="str">
        <f>HYPERLINK("http://nsgreg.nga.mil/genc/view?v=116129&amp;gencs=T&amp;end_month=3&amp;end_day=31&amp;end_year=2014","Ḩimş")</f>
        <v>Ḩimş</v>
      </c>
      <c r="H4310" s="87" t="str">
        <f>HYPERLINK("http://api.nsgreg.nga.mil/geo-division/ISO3166-2/6/ed3/SY-HI","SY-HI")</f>
        <v>SY-HI</v>
      </c>
    </row>
    <row r="4311" spans="1:8" x14ac:dyDescent="0.2">
      <c r="A4311" s="157"/>
      <c r="B4311" s="31" t="s">
        <v>14727</v>
      </c>
      <c r="C4311" s="31" t="s">
        <v>14728</v>
      </c>
      <c r="D4311" s="31" t="s">
        <v>1920</v>
      </c>
      <c r="E4311" s="61" t="b">
        <v>1</v>
      </c>
      <c r="F4311" s="106" t="s">
        <v>14729</v>
      </c>
      <c r="G4311" s="116" t="str">
        <f>HYPERLINK("http://nsgreg.nga.mil/genc/view?v=116132&amp;gencs=T&amp;end_month=3&amp;end_day=31&amp;end_year=2014","Idlib")</f>
        <v>Idlib</v>
      </c>
      <c r="H4311" s="87" t="str">
        <f>HYPERLINK("http://api.nsgreg.nga.mil/geo-division/ISO3166-2/6/ed3/SY-ID","SY-ID")</f>
        <v>SY-ID</v>
      </c>
    </row>
    <row r="4312" spans="1:8" x14ac:dyDescent="0.2">
      <c r="A4312" s="157"/>
      <c r="B4312" s="31" t="s">
        <v>14730</v>
      </c>
      <c r="C4312" s="31" t="s">
        <v>14731</v>
      </c>
      <c r="D4312" s="31" t="s">
        <v>1920</v>
      </c>
      <c r="E4312" s="61" t="b">
        <v>1</v>
      </c>
      <c r="F4312" s="106" t="s">
        <v>14732</v>
      </c>
      <c r="G4312" s="116" t="str">
        <f>HYPERLINK("http://nsgreg.nga.mil/genc/view?v=116136&amp;gencs=T&amp;end_month=3&amp;end_day=31&amp;end_year=2014","Rīf Dimashq")</f>
        <v>Rīf Dimashq</v>
      </c>
      <c r="H4312" s="87" t="str">
        <f>HYPERLINK("http://api.nsgreg.nga.mil/geo-division/ISO3166-2/6/ed3/SY-RD","SY-RD")</f>
        <v>SY-RD</v>
      </c>
    </row>
    <row r="4313" spans="1:8" x14ac:dyDescent="0.2">
      <c r="A4313" s="158"/>
      <c r="B4313" s="58" t="s">
        <v>14733</v>
      </c>
      <c r="C4313" s="58" t="s">
        <v>14734</v>
      </c>
      <c r="D4313" s="58" t="s">
        <v>1920</v>
      </c>
      <c r="E4313" s="62" t="b">
        <v>1</v>
      </c>
      <c r="F4313" s="108" t="s">
        <v>14735</v>
      </c>
      <c r="G4313" s="117" t="str">
        <f>HYPERLINK("http://nsgreg.nga.mil/genc/view?v=116138&amp;gencs=T&amp;end_month=3&amp;end_day=31&amp;end_year=2014","Ţarţūs")</f>
        <v>Ţarţūs</v>
      </c>
      <c r="H4313" s="89" t="str">
        <f>HYPERLINK("http://api.nsgreg.nga.mil/geo-division/ISO3166-2/6/ed3/SY-TA","SY-TA")</f>
        <v>SY-TA</v>
      </c>
    </row>
    <row r="4314" spans="1:8" x14ac:dyDescent="0.2">
      <c r="A4314" s="156" t="str">
        <f>HYPERLINK("[#]Geopolitical_Entities!A248:I248","TAIWAN")</f>
        <v>TAIWAN</v>
      </c>
      <c r="B4314" s="52" t="s">
        <v>14736</v>
      </c>
      <c r="C4314" s="52" t="s">
        <v>14737</v>
      </c>
      <c r="D4314" s="52" t="s">
        <v>2023</v>
      </c>
      <c r="E4314" s="60" t="b">
        <v>1</v>
      </c>
      <c r="F4314" s="110" t="s">
        <v>14738</v>
      </c>
      <c r="G4314" s="118" t="str">
        <f>HYPERLINK("http://nsgreg.nga.mil/genc/view?v=203151&amp;end_month=3&amp;end_day=31&amp;end_year=2014","Changhua")</f>
        <v>Changhua</v>
      </c>
      <c r="H4314" s="91" t="str">
        <f>HYPERLINK("http://api.nsgreg.nga.mil/geo-division/GENC/6/ed2/TW-CHA","TW-CHA")</f>
        <v>TW-CHA</v>
      </c>
    </row>
    <row r="4315" spans="1:8" x14ac:dyDescent="0.2">
      <c r="A4315" s="157"/>
      <c r="B4315" s="31" t="s">
        <v>14739</v>
      </c>
      <c r="C4315" s="31" t="s">
        <v>14740</v>
      </c>
      <c r="D4315" s="31" t="s">
        <v>2023</v>
      </c>
      <c r="E4315" s="61" t="b">
        <v>1</v>
      </c>
      <c r="F4315" s="107" t="s">
        <v>14741</v>
      </c>
      <c r="G4315" s="116" t="str">
        <f>HYPERLINK("http://nsgreg.nga.mil/genc/view?v=203153&amp;end_month=3&amp;end_day=31&amp;end_year=2014","Chiayi")</f>
        <v>Chiayi</v>
      </c>
      <c r="H4315" s="87" t="str">
        <f>HYPERLINK("http://api.nsgreg.nga.mil/geo-division/GENC/6/ed2/TW-CYQ","TW-CYQ")</f>
        <v>TW-CYQ</v>
      </c>
    </row>
    <row r="4316" spans="1:8" x14ac:dyDescent="0.2">
      <c r="A4316" s="157"/>
      <c r="B4316" s="31" t="s">
        <v>14742</v>
      </c>
      <c r="C4316" s="31" t="s">
        <v>14740</v>
      </c>
      <c r="D4316" s="31" t="s">
        <v>3254</v>
      </c>
      <c r="E4316" s="61" t="b">
        <v>1</v>
      </c>
      <c r="F4316" s="107" t="s">
        <v>14743</v>
      </c>
      <c r="G4316" s="116" t="str">
        <f>HYPERLINK("http://nsgreg.nga.mil/genc/view?v=203152&amp;end_month=3&amp;end_day=31&amp;end_year=2014","Chiayi")</f>
        <v>Chiayi</v>
      </c>
      <c r="H4316" s="87" t="str">
        <f>HYPERLINK("http://api.nsgreg.nga.mil/geo-division/GENC/6/ed2/TW-CYI","TW-CYI")</f>
        <v>TW-CYI</v>
      </c>
    </row>
    <row r="4317" spans="1:8" x14ac:dyDescent="0.2">
      <c r="A4317" s="157"/>
      <c r="B4317" s="31" t="s">
        <v>14744</v>
      </c>
      <c r="C4317" s="31" t="s">
        <v>14745</v>
      </c>
      <c r="D4317" s="31" t="s">
        <v>2023</v>
      </c>
      <c r="E4317" s="61" t="b">
        <v>1</v>
      </c>
      <c r="F4317" s="107" t="s">
        <v>14746</v>
      </c>
      <c r="G4317" s="116" t="str">
        <f>HYPERLINK("http://nsgreg.nga.mil/genc/view?v=203154&amp;end_month=3&amp;end_day=31&amp;end_year=2014","Hsinchu")</f>
        <v>Hsinchu</v>
      </c>
      <c r="H4317" s="87" t="str">
        <f>HYPERLINK("http://api.nsgreg.nga.mil/geo-division/GENC/6/ed2/TW-HSQ","TW-HSQ")</f>
        <v>TW-HSQ</v>
      </c>
    </row>
    <row r="4318" spans="1:8" x14ac:dyDescent="0.2">
      <c r="A4318" s="157"/>
      <c r="B4318" s="31" t="s">
        <v>14747</v>
      </c>
      <c r="C4318" s="31" t="s">
        <v>14745</v>
      </c>
      <c r="D4318" s="31" t="s">
        <v>3254</v>
      </c>
      <c r="E4318" s="61" t="b">
        <v>1</v>
      </c>
      <c r="F4318" s="107" t="s">
        <v>14748</v>
      </c>
      <c r="G4318" s="116" t="str">
        <f>HYPERLINK("http://nsgreg.nga.mil/genc/view?v=203155&amp;end_month=3&amp;end_day=31&amp;end_year=2014","Hsinchu")</f>
        <v>Hsinchu</v>
      </c>
      <c r="H4318" s="87" t="str">
        <f>HYPERLINK("http://api.nsgreg.nga.mil/geo-division/GENC/6/ed2/TW-HSZ","TW-HSZ")</f>
        <v>TW-HSZ</v>
      </c>
    </row>
    <row r="4319" spans="1:8" x14ac:dyDescent="0.2">
      <c r="A4319" s="157"/>
      <c r="B4319" s="31" t="s">
        <v>14749</v>
      </c>
      <c r="C4319" s="31" t="s">
        <v>14750</v>
      </c>
      <c r="D4319" s="31" t="s">
        <v>2023</v>
      </c>
      <c r="E4319" s="61" t="b">
        <v>1</v>
      </c>
      <c r="F4319" s="107" t="s">
        <v>14751</v>
      </c>
      <c r="G4319" s="116" t="str">
        <f>HYPERLINK("http://nsgreg.nga.mil/genc/view?v=203156&amp;end_month=3&amp;end_day=31&amp;end_year=2014","Hualien")</f>
        <v>Hualien</v>
      </c>
      <c r="H4319" s="87" t="str">
        <f>HYPERLINK("http://api.nsgreg.nga.mil/geo-division/GENC/6/ed2/TW-HUA","TW-HUA")</f>
        <v>TW-HUA</v>
      </c>
    </row>
    <row r="4320" spans="1:8" x14ac:dyDescent="0.2">
      <c r="A4320" s="157"/>
      <c r="B4320" s="31" t="s">
        <v>14752</v>
      </c>
      <c r="C4320" s="31" t="s">
        <v>14753</v>
      </c>
      <c r="D4320" s="98" t="s">
        <v>2026</v>
      </c>
      <c r="E4320" s="99" t="b">
        <v>0</v>
      </c>
      <c r="F4320" s="107" t="s">
        <v>14754</v>
      </c>
      <c r="G4320" s="116" t="str">
        <f>HYPERLINK("http://nsgreg.nga.mil/genc/view?v=203160&amp;end_month=3&amp;end_day=31&amp;end_year=2014","Kaohsiung")</f>
        <v>Kaohsiung</v>
      </c>
      <c r="H4320" s="87" t="str">
        <f>HYPERLINK("http://api.nsgreg.nga.mil/geo-division/GENC/6/ed2/TW-KHQ","TW-KHQ")</f>
        <v>TW-KHQ</v>
      </c>
    </row>
    <row r="4321" spans="1:8" x14ac:dyDescent="0.2">
      <c r="A4321" s="157"/>
      <c r="B4321" s="31" t="s">
        <v>14755</v>
      </c>
      <c r="C4321" s="31" t="s">
        <v>14753</v>
      </c>
      <c r="D4321" s="31" t="s">
        <v>3254</v>
      </c>
      <c r="E4321" s="61" t="b">
        <v>1</v>
      </c>
      <c r="F4321" s="107" t="s">
        <v>14756</v>
      </c>
      <c r="G4321" s="116" t="str">
        <f>HYPERLINK("http://nsgreg.nga.mil/genc/view?v=203159&amp;end_month=3&amp;end_day=31&amp;end_year=2014","Kaohsiung")</f>
        <v>Kaohsiung</v>
      </c>
      <c r="H4321" s="87" t="str">
        <f>HYPERLINK("http://api.nsgreg.nga.mil/geo-division/GENC/6/ed2/TW-KHH","TW-KHH")</f>
        <v>TW-KHH</v>
      </c>
    </row>
    <row r="4322" spans="1:8" x14ac:dyDescent="0.2">
      <c r="A4322" s="157"/>
      <c r="B4322" s="31" t="s">
        <v>14757</v>
      </c>
      <c r="C4322" s="31" t="s">
        <v>14758</v>
      </c>
      <c r="D4322" s="31" t="s">
        <v>3254</v>
      </c>
      <c r="E4322" s="61" t="b">
        <v>1</v>
      </c>
      <c r="F4322" s="107" t="s">
        <v>14759</v>
      </c>
      <c r="G4322" s="116" t="str">
        <f>HYPERLINK("http://nsgreg.nga.mil/genc/view?v=203158&amp;end_month=3&amp;end_day=31&amp;end_year=2014","Keelung")</f>
        <v>Keelung</v>
      </c>
      <c r="H4322" s="87" t="str">
        <f>HYPERLINK("http://api.nsgreg.nga.mil/geo-division/GENC/6/ed2/TW-KEE","TW-KEE")</f>
        <v>TW-KEE</v>
      </c>
    </row>
    <row r="4323" spans="1:8" x14ac:dyDescent="0.2">
      <c r="A4323" s="157"/>
      <c r="B4323" s="31" t="s">
        <v>14760</v>
      </c>
      <c r="C4323" s="31" t="s">
        <v>14761</v>
      </c>
      <c r="D4323" s="31" t="s">
        <v>2023</v>
      </c>
      <c r="E4323" s="61" t="b">
        <v>1</v>
      </c>
      <c r="F4323" s="107" t="s">
        <v>14762</v>
      </c>
      <c r="G4323" s="116" t="str">
        <f>HYPERLINK("http://nsgreg.nga.mil/genc/view?v=203161&amp;end_month=3&amp;end_day=31&amp;end_year=2014","Kinmen")</f>
        <v>Kinmen</v>
      </c>
      <c r="H4323" s="87" t="str">
        <f>HYPERLINK("http://api.nsgreg.nga.mil/geo-division/GENC/6/ed2/TW-KIN","TW-KIN")</f>
        <v>TW-KIN</v>
      </c>
    </row>
    <row r="4324" spans="1:8" x14ac:dyDescent="0.2">
      <c r="A4324" s="157"/>
      <c r="B4324" s="31" t="s">
        <v>14763</v>
      </c>
      <c r="C4324" s="31" t="s">
        <v>14764</v>
      </c>
      <c r="D4324" s="31" t="s">
        <v>2023</v>
      </c>
      <c r="E4324" s="61" t="b">
        <v>1</v>
      </c>
      <c r="F4324" s="107" t="s">
        <v>14765</v>
      </c>
      <c r="G4324" s="116" t="str">
        <f>HYPERLINK("http://nsgreg.nga.mil/genc/view?v=203162&amp;end_month=3&amp;end_day=31&amp;end_year=2014","Lienchiang")</f>
        <v>Lienchiang</v>
      </c>
      <c r="H4324" s="87" t="str">
        <f>HYPERLINK("http://api.nsgreg.nga.mil/geo-division/GENC/6/ed2/TW-LIE","TW-LIE")</f>
        <v>TW-LIE</v>
      </c>
    </row>
    <row r="4325" spans="1:8" x14ac:dyDescent="0.2">
      <c r="A4325" s="157"/>
      <c r="B4325" s="31" t="s">
        <v>14766</v>
      </c>
      <c r="C4325" s="31" t="s">
        <v>14767</v>
      </c>
      <c r="D4325" s="31" t="s">
        <v>2023</v>
      </c>
      <c r="E4325" s="61" t="b">
        <v>1</v>
      </c>
      <c r="F4325" s="107" t="s">
        <v>14768</v>
      </c>
      <c r="G4325" s="116" t="str">
        <f>HYPERLINK("http://nsgreg.nga.mil/genc/view?v=203163&amp;end_month=3&amp;end_day=31&amp;end_year=2014","Miaoli")</f>
        <v>Miaoli</v>
      </c>
      <c r="H4325" s="87" t="str">
        <f>HYPERLINK("http://api.nsgreg.nga.mil/geo-division/GENC/6/ed2/TW-MIA","TW-MIA")</f>
        <v>TW-MIA</v>
      </c>
    </row>
    <row r="4326" spans="1:8" x14ac:dyDescent="0.2">
      <c r="A4326" s="157"/>
      <c r="B4326" s="31" t="s">
        <v>14769</v>
      </c>
      <c r="C4326" s="31" t="s">
        <v>14770</v>
      </c>
      <c r="D4326" s="31" t="s">
        <v>2023</v>
      </c>
      <c r="E4326" s="61" t="b">
        <v>1</v>
      </c>
      <c r="F4326" s="107" t="s">
        <v>14771</v>
      </c>
      <c r="G4326" s="116" t="str">
        <f>HYPERLINK("http://nsgreg.nga.mil/genc/view?v=203164&amp;end_month=3&amp;end_day=31&amp;end_year=2014","Nantou")</f>
        <v>Nantou</v>
      </c>
      <c r="H4326" s="87" t="str">
        <f>HYPERLINK("http://api.nsgreg.nga.mil/geo-division/GENC/6/ed2/TW-NAN","TW-NAN")</f>
        <v>TW-NAN</v>
      </c>
    </row>
    <row r="4327" spans="1:8" x14ac:dyDescent="0.2">
      <c r="A4327" s="157"/>
      <c r="B4327" s="31" t="s">
        <v>14772</v>
      </c>
      <c r="C4327" s="31" t="s">
        <v>14773</v>
      </c>
      <c r="D4327" s="31" t="s">
        <v>3254</v>
      </c>
      <c r="E4327" s="61" t="b">
        <v>1</v>
      </c>
      <c r="F4327" s="107" t="s">
        <v>14774</v>
      </c>
      <c r="G4327" s="116" t="str">
        <f>HYPERLINK("http://nsgreg.nga.mil/genc/view?v=203171&amp;end_month=3&amp;end_day=31&amp;end_year=2014","New Taipei")</f>
        <v>New Taipei</v>
      </c>
      <c r="H4327" s="87" t="str">
        <f>HYPERLINK("http://api.nsgreg.nga.mil/geo-division/GENC/6/ed2/TW-TPQ","TW-TPQ")</f>
        <v>TW-TPQ</v>
      </c>
    </row>
    <row r="4328" spans="1:8" x14ac:dyDescent="0.2">
      <c r="A4328" s="157"/>
      <c r="B4328" s="31" t="s">
        <v>14775</v>
      </c>
      <c r="C4328" s="31" t="s">
        <v>14776</v>
      </c>
      <c r="D4328" s="31" t="s">
        <v>2023</v>
      </c>
      <c r="E4328" s="61" t="b">
        <v>1</v>
      </c>
      <c r="F4328" s="107" t="s">
        <v>14777</v>
      </c>
      <c r="G4328" s="116" t="str">
        <f>HYPERLINK("http://nsgreg.nga.mil/genc/view?v=203165&amp;end_month=3&amp;end_day=31&amp;end_year=2014","Penghu")</f>
        <v>Penghu</v>
      </c>
      <c r="H4328" s="87" t="str">
        <f>HYPERLINK("http://api.nsgreg.nga.mil/geo-division/GENC/6/ed2/TW-PEN","TW-PEN")</f>
        <v>TW-PEN</v>
      </c>
    </row>
    <row r="4329" spans="1:8" x14ac:dyDescent="0.2">
      <c r="A4329" s="157"/>
      <c r="B4329" s="31" t="s">
        <v>14778</v>
      </c>
      <c r="C4329" s="31" t="s">
        <v>14779</v>
      </c>
      <c r="D4329" s="31" t="s">
        <v>2023</v>
      </c>
      <c r="E4329" s="61" t="b">
        <v>1</v>
      </c>
      <c r="F4329" s="107" t="s">
        <v>14780</v>
      </c>
      <c r="G4329" s="116" t="str">
        <f>HYPERLINK("http://nsgreg.nga.mil/genc/view?v=203166&amp;end_month=3&amp;end_day=31&amp;end_year=2014","Pingtung")</f>
        <v>Pingtung</v>
      </c>
      <c r="H4329" s="87" t="str">
        <f>HYPERLINK("http://api.nsgreg.nga.mil/geo-division/GENC/6/ed2/TW-PIF","TW-PIF")</f>
        <v>TW-PIF</v>
      </c>
    </row>
    <row r="4330" spans="1:8" x14ac:dyDescent="0.2">
      <c r="A4330" s="157"/>
      <c r="B4330" s="31" t="s">
        <v>14781</v>
      </c>
      <c r="C4330" s="31" t="s">
        <v>14782</v>
      </c>
      <c r="D4330" s="98" t="s">
        <v>2026</v>
      </c>
      <c r="E4330" s="99" t="b">
        <v>0</v>
      </c>
      <c r="F4330" s="107" t="s">
        <v>14783</v>
      </c>
      <c r="G4330" s="116" t="str">
        <f>HYPERLINK("http://nsgreg.nga.mil/genc/view?v=203174&amp;end_month=3&amp;end_day=31&amp;end_year=2014","Taichung")</f>
        <v>Taichung</v>
      </c>
      <c r="H4330" s="87" t="str">
        <f>HYPERLINK("http://api.nsgreg.nga.mil/geo-division/GENC/6/ed2/TW-TXQ","TW-TXQ")</f>
        <v>TW-TXQ</v>
      </c>
    </row>
    <row r="4331" spans="1:8" x14ac:dyDescent="0.2">
      <c r="A4331" s="157"/>
      <c r="B4331" s="31" t="s">
        <v>14784</v>
      </c>
      <c r="C4331" s="31" t="s">
        <v>14782</v>
      </c>
      <c r="D4331" s="31" t="s">
        <v>3254</v>
      </c>
      <c r="E4331" s="61" t="b">
        <v>1</v>
      </c>
      <c r="F4331" s="107" t="s">
        <v>14785</v>
      </c>
      <c r="G4331" s="116" t="str">
        <f>HYPERLINK("http://nsgreg.nga.mil/genc/view?v=203173&amp;end_month=3&amp;end_day=31&amp;end_year=2014","Taichung")</f>
        <v>Taichung</v>
      </c>
      <c r="H4331" s="87" t="str">
        <f>HYPERLINK("http://api.nsgreg.nga.mil/geo-division/GENC/6/ed2/TW-TXG","TW-TXG")</f>
        <v>TW-TXG</v>
      </c>
    </row>
    <row r="4332" spans="1:8" x14ac:dyDescent="0.2">
      <c r="A4332" s="157"/>
      <c r="B4332" s="31" t="s">
        <v>14786</v>
      </c>
      <c r="C4332" s="31" t="s">
        <v>14787</v>
      </c>
      <c r="D4332" s="98" t="s">
        <v>2026</v>
      </c>
      <c r="E4332" s="99" t="b">
        <v>0</v>
      </c>
      <c r="F4332" s="107" t="s">
        <v>14788</v>
      </c>
      <c r="G4332" s="116" t="str">
        <f>HYPERLINK("http://nsgreg.nga.mil/genc/view?v=203169&amp;end_month=3&amp;end_day=31&amp;end_year=2014","Tainan")</f>
        <v>Tainan</v>
      </c>
      <c r="H4332" s="87" t="str">
        <f>HYPERLINK("http://api.nsgreg.nga.mil/geo-division/GENC/6/ed2/TW-TNQ","TW-TNQ")</f>
        <v>TW-TNQ</v>
      </c>
    </row>
    <row r="4333" spans="1:8" x14ac:dyDescent="0.2">
      <c r="A4333" s="157"/>
      <c r="B4333" s="31" t="s">
        <v>14789</v>
      </c>
      <c r="C4333" s="31" t="s">
        <v>14787</v>
      </c>
      <c r="D4333" s="31" t="s">
        <v>3254</v>
      </c>
      <c r="E4333" s="61" t="b">
        <v>1</v>
      </c>
      <c r="F4333" s="107" t="s">
        <v>14790</v>
      </c>
      <c r="G4333" s="116" t="str">
        <f>HYPERLINK("http://nsgreg.nga.mil/genc/view?v=203168&amp;end_month=3&amp;end_day=31&amp;end_year=2014","Tainan")</f>
        <v>Tainan</v>
      </c>
      <c r="H4333" s="87" t="str">
        <f>HYPERLINK("http://api.nsgreg.nga.mil/geo-division/GENC/6/ed2/TW-TNN","TW-TNN")</f>
        <v>TW-TNN</v>
      </c>
    </row>
    <row r="4334" spans="1:8" x14ac:dyDescent="0.2">
      <c r="A4334" s="157"/>
      <c r="B4334" s="31" t="s">
        <v>14791</v>
      </c>
      <c r="C4334" s="31" t="s">
        <v>14792</v>
      </c>
      <c r="D4334" s="31" t="s">
        <v>3254</v>
      </c>
      <c r="E4334" s="61" t="b">
        <v>1</v>
      </c>
      <c r="F4334" s="107" t="s">
        <v>14793</v>
      </c>
      <c r="G4334" s="116" t="str">
        <f>HYPERLINK("http://nsgreg.nga.mil/genc/view?v=203170&amp;end_month=3&amp;end_day=31&amp;end_year=2014","Taipei")</f>
        <v>Taipei</v>
      </c>
      <c r="H4334" s="87" t="str">
        <f>HYPERLINK("http://api.nsgreg.nga.mil/geo-division/GENC/6/ed2/TW-TPE","TW-TPE")</f>
        <v>TW-TPE</v>
      </c>
    </row>
    <row r="4335" spans="1:8" x14ac:dyDescent="0.2">
      <c r="A4335" s="157"/>
      <c r="B4335" s="31" t="s">
        <v>14794</v>
      </c>
      <c r="C4335" s="31" t="s">
        <v>14795</v>
      </c>
      <c r="D4335" s="31" t="s">
        <v>2023</v>
      </c>
      <c r="E4335" s="61" t="b">
        <v>1</v>
      </c>
      <c r="F4335" s="107" t="s">
        <v>14796</v>
      </c>
      <c r="G4335" s="116" t="str">
        <f>HYPERLINK("http://nsgreg.nga.mil/genc/view?v=203172&amp;end_month=3&amp;end_day=31&amp;end_year=2014","Taitung")</f>
        <v>Taitung</v>
      </c>
      <c r="H4335" s="87" t="str">
        <f>HYPERLINK("http://api.nsgreg.nga.mil/geo-division/GENC/6/ed2/TW-TTT","TW-TTT")</f>
        <v>TW-TTT</v>
      </c>
    </row>
    <row r="4336" spans="1:8" x14ac:dyDescent="0.2">
      <c r="A4336" s="157"/>
      <c r="B4336" s="31" t="s">
        <v>14797</v>
      </c>
      <c r="C4336" s="31" t="s">
        <v>14798</v>
      </c>
      <c r="D4336" s="31" t="s">
        <v>2023</v>
      </c>
      <c r="E4336" s="61" t="b">
        <v>1</v>
      </c>
      <c r="F4336" s="107" t="s">
        <v>14799</v>
      </c>
      <c r="G4336" s="116" t="str">
        <f>HYPERLINK("http://nsgreg.nga.mil/genc/view?v=203167&amp;end_month=3&amp;end_day=31&amp;end_year=2014","Taoyuan")</f>
        <v>Taoyuan</v>
      </c>
      <c r="H4336" s="87" t="str">
        <f>HYPERLINK("http://api.nsgreg.nga.mil/geo-division/GENC/6/ed2/TW-TAO","TW-TAO")</f>
        <v>TW-TAO</v>
      </c>
    </row>
    <row r="4337" spans="1:8" x14ac:dyDescent="0.2">
      <c r="A4337" s="157"/>
      <c r="B4337" s="31" t="s">
        <v>14800</v>
      </c>
      <c r="C4337" s="31" t="s">
        <v>14801</v>
      </c>
      <c r="D4337" s="31" t="s">
        <v>2023</v>
      </c>
      <c r="E4337" s="61" t="b">
        <v>1</v>
      </c>
      <c r="F4337" s="107" t="s">
        <v>14802</v>
      </c>
      <c r="G4337" s="116" t="str">
        <f>HYPERLINK("http://nsgreg.nga.mil/genc/view?v=203157&amp;end_month=3&amp;end_day=31&amp;end_year=2014","Yilan")</f>
        <v>Yilan</v>
      </c>
      <c r="H4337" s="87" t="str">
        <f>HYPERLINK("http://api.nsgreg.nga.mil/geo-division/GENC/6/ed2/TW-ILA","TW-ILA")</f>
        <v>TW-ILA</v>
      </c>
    </row>
    <row r="4338" spans="1:8" x14ac:dyDescent="0.2">
      <c r="A4338" s="158"/>
      <c r="B4338" s="58" t="s">
        <v>14803</v>
      </c>
      <c r="C4338" s="58" t="s">
        <v>14804</v>
      </c>
      <c r="D4338" s="58" t="s">
        <v>2023</v>
      </c>
      <c r="E4338" s="62" t="b">
        <v>1</v>
      </c>
      <c r="F4338" s="111" t="s">
        <v>14805</v>
      </c>
      <c r="G4338" s="117" t="str">
        <f>HYPERLINK("http://nsgreg.nga.mil/genc/view?v=203175&amp;end_month=3&amp;end_day=31&amp;end_year=2014","Yunlin")</f>
        <v>Yunlin</v>
      </c>
      <c r="H4338" s="89" t="str">
        <f>HYPERLINK("http://api.nsgreg.nga.mil/geo-division/GENC/6/ed2/TW-YUN","TW-YUN")</f>
        <v>TW-YUN</v>
      </c>
    </row>
    <row r="4339" spans="1:8" x14ac:dyDescent="0.2">
      <c r="A4339" s="156" t="str">
        <f>HYPERLINK("[#]Geopolitical_Entities!A249:I249","TAJIKISTAN")</f>
        <v>TAJIKISTAN</v>
      </c>
      <c r="B4339" s="52" t="s">
        <v>14806</v>
      </c>
      <c r="C4339" s="52" t="s">
        <v>14807</v>
      </c>
      <c r="D4339" s="52" t="s">
        <v>14808</v>
      </c>
      <c r="E4339" s="60" t="b">
        <v>1</v>
      </c>
      <c r="F4339" s="110" t="s">
        <v>14809</v>
      </c>
      <c r="G4339" s="118" t="str">
        <f>HYPERLINK("http://nsgreg.nga.mil/genc/view?v=203093&amp;end_month=3&amp;end_day=31&amp;end_year=2014","Dushanbe")</f>
        <v>Dushanbe</v>
      </c>
      <c r="H4339" s="91" t="str">
        <f>HYPERLINK("http://api.nsgreg.nga.mil/geo-division/GENC/6/ed2/TJ-DU","TJ-DU")</f>
        <v>TJ-DU</v>
      </c>
    </row>
    <row r="4340" spans="1:8" x14ac:dyDescent="0.2">
      <c r="A4340" s="157"/>
      <c r="B4340" s="31" t="s">
        <v>14810</v>
      </c>
      <c r="C4340" s="31" t="s">
        <v>14811</v>
      </c>
      <c r="D4340" s="31" t="s">
        <v>3137</v>
      </c>
      <c r="E4340" s="61" t="b">
        <v>1</v>
      </c>
      <c r="F4340" s="106" t="s">
        <v>14812</v>
      </c>
      <c r="G4340" s="116" t="str">
        <f>HYPERLINK("http://nsgreg.nga.mil/genc/view?v=116249&amp;gencs=T&amp;end_month=3&amp;end_day=31&amp;end_year=2014","Khatlon")</f>
        <v>Khatlon</v>
      </c>
      <c r="H4340" s="87" t="str">
        <f>HYPERLINK("http://api.nsgreg.nga.mil/geo-division/ISO3166-2/6/ed3/TJ-KT","TJ-KT")</f>
        <v>TJ-KT</v>
      </c>
    </row>
    <row r="4341" spans="1:8" x14ac:dyDescent="0.2">
      <c r="A4341" s="157"/>
      <c r="B4341" s="31" t="s">
        <v>14813</v>
      </c>
      <c r="C4341" s="31" t="s">
        <v>14814</v>
      </c>
      <c r="D4341" s="31" t="s">
        <v>4316</v>
      </c>
      <c r="E4341" s="61" t="b">
        <v>1</v>
      </c>
      <c r="F4341" s="106" t="s">
        <v>14815</v>
      </c>
      <c r="G4341" s="116" t="str">
        <f>HYPERLINK("http://nsgreg.nga.mil/genc/view?v=116248&amp;gencs=T&amp;end_month=3&amp;end_day=31&amp;end_year=2014","Kŭhistoni Badakhshon")</f>
        <v>Kŭhistoni Badakhshon</v>
      </c>
      <c r="H4341" s="87" t="str">
        <f>HYPERLINK("http://api.nsgreg.nga.mil/geo-division/ISO3166-2/6/ed3/TJ-GB","TJ-GB")</f>
        <v>TJ-GB</v>
      </c>
    </row>
    <row r="4342" spans="1:8" x14ac:dyDescent="0.2">
      <c r="A4342" s="157"/>
      <c r="B4342" s="31" t="s">
        <v>14816</v>
      </c>
      <c r="C4342" s="31" t="s">
        <v>14817</v>
      </c>
      <c r="D4342" s="31" t="s">
        <v>14818</v>
      </c>
      <c r="E4342" s="61" t="b">
        <v>1</v>
      </c>
      <c r="F4342" s="107" t="s">
        <v>14819</v>
      </c>
      <c r="G4342" s="116" t="str">
        <f>HYPERLINK("http://nsgreg.nga.mil/genc/view?v=203094&amp;end_month=3&amp;end_day=31&amp;end_year=2014","Nohiyahoi Tobei Jumhurí")</f>
        <v>Nohiyahoi Tobei Jumhurí</v>
      </c>
      <c r="H4342" s="87" t="str">
        <f>HYPERLINK("http://api.nsgreg.nga.mil/geo-division/GENC/6/ed2/TJ-NO","TJ-NO")</f>
        <v>TJ-NO</v>
      </c>
    </row>
    <row r="4343" spans="1:8" x14ac:dyDescent="0.2">
      <c r="A4343" s="158"/>
      <c r="B4343" s="58" t="s">
        <v>14820</v>
      </c>
      <c r="C4343" s="58" t="s">
        <v>14821</v>
      </c>
      <c r="D4343" s="58" t="s">
        <v>3137</v>
      </c>
      <c r="E4343" s="62" t="b">
        <v>1</v>
      </c>
      <c r="F4343" s="108" t="s">
        <v>14822</v>
      </c>
      <c r="G4343" s="117" t="str">
        <f>HYPERLINK("http://nsgreg.nga.mil/genc/view?v=116250&amp;gencs=T&amp;end_month=3&amp;end_day=31&amp;end_year=2014","Sughd")</f>
        <v>Sughd</v>
      </c>
      <c r="H4343" s="89" t="str">
        <f>HYPERLINK("http://api.nsgreg.nga.mil/geo-division/ISO3166-2/6/ed3/TJ-SU","TJ-SU")</f>
        <v>TJ-SU</v>
      </c>
    </row>
    <row r="4344" spans="1:8" x14ac:dyDescent="0.2">
      <c r="A4344" s="156" t="str">
        <f>HYPERLINK("[#]Geopolitical_Entities!A250:I250","TANZANIA")</f>
        <v>TANZANIA</v>
      </c>
      <c r="B4344" s="52" t="s">
        <v>14823</v>
      </c>
      <c r="C4344" s="52" t="s">
        <v>14824</v>
      </c>
      <c r="D4344" s="52" t="s">
        <v>3137</v>
      </c>
      <c r="E4344" s="60" t="b">
        <v>1</v>
      </c>
      <c r="F4344" s="110" t="s">
        <v>14825</v>
      </c>
      <c r="G4344" s="118" t="str">
        <f>HYPERLINK("http://nsgreg.nga.mil/genc/view?v=203176&amp;end_month=3&amp;end_day=31&amp;end_year=2014","Arusha")</f>
        <v>Arusha</v>
      </c>
      <c r="H4344" s="91" t="str">
        <f>HYPERLINK("http://api.nsgreg.nga.mil/geo-division/GENC/6/ed2/TZ-01","TZ-01")</f>
        <v>TZ-01</v>
      </c>
    </row>
    <row r="4345" spans="1:8" x14ac:dyDescent="0.2">
      <c r="A4345" s="157"/>
      <c r="B4345" s="31" t="s">
        <v>14826</v>
      </c>
      <c r="C4345" s="31" t="s">
        <v>8118</v>
      </c>
      <c r="D4345" s="31" t="s">
        <v>3137</v>
      </c>
      <c r="E4345" s="61" t="b">
        <v>1</v>
      </c>
      <c r="F4345" s="106" t="s">
        <v>14827</v>
      </c>
      <c r="G4345" s="116" t="str">
        <f>HYPERLINK("http://nsgreg.nga.mil/genc/view?v=116445&amp;gencs=T&amp;end_month=3&amp;end_day=31&amp;end_year=2014","Coast")</f>
        <v>Coast</v>
      </c>
      <c r="H4345" s="87" t="str">
        <f>HYPERLINK("http://api.nsgreg.nga.mil/geo-division/ISO3166-2/6/ed3/TZ-19","TZ-19")</f>
        <v>TZ-19</v>
      </c>
    </row>
    <row r="4346" spans="1:8" x14ac:dyDescent="0.2">
      <c r="A4346" s="157"/>
      <c r="B4346" s="31" t="s">
        <v>14828</v>
      </c>
      <c r="C4346" s="31" t="s">
        <v>14829</v>
      </c>
      <c r="D4346" s="31" t="s">
        <v>3137</v>
      </c>
      <c r="E4346" s="61" t="b">
        <v>1</v>
      </c>
      <c r="F4346" s="107" t="s">
        <v>14830</v>
      </c>
      <c r="G4346" s="116" t="str">
        <f>HYPERLINK("http://nsgreg.nga.mil/genc/view?v=203177&amp;end_month=3&amp;end_day=31&amp;end_year=2014","Dar es Salaam")</f>
        <v>Dar es Salaam</v>
      </c>
      <c r="H4346" s="87" t="str">
        <f>HYPERLINK("http://api.nsgreg.nga.mil/geo-division/GENC/6/ed2/TZ-02","TZ-02")</f>
        <v>TZ-02</v>
      </c>
    </row>
    <row r="4347" spans="1:8" x14ac:dyDescent="0.2">
      <c r="A4347" s="157"/>
      <c r="B4347" s="31" t="s">
        <v>14831</v>
      </c>
      <c r="C4347" s="31" t="s">
        <v>14832</v>
      </c>
      <c r="D4347" s="31" t="s">
        <v>3137</v>
      </c>
      <c r="E4347" s="61" t="b">
        <v>1</v>
      </c>
      <c r="F4347" s="107" t="s">
        <v>14833</v>
      </c>
      <c r="G4347" s="116" t="str">
        <f>HYPERLINK("http://nsgreg.nga.mil/genc/view?v=203178&amp;end_month=3&amp;end_day=31&amp;end_year=2014","Dodoma")</f>
        <v>Dodoma</v>
      </c>
      <c r="H4347" s="87" t="str">
        <f>HYPERLINK("http://api.nsgreg.nga.mil/geo-division/GENC/6/ed2/TZ-03","TZ-03")</f>
        <v>TZ-03</v>
      </c>
    </row>
    <row r="4348" spans="1:8" x14ac:dyDescent="0.2">
      <c r="A4348" s="157"/>
      <c r="B4348" s="31" t="s">
        <v>14834</v>
      </c>
      <c r="C4348" s="31" t="s">
        <v>14835</v>
      </c>
      <c r="D4348" s="31" t="s">
        <v>3137</v>
      </c>
      <c r="E4348" s="61" t="b">
        <v>1</v>
      </c>
      <c r="F4348" s="107" t="s">
        <v>14836</v>
      </c>
      <c r="G4348" s="116" t="str">
        <f>HYPERLINK("http://nsgreg.nga.mil/genc/view?v=203198&amp;end_month=3&amp;end_day=31&amp;end_year=2014","Geita")</f>
        <v>Geita</v>
      </c>
      <c r="H4348" s="87" t="str">
        <f>HYPERLINK("http://api.nsgreg.nga.mil/geo-division/GENC/6/ed2/TZ-27","TZ-27")</f>
        <v>TZ-27</v>
      </c>
    </row>
    <row r="4349" spans="1:8" x14ac:dyDescent="0.2">
      <c r="A4349" s="157"/>
      <c r="B4349" s="31" t="s">
        <v>14837</v>
      </c>
      <c r="C4349" s="31" t="s">
        <v>14838</v>
      </c>
      <c r="D4349" s="31" t="s">
        <v>3137</v>
      </c>
      <c r="E4349" s="61" t="b">
        <v>1</v>
      </c>
      <c r="F4349" s="107" t="s">
        <v>14839</v>
      </c>
      <c r="G4349" s="116" t="str">
        <f>HYPERLINK("http://nsgreg.nga.mil/genc/view?v=203179&amp;end_month=3&amp;end_day=31&amp;end_year=2014","Iringa")</f>
        <v>Iringa</v>
      </c>
      <c r="H4349" s="87" t="str">
        <f>HYPERLINK("http://api.nsgreg.nga.mil/geo-division/GENC/6/ed2/TZ-04","TZ-04")</f>
        <v>TZ-04</v>
      </c>
    </row>
    <row r="4350" spans="1:8" x14ac:dyDescent="0.2">
      <c r="A4350" s="157"/>
      <c r="B4350" s="31" t="s">
        <v>14840</v>
      </c>
      <c r="C4350" s="31" t="s">
        <v>14841</v>
      </c>
      <c r="D4350" s="31" t="s">
        <v>3137</v>
      </c>
      <c r="E4350" s="61" t="b">
        <v>1</v>
      </c>
      <c r="F4350" s="107" t="s">
        <v>14842</v>
      </c>
      <c r="G4350" s="116" t="str">
        <f>HYPERLINK("http://nsgreg.nga.mil/genc/view?v=203180&amp;end_month=3&amp;end_day=31&amp;end_year=2014","Kagera")</f>
        <v>Kagera</v>
      </c>
      <c r="H4350" s="87" t="str">
        <f>HYPERLINK("http://api.nsgreg.nga.mil/geo-division/GENC/6/ed2/TZ-05","TZ-05")</f>
        <v>TZ-05</v>
      </c>
    </row>
    <row r="4351" spans="1:8" x14ac:dyDescent="0.2">
      <c r="A4351" s="157"/>
      <c r="B4351" s="31" t="s">
        <v>14843</v>
      </c>
      <c r="C4351" s="31" t="s">
        <v>14844</v>
      </c>
      <c r="D4351" s="31" t="s">
        <v>3137</v>
      </c>
      <c r="E4351" s="61" t="b">
        <v>1</v>
      </c>
      <c r="F4351" s="107" t="s">
        <v>14845</v>
      </c>
      <c r="G4351" s="116" t="str">
        <f>HYPERLINK("http://nsgreg.nga.mil/genc/view?v=203199&amp;end_month=3&amp;end_day=31&amp;end_year=2014","Katavi")</f>
        <v>Katavi</v>
      </c>
      <c r="H4351" s="87" t="str">
        <f>HYPERLINK("http://api.nsgreg.nga.mil/geo-division/GENC/6/ed2/TZ-28","TZ-28")</f>
        <v>TZ-28</v>
      </c>
    </row>
    <row r="4352" spans="1:8" x14ac:dyDescent="0.2">
      <c r="A4352" s="157"/>
      <c r="B4352" s="31" t="s">
        <v>14846</v>
      </c>
      <c r="C4352" s="31" t="s">
        <v>14847</v>
      </c>
      <c r="D4352" s="31" t="s">
        <v>3137</v>
      </c>
      <c r="E4352" s="61" t="b">
        <v>1</v>
      </c>
      <c r="F4352" s="107" t="s">
        <v>14848</v>
      </c>
      <c r="G4352" s="116" t="str">
        <f>HYPERLINK("http://nsgreg.nga.mil/genc/view?v=203181&amp;end_month=3&amp;end_day=31&amp;end_year=2014","Kigoma")</f>
        <v>Kigoma</v>
      </c>
      <c r="H4352" s="87" t="str">
        <f>HYPERLINK("http://api.nsgreg.nga.mil/geo-division/GENC/6/ed2/TZ-08","TZ-08")</f>
        <v>TZ-08</v>
      </c>
    </row>
    <row r="4353" spans="1:8" x14ac:dyDescent="0.2">
      <c r="A4353" s="157"/>
      <c r="B4353" s="31" t="s">
        <v>14849</v>
      </c>
      <c r="C4353" s="31" t="s">
        <v>14850</v>
      </c>
      <c r="D4353" s="31" t="s">
        <v>3137</v>
      </c>
      <c r="E4353" s="61" t="b">
        <v>1</v>
      </c>
      <c r="F4353" s="107" t="s">
        <v>14851</v>
      </c>
      <c r="G4353" s="116" t="str">
        <f>HYPERLINK("http://nsgreg.nga.mil/genc/view?v=203182&amp;end_month=3&amp;end_day=31&amp;end_year=2014","Kilimanjaro")</f>
        <v>Kilimanjaro</v>
      </c>
      <c r="H4353" s="87" t="str">
        <f>HYPERLINK("http://api.nsgreg.nga.mil/geo-division/GENC/6/ed2/TZ-09","TZ-09")</f>
        <v>TZ-09</v>
      </c>
    </row>
    <row r="4354" spans="1:8" x14ac:dyDescent="0.2">
      <c r="A4354" s="157"/>
      <c r="B4354" s="31" t="s">
        <v>14852</v>
      </c>
      <c r="C4354" s="31" t="s">
        <v>14853</v>
      </c>
      <c r="D4354" s="31" t="s">
        <v>3137</v>
      </c>
      <c r="E4354" s="61" t="b">
        <v>1</v>
      </c>
      <c r="F4354" s="107" t="s">
        <v>14854</v>
      </c>
      <c r="G4354" s="116" t="str">
        <f>HYPERLINK("http://nsgreg.nga.mil/genc/view?v=203184&amp;end_month=3&amp;end_day=31&amp;end_year=2014","Lindi")</f>
        <v>Lindi</v>
      </c>
      <c r="H4354" s="87" t="str">
        <f>HYPERLINK("http://api.nsgreg.nga.mil/geo-division/GENC/6/ed2/TZ-12","TZ-12")</f>
        <v>TZ-12</v>
      </c>
    </row>
    <row r="4355" spans="1:8" x14ac:dyDescent="0.2">
      <c r="A4355" s="157"/>
      <c r="B4355" s="31" t="s">
        <v>14855</v>
      </c>
      <c r="C4355" s="31" t="s">
        <v>14856</v>
      </c>
      <c r="D4355" s="31" t="s">
        <v>3137</v>
      </c>
      <c r="E4355" s="61" t="b">
        <v>1</v>
      </c>
      <c r="F4355" s="107" t="s">
        <v>14857</v>
      </c>
      <c r="G4355" s="116" t="str">
        <f>HYPERLINK("http://nsgreg.nga.mil/genc/view?v=203197&amp;end_month=3&amp;end_day=31&amp;end_year=2014","Manyara")</f>
        <v>Manyara</v>
      </c>
      <c r="H4355" s="87" t="str">
        <f>HYPERLINK("http://api.nsgreg.nga.mil/geo-division/GENC/6/ed2/TZ-26","TZ-26")</f>
        <v>TZ-26</v>
      </c>
    </row>
    <row r="4356" spans="1:8" x14ac:dyDescent="0.2">
      <c r="A4356" s="157"/>
      <c r="B4356" s="31" t="s">
        <v>14858</v>
      </c>
      <c r="C4356" s="31" t="s">
        <v>14859</v>
      </c>
      <c r="D4356" s="31" t="s">
        <v>3137</v>
      </c>
      <c r="E4356" s="61" t="b">
        <v>1</v>
      </c>
      <c r="F4356" s="107" t="s">
        <v>14860</v>
      </c>
      <c r="G4356" s="116" t="str">
        <f>HYPERLINK("http://nsgreg.nga.mil/genc/view?v=203185&amp;end_month=3&amp;end_day=31&amp;end_year=2014","Mara")</f>
        <v>Mara</v>
      </c>
      <c r="H4356" s="87" t="str">
        <f>HYPERLINK("http://api.nsgreg.nga.mil/geo-division/GENC/6/ed2/TZ-13","TZ-13")</f>
        <v>TZ-13</v>
      </c>
    </row>
    <row r="4357" spans="1:8" x14ac:dyDescent="0.2">
      <c r="A4357" s="157"/>
      <c r="B4357" s="31" t="s">
        <v>14861</v>
      </c>
      <c r="C4357" s="31" t="s">
        <v>14862</v>
      </c>
      <c r="D4357" s="31" t="s">
        <v>3137</v>
      </c>
      <c r="E4357" s="61" t="b">
        <v>1</v>
      </c>
      <c r="F4357" s="107" t="s">
        <v>14863</v>
      </c>
      <c r="G4357" s="116" t="str">
        <f>HYPERLINK("http://nsgreg.nga.mil/genc/view?v=203186&amp;end_month=3&amp;end_day=31&amp;end_year=2014","Mbeya")</f>
        <v>Mbeya</v>
      </c>
      <c r="H4357" s="87" t="str">
        <f>HYPERLINK("http://api.nsgreg.nga.mil/geo-division/GENC/6/ed2/TZ-14","TZ-14")</f>
        <v>TZ-14</v>
      </c>
    </row>
    <row r="4358" spans="1:8" x14ac:dyDescent="0.2">
      <c r="A4358" s="157"/>
      <c r="B4358" s="31" t="s">
        <v>14864</v>
      </c>
      <c r="C4358" s="31" t="s">
        <v>14865</v>
      </c>
      <c r="D4358" s="31" t="s">
        <v>3137</v>
      </c>
      <c r="E4358" s="61" t="b">
        <v>1</v>
      </c>
      <c r="F4358" s="107" t="s">
        <v>14866</v>
      </c>
      <c r="G4358" s="116" t="str">
        <f>HYPERLINK("http://nsgreg.nga.mil/genc/view?v=203188&amp;end_month=3&amp;end_day=31&amp;end_year=2014","Morogoro")</f>
        <v>Morogoro</v>
      </c>
      <c r="H4358" s="87" t="str">
        <f>HYPERLINK("http://api.nsgreg.nga.mil/geo-division/GENC/6/ed2/TZ-16","TZ-16")</f>
        <v>TZ-16</v>
      </c>
    </row>
    <row r="4359" spans="1:8" x14ac:dyDescent="0.2">
      <c r="A4359" s="157"/>
      <c r="B4359" s="31" t="s">
        <v>14867</v>
      </c>
      <c r="C4359" s="31" t="s">
        <v>14868</v>
      </c>
      <c r="D4359" s="31" t="s">
        <v>3137</v>
      </c>
      <c r="E4359" s="61" t="b">
        <v>1</v>
      </c>
      <c r="F4359" s="107" t="s">
        <v>14869</v>
      </c>
      <c r="G4359" s="116" t="str">
        <f>HYPERLINK("http://nsgreg.nga.mil/genc/view?v=203189&amp;end_month=3&amp;end_day=31&amp;end_year=2014","Mtwara")</f>
        <v>Mtwara</v>
      </c>
      <c r="H4359" s="87" t="str">
        <f>HYPERLINK("http://api.nsgreg.nga.mil/geo-division/GENC/6/ed2/TZ-17","TZ-17")</f>
        <v>TZ-17</v>
      </c>
    </row>
    <row r="4360" spans="1:8" x14ac:dyDescent="0.2">
      <c r="A4360" s="157"/>
      <c r="B4360" s="31" t="s">
        <v>14870</v>
      </c>
      <c r="C4360" s="31" t="s">
        <v>9486</v>
      </c>
      <c r="D4360" s="31" t="s">
        <v>3137</v>
      </c>
      <c r="E4360" s="61" t="b">
        <v>1</v>
      </c>
      <c r="F4360" s="107" t="s">
        <v>14871</v>
      </c>
      <c r="G4360" s="116" t="str">
        <f>HYPERLINK("http://nsgreg.nga.mil/genc/view?v=203190&amp;end_month=3&amp;end_day=31&amp;end_year=2014","Mwanza")</f>
        <v>Mwanza</v>
      </c>
      <c r="H4360" s="87" t="str">
        <f>HYPERLINK("http://api.nsgreg.nga.mil/geo-division/GENC/6/ed2/TZ-18","TZ-18")</f>
        <v>TZ-18</v>
      </c>
    </row>
    <row r="4361" spans="1:8" x14ac:dyDescent="0.2">
      <c r="A4361" s="157"/>
      <c r="B4361" s="31" t="s">
        <v>14872</v>
      </c>
      <c r="C4361" s="31" t="s">
        <v>14873</v>
      </c>
      <c r="D4361" s="31" t="s">
        <v>3137</v>
      </c>
      <c r="E4361" s="61" t="b">
        <v>1</v>
      </c>
      <c r="F4361" s="107" t="s">
        <v>14874</v>
      </c>
      <c r="G4361" s="116" t="str">
        <f>HYPERLINK("http://nsgreg.nga.mil/genc/view?v=203200&amp;end_month=3&amp;end_day=31&amp;end_year=2014","Njombe")</f>
        <v>Njombe</v>
      </c>
      <c r="H4361" s="87" t="str">
        <f>HYPERLINK("http://api.nsgreg.nga.mil/geo-division/GENC/6/ed2/TZ-29","TZ-29")</f>
        <v>TZ-29</v>
      </c>
    </row>
    <row r="4362" spans="1:8" x14ac:dyDescent="0.2">
      <c r="A4362" s="157"/>
      <c r="B4362" s="31" t="s">
        <v>14875</v>
      </c>
      <c r="C4362" s="31" t="s">
        <v>14876</v>
      </c>
      <c r="D4362" s="31" t="s">
        <v>3137</v>
      </c>
      <c r="E4362" s="61" t="b">
        <v>1</v>
      </c>
      <c r="F4362" s="106" t="s">
        <v>14877</v>
      </c>
      <c r="G4362" s="116" t="str">
        <f>HYPERLINK("http://nsgreg.nga.mil/genc/view?v=116432&amp;gencs=T&amp;end_month=3&amp;end_day=31&amp;end_year=2014","Pemba North")</f>
        <v>Pemba North</v>
      </c>
      <c r="H4362" s="87" t="str">
        <f>HYPERLINK("http://api.nsgreg.nga.mil/geo-division/ISO3166-2/6/ed3/TZ-06","TZ-06")</f>
        <v>TZ-06</v>
      </c>
    </row>
    <row r="4363" spans="1:8" x14ac:dyDescent="0.2">
      <c r="A4363" s="157"/>
      <c r="B4363" s="31" t="s">
        <v>14878</v>
      </c>
      <c r="C4363" s="31" t="s">
        <v>14879</v>
      </c>
      <c r="D4363" s="31" t="s">
        <v>3137</v>
      </c>
      <c r="E4363" s="61" t="b">
        <v>1</v>
      </c>
      <c r="F4363" s="106" t="s">
        <v>14880</v>
      </c>
      <c r="G4363" s="116" t="str">
        <f>HYPERLINK("http://nsgreg.nga.mil/genc/view?v=116436&amp;gencs=T&amp;end_month=3&amp;end_day=31&amp;end_year=2014","Pemba South")</f>
        <v>Pemba South</v>
      </c>
      <c r="H4363" s="87" t="str">
        <f>HYPERLINK("http://api.nsgreg.nga.mil/geo-division/ISO3166-2/6/ed3/TZ-10","TZ-10")</f>
        <v>TZ-10</v>
      </c>
    </row>
    <row r="4364" spans="1:8" x14ac:dyDescent="0.2">
      <c r="A4364" s="157"/>
      <c r="B4364" s="31" t="s">
        <v>14881</v>
      </c>
      <c r="C4364" s="31" t="s">
        <v>14882</v>
      </c>
      <c r="D4364" s="31" t="s">
        <v>3137</v>
      </c>
      <c r="E4364" s="61" t="b">
        <v>1</v>
      </c>
      <c r="F4364" s="107" t="s">
        <v>14883</v>
      </c>
      <c r="G4364" s="116" t="str">
        <f>HYPERLINK("http://nsgreg.nga.mil/genc/view?v=203191&amp;end_month=3&amp;end_day=31&amp;end_year=2014","Rukwa")</f>
        <v>Rukwa</v>
      </c>
      <c r="H4364" s="87" t="str">
        <f>HYPERLINK("http://api.nsgreg.nga.mil/geo-division/GENC/6/ed2/TZ-20","TZ-20")</f>
        <v>TZ-20</v>
      </c>
    </row>
    <row r="4365" spans="1:8" x14ac:dyDescent="0.2">
      <c r="A4365" s="157"/>
      <c r="B4365" s="31" t="s">
        <v>14884</v>
      </c>
      <c r="C4365" s="31" t="s">
        <v>14885</v>
      </c>
      <c r="D4365" s="31" t="s">
        <v>3137</v>
      </c>
      <c r="E4365" s="61" t="b">
        <v>1</v>
      </c>
      <c r="F4365" s="107" t="s">
        <v>14886</v>
      </c>
      <c r="G4365" s="116" t="str">
        <f>HYPERLINK("http://nsgreg.nga.mil/genc/view?v=203192&amp;end_month=3&amp;end_day=31&amp;end_year=2014","Ruvuma")</f>
        <v>Ruvuma</v>
      </c>
      <c r="H4365" s="87" t="str">
        <f>HYPERLINK("http://api.nsgreg.nga.mil/geo-division/GENC/6/ed2/TZ-21","TZ-21")</f>
        <v>TZ-21</v>
      </c>
    </row>
    <row r="4366" spans="1:8" x14ac:dyDescent="0.2">
      <c r="A4366" s="157"/>
      <c r="B4366" s="31" t="s">
        <v>14887</v>
      </c>
      <c r="C4366" s="31" t="s">
        <v>14888</v>
      </c>
      <c r="D4366" s="31" t="s">
        <v>3137</v>
      </c>
      <c r="E4366" s="61" t="b">
        <v>1</v>
      </c>
      <c r="F4366" s="107" t="s">
        <v>14889</v>
      </c>
      <c r="G4366" s="116" t="str">
        <f>HYPERLINK("http://nsgreg.nga.mil/genc/view?v=203193&amp;end_month=3&amp;end_day=31&amp;end_year=2014","Shinyanga")</f>
        <v>Shinyanga</v>
      </c>
      <c r="H4366" s="87" t="str">
        <f>HYPERLINK("http://api.nsgreg.nga.mil/geo-division/GENC/6/ed2/TZ-22","TZ-22")</f>
        <v>TZ-22</v>
      </c>
    </row>
    <row r="4367" spans="1:8" x14ac:dyDescent="0.2">
      <c r="A4367" s="157"/>
      <c r="B4367" s="31" t="s">
        <v>14890</v>
      </c>
      <c r="C4367" s="31" t="s">
        <v>14891</v>
      </c>
      <c r="D4367" s="31" t="s">
        <v>3137</v>
      </c>
      <c r="E4367" s="61" t="b">
        <v>1</v>
      </c>
      <c r="F4367" s="107" t="s">
        <v>14892</v>
      </c>
      <c r="G4367" s="116" t="str">
        <f>HYPERLINK("http://nsgreg.nga.mil/genc/view?v=203201&amp;end_month=3&amp;end_day=31&amp;end_year=2014","Simiyu")</f>
        <v>Simiyu</v>
      </c>
      <c r="H4367" s="87" t="str">
        <f>HYPERLINK("http://api.nsgreg.nga.mil/geo-division/GENC/6/ed2/TZ-30","TZ-30")</f>
        <v>TZ-30</v>
      </c>
    </row>
    <row r="4368" spans="1:8" x14ac:dyDescent="0.2">
      <c r="A4368" s="157"/>
      <c r="B4368" s="31" t="s">
        <v>14893</v>
      </c>
      <c r="C4368" s="31" t="s">
        <v>14894</v>
      </c>
      <c r="D4368" s="31" t="s">
        <v>3137</v>
      </c>
      <c r="E4368" s="61" t="b">
        <v>1</v>
      </c>
      <c r="F4368" s="107" t="s">
        <v>14895</v>
      </c>
      <c r="G4368" s="116" t="str">
        <f>HYPERLINK("http://nsgreg.nga.mil/genc/view?v=203194&amp;end_month=3&amp;end_day=31&amp;end_year=2014","Singida")</f>
        <v>Singida</v>
      </c>
      <c r="H4368" s="87" t="str">
        <f>HYPERLINK("http://api.nsgreg.nga.mil/geo-division/GENC/6/ed2/TZ-23","TZ-23")</f>
        <v>TZ-23</v>
      </c>
    </row>
    <row r="4369" spans="1:8" x14ac:dyDescent="0.2">
      <c r="A4369" s="157"/>
      <c r="B4369" s="31" t="s">
        <v>14896</v>
      </c>
      <c r="C4369" s="31" t="s">
        <v>14897</v>
      </c>
      <c r="D4369" s="31" t="s">
        <v>3137</v>
      </c>
      <c r="E4369" s="61" t="b">
        <v>1</v>
      </c>
      <c r="F4369" s="107" t="s">
        <v>14898</v>
      </c>
      <c r="G4369" s="116" t="str">
        <f>HYPERLINK("http://nsgreg.nga.mil/genc/view?v=203195&amp;end_month=3&amp;end_day=31&amp;end_year=2014","Tabora")</f>
        <v>Tabora</v>
      </c>
      <c r="H4369" s="87" t="str">
        <f>HYPERLINK("http://api.nsgreg.nga.mil/geo-division/GENC/6/ed2/TZ-24","TZ-24")</f>
        <v>TZ-24</v>
      </c>
    </row>
    <row r="4370" spans="1:8" x14ac:dyDescent="0.2">
      <c r="A4370" s="157"/>
      <c r="B4370" s="31" t="s">
        <v>14899</v>
      </c>
      <c r="C4370" s="31" t="s">
        <v>14900</v>
      </c>
      <c r="D4370" s="31" t="s">
        <v>3137</v>
      </c>
      <c r="E4370" s="61" t="b">
        <v>1</v>
      </c>
      <c r="F4370" s="107" t="s">
        <v>14901</v>
      </c>
      <c r="G4370" s="116" t="str">
        <f>HYPERLINK("http://nsgreg.nga.mil/genc/view?v=203196&amp;end_month=3&amp;end_day=31&amp;end_year=2014","Tanga")</f>
        <v>Tanga</v>
      </c>
      <c r="H4370" s="87" t="str">
        <f>HYPERLINK("http://api.nsgreg.nga.mil/geo-division/GENC/6/ed2/TZ-25","TZ-25")</f>
        <v>TZ-25</v>
      </c>
    </row>
    <row r="4371" spans="1:8" x14ac:dyDescent="0.2">
      <c r="A4371" s="157"/>
      <c r="B4371" s="31" t="s">
        <v>14902</v>
      </c>
      <c r="C4371" s="31" t="s">
        <v>14903</v>
      </c>
      <c r="D4371" s="31" t="s">
        <v>3137</v>
      </c>
      <c r="E4371" s="61" t="b">
        <v>1</v>
      </c>
      <c r="F4371" s="107" t="s">
        <v>14904</v>
      </c>
      <c r="G4371" s="116" t="str">
        <f>HYPERLINK("http://nsgreg.nga.mil/genc/view?v=203183&amp;end_month=3&amp;end_day=31&amp;end_year=2014","Zanzibar Central/South")</f>
        <v>Zanzibar Central/South</v>
      </c>
      <c r="H4371" s="87" t="str">
        <f>HYPERLINK("http://api.nsgreg.nga.mil/geo-division/GENC/6/ed2/TZ-11","TZ-11")</f>
        <v>TZ-11</v>
      </c>
    </row>
    <row r="4372" spans="1:8" x14ac:dyDescent="0.2">
      <c r="A4372" s="157"/>
      <c r="B4372" s="31" t="s">
        <v>14905</v>
      </c>
      <c r="C4372" s="31" t="s">
        <v>14906</v>
      </c>
      <c r="D4372" s="31" t="s">
        <v>3137</v>
      </c>
      <c r="E4372" s="61" t="b">
        <v>1</v>
      </c>
      <c r="F4372" s="106" t="s">
        <v>14907</v>
      </c>
      <c r="G4372" s="116" t="str">
        <f>HYPERLINK("http://nsgreg.nga.mil/genc/view?v=116433&amp;gencs=T&amp;end_month=3&amp;end_day=31&amp;end_year=2014","Zanzibar North")</f>
        <v>Zanzibar North</v>
      </c>
      <c r="H4372" s="87" t="str">
        <f>HYPERLINK("http://api.nsgreg.nga.mil/geo-division/ISO3166-2/6/ed3/TZ-07","TZ-07")</f>
        <v>TZ-07</v>
      </c>
    </row>
    <row r="4373" spans="1:8" x14ac:dyDescent="0.2">
      <c r="A4373" s="158"/>
      <c r="B4373" s="58" t="s">
        <v>14908</v>
      </c>
      <c r="C4373" s="58" t="s">
        <v>14909</v>
      </c>
      <c r="D4373" s="58" t="s">
        <v>3137</v>
      </c>
      <c r="E4373" s="62" t="b">
        <v>1</v>
      </c>
      <c r="F4373" s="111" t="s">
        <v>14910</v>
      </c>
      <c r="G4373" s="117" t="str">
        <f>HYPERLINK("http://nsgreg.nga.mil/genc/view?v=203187&amp;end_month=3&amp;end_day=31&amp;end_year=2014","Zanzibar Urban/West")</f>
        <v>Zanzibar Urban/West</v>
      </c>
      <c r="H4373" s="89" t="str">
        <f>HYPERLINK("http://api.nsgreg.nga.mil/geo-division/GENC/6/ed2/TZ-15","TZ-15")</f>
        <v>TZ-15</v>
      </c>
    </row>
    <row r="4374" spans="1:8" x14ac:dyDescent="0.2">
      <c r="A4374" s="156" t="str">
        <f>HYPERLINK("[#]Geopolitical_Entities!A251:I251","THAILAND")</f>
        <v>THAILAND</v>
      </c>
      <c r="B4374" s="52" t="s">
        <v>14911</v>
      </c>
      <c r="C4374" s="52" t="s">
        <v>14912</v>
      </c>
      <c r="D4374" s="52" t="s">
        <v>1920</v>
      </c>
      <c r="E4374" s="60" t="b">
        <v>1</v>
      </c>
      <c r="F4374" s="109" t="s">
        <v>14913</v>
      </c>
      <c r="G4374" s="118" t="str">
        <f>HYPERLINK("http://nsgreg.nga.mil/genc/view?v=116195&amp;gencs=T&amp;end_month=3&amp;end_day=31&amp;end_year=2014","Amnat Charoen")</f>
        <v>Amnat Charoen</v>
      </c>
      <c r="H4374" s="91" t="str">
        <f>HYPERLINK("http://api.nsgreg.nga.mil/geo-division/ISO3166-2/6/ed3/TH-37","TH-37")</f>
        <v>TH-37</v>
      </c>
    </row>
    <row r="4375" spans="1:8" x14ac:dyDescent="0.2">
      <c r="A4375" s="157"/>
      <c r="B4375" s="31" t="s">
        <v>14914</v>
      </c>
      <c r="C4375" s="31" t="s">
        <v>14915</v>
      </c>
      <c r="D4375" s="31" t="s">
        <v>1920</v>
      </c>
      <c r="E4375" s="61" t="b">
        <v>1</v>
      </c>
      <c r="F4375" s="106" t="s">
        <v>14916</v>
      </c>
      <c r="G4375" s="116" t="str">
        <f>HYPERLINK("http://nsgreg.nga.mil/genc/view?v=116175&amp;gencs=T&amp;end_month=3&amp;end_day=31&amp;end_year=2014","Ang Thong")</f>
        <v>Ang Thong</v>
      </c>
      <c r="H4375" s="87" t="str">
        <f>HYPERLINK("http://api.nsgreg.nga.mil/geo-division/ISO3166-2/6/ed3/TH-15","TH-15")</f>
        <v>TH-15</v>
      </c>
    </row>
    <row r="4376" spans="1:8" x14ac:dyDescent="0.2">
      <c r="A4376" s="157"/>
      <c r="B4376" s="31" t="s">
        <v>14917</v>
      </c>
      <c r="C4376" s="31" t="s">
        <v>14918</v>
      </c>
      <c r="D4376" s="31" t="s">
        <v>1920</v>
      </c>
      <c r="E4376" s="61" t="b">
        <v>1</v>
      </c>
      <c r="F4376" s="106" t="s">
        <v>14919</v>
      </c>
      <c r="G4376" s="116" t="str">
        <f>HYPERLINK("http://nsgreg.nga.mil/genc/view?v=116196&amp;gencs=T&amp;end_month=3&amp;end_day=31&amp;end_year=2014","Bueng Kan")</f>
        <v>Bueng Kan</v>
      </c>
      <c r="H4376" s="87" t="str">
        <f>HYPERLINK("http://api.nsgreg.nga.mil/geo-division/ISO3166-2/6/ed3/TH-38","TH-38")</f>
        <v>TH-38</v>
      </c>
    </row>
    <row r="4377" spans="1:8" x14ac:dyDescent="0.2">
      <c r="A4377" s="157"/>
      <c r="B4377" s="31" t="s">
        <v>14920</v>
      </c>
      <c r="C4377" s="31" t="s">
        <v>14921</v>
      </c>
      <c r="D4377" s="31" t="s">
        <v>1920</v>
      </c>
      <c r="E4377" s="61" t="b">
        <v>1</v>
      </c>
      <c r="F4377" s="107" t="s">
        <v>14922</v>
      </c>
      <c r="G4377" s="116" t="str">
        <f>HYPERLINK("http://nsgreg.nga.mil/genc/view?v=203088&amp;end_month=3&amp;end_day=31&amp;end_year=2014","Buriram")</f>
        <v>Buriram</v>
      </c>
      <c r="H4377" s="87" t="str">
        <f>HYPERLINK("http://api.nsgreg.nga.mil/geo-division/GENC/6/ed2/TH-31","TH-31")</f>
        <v>TH-31</v>
      </c>
    </row>
    <row r="4378" spans="1:8" x14ac:dyDescent="0.2">
      <c r="A4378" s="157"/>
      <c r="B4378" s="31" t="s">
        <v>14923</v>
      </c>
      <c r="C4378" s="31" t="s">
        <v>14924</v>
      </c>
      <c r="D4378" s="31" t="s">
        <v>1920</v>
      </c>
      <c r="E4378" s="61" t="b">
        <v>1</v>
      </c>
      <c r="F4378" s="106" t="s">
        <v>14925</v>
      </c>
      <c r="G4378" s="116" t="str">
        <f>HYPERLINK("http://nsgreg.nga.mil/genc/view?v=116184&amp;gencs=T&amp;end_month=3&amp;end_day=31&amp;end_year=2014","Chachoengsao")</f>
        <v>Chachoengsao</v>
      </c>
      <c r="H4378" s="87" t="str">
        <f>HYPERLINK("http://api.nsgreg.nga.mil/geo-division/ISO3166-2/6/ed3/TH-24","TH-24")</f>
        <v>TH-24</v>
      </c>
    </row>
    <row r="4379" spans="1:8" x14ac:dyDescent="0.2">
      <c r="A4379" s="157"/>
      <c r="B4379" s="31" t="s">
        <v>14926</v>
      </c>
      <c r="C4379" s="31" t="s">
        <v>14927</v>
      </c>
      <c r="D4379" s="31" t="s">
        <v>1920</v>
      </c>
      <c r="E4379" s="61" t="b">
        <v>1</v>
      </c>
      <c r="F4379" s="106" t="s">
        <v>14928</v>
      </c>
      <c r="G4379" s="116" t="str">
        <f>HYPERLINK("http://nsgreg.nga.mil/genc/view?v=116178&amp;gencs=T&amp;end_month=3&amp;end_day=31&amp;end_year=2014","Chai Nat")</f>
        <v>Chai Nat</v>
      </c>
      <c r="H4379" s="87" t="str">
        <f>HYPERLINK("http://api.nsgreg.nga.mil/geo-division/ISO3166-2/6/ed3/TH-18","TH-18")</f>
        <v>TH-18</v>
      </c>
    </row>
    <row r="4380" spans="1:8" x14ac:dyDescent="0.2">
      <c r="A4380" s="157"/>
      <c r="B4380" s="31" t="s">
        <v>14929</v>
      </c>
      <c r="C4380" s="31" t="s">
        <v>14930</v>
      </c>
      <c r="D4380" s="31" t="s">
        <v>1920</v>
      </c>
      <c r="E4380" s="61" t="b">
        <v>1</v>
      </c>
      <c r="F4380" s="106" t="s">
        <v>14931</v>
      </c>
      <c r="G4380" s="116" t="str">
        <f>HYPERLINK("http://nsgreg.nga.mil/genc/view?v=116194&amp;gencs=T&amp;end_month=3&amp;end_day=31&amp;end_year=2014","Chaiyaphum")</f>
        <v>Chaiyaphum</v>
      </c>
      <c r="H4380" s="87" t="str">
        <f>HYPERLINK("http://api.nsgreg.nga.mil/geo-division/ISO3166-2/6/ed3/TH-36","TH-36")</f>
        <v>TH-36</v>
      </c>
    </row>
    <row r="4381" spans="1:8" x14ac:dyDescent="0.2">
      <c r="A4381" s="157"/>
      <c r="B4381" s="31" t="s">
        <v>14932</v>
      </c>
      <c r="C4381" s="31" t="s">
        <v>14933</v>
      </c>
      <c r="D4381" s="31" t="s">
        <v>1920</v>
      </c>
      <c r="E4381" s="61" t="b">
        <v>1</v>
      </c>
      <c r="F4381" s="106" t="s">
        <v>14934</v>
      </c>
      <c r="G4381" s="116" t="str">
        <f>HYPERLINK("http://nsgreg.nga.mil/genc/view?v=116182&amp;gencs=T&amp;end_month=3&amp;end_day=31&amp;end_year=2014","Chanthaburi")</f>
        <v>Chanthaburi</v>
      </c>
      <c r="H4381" s="87" t="str">
        <f>HYPERLINK("http://api.nsgreg.nga.mil/geo-division/ISO3166-2/6/ed3/TH-22","TH-22")</f>
        <v>TH-22</v>
      </c>
    </row>
    <row r="4382" spans="1:8" x14ac:dyDescent="0.2">
      <c r="A4382" s="157"/>
      <c r="B4382" s="31" t="s">
        <v>14935</v>
      </c>
      <c r="C4382" s="31" t="s">
        <v>14936</v>
      </c>
      <c r="D4382" s="31" t="s">
        <v>1920</v>
      </c>
      <c r="E4382" s="61" t="b">
        <v>1</v>
      </c>
      <c r="F4382" s="106" t="s">
        <v>14937</v>
      </c>
      <c r="G4382" s="116" t="str">
        <f>HYPERLINK("http://nsgreg.nga.mil/genc/view?v=116208&amp;gencs=T&amp;end_month=3&amp;end_day=31&amp;end_year=2014","Chiang Mai")</f>
        <v>Chiang Mai</v>
      </c>
      <c r="H4382" s="87" t="str">
        <f>HYPERLINK("http://api.nsgreg.nga.mil/geo-division/ISO3166-2/6/ed3/TH-50","TH-50")</f>
        <v>TH-50</v>
      </c>
    </row>
    <row r="4383" spans="1:8" x14ac:dyDescent="0.2">
      <c r="A4383" s="157"/>
      <c r="B4383" s="31" t="s">
        <v>14938</v>
      </c>
      <c r="C4383" s="31" t="s">
        <v>14939</v>
      </c>
      <c r="D4383" s="31" t="s">
        <v>1920</v>
      </c>
      <c r="E4383" s="61" t="b">
        <v>1</v>
      </c>
      <c r="F4383" s="106" t="s">
        <v>14940</v>
      </c>
      <c r="G4383" s="116" t="str">
        <f>HYPERLINK("http://nsgreg.nga.mil/genc/view?v=116215&amp;gencs=T&amp;end_month=3&amp;end_day=31&amp;end_year=2014","Chiang Rai")</f>
        <v>Chiang Rai</v>
      </c>
      <c r="H4383" s="87" t="str">
        <f>HYPERLINK("http://api.nsgreg.nga.mil/geo-division/ISO3166-2/6/ed3/TH-57","TH-57")</f>
        <v>TH-57</v>
      </c>
    </row>
    <row r="4384" spans="1:8" x14ac:dyDescent="0.2">
      <c r="A4384" s="157"/>
      <c r="B4384" s="31" t="s">
        <v>14941</v>
      </c>
      <c r="C4384" s="31" t="s">
        <v>14942</v>
      </c>
      <c r="D4384" s="31" t="s">
        <v>1920</v>
      </c>
      <c r="E4384" s="61" t="b">
        <v>1</v>
      </c>
      <c r="F4384" s="106" t="s">
        <v>14943</v>
      </c>
      <c r="G4384" s="116" t="str">
        <f>HYPERLINK("http://nsgreg.nga.mil/genc/view?v=116180&amp;gencs=T&amp;end_month=3&amp;end_day=31&amp;end_year=2014","Chon Buri")</f>
        <v>Chon Buri</v>
      </c>
      <c r="H4384" s="87" t="str">
        <f>HYPERLINK("http://api.nsgreg.nga.mil/geo-division/ISO3166-2/6/ed3/TH-20","TH-20")</f>
        <v>TH-20</v>
      </c>
    </row>
    <row r="4385" spans="1:8" x14ac:dyDescent="0.2">
      <c r="A4385" s="157"/>
      <c r="B4385" s="31" t="s">
        <v>14944</v>
      </c>
      <c r="C4385" s="31" t="s">
        <v>14945</v>
      </c>
      <c r="D4385" s="31" t="s">
        <v>1920</v>
      </c>
      <c r="E4385" s="61" t="b">
        <v>1</v>
      </c>
      <c r="F4385" s="106" t="s">
        <v>14946</v>
      </c>
      <c r="G4385" s="116" t="str">
        <f>HYPERLINK("http://nsgreg.nga.mil/genc/view?v=116239&amp;gencs=T&amp;end_month=3&amp;end_day=31&amp;end_year=2014","Chumphon")</f>
        <v>Chumphon</v>
      </c>
      <c r="H4385" s="87" t="str">
        <f>HYPERLINK("http://api.nsgreg.nga.mil/geo-division/ISO3166-2/6/ed3/TH-86","TH-86")</f>
        <v>TH-86</v>
      </c>
    </row>
    <row r="4386" spans="1:8" x14ac:dyDescent="0.2">
      <c r="A4386" s="157"/>
      <c r="B4386" s="31" t="s">
        <v>14947</v>
      </c>
      <c r="C4386" s="31" t="s">
        <v>14948</v>
      </c>
      <c r="D4386" s="31" t="s">
        <v>1920</v>
      </c>
      <c r="E4386" s="61" t="b">
        <v>1</v>
      </c>
      <c r="F4386" s="106" t="s">
        <v>14949</v>
      </c>
      <c r="G4386" s="116" t="str">
        <f>HYPERLINK("http://nsgreg.nga.mil/genc/view?v=116204&amp;gencs=T&amp;end_month=3&amp;end_day=31&amp;end_year=2014","Kalasin")</f>
        <v>Kalasin</v>
      </c>
      <c r="H4386" s="87" t="str">
        <f>HYPERLINK("http://api.nsgreg.nga.mil/geo-division/ISO3166-2/6/ed3/TH-46","TH-46")</f>
        <v>TH-46</v>
      </c>
    </row>
    <row r="4387" spans="1:8" x14ac:dyDescent="0.2">
      <c r="A4387" s="157"/>
      <c r="B4387" s="31" t="s">
        <v>14950</v>
      </c>
      <c r="C4387" s="31" t="s">
        <v>14951</v>
      </c>
      <c r="D4387" s="31" t="s">
        <v>1920</v>
      </c>
      <c r="E4387" s="61" t="b">
        <v>1</v>
      </c>
      <c r="F4387" s="106" t="s">
        <v>14952</v>
      </c>
      <c r="G4387" s="116" t="str">
        <f>HYPERLINK("http://nsgreg.nga.mil/genc/view?v=116219&amp;gencs=T&amp;end_month=3&amp;end_day=31&amp;end_year=2014","Kamphaeng Phet")</f>
        <v>Kamphaeng Phet</v>
      </c>
      <c r="H4387" s="87" t="str">
        <f>HYPERLINK("http://api.nsgreg.nga.mil/geo-division/ISO3166-2/6/ed3/TH-62","TH-62")</f>
        <v>TH-62</v>
      </c>
    </row>
    <row r="4388" spans="1:8" x14ac:dyDescent="0.2">
      <c r="A4388" s="157"/>
      <c r="B4388" s="31" t="s">
        <v>14953</v>
      </c>
      <c r="C4388" s="31" t="s">
        <v>14954</v>
      </c>
      <c r="D4388" s="31" t="s">
        <v>1920</v>
      </c>
      <c r="E4388" s="61" t="b">
        <v>1</v>
      </c>
      <c r="F4388" s="106" t="s">
        <v>14955</v>
      </c>
      <c r="G4388" s="116" t="str">
        <f>HYPERLINK("http://nsgreg.nga.mil/genc/view?v=116226&amp;gencs=T&amp;end_month=3&amp;end_day=31&amp;end_year=2014","Kanchanaburi")</f>
        <v>Kanchanaburi</v>
      </c>
      <c r="H4388" s="87" t="str">
        <f>HYPERLINK("http://api.nsgreg.nga.mil/geo-division/ISO3166-2/6/ed3/TH-71","TH-71")</f>
        <v>TH-71</v>
      </c>
    </row>
    <row r="4389" spans="1:8" x14ac:dyDescent="0.2">
      <c r="A4389" s="157"/>
      <c r="B4389" s="31" t="s">
        <v>14956</v>
      </c>
      <c r="C4389" s="31" t="s">
        <v>14957</v>
      </c>
      <c r="D4389" s="31" t="s">
        <v>1920</v>
      </c>
      <c r="E4389" s="61" t="b">
        <v>1</v>
      </c>
      <c r="F4389" s="106" t="s">
        <v>14958</v>
      </c>
      <c r="G4389" s="116" t="str">
        <f>HYPERLINK("http://nsgreg.nga.mil/genc/view?v=116198&amp;gencs=T&amp;end_month=3&amp;end_day=31&amp;end_year=2014","Khon Kaen")</f>
        <v>Khon Kaen</v>
      </c>
      <c r="H4389" s="87" t="str">
        <f>HYPERLINK("http://api.nsgreg.nga.mil/geo-division/ISO3166-2/6/ed3/TH-40","TH-40")</f>
        <v>TH-40</v>
      </c>
    </row>
    <row r="4390" spans="1:8" x14ac:dyDescent="0.2">
      <c r="A4390" s="157"/>
      <c r="B4390" s="31" t="s">
        <v>14959</v>
      </c>
      <c r="C4390" s="31" t="s">
        <v>14960</v>
      </c>
      <c r="D4390" s="31" t="s">
        <v>1920</v>
      </c>
      <c r="E4390" s="61" t="b">
        <v>1</v>
      </c>
      <c r="F4390" s="106" t="s">
        <v>14961</v>
      </c>
      <c r="G4390" s="116" t="str">
        <f>HYPERLINK("http://nsgreg.nga.mil/genc/view?v=116234&amp;gencs=T&amp;end_month=3&amp;end_day=31&amp;end_year=2014","Krabi")</f>
        <v>Krabi</v>
      </c>
      <c r="H4390" s="87" t="str">
        <f>HYPERLINK("http://api.nsgreg.nga.mil/geo-division/ISO3166-2/6/ed3/TH-81","TH-81")</f>
        <v>TH-81</v>
      </c>
    </row>
    <row r="4391" spans="1:8" x14ac:dyDescent="0.2">
      <c r="A4391" s="157"/>
      <c r="B4391" s="31" t="s">
        <v>14962</v>
      </c>
      <c r="C4391" s="31" t="s">
        <v>14963</v>
      </c>
      <c r="D4391" s="31" t="s">
        <v>3254</v>
      </c>
      <c r="E4391" s="61" t="b">
        <v>1</v>
      </c>
      <c r="F4391" s="107" t="s">
        <v>14964</v>
      </c>
      <c r="G4391" s="116" t="str">
        <f>HYPERLINK("http://nsgreg.nga.mil/genc/view?v=203086&amp;end_month=3&amp;end_day=31&amp;end_year=2014","Krung Thep")</f>
        <v>Krung Thep</v>
      </c>
      <c r="H4391" s="87" t="str">
        <f>HYPERLINK("http://api.nsgreg.nga.mil/geo-division/GENC/6/ed2/TH-10","TH-10")</f>
        <v>TH-10</v>
      </c>
    </row>
    <row r="4392" spans="1:8" x14ac:dyDescent="0.2">
      <c r="A4392" s="157"/>
      <c r="B4392" s="31" t="s">
        <v>14965</v>
      </c>
      <c r="C4392" s="31" t="s">
        <v>14966</v>
      </c>
      <c r="D4392" s="31" t="s">
        <v>1920</v>
      </c>
      <c r="E4392" s="61" t="b">
        <v>1</v>
      </c>
      <c r="F4392" s="106" t="s">
        <v>14967</v>
      </c>
      <c r="G4392" s="116" t="str">
        <f>HYPERLINK("http://nsgreg.nga.mil/genc/view?v=116210&amp;gencs=T&amp;end_month=3&amp;end_day=31&amp;end_year=2014","Lampang")</f>
        <v>Lampang</v>
      </c>
      <c r="H4392" s="87" t="str">
        <f>HYPERLINK("http://api.nsgreg.nga.mil/geo-division/ISO3166-2/6/ed3/TH-52","TH-52")</f>
        <v>TH-52</v>
      </c>
    </row>
    <row r="4393" spans="1:8" x14ac:dyDescent="0.2">
      <c r="A4393" s="157"/>
      <c r="B4393" s="31" t="s">
        <v>14968</v>
      </c>
      <c r="C4393" s="31" t="s">
        <v>14969</v>
      </c>
      <c r="D4393" s="31" t="s">
        <v>1920</v>
      </c>
      <c r="E4393" s="61" t="b">
        <v>1</v>
      </c>
      <c r="F4393" s="106" t="s">
        <v>14970</v>
      </c>
      <c r="G4393" s="116" t="str">
        <f>HYPERLINK("http://nsgreg.nga.mil/genc/view?v=116209&amp;gencs=T&amp;end_month=3&amp;end_day=31&amp;end_year=2014","Lamphun")</f>
        <v>Lamphun</v>
      </c>
      <c r="H4393" s="87" t="str">
        <f>HYPERLINK("http://api.nsgreg.nga.mil/geo-division/ISO3166-2/6/ed3/TH-51","TH-51")</f>
        <v>TH-51</v>
      </c>
    </row>
    <row r="4394" spans="1:8" x14ac:dyDescent="0.2">
      <c r="A4394" s="157"/>
      <c r="B4394" s="31" t="s">
        <v>14971</v>
      </c>
      <c r="C4394" s="31" t="s">
        <v>14972</v>
      </c>
      <c r="D4394" s="31" t="s">
        <v>1920</v>
      </c>
      <c r="E4394" s="61" t="b">
        <v>1</v>
      </c>
      <c r="F4394" s="106" t="s">
        <v>14973</v>
      </c>
      <c r="G4394" s="116" t="str">
        <f>HYPERLINK("http://nsgreg.nga.mil/genc/view?v=116200&amp;gencs=T&amp;end_month=3&amp;end_day=31&amp;end_year=2014","Loei")</f>
        <v>Loei</v>
      </c>
      <c r="H4394" s="87" t="str">
        <f>HYPERLINK("http://api.nsgreg.nga.mil/geo-division/ISO3166-2/6/ed3/TH-42","TH-42")</f>
        <v>TH-42</v>
      </c>
    </row>
    <row r="4395" spans="1:8" x14ac:dyDescent="0.2">
      <c r="A4395" s="157"/>
      <c r="B4395" s="31" t="s">
        <v>14974</v>
      </c>
      <c r="C4395" s="31" t="s">
        <v>14975</v>
      </c>
      <c r="D4395" s="31" t="s">
        <v>1920</v>
      </c>
      <c r="E4395" s="61" t="b">
        <v>1</v>
      </c>
      <c r="F4395" s="106" t="s">
        <v>14976</v>
      </c>
      <c r="G4395" s="116" t="str">
        <f>HYPERLINK("http://nsgreg.nga.mil/genc/view?v=116176&amp;gencs=T&amp;end_month=3&amp;end_day=31&amp;end_year=2014","Lop Buri")</f>
        <v>Lop Buri</v>
      </c>
      <c r="H4395" s="87" t="str">
        <f>HYPERLINK("http://api.nsgreg.nga.mil/geo-division/ISO3166-2/6/ed3/TH-16","TH-16")</f>
        <v>TH-16</v>
      </c>
    </row>
    <row r="4396" spans="1:8" x14ac:dyDescent="0.2">
      <c r="A4396" s="157"/>
      <c r="B4396" s="31" t="s">
        <v>14977</v>
      </c>
      <c r="C4396" s="31" t="s">
        <v>14978</v>
      </c>
      <c r="D4396" s="31" t="s">
        <v>1920</v>
      </c>
      <c r="E4396" s="61" t="b">
        <v>1</v>
      </c>
      <c r="F4396" s="106" t="s">
        <v>14979</v>
      </c>
      <c r="G4396" s="116" t="str">
        <f>HYPERLINK("http://nsgreg.nga.mil/genc/view?v=116216&amp;gencs=T&amp;end_month=3&amp;end_day=31&amp;end_year=2014","Mae Hong Son")</f>
        <v>Mae Hong Son</v>
      </c>
      <c r="H4396" s="87" t="str">
        <f>HYPERLINK("http://api.nsgreg.nga.mil/geo-division/ISO3166-2/6/ed3/TH-58","TH-58")</f>
        <v>TH-58</v>
      </c>
    </row>
    <row r="4397" spans="1:8" x14ac:dyDescent="0.2">
      <c r="A4397" s="157"/>
      <c r="B4397" s="31" t="s">
        <v>14980</v>
      </c>
      <c r="C4397" s="31" t="s">
        <v>14981</v>
      </c>
      <c r="D4397" s="31" t="s">
        <v>1920</v>
      </c>
      <c r="E4397" s="61" t="b">
        <v>1</v>
      </c>
      <c r="F4397" s="106" t="s">
        <v>14982</v>
      </c>
      <c r="G4397" s="116" t="str">
        <f>HYPERLINK("http://nsgreg.nga.mil/genc/view?v=116202&amp;gencs=T&amp;end_month=3&amp;end_day=31&amp;end_year=2014","Maha Sarakham")</f>
        <v>Maha Sarakham</v>
      </c>
      <c r="H4397" s="87" t="str">
        <f>HYPERLINK("http://api.nsgreg.nga.mil/geo-division/ISO3166-2/6/ed3/TH-44","TH-44")</f>
        <v>TH-44</v>
      </c>
    </row>
    <row r="4398" spans="1:8" x14ac:dyDescent="0.2">
      <c r="A4398" s="157"/>
      <c r="B4398" s="31" t="s">
        <v>14983</v>
      </c>
      <c r="C4398" s="31" t="s">
        <v>14984</v>
      </c>
      <c r="D4398" s="31" t="s">
        <v>1920</v>
      </c>
      <c r="E4398" s="61" t="b">
        <v>1</v>
      </c>
      <c r="F4398" s="106" t="s">
        <v>14985</v>
      </c>
      <c r="G4398" s="116" t="str">
        <f>HYPERLINK("http://nsgreg.nga.mil/genc/view?v=116207&amp;gencs=T&amp;end_month=3&amp;end_day=31&amp;end_year=2014","Mukdahan")</f>
        <v>Mukdahan</v>
      </c>
      <c r="H4398" s="87" t="str">
        <f>HYPERLINK("http://api.nsgreg.nga.mil/geo-division/ISO3166-2/6/ed3/TH-49","TH-49")</f>
        <v>TH-49</v>
      </c>
    </row>
    <row r="4399" spans="1:8" x14ac:dyDescent="0.2">
      <c r="A4399" s="157"/>
      <c r="B4399" s="31" t="s">
        <v>14986</v>
      </c>
      <c r="C4399" s="31" t="s">
        <v>14987</v>
      </c>
      <c r="D4399" s="31" t="s">
        <v>1920</v>
      </c>
      <c r="E4399" s="61" t="b">
        <v>1</v>
      </c>
      <c r="F4399" s="106" t="s">
        <v>14988</v>
      </c>
      <c r="G4399" s="116" t="str">
        <f>HYPERLINK("http://nsgreg.nga.mil/genc/view?v=116186&amp;gencs=T&amp;end_month=3&amp;end_day=31&amp;end_year=2014","Nakhon Nayok")</f>
        <v>Nakhon Nayok</v>
      </c>
      <c r="H4399" s="87" t="str">
        <f>HYPERLINK("http://api.nsgreg.nga.mil/geo-division/ISO3166-2/6/ed3/TH-26","TH-26")</f>
        <v>TH-26</v>
      </c>
    </row>
    <row r="4400" spans="1:8" x14ac:dyDescent="0.2">
      <c r="A4400" s="157"/>
      <c r="B4400" s="31" t="s">
        <v>14989</v>
      </c>
      <c r="C4400" s="31" t="s">
        <v>14990</v>
      </c>
      <c r="D4400" s="31" t="s">
        <v>1920</v>
      </c>
      <c r="E4400" s="61" t="b">
        <v>1</v>
      </c>
      <c r="F4400" s="106" t="s">
        <v>14991</v>
      </c>
      <c r="G4400" s="116" t="str">
        <f>HYPERLINK("http://nsgreg.nga.mil/genc/view?v=116228&amp;gencs=T&amp;end_month=3&amp;end_day=31&amp;end_year=2014","Nakhon Pathom")</f>
        <v>Nakhon Pathom</v>
      </c>
      <c r="H4400" s="87" t="str">
        <f>HYPERLINK("http://api.nsgreg.nga.mil/geo-division/ISO3166-2/6/ed3/TH-73","TH-73")</f>
        <v>TH-73</v>
      </c>
    </row>
    <row r="4401" spans="1:8" x14ac:dyDescent="0.2">
      <c r="A4401" s="157"/>
      <c r="B4401" s="31" t="s">
        <v>14992</v>
      </c>
      <c r="C4401" s="31" t="s">
        <v>14993</v>
      </c>
      <c r="D4401" s="31" t="s">
        <v>1920</v>
      </c>
      <c r="E4401" s="61" t="b">
        <v>1</v>
      </c>
      <c r="F4401" s="106" t="s">
        <v>14994</v>
      </c>
      <c r="G4401" s="116" t="str">
        <f>HYPERLINK("http://nsgreg.nga.mil/genc/view?v=116206&amp;gencs=T&amp;end_month=3&amp;end_day=31&amp;end_year=2014","Nakhon Phanom")</f>
        <v>Nakhon Phanom</v>
      </c>
      <c r="H4401" s="87" t="str">
        <f>HYPERLINK("http://api.nsgreg.nga.mil/geo-division/ISO3166-2/6/ed3/TH-48","TH-48")</f>
        <v>TH-48</v>
      </c>
    </row>
    <row r="4402" spans="1:8" x14ac:dyDescent="0.2">
      <c r="A4402" s="157"/>
      <c r="B4402" s="31" t="s">
        <v>14995</v>
      </c>
      <c r="C4402" s="31" t="s">
        <v>14996</v>
      </c>
      <c r="D4402" s="31" t="s">
        <v>1920</v>
      </c>
      <c r="E4402" s="61" t="b">
        <v>1</v>
      </c>
      <c r="F4402" s="106" t="s">
        <v>14997</v>
      </c>
      <c r="G4402" s="116" t="str">
        <f>HYPERLINK("http://nsgreg.nga.mil/genc/view?v=116188&amp;gencs=T&amp;end_month=3&amp;end_day=31&amp;end_year=2014","Nakhon Ratchasima")</f>
        <v>Nakhon Ratchasima</v>
      </c>
      <c r="H4402" s="87" t="str">
        <f>HYPERLINK("http://api.nsgreg.nga.mil/geo-division/ISO3166-2/6/ed3/TH-30","TH-30")</f>
        <v>TH-30</v>
      </c>
    </row>
    <row r="4403" spans="1:8" x14ac:dyDescent="0.2">
      <c r="A4403" s="157"/>
      <c r="B4403" s="31" t="s">
        <v>14998</v>
      </c>
      <c r="C4403" s="31" t="s">
        <v>14999</v>
      </c>
      <c r="D4403" s="31" t="s">
        <v>1920</v>
      </c>
      <c r="E4403" s="61" t="b">
        <v>1</v>
      </c>
      <c r="F4403" s="106" t="s">
        <v>15000</v>
      </c>
      <c r="G4403" s="116" t="str">
        <f>HYPERLINK("http://nsgreg.nga.mil/genc/view?v=116217&amp;gencs=T&amp;end_month=3&amp;end_day=31&amp;end_year=2014","Nakhon Sawan")</f>
        <v>Nakhon Sawan</v>
      </c>
      <c r="H4403" s="87" t="str">
        <f>HYPERLINK("http://api.nsgreg.nga.mil/geo-division/ISO3166-2/6/ed3/TH-60","TH-60")</f>
        <v>TH-60</v>
      </c>
    </row>
    <row r="4404" spans="1:8" x14ac:dyDescent="0.2">
      <c r="A4404" s="157"/>
      <c r="B4404" s="31" t="s">
        <v>15001</v>
      </c>
      <c r="C4404" s="31" t="s">
        <v>15002</v>
      </c>
      <c r="D4404" s="31" t="s">
        <v>1920</v>
      </c>
      <c r="E4404" s="61" t="b">
        <v>1</v>
      </c>
      <c r="F4404" s="106" t="s">
        <v>15003</v>
      </c>
      <c r="G4404" s="116" t="str">
        <f>HYPERLINK("http://nsgreg.nga.mil/genc/view?v=116233&amp;gencs=T&amp;end_month=3&amp;end_day=31&amp;end_year=2014","Nakhon Si Thammarat")</f>
        <v>Nakhon Si Thammarat</v>
      </c>
      <c r="H4404" s="87" t="str">
        <f>HYPERLINK("http://api.nsgreg.nga.mil/geo-division/ISO3166-2/6/ed3/TH-80","TH-80")</f>
        <v>TH-80</v>
      </c>
    </row>
    <row r="4405" spans="1:8" x14ac:dyDescent="0.2">
      <c r="A4405" s="157"/>
      <c r="B4405" s="31" t="s">
        <v>15004</v>
      </c>
      <c r="C4405" s="31" t="s">
        <v>15005</v>
      </c>
      <c r="D4405" s="31" t="s">
        <v>1920</v>
      </c>
      <c r="E4405" s="61" t="b">
        <v>1</v>
      </c>
      <c r="F4405" s="106" t="s">
        <v>15006</v>
      </c>
      <c r="G4405" s="116" t="str">
        <f>HYPERLINK("http://nsgreg.nga.mil/genc/view?v=116213&amp;gencs=T&amp;end_month=3&amp;end_day=31&amp;end_year=2014","Nan")</f>
        <v>Nan</v>
      </c>
      <c r="H4405" s="87" t="str">
        <f>HYPERLINK("http://api.nsgreg.nga.mil/geo-division/ISO3166-2/6/ed3/TH-55","TH-55")</f>
        <v>TH-55</v>
      </c>
    </row>
    <row r="4406" spans="1:8" x14ac:dyDescent="0.2">
      <c r="A4406" s="157"/>
      <c r="B4406" s="31" t="s">
        <v>15007</v>
      </c>
      <c r="C4406" s="31" t="s">
        <v>15008</v>
      </c>
      <c r="D4406" s="31" t="s">
        <v>1920</v>
      </c>
      <c r="E4406" s="61" t="b">
        <v>1</v>
      </c>
      <c r="F4406" s="106" t="s">
        <v>15009</v>
      </c>
      <c r="G4406" s="116" t="str">
        <f>HYPERLINK("http://nsgreg.nga.mil/genc/view?v=116246&amp;gencs=T&amp;end_month=3&amp;end_day=31&amp;end_year=2014","Narathiwat")</f>
        <v>Narathiwat</v>
      </c>
      <c r="H4406" s="87" t="str">
        <f>HYPERLINK("http://api.nsgreg.nga.mil/geo-division/ISO3166-2/6/ed3/TH-96","TH-96")</f>
        <v>TH-96</v>
      </c>
    </row>
    <row r="4407" spans="1:8" x14ac:dyDescent="0.2">
      <c r="A4407" s="157"/>
      <c r="B4407" s="31" t="s">
        <v>15010</v>
      </c>
      <c r="C4407" s="31" t="s">
        <v>15011</v>
      </c>
      <c r="D4407" s="31" t="s">
        <v>1920</v>
      </c>
      <c r="E4407" s="61" t="b">
        <v>1</v>
      </c>
      <c r="F4407" s="107" t="s">
        <v>15012</v>
      </c>
      <c r="G4407" s="116" t="str">
        <f>HYPERLINK("http://nsgreg.nga.mil/genc/view?v=203090&amp;end_month=3&amp;end_day=31&amp;end_year=2014","Nong Bua Lamphu")</f>
        <v>Nong Bua Lamphu</v>
      </c>
      <c r="H4407" s="87" t="str">
        <f>HYPERLINK("http://api.nsgreg.nga.mil/geo-division/GENC/6/ed2/TH-39","TH-39")</f>
        <v>TH-39</v>
      </c>
    </row>
    <row r="4408" spans="1:8" x14ac:dyDescent="0.2">
      <c r="A4408" s="157"/>
      <c r="B4408" s="31" t="s">
        <v>15013</v>
      </c>
      <c r="C4408" s="31" t="s">
        <v>15014</v>
      </c>
      <c r="D4408" s="31" t="s">
        <v>1920</v>
      </c>
      <c r="E4408" s="61" t="b">
        <v>1</v>
      </c>
      <c r="F4408" s="106" t="s">
        <v>15015</v>
      </c>
      <c r="G4408" s="116" t="str">
        <f>HYPERLINK("http://nsgreg.nga.mil/genc/view?v=116201&amp;gencs=T&amp;end_month=3&amp;end_day=31&amp;end_year=2014","Nong Khai")</f>
        <v>Nong Khai</v>
      </c>
      <c r="H4408" s="87" t="str">
        <f>HYPERLINK("http://api.nsgreg.nga.mil/geo-division/ISO3166-2/6/ed3/TH-43","TH-43")</f>
        <v>TH-43</v>
      </c>
    </row>
    <row r="4409" spans="1:8" x14ac:dyDescent="0.2">
      <c r="A4409" s="157"/>
      <c r="B4409" s="31" t="s">
        <v>15016</v>
      </c>
      <c r="C4409" s="31" t="s">
        <v>15017</v>
      </c>
      <c r="D4409" s="31" t="s">
        <v>1920</v>
      </c>
      <c r="E4409" s="61" t="b">
        <v>1</v>
      </c>
      <c r="F4409" s="106" t="s">
        <v>15018</v>
      </c>
      <c r="G4409" s="116" t="str">
        <f>HYPERLINK("http://nsgreg.nga.mil/genc/view?v=116172&amp;gencs=T&amp;end_month=3&amp;end_day=31&amp;end_year=2014","Nonthaburi")</f>
        <v>Nonthaburi</v>
      </c>
      <c r="H4409" s="87" t="str">
        <f>HYPERLINK("http://api.nsgreg.nga.mil/geo-division/ISO3166-2/6/ed3/TH-12","TH-12")</f>
        <v>TH-12</v>
      </c>
    </row>
    <row r="4410" spans="1:8" x14ac:dyDescent="0.2">
      <c r="A4410" s="157"/>
      <c r="B4410" s="31" t="s">
        <v>15019</v>
      </c>
      <c r="C4410" s="31" t="s">
        <v>15020</v>
      </c>
      <c r="D4410" s="31" t="s">
        <v>1920</v>
      </c>
      <c r="E4410" s="61" t="b">
        <v>1</v>
      </c>
      <c r="F4410" s="106" t="s">
        <v>15021</v>
      </c>
      <c r="G4410" s="116" t="str">
        <f>HYPERLINK("http://nsgreg.nga.mil/genc/view?v=116173&amp;gencs=T&amp;end_month=3&amp;end_day=31&amp;end_year=2014","Pathum Thani")</f>
        <v>Pathum Thani</v>
      </c>
      <c r="H4410" s="87" t="str">
        <f>HYPERLINK("http://api.nsgreg.nga.mil/geo-division/ISO3166-2/6/ed3/TH-13","TH-13")</f>
        <v>TH-13</v>
      </c>
    </row>
    <row r="4411" spans="1:8" x14ac:dyDescent="0.2">
      <c r="A4411" s="157"/>
      <c r="B4411" s="31" t="s">
        <v>15022</v>
      </c>
      <c r="C4411" s="31" t="s">
        <v>15023</v>
      </c>
      <c r="D4411" s="31" t="s">
        <v>1920</v>
      </c>
      <c r="E4411" s="61" t="b">
        <v>1</v>
      </c>
      <c r="F4411" s="106" t="s">
        <v>15024</v>
      </c>
      <c r="G4411" s="116" t="str">
        <f>HYPERLINK("http://nsgreg.nga.mil/genc/view?v=116244&amp;gencs=T&amp;end_month=3&amp;end_day=31&amp;end_year=2014","Pattani")</f>
        <v>Pattani</v>
      </c>
      <c r="H4411" s="87" t="str">
        <f>HYPERLINK("http://api.nsgreg.nga.mil/geo-division/ISO3166-2/6/ed3/TH-94","TH-94")</f>
        <v>TH-94</v>
      </c>
    </row>
    <row r="4412" spans="1:8" x14ac:dyDescent="0.2">
      <c r="A4412" s="157"/>
      <c r="B4412" s="31" t="s">
        <v>15025</v>
      </c>
      <c r="C4412" s="31" t="s">
        <v>15026</v>
      </c>
      <c r="D4412" s="31" t="s">
        <v>1920</v>
      </c>
      <c r="E4412" s="61" t="b">
        <v>1</v>
      </c>
      <c r="F4412" s="106" t="s">
        <v>15027</v>
      </c>
      <c r="G4412" s="116" t="str">
        <f>HYPERLINK("http://nsgreg.nga.mil/genc/view?v=116235&amp;gencs=T&amp;end_month=3&amp;end_day=31&amp;end_year=2014","Phangnga")</f>
        <v>Phangnga</v>
      </c>
      <c r="H4412" s="87" t="str">
        <f>HYPERLINK("http://api.nsgreg.nga.mil/geo-division/ISO3166-2/6/ed3/TH-82","TH-82")</f>
        <v>TH-82</v>
      </c>
    </row>
    <row r="4413" spans="1:8" x14ac:dyDescent="0.2">
      <c r="A4413" s="157"/>
      <c r="B4413" s="31" t="s">
        <v>15028</v>
      </c>
      <c r="C4413" s="31" t="s">
        <v>15029</v>
      </c>
      <c r="D4413" s="31" t="s">
        <v>1920</v>
      </c>
      <c r="E4413" s="61" t="b">
        <v>1</v>
      </c>
      <c r="F4413" s="106" t="s">
        <v>15030</v>
      </c>
      <c r="G4413" s="116" t="str">
        <f>HYPERLINK("http://nsgreg.nga.mil/genc/view?v=116243&amp;gencs=T&amp;end_month=3&amp;end_day=31&amp;end_year=2014","Phatthalung")</f>
        <v>Phatthalung</v>
      </c>
      <c r="H4413" s="87" t="str">
        <f>HYPERLINK("http://api.nsgreg.nga.mil/geo-division/ISO3166-2/6/ed3/TH-93","TH-93")</f>
        <v>TH-93</v>
      </c>
    </row>
    <row r="4414" spans="1:8" x14ac:dyDescent="0.2">
      <c r="A4414" s="157"/>
      <c r="B4414" s="31" t="s">
        <v>15031</v>
      </c>
      <c r="C4414" s="31" t="s">
        <v>15032</v>
      </c>
      <c r="D4414" s="98" t="s">
        <v>15033</v>
      </c>
      <c r="E4414" s="99" t="b">
        <v>0</v>
      </c>
      <c r="F4414" s="107" t="s">
        <v>15034</v>
      </c>
      <c r="G4414" s="116" t="str">
        <f>HYPERLINK("http://nsgreg.nga.mil/genc/view?v=203092&amp;end_month=3&amp;end_day=31&amp;end_year=2014","Phatthaya")</f>
        <v>Phatthaya</v>
      </c>
      <c r="H4414" s="87" t="str">
        <f>HYPERLINK("http://api.nsgreg.nga.mil/geo-division/GENC/6/ed2/TH-S","TH-S")</f>
        <v>TH-S</v>
      </c>
    </row>
    <row r="4415" spans="1:8" x14ac:dyDescent="0.2">
      <c r="A4415" s="157"/>
      <c r="B4415" s="31" t="s">
        <v>15035</v>
      </c>
      <c r="C4415" s="31" t="s">
        <v>15036</v>
      </c>
      <c r="D4415" s="31" t="s">
        <v>1920</v>
      </c>
      <c r="E4415" s="61" t="b">
        <v>1</v>
      </c>
      <c r="F4415" s="106" t="s">
        <v>15037</v>
      </c>
      <c r="G4415" s="116" t="str">
        <f>HYPERLINK("http://nsgreg.nga.mil/genc/view?v=116214&amp;gencs=T&amp;end_month=3&amp;end_day=31&amp;end_year=2014","Phayao")</f>
        <v>Phayao</v>
      </c>
      <c r="H4415" s="87" t="str">
        <f>HYPERLINK("http://api.nsgreg.nga.mil/geo-division/ISO3166-2/6/ed3/TH-56","TH-56")</f>
        <v>TH-56</v>
      </c>
    </row>
    <row r="4416" spans="1:8" x14ac:dyDescent="0.2">
      <c r="A4416" s="157"/>
      <c r="B4416" s="31" t="s">
        <v>15038</v>
      </c>
      <c r="C4416" s="31" t="s">
        <v>15039</v>
      </c>
      <c r="D4416" s="31" t="s">
        <v>1920</v>
      </c>
      <c r="E4416" s="61" t="b">
        <v>1</v>
      </c>
      <c r="F4416" s="106" t="s">
        <v>15040</v>
      </c>
      <c r="G4416" s="116" t="str">
        <f>HYPERLINK("http://nsgreg.nga.mil/genc/view?v=116224&amp;gencs=T&amp;end_month=3&amp;end_day=31&amp;end_year=2014","Phetchabun")</f>
        <v>Phetchabun</v>
      </c>
      <c r="H4416" s="87" t="str">
        <f>HYPERLINK("http://api.nsgreg.nga.mil/geo-division/ISO3166-2/6/ed3/TH-67","TH-67")</f>
        <v>TH-67</v>
      </c>
    </row>
    <row r="4417" spans="1:8" x14ac:dyDescent="0.2">
      <c r="A4417" s="157"/>
      <c r="B4417" s="31" t="s">
        <v>15041</v>
      </c>
      <c r="C4417" s="31" t="s">
        <v>15042</v>
      </c>
      <c r="D4417" s="31" t="s">
        <v>1920</v>
      </c>
      <c r="E4417" s="61" t="b">
        <v>1</v>
      </c>
      <c r="F4417" s="106" t="s">
        <v>15043</v>
      </c>
      <c r="G4417" s="116" t="str">
        <f>HYPERLINK("http://nsgreg.nga.mil/genc/view?v=116231&amp;gencs=T&amp;end_month=3&amp;end_day=31&amp;end_year=2014","Phetchaburi")</f>
        <v>Phetchaburi</v>
      </c>
      <c r="H4417" s="87" t="str">
        <f>HYPERLINK("http://api.nsgreg.nga.mil/geo-division/ISO3166-2/6/ed3/TH-76","TH-76")</f>
        <v>TH-76</v>
      </c>
    </row>
    <row r="4418" spans="1:8" x14ac:dyDescent="0.2">
      <c r="A4418" s="157"/>
      <c r="B4418" s="31" t="s">
        <v>15044</v>
      </c>
      <c r="C4418" s="31" t="s">
        <v>15045</v>
      </c>
      <c r="D4418" s="31" t="s">
        <v>1920</v>
      </c>
      <c r="E4418" s="61" t="b">
        <v>1</v>
      </c>
      <c r="F4418" s="106" t="s">
        <v>15046</v>
      </c>
      <c r="G4418" s="116" t="str">
        <f>HYPERLINK("http://nsgreg.nga.mil/genc/view?v=116223&amp;gencs=T&amp;end_month=3&amp;end_day=31&amp;end_year=2014","Phichit")</f>
        <v>Phichit</v>
      </c>
      <c r="H4418" s="87" t="str">
        <f>HYPERLINK("http://api.nsgreg.nga.mil/geo-division/ISO3166-2/6/ed3/TH-66","TH-66")</f>
        <v>TH-66</v>
      </c>
    </row>
    <row r="4419" spans="1:8" x14ac:dyDescent="0.2">
      <c r="A4419" s="157"/>
      <c r="B4419" s="31" t="s">
        <v>15047</v>
      </c>
      <c r="C4419" s="31" t="s">
        <v>15048</v>
      </c>
      <c r="D4419" s="31" t="s">
        <v>1920</v>
      </c>
      <c r="E4419" s="61" t="b">
        <v>1</v>
      </c>
      <c r="F4419" s="106" t="s">
        <v>15049</v>
      </c>
      <c r="G4419" s="116" t="str">
        <f>HYPERLINK("http://nsgreg.nga.mil/genc/view?v=116222&amp;gencs=T&amp;end_month=3&amp;end_day=31&amp;end_year=2014","Phitsanulok")</f>
        <v>Phitsanulok</v>
      </c>
      <c r="H4419" s="87" t="str">
        <f>HYPERLINK("http://api.nsgreg.nga.mil/geo-division/ISO3166-2/6/ed3/TH-65","TH-65")</f>
        <v>TH-65</v>
      </c>
    </row>
    <row r="4420" spans="1:8" x14ac:dyDescent="0.2">
      <c r="A4420" s="157"/>
      <c r="B4420" s="31" t="s">
        <v>15050</v>
      </c>
      <c r="C4420" s="31" t="s">
        <v>15051</v>
      </c>
      <c r="D4420" s="31" t="s">
        <v>1920</v>
      </c>
      <c r="E4420" s="61" t="b">
        <v>1</v>
      </c>
      <c r="F4420" s="106" t="s">
        <v>15052</v>
      </c>
      <c r="G4420" s="116" t="str">
        <f>HYPERLINK("http://nsgreg.nga.mil/genc/view?v=116212&amp;gencs=T&amp;end_month=3&amp;end_day=31&amp;end_year=2014","Phrae")</f>
        <v>Phrae</v>
      </c>
      <c r="H4420" s="87" t="str">
        <f>HYPERLINK("http://api.nsgreg.nga.mil/geo-division/ISO3166-2/6/ed3/TH-54","TH-54")</f>
        <v>TH-54</v>
      </c>
    </row>
    <row r="4421" spans="1:8" x14ac:dyDescent="0.2">
      <c r="A4421" s="157"/>
      <c r="B4421" s="31" t="s">
        <v>15053</v>
      </c>
      <c r="C4421" s="31" t="s">
        <v>15054</v>
      </c>
      <c r="D4421" s="31" t="s">
        <v>1920</v>
      </c>
      <c r="E4421" s="61" t="b">
        <v>1</v>
      </c>
      <c r="F4421" s="106" t="s">
        <v>15055</v>
      </c>
      <c r="G4421" s="116" t="str">
        <f>HYPERLINK("http://nsgreg.nga.mil/genc/view?v=116174&amp;gencs=T&amp;end_month=3&amp;end_day=31&amp;end_year=2014","Phra Nakhon Si Ayutthaya")</f>
        <v>Phra Nakhon Si Ayutthaya</v>
      </c>
      <c r="H4421" s="87" t="str">
        <f>HYPERLINK("http://api.nsgreg.nga.mil/geo-division/ISO3166-2/6/ed3/TH-14","TH-14")</f>
        <v>TH-14</v>
      </c>
    </row>
    <row r="4422" spans="1:8" x14ac:dyDescent="0.2">
      <c r="A4422" s="157"/>
      <c r="B4422" s="31" t="s">
        <v>15056</v>
      </c>
      <c r="C4422" s="31" t="s">
        <v>15057</v>
      </c>
      <c r="D4422" s="31" t="s">
        <v>1920</v>
      </c>
      <c r="E4422" s="61" t="b">
        <v>1</v>
      </c>
      <c r="F4422" s="106" t="s">
        <v>15058</v>
      </c>
      <c r="G4422" s="116" t="str">
        <f>HYPERLINK("http://nsgreg.nga.mil/genc/view?v=116236&amp;gencs=T&amp;end_month=3&amp;end_day=31&amp;end_year=2014","Phuket")</f>
        <v>Phuket</v>
      </c>
      <c r="H4422" s="87" t="str">
        <f>HYPERLINK("http://api.nsgreg.nga.mil/geo-division/ISO3166-2/6/ed3/TH-83","TH-83")</f>
        <v>TH-83</v>
      </c>
    </row>
    <row r="4423" spans="1:8" x14ac:dyDescent="0.2">
      <c r="A4423" s="157"/>
      <c r="B4423" s="31" t="s">
        <v>15059</v>
      </c>
      <c r="C4423" s="31" t="s">
        <v>15060</v>
      </c>
      <c r="D4423" s="31" t="s">
        <v>1920</v>
      </c>
      <c r="E4423" s="61" t="b">
        <v>1</v>
      </c>
      <c r="F4423" s="106" t="s">
        <v>15061</v>
      </c>
      <c r="G4423" s="116" t="str">
        <f>HYPERLINK("http://nsgreg.nga.mil/genc/view?v=116185&amp;gencs=T&amp;end_month=3&amp;end_day=31&amp;end_year=2014","Prachin Buri")</f>
        <v>Prachin Buri</v>
      </c>
      <c r="H4423" s="87" t="str">
        <f>HYPERLINK("http://api.nsgreg.nga.mil/geo-division/ISO3166-2/6/ed3/TH-25","TH-25")</f>
        <v>TH-25</v>
      </c>
    </row>
    <row r="4424" spans="1:8" x14ac:dyDescent="0.2">
      <c r="A4424" s="157"/>
      <c r="B4424" s="31" t="s">
        <v>15062</v>
      </c>
      <c r="C4424" s="31" t="s">
        <v>15063</v>
      </c>
      <c r="D4424" s="31" t="s">
        <v>1920</v>
      </c>
      <c r="E4424" s="61" t="b">
        <v>1</v>
      </c>
      <c r="F4424" s="106" t="s">
        <v>15064</v>
      </c>
      <c r="G4424" s="116" t="str">
        <f>HYPERLINK("http://nsgreg.nga.mil/genc/view?v=116232&amp;gencs=T&amp;end_month=3&amp;end_day=31&amp;end_year=2014","Prachuap Khiri Khan")</f>
        <v>Prachuap Khiri Khan</v>
      </c>
      <c r="H4424" s="87" t="str">
        <f>HYPERLINK("http://api.nsgreg.nga.mil/geo-division/ISO3166-2/6/ed3/TH-77","TH-77")</f>
        <v>TH-77</v>
      </c>
    </row>
    <row r="4425" spans="1:8" x14ac:dyDescent="0.2">
      <c r="A4425" s="157"/>
      <c r="B4425" s="31" t="s">
        <v>15065</v>
      </c>
      <c r="C4425" s="31" t="s">
        <v>15066</v>
      </c>
      <c r="D4425" s="31" t="s">
        <v>1920</v>
      </c>
      <c r="E4425" s="61" t="b">
        <v>1</v>
      </c>
      <c r="F4425" s="106" t="s">
        <v>15067</v>
      </c>
      <c r="G4425" s="116" t="str">
        <f>HYPERLINK("http://nsgreg.nga.mil/genc/view?v=116238&amp;gencs=T&amp;end_month=3&amp;end_day=31&amp;end_year=2014","Ranong")</f>
        <v>Ranong</v>
      </c>
      <c r="H4425" s="87" t="str">
        <f>HYPERLINK("http://api.nsgreg.nga.mil/geo-division/ISO3166-2/6/ed3/TH-85","TH-85")</f>
        <v>TH-85</v>
      </c>
    </row>
    <row r="4426" spans="1:8" x14ac:dyDescent="0.2">
      <c r="A4426" s="157"/>
      <c r="B4426" s="31" t="s">
        <v>15068</v>
      </c>
      <c r="C4426" s="31" t="s">
        <v>15069</v>
      </c>
      <c r="D4426" s="31" t="s">
        <v>1920</v>
      </c>
      <c r="E4426" s="61" t="b">
        <v>1</v>
      </c>
      <c r="F4426" s="106" t="s">
        <v>15070</v>
      </c>
      <c r="G4426" s="116" t="str">
        <f>HYPERLINK("http://nsgreg.nga.mil/genc/view?v=116225&amp;gencs=T&amp;end_month=3&amp;end_day=31&amp;end_year=2014","Ratchaburi")</f>
        <v>Ratchaburi</v>
      </c>
      <c r="H4426" s="87" t="str">
        <f>HYPERLINK("http://api.nsgreg.nga.mil/geo-division/ISO3166-2/6/ed3/TH-70","TH-70")</f>
        <v>TH-70</v>
      </c>
    </row>
    <row r="4427" spans="1:8" x14ac:dyDescent="0.2">
      <c r="A4427" s="157"/>
      <c r="B4427" s="31" t="s">
        <v>15071</v>
      </c>
      <c r="C4427" s="31" t="s">
        <v>15072</v>
      </c>
      <c r="D4427" s="31" t="s">
        <v>1920</v>
      </c>
      <c r="E4427" s="61" t="b">
        <v>1</v>
      </c>
      <c r="F4427" s="106" t="s">
        <v>15073</v>
      </c>
      <c r="G4427" s="116" t="str">
        <f>HYPERLINK("http://nsgreg.nga.mil/genc/view?v=116181&amp;gencs=T&amp;end_month=3&amp;end_day=31&amp;end_year=2014","Rayong")</f>
        <v>Rayong</v>
      </c>
      <c r="H4427" s="87" t="str">
        <f>HYPERLINK("http://api.nsgreg.nga.mil/geo-division/ISO3166-2/6/ed3/TH-21","TH-21")</f>
        <v>TH-21</v>
      </c>
    </row>
    <row r="4428" spans="1:8" x14ac:dyDescent="0.2">
      <c r="A4428" s="157"/>
      <c r="B4428" s="31" t="s">
        <v>15074</v>
      </c>
      <c r="C4428" s="31" t="s">
        <v>15075</v>
      </c>
      <c r="D4428" s="31" t="s">
        <v>1920</v>
      </c>
      <c r="E4428" s="61" t="b">
        <v>1</v>
      </c>
      <c r="F4428" s="106" t="s">
        <v>15076</v>
      </c>
      <c r="G4428" s="116" t="str">
        <f>HYPERLINK("http://nsgreg.nga.mil/genc/view?v=116203&amp;gencs=T&amp;end_month=3&amp;end_day=31&amp;end_year=2014","Roi Et")</f>
        <v>Roi Et</v>
      </c>
      <c r="H4428" s="87" t="str">
        <f>HYPERLINK("http://api.nsgreg.nga.mil/geo-division/ISO3166-2/6/ed3/TH-45","TH-45")</f>
        <v>TH-45</v>
      </c>
    </row>
    <row r="4429" spans="1:8" x14ac:dyDescent="0.2">
      <c r="A4429" s="157"/>
      <c r="B4429" s="31" t="s">
        <v>15077</v>
      </c>
      <c r="C4429" s="31" t="s">
        <v>15078</v>
      </c>
      <c r="D4429" s="31" t="s">
        <v>1920</v>
      </c>
      <c r="E4429" s="61" t="b">
        <v>1</v>
      </c>
      <c r="F4429" s="106" t="s">
        <v>15079</v>
      </c>
      <c r="G4429" s="116" t="str">
        <f>HYPERLINK("http://nsgreg.nga.mil/genc/view?v=116187&amp;gencs=T&amp;end_month=3&amp;end_day=31&amp;end_year=2014","Sa Kaeo")</f>
        <v>Sa Kaeo</v>
      </c>
      <c r="H4429" s="87" t="str">
        <f>HYPERLINK("http://api.nsgreg.nga.mil/geo-division/ISO3166-2/6/ed3/TH-27","TH-27")</f>
        <v>TH-27</v>
      </c>
    </row>
    <row r="4430" spans="1:8" x14ac:dyDescent="0.2">
      <c r="A4430" s="157"/>
      <c r="B4430" s="31" t="s">
        <v>15080</v>
      </c>
      <c r="C4430" s="31" t="s">
        <v>15081</v>
      </c>
      <c r="D4430" s="31" t="s">
        <v>1920</v>
      </c>
      <c r="E4430" s="61" t="b">
        <v>1</v>
      </c>
      <c r="F4430" s="106" t="s">
        <v>15082</v>
      </c>
      <c r="G4430" s="116" t="str">
        <f>HYPERLINK("http://nsgreg.nga.mil/genc/view?v=116205&amp;gencs=T&amp;end_month=3&amp;end_day=31&amp;end_year=2014","Sakon Nakhon")</f>
        <v>Sakon Nakhon</v>
      </c>
      <c r="H4430" s="87" t="str">
        <f>HYPERLINK("http://api.nsgreg.nga.mil/geo-division/ISO3166-2/6/ed3/TH-47","TH-47")</f>
        <v>TH-47</v>
      </c>
    </row>
    <row r="4431" spans="1:8" x14ac:dyDescent="0.2">
      <c r="A4431" s="157"/>
      <c r="B4431" s="31" t="s">
        <v>15083</v>
      </c>
      <c r="C4431" s="31" t="s">
        <v>15084</v>
      </c>
      <c r="D4431" s="31" t="s">
        <v>1920</v>
      </c>
      <c r="E4431" s="61" t="b">
        <v>1</v>
      </c>
      <c r="F4431" s="106" t="s">
        <v>15085</v>
      </c>
      <c r="G4431" s="116" t="str">
        <f>HYPERLINK("http://nsgreg.nga.mil/genc/view?v=116171&amp;gencs=T&amp;end_month=3&amp;end_day=31&amp;end_year=2014","Samut Prakan")</f>
        <v>Samut Prakan</v>
      </c>
      <c r="H4431" s="87" t="str">
        <f>HYPERLINK("http://api.nsgreg.nga.mil/geo-division/ISO3166-2/6/ed3/TH-11","TH-11")</f>
        <v>TH-11</v>
      </c>
    </row>
    <row r="4432" spans="1:8" x14ac:dyDescent="0.2">
      <c r="A4432" s="157"/>
      <c r="B4432" s="31" t="s">
        <v>15086</v>
      </c>
      <c r="C4432" s="31" t="s">
        <v>15087</v>
      </c>
      <c r="D4432" s="31" t="s">
        <v>1920</v>
      </c>
      <c r="E4432" s="61" t="b">
        <v>1</v>
      </c>
      <c r="F4432" s="106" t="s">
        <v>15088</v>
      </c>
      <c r="G4432" s="116" t="str">
        <f>HYPERLINK("http://nsgreg.nga.mil/genc/view?v=116229&amp;gencs=T&amp;end_month=3&amp;end_day=31&amp;end_year=2014","Samut Sakhon")</f>
        <v>Samut Sakhon</v>
      </c>
      <c r="H4432" s="87" t="str">
        <f>HYPERLINK("http://api.nsgreg.nga.mil/geo-division/ISO3166-2/6/ed3/TH-74","TH-74")</f>
        <v>TH-74</v>
      </c>
    </row>
    <row r="4433" spans="1:8" x14ac:dyDescent="0.2">
      <c r="A4433" s="157"/>
      <c r="B4433" s="31" t="s">
        <v>15089</v>
      </c>
      <c r="C4433" s="31" t="s">
        <v>15090</v>
      </c>
      <c r="D4433" s="31" t="s">
        <v>1920</v>
      </c>
      <c r="E4433" s="61" t="b">
        <v>1</v>
      </c>
      <c r="F4433" s="106" t="s">
        <v>15091</v>
      </c>
      <c r="G4433" s="116" t="str">
        <f>HYPERLINK("http://nsgreg.nga.mil/genc/view?v=116230&amp;gencs=T&amp;end_month=3&amp;end_day=31&amp;end_year=2014","Samut Songkhram")</f>
        <v>Samut Songkhram</v>
      </c>
      <c r="H4433" s="87" t="str">
        <f>HYPERLINK("http://api.nsgreg.nga.mil/geo-division/ISO3166-2/6/ed3/TH-75","TH-75")</f>
        <v>TH-75</v>
      </c>
    </row>
    <row r="4434" spans="1:8" x14ac:dyDescent="0.2">
      <c r="A4434" s="157"/>
      <c r="B4434" s="31" t="s">
        <v>15092</v>
      </c>
      <c r="C4434" s="31" t="s">
        <v>15093</v>
      </c>
      <c r="D4434" s="31" t="s">
        <v>1920</v>
      </c>
      <c r="E4434" s="61" t="b">
        <v>1</v>
      </c>
      <c r="F4434" s="107" t="s">
        <v>15094</v>
      </c>
      <c r="G4434" s="116" t="str">
        <f>HYPERLINK("http://nsgreg.nga.mil/genc/view?v=203087&amp;end_month=3&amp;end_day=31&amp;end_year=2014","Sara Buri")</f>
        <v>Sara Buri</v>
      </c>
      <c r="H4434" s="87" t="str">
        <f>HYPERLINK("http://api.nsgreg.nga.mil/geo-division/GENC/6/ed2/TH-19","TH-19")</f>
        <v>TH-19</v>
      </c>
    </row>
    <row r="4435" spans="1:8" x14ac:dyDescent="0.2">
      <c r="A4435" s="157"/>
      <c r="B4435" s="31" t="s">
        <v>15095</v>
      </c>
      <c r="C4435" s="31" t="s">
        <v>15096</v>
      </c>
      <c r="D4435" s="31" t="s">
        <v>1920</v>
      </c>
      <c r="E4435" s="61" t="b">
        <v>1</v>
      </c>
      <c r="F4435" s="106" t="s">
        <v>15097</v>
      </c>
      <c r="G4435" s="116" t="str">
        <f>HYPERLINK("http://nsgreg.nga.mil/genc/view?v=116241&amp;gencs=T&amp;end_month=3&amp;end_day=31&amp;end_year=2014","Satun")</f>
        <v>Satun</v>
      </c>
      <c r="H4435" s="87" t="str">
        <f>HYPERLINK("http://api.nsgreg.nga.mil/geo-division/ISO3166-2/6/ed3/TH-91","TH-91")</f>
        <v>TH-91</v>
      </c>
    </row>
    <row r="4436" spans="1:8" x14ac:dyDescent="0.2">
      <c r="A4436" s="157"/>
      <c r="B4436" s="31" t="s">
        <v>15098</v>
      </c>
      <c r="C4436" s="31" t="s">
        <v>15099</v>
      </c>
      <c r="D4436" s="31" t="s">
        <v>1920</v>
      </c>
      <c r="E4436" s="61" t="b">
        <v>1</v>
      </c>
      <c r="F4436" s="106" t="s">
        <v>15100</v>
      </c>
      <c r="G4436" s="116" t="str">
        <f>HYPERLINK("http://nsgreg.nga.mil/genc/view?v=116177&amp;gencs=T&amp;end_month=3&amp;end_day=31&amp;end_year=2014","Sing Buri")</f>
        <v>Sing Buri</v>
      </c>
      <c r="H4436" s="87" t="str">
        <f>HYPERLINK("http://api.nsgreg.nga.mil/geo-division/ISO3166-2/6/ed3/TH-17","TH-17")</f>
        <v>TH-17</v>
      </c>
    </row>
    <row r="4437" spans="1:8" x14ac:dyDescent="0.2">
      <c r="A4437" s="157"/>
      <c r="B4437" s="31" t="s">
        <v>15101</v>
      </c>
      <c r="C4437" s="31" t="s">
        <v>15102</v>
      </c>
      <c r="D4437" s="31" t="s">
        <v>1920</v>
      </c>
      <c r="E4437" s="61" t="b">
        <v>1</v>
      </c>
      <c r="F4437" s="107" t="s">
        <v>15103</v>
      </c>
      <c r="G4437" s="116" t="str">
        <f>HYPERLINK("http://nsgreg.nga.mil/genc/view?v=203089&amp;end_month=3&amp;end_day=31&amp;end_year=2014","Sisaket")</f>
        <v>Sisaket</v>
      </c>
      <c r="H4437" s="87" t="str">
        <f>HYPERLINK("http://api.nsgreg.nga.mil/geo-division/GENC/6/ed2/TH-33","TH-33")</f>
        <v>TH-33</v>
      </c>
    </row>
    <row r="4438" spans="1:8" x14ac:dyDescent="0.2">
      <c r="A4438" s="157"/>
      <c r="B4438" s="31" t="s">
        <v>15104</v>
      </c>
      <c r="C4438" s="31" t="s">
        <v>15105</v>
      </c>
      <c r="D4438" s="31" t="s">
        <v>1920</v>
      </c>
      <c r="E4438" s="61" t="b">
        <v>1</v>
      </c>
      <c r="F4438" s="106" t="s">
        <v>15106</v>
      </c>
      <c r="G4438" s="116" t="str">
        <f>HYPERLINK("http://nsgreg.nga.mil/genc/view?v=116240&amp;gencs=T&amp;end_month=3&amp;end_day=31&amp;end_year=2014","Songkhla")</f>
        <v>Songkhla</v>
      </c>
      <c r="H4438" s="87" t="str">
        <f>HYPERLINK("http://api.nsgreg.nga.mil/geo-division/ISO3166-2/6/ed3/TH-90","TH-90")</f>
        <v>TH-90</v>
      </c>
    </row>
    <row r="4439" spans="1:8" x14ac:dyDescent="0.2">
      <c r="A4439" s="157"/>
      <c r="B4439" s="31" t="s">
        <v>15107</v>
      </c>
      <c r="C4439" s="31" t="s">
        <v>15108</v>
      </c>
      <c r="D4439" s="31" t="s">
        <v>1920</v>
      </c>
      <c r="E4439" s="61" t="b">
        <v>1</v>
      </c>
      <c r="F4439" s="106" t="s">
        <v>15109</v>
      </c>
      <c r="G4439" s="116" t="str">
        <f>HYPERLINK("http://nsgreg.nga.mil/genc/view?v=116221&amp;gencs=T&amp;end_month=3&amp;end_day=31&amp;end_year=2014","Sukhothai")</f>
        <v>Sukhothai</v>
      </c>
      <c r="H4439" s="87" t="str">
        <f>HYPERLINK("http://api.nsgreg.nga.mil/geo-division/ISO3166-2/6/ed3/TH-64","TH-64")</f>
        <v>TH-64</v>
      </c>
    </row>
    <row r="4440" spans="1:8" x14ac:dyDescent="0.2">
      <c r="A4440" s="157"/>
      <c r="B4440" s="31" t="s">
        <v>15110</v>
      </c>
      <c r="C4440" s="31" t="s">
        <v>15111</v>
      </c>
      <c r="D4440" s="31" t="s">
        <v>1920</v>
      </c>
      <c r="E4440" s="61" t="b">
        <v>1</v>
      </c>
      <c r="F4440" s="106" t="s">
        <v>15112</v>
      </c>
      <c r="G4440" s="116" t="str">
        <f>HYPERLINK("http://nsgreg.nga.mil/genc/view?v=116227&amp;gencs=T&amp;end_month=3&amp;end_day=31&amp;end_year=2014","Suphan Buri")</f>
        <v>Suphan Buri</v>
      </c>
      <c r="H4440" s="87" t="str">
        <f>HYPERLINK("http://api.nsgreg.nga.mil/geo-division/ISO3166-2/6/ed3/TH-72","TH-72")</f>
        <v>TH-72</v>
      </c>
    </row>
    <row r="4441" spans="1:8" x14ac:dyDescent="0.2">
      <c r="A4441" s="157"/>
      <c r="B4441" s="31" t="s">
        <v>15113</v>
      </c>
      <c r="C4441" s="31" t="s">
        <v>15114</v>
      </c>
      <c r="D4441" s="31" t="s">
        <v>1920</v>
      </c>
      <c r="E4441" s="61" t="b">
        <v>1</v>
      </c>
      <c r="F4441" s="106" t="s">
        <v>15115</v>
      </c>
      <c r="G4441" s="116" t="str">
        <f>HYPERLINK("http://nsgreg.nga.mil/genc/view?v=116237&amp;gencs=T&amp;end_month=3&amp;end_day=31&amp;end_year=2014","Surat Thani")</f>
        <v>Surat Thani</v>
      </c>
      <c r="H4441" s="87" t="str">
        <f>HYPERLINK("http://api.nsgreg.nga.mil/geo-division/ISO3166-2/6/ed3/TH-84","TH-84")</f>
        <v>TH-84</v>
      </c>
    </row>
    <row r="4442" spans="1:8" x14ac:dyDescent="0.2">
      <c r="A4442" s="157"/>
      <c r="B4442" s="31" t="s">
        <v>15116</v>
      </c>
      <c r="C4442" s="31" t="s">
        <v>15117</v>
      </c>
      <c r="D4442" s="31" t="s">
        <v>1920</v>
      </c>
      <c r="E4442" s="61" t="b">
        <v>1</v>
      </c>
      <c r="F4442" s="106" t="s">
        <v>15118</v>
      </c>
      <c r="G4442" s="116" t="str">
        <f>HYPERLINK("http://nsgreg.nga.mil/genc/view?v=116190&amp;gencs=T&amp;end_month=3&amp;end_day=31&amp;end_year=2014","Surin")</f>
        <v>Surin</v>
      </c>
      <c r="H4442" s="87" t="str">
        <f>HYPERLINK("http://api.nsgreg.nga.mil/geo-division/ISO3166-2/6/ed3/TH-32","TH-32")</f>
        <v>TH-32</v>
      </c>
    </row>
    <row r="4443" spans="1:8" x14ac:dyDescent="0.2">
      <c r="A4443" s="157"/>
      <c r="B4443" s="31" t="s">
        <v>15119</v>
      </c>
      <c r="C4443" s="31" t="s">
        <v>15120</v>
      </c>
      <c r="D4443" s="31" t="s">
        <v>1920</v>
      </c>
      <c r="E4443" s="61" t="b">
        <v>1</v>
      </c>
      <c r="F4443" s="106" t="s">
        <v>15121</v>
      </c>
      <c r="G4443" s="116" t="str">
        <f>HYPERLINK("http://nsgreg.nga.mil/genc/view?v=116220&amp;gencs=T&amp;end_month=3&amp;end_day=31&amp;end_year=2014","Tak")</f>
        <v>Tak</v>
      </c>
      <c r="H4443" s="87" t="str">
        <f>HYPERLINK("http://api.nsgreg.nga.mil/geo-division/ISO3166-2/6/ed3/TH-63","TH-63")</f>
        <v>TH-63</v>
      </c>
    </row>
    <row r="4444" spans="1:8" x14ac:dyDescent="0.2">
      <c r="A4444" s="157"/>
      <c r="B4444" s="31" t="s">
        <v>15122</v>
      </c>
      <c r="C4444" s="31" t="s">
        <v>15123</v>
      </c>
      <c r="D4444" s="31" t="s">
        <v>1920</v>
      </c>
      <c r="E4444" s="61" t="b">
        <v>1</v>
      </c>
      <c r="F4444" s="106" t="s">
        <v>15124</v>
      </c>
      <c r="G4444" s="116" t="str">
        <f>HYPERLINK("http://nsgreg.nga.mil/genc/view?v=116242&amp;gencs=T&amp;end_month=3&amp;end_day=31&amp;end_year=2014","Trang")</f>
        <v>Trang</v>
      </c>
      <c r="H4444" s="87" t="str">
        <f>HYPERLINK("http://api.nsgreg.nga.mil/geo-division/ISO3166-2/6/ed3/TH-92","TH-92")</f>
        <v>TH-92</v>
      </c>
    </row>
    <row r="4445" spans="1:8" x14ac:dyDescent="0.2">
      <c r="A4445" s="157"/>
      <c r="B4445" s="31" t="s">
        <v>15125</v>
      </c>
      <c r="C4445" s="31" t="s">
        <v>15126</v>
      </c>
      <c r="D4445" s="31" t="s">
        <v>1920</v>
      </c>
      <c r="E4445" s="61" t="b">
        <v>1</v>
      </c>
      <c r="F4445" s="106" t="s">
        <v>15127</v>
      </c>
      <c r="G4445" s="116" t="str">
        <f>HYPERLINK("http://nsgreg.nga.mil/genc/view?v=116183&amp;gencs=T&amp;end_month=3&amp;end_day=31&amp;end_year=2014","Trat")</f>
        <v>Trat</v>
      </c>
      <c r="H4445" s="87" t="str">
        <f>HYPERLINK("http://api.nsgreg.nga.mil/geo-division/ISO3166-2/6/ed3/TH-23","TH-23")</f>
        <v>TH-23</v>
      </c>
    </row>
    <row r="4446" spans="1:8" x14ac:dyDescent="0.2">
      <c r="A4446" s="157"/>
      <c r="B4446" s="31" t="s">
        <v>15128</v>
      </c>
      <c r="C4446" s="31" t="s">
        <v>15129</v>
      </c>
      <c r="D4446" s="31" t="s">
        <v>1920</v>
      </c>
      <c r="E4446" s="61" t="b">
        <v>1</v>
      </c>
      <c r="F4446" s="106" t="s">
        <v>15130</v>
      </c>
      <c r="G4446" s="116" t="str">
        <f>HYPERLINK("http://nsgreg.nga.mil/genc/view?v=116192&amp;gencs=T&amp;end_month=3&amp;end_day=31&amp;end_year=2014","Ubon Ratchathani")</f>
        <v>Ubon Ratchathani</v>
      </c>
      <c r="H4446" s="87" t="str">
        <f>HYPERLINK("http://api.nsgreg.nga.mil/geo-division/ISO3166-2/6/ed3/TH-34","TH-34")</f>
        <v>TH-34</v>
      </c>
    </row>
    <row r="4447" spans="1:8" x14ac:dyDescent="0.2">
      <c r="A4447" s="157"/>
      <c r="B4447" s="31" t="s">
        <v>15131</v>
      </c>
      <c r="C4447" s="31" t="s">
        <v>15132</v>
      </c>
      <c r="D4447" s="31" t="s">
        <v>1920</v>
      </c>
      <c r="E4447" s="61" t="b">
        <v>1</v>
      </c>
      <c r="F4447" s="106" t="s">
        <v>15133</v>
      </c>
      <c r="G4447" s="116" t="str">
        <f>HYPERLINK("http://nsgreg.nga.mil/genc/view?v=116199&amp;gencs=T&amp;end_month=3&amp;end_day=31&amp;end_year=2014","Udon Thani")</f>
        <v>Udon Thani</v>
      </c>
      <c r="H4447" s="87" t="str">
        <f>HYPERLINK("http://api.nsgreg.nga.mil/geo-division/ISO3166-2/6/ed3/TH-41","TH-41")</f>
        <v>TH-41</v>
      </c>
    </row>
    <row r="4448" spans="1:8" x14ac:dyDescent="0.2">
      <c r="A4448" s="157"/>
      <c r="B4448" s="31" t="s">
        <v>15134</v>
      </c>
      <c r="C4448" s="31" t="s">
        <v>15135</v>
      </c>
      <c r="D4448" s="31" t="s">
        <v>1920</v>
      </c>
      <c r="E4448" s="61" t="b">
        <v>1</v>
      </c>
      <c r="F4448" s="106" t="s">
        <v>15136</v>
      </c>
      <c r="G4448" s="116" t="str">
        <f>HYPERLINK("http://nsgreg.nga.mil/genc/view?v=116218&amp;gencs=T&amp;end_month=3&amp;end_day=31&amp;end_year=2014","Uthai Thani")</f>
        <v>Uthai Thani</v>
      </c>
      <c r="H4448" s="87" t="str">
        <f>HYPERLINK("http://api.nsgreg.nga.mil/geo-division/ISO3166-2/6/ed3/TH-61","TH-61")</f>
        <v>TH-61</v>
      </c>
    </row>
    <row r="4449" spans="1:8" x14ac:dyDescent="0.2">
      <c r="A4449" s="157"/>
      <c r="B4449" s="31" t="s">
        <v>15137</v>
      </c>
      <c r="C4449" s="31" t="s">
        <v>15138</v>
      </c>
      <c r="D4449" s="31" t="s">
        <v>1920</v>
      </c>
      <c r="E4449" s="61" t="b">
        <v>1</v>
      </c>
      <c r="F4449" s="106" t="s">
        <v>15139</v>
      </c>
      <c r="G4449" s="116" t="str">
        <f>HYPERLINK("http://nsgreg.nga.mil/genc/view?v=116211&amp;gencs=T&amp;end_month=3&amp;end_day=31&amp;end_year=2014","Uttaradit")</f>
        <v>Uttaradit</v>
      </c>
      <c r="H4449" s="87" t="str">
        <f>HYPERLINK("http://api.nsgreg.nga.mil/geo-division/ISO3166-2/6/ed3/TH-53","TH-53")</f>
        <v>TH-53</v>
      </c>
    </row>
    <row r="4450" spans="1:8" x14ac:dyDescent="0.2">
      <c r="A4450" s="157"/>
      <c r="B4450" s="31" t="s">
        <v>15140</v>
      </c>
      <c r="C4450" s="31" t="s">
        <v>15141</v>
      </c>
      <c r="D4450" s="31" t="s">
        <v>1920</v>
      </c>
      <c r="E4450" s="61" t="b">
        <v>1</v>
      </c>
      <c r="F4450" s="106" t="s">
        <v>15142</v>
      </c>
      <c r="G4450" s="116" t="str">
        <f>HYPERLINK("http://nsgreg.nga.mil/genc/view?v=116245&amp;gencs=T&amp;end_month=3&amp;end_day=31&amp;end_year=2014","Yala")</f>
        <v>Yala</v>
      </c>
      <c r="H4450" s="87" t="str">
        <f>HYPERLINK("http://api.nsgreg.nga.mil/geo-division/ISO3166-2/6/ed3/TH-95","TH-95")</f>
        <v>TH-95</v>
      </c>
    </row>
    <row r="4451" spans="1:8" x14ac:dyDescent="0.2">
      <c r="A4451" s="158"/>
      <c r="B4451" s="58" t="s">
        <v>15143</v>
      </c>
      <c r="C4451" s="58" t="s">
        <v>15144</v>
      </c>
      <c r="D4451" s="58" t="s">
        <v>1920</v>
      </c>
      <c r="E4451" s="62" t="b">
        <v>1</v>
      </c>
      <c r="F4451" s="108" t="s">
        <v>15145</v>
      </c>
      <c r="G4451" s="117" t="str">
        <f>HYPERLINK("http://nsgreg.nga.mil/genc/view?v=116193&amp;gencs=T&amp;end_month=3&amp;end_day=31&amp;end_year=2014","Yasothon")</f>
        <v>Yasothon</v>
      </c>
      <c r="H4451" s="89" t="str">
        <f>HYPERLINK("http://api.nsgreg.nga.mil/geo-division/ISO3166-2/6/ed3/TH-35","TH-35")</f>
        <v>TH-35</v>
      </c>
    </row>
    <row r="4452" spans="1:8" x14ac:dyDescent="0.2">
      <c r="A4452" s="156" t="str">
        <f>HYPERLINK("[#]Geopolitical_Entities!A252:I252","TIMOR-LESTE")</f>
        <v>TIMOR-LESTE</v>
      </c>
      <c r="B4452" s="52" t="s">
        <v>15146</v>
      </c>
      <c r="C4452" s="52" t="s">
        <v>15147</v>
      </c>
      <c r="D4452" s="52" t="s">
        <v>2026</v>
      </c>
      <c r="E4452" s="60" t="b">
        <v>1</v>
      </c>
      <c r="F4452" s="110" t="s">
        <v>15148</v>
      </c>
      <c r="G4452" s="118" t="str">
        <f>HYPERLINK("http://nsgreg.nga.mil/genc/view?v=203095&amp;end_month=3&amp;end_day=31&amp;end_year=2014","Aileu")</f>
        <v>Aileu</v>
      </c>
      <c r="H4452" s="91" t="str">
        <f>HYPERLINK("http://api.nsgreg.nga.mil/geo-division/GENC/6/ed2/TL-AL","TL-AL")</f>
        <v>TL-AL</v>
      </c>
    </row>
    <row r="4453" spans="1:8" x14ac:dyDescent="0.2">
      <c r="A4453" s="157"/>
      <c r="B4453" s="31" t="s">
        <v>15149</v>
      </c>
      <c r="C4453" s="31" t="s">
        <v>15150</v>
      </c>
      <c r="D4453" s="31" t="s">
        <v>2026</v>
      </c>
      <c r="E4453" s="61" t="b">
        <v>1</v>
      </c>
      <c r="F4453" s="107" t="s">
        <v>15151</v>
      </c>
      <c r="G4453" s="116" t="str">
        <f>HYPERLINK("http://nsgreg.nga.mil/genc/view?v=203096&amp;end_month=3&amp;end_day=31&amp;end_year=2014","Ainaro")</f>
        <v>Ainaro</v>
      </c>
      <c r="H4453" s="87" t="str">
        <f>HYPERLINK("http://api.nsgreg.nga.mil/geo-division/GENC/6/ed2/TL-AN","TL-AN")</f>
        <v>TL-AN</v>
      </c>
    </row>
    <row r="4454" spans="1:8" x14ac:dyDescent="0.2">
      <c r="A4454" s="157"/>
      <c r="B4454" s="31" t="s">
        <v>15152</v>
      </c>
      <c r="C4454" s="31" t="s">
        <v>15153</v>
      </c>
      <c r="D4454" s="31" t="s">
        <v>2026</v>
      </c>
      <c r="E4454" s="61" t="b">
        <v>1</v>
      </c>
      <c r="F4454" s="107" t="s">
        <v>15154</v>
      </c>
      <c r="G4454" s="116" t="str">
        <f>HYPERLINK("http://nsgreg.nga.mil/genc/view?v=203097&amp;end_month=3&amp;end_day=31&amp;end_year=2014","Baucau")</f>
        <v>Baucau</v>
      </c>
      <c r="H4454" s="87" t="str">
        <f>HYPERLINK("http://api.nsgreg.nga.mil/geo-division/GENC/6/ed2/TL-BA","TL-BA")</f>
        <v>TL-BA</v>
      </c>
    </row>
    <row r="4455" spans="1:8" x14ac:dyDescent="0.2">
      <c r="A4455" s="157"/>
      <c r="B4455" s="31" t="s">
        <v>15155</v>
      </c>
      <c r="C4455" s="31" t="s">
        <v>15156</v>
      </c>
      <c r="D4455" s="31" t="s">
        <v>2026</v>
      </c>
      <c r="E4455" s="61" t="b">
        <v>1</v>
      </c>
      <c r="F4455" s="107" t="s">
        <v>15157</v>
      </c>
      <c r="G4455" s="116" t="str">
        <f>HYPERLINK("http://nsgreg.nga.mil/genc/view?v=203098&amp;end_month=3&amp;end_day=31&amp;end_year=2014","Bobonaro")</f>
        <v>Bobonaro</v>
      </c>
      <c r="H4455" s="87" t="str">
        <f>HYPERLINK("http://api.nsgreg.nga.mil/geo-division/GENC/6/ed2/TL-BO","TL-BO")</f>
        <v>TL-BO</v>
      </c>
    </row>
    <row r="4456" spans="1:8" x14ac:dyDescent="0.2">
      <c r="A4456" s="157"/>
      <c r="B4456" s="31" t="s">
        <v>15158</v>
      </c>
      <c r="C4456" s="31" t="s">
        <v>15159</v>
      </c>
      <c r="D4456" s="31" t="s">
        <v>2026</v>
      </c>
      <c r="E4456" s="61" t="b">
        <v>1</v>
      </c>
      <c r="F4456" s="107" t="s">
        <v>15160</v>
      </c>
      <c r="G4456" s="116" t="str">
        <f>HYPERLINK("http://nsgreg.nga.mil/genc/view?v=203099&amp;end_month=3&amp;end_day=31&amp;end_year=2014","Cova Lima")</f>
        <v>Cova Lima</v>
      </c>
      <c r="H4456" s="87" t="str">
        <f>HYPERLINK("http://api.nsgreg.nga.mil/geo-division/GENC/6/ed2/TL-CO","TL-CO")</f>
        <v>TL-CO</v>
      </c>
    </row>
    <row r="4457" spans="1:8" x14ac:dyDescent="0.2">
      <c r="A4457" s="157"/>
      <c r="B4457" s="31" t="s">
        <v>15161</v>
      </c>
      <c r="C4457" s="31" t="s">
        <v>15162</v>
      </c>
      <c r="D4457" s="31" t="s">
        <v>2026</v>
      </c>
      <c r="E4457" s="61" t="b">
        <v>1</v>
      </c>
      <c r="F4457" s="107" t="s">
        <v>15163</v>
      </c>
      <c r="G4457" s="116" t="str">
        <f>HYPERLINK("http://nsgreg.nga.mil/genc/view?v=203100&amp;end_month=3&amp;end_day=31&amp;end_year=2014","Díli")</f>
        <v>Díli</v>
      </c>
      <c r="H4457" s="87" t="str">
        <f>HYPERLINK("http://api.nsgreg.nga.mil/geo-division/GENC/6/ed2/TL-DI","TL-DI")</f>
        <v>TL-DI</v>
      </c>
    </row>
    <row r="4458" spans="1:8" x14ac:dyDescent="0.2">
      <c r="A4458" s="157"/>
      <c r="B4458" s="31" t="s">
        <v>15164</v>
      </c>
      <c r="C4458" s="31" t="s">
        <v>15165</v>
      </c>
      <c r="D4458" s="31" t="s">
        <v>2026</v>
      </c>
      <c r="E4458" s="61" t="b">
        <v>1</v>
      </c>
      <c r="F4458" s="107" t="s">
        <v>15166</v>
      </c>
      <c r="G4458" s="116" t="str">
        <f>HYPERLINK("http://nsgreg.nga.mil/genc/view?v=203101&amp;end_month=3&amp;end_day=31&amp;end_year=2014","Ermera")</f>
        <v>Ermera</v>
      </c>
      <c r="H4458" s="87" t="str">
        <f>HYPERLINK("http://api.nsgreg.nga.mil/geo-division/GENC/6/ed2/TL-ER","TL-ER")</f>
        <v>TL-ER</v>
      </c>
    </row>
    <row r="4459" spans="1:8" x14ac:dyDescent="0.2">
      <c r="A4459" s="157"/>
      <c r="B4459" s="31" t="s">
        <v>15167</v>
      </c>
      <c r="C4459" s="31" t="s">
        <v>15168</v>
      </c>
      <c r="D4459" s="31" t="s">
        <v>2026</v>
      </c>
      <c r="E4459" s="61" t="b">
        <v>1</v>
      </c>
      <c r="F4459" s="107" t="s">
        <v>15169</v>
      </c>
      <c r="G4459" s="116" t="str">
        <f>HYPERLINK("http://nsgreg.nga.mil/genc/view?v=203102&amp;end_month=3&amp;end_day=31&amp;end_year=2014","Lautém")</f>
        <v>Lautém</v>
      </c>
      <c r="H4459" s="87" t="str">
        <f>HYPERLINK("http://api.nsgreg.nga.mil/geo-division/GENC/6/ed2/TL-LA","TL-LA")</f>
        <v>TL-LA</v>
      </c>
    </row>
    <row r="4460" spans="1:8" x14ac:dyDescent="0.2">
      <c r="A4460" s="157"/>
      <c r="B4460" s="31" t="s">
        <v>15170</v>
      </c>
      <c r="C4460" s="31" t="s">
        <v>15171</v>
      </c>
      <c r="D4460" s="31" t="s">
        <v>2026</v>
      </c>
      <c r="E4460" s="61" t="b">
        <v>1</v>
      </c>
      <c r="F4460" s="107" t="s">
        <v>15172</v>
      </c>
      <c r="G4460" s="116" t="str">
        <f>HYPERLINK("http://nsgreg.nga.mil/genc/view?v=203103&amp;end_month=3&amp;end_day=31&amp;end_year=2014","Liquiçá")</f>
        <v>Liquiçá</v>
      </c>
      <c r="H4460" s="87" t="str">
        <f>HYPERLINK("http://api.nsgreg.nga.mil/geo-division/GENC/6/ed2/TL-LI","TL-LI")</f>
        <v>TL-LI</v>
      </c>
    </row>
    <row r="4461" spans="1:8" x14ac:dyDescent="0.2">
      <c r="A4461" s="157"/>
      <c r="B4461" s="31" t="s">
        <v>15173</v>
      </c>
      <c r="C4461" s="31" t="s">
        <v>15174</v>
      </c>
      <c r="D4461" s="31" t="s">
        <v>2026</v>
      </c>
      <c r="E4461" s="61" t="b">
        <v>1</v>
      </c>
      <c r="F4461" s="107" t="s">
        <v>15175</v>
      </c>
      <c r="G4461" s="116" t="str">
        <f>HYPERLINK("http://nsgreg.nga.mil/genc/view?v=203105&amp;end_month=3&amp;end_day=31&amp;end_year=2014","Manatuto")</f>
        <v>Manatuto</v>
      </c>
      <c r="H4461" s="87" t="str">
        <f>HYPERLINK("http://api.nsgreg.nga.mil/geo-division/GENC/6/ed2/TL-MT","TL-MT")</f>
        <v>TL-MT</v>
      </c>
    </row>
    <row r="4462" spans="1:8" x14ac:dyDescent="0.2">
      <c r="A4462" s="157"/>
      <c r="B4462" s="31" t="s">
        <v>15176</v>
      </c>
      <c r="C4462" s="31" t="s">
        <v>15177</v>
      </c>
      <c r="D4462" s="31" t="s">
        <v>2026</v>
      </c>
      <c r="E4462" s="61" t="b">
        <v>1</v>
      </c>
      <c r="F4462" s="107" t="s">
        <v>15178</v>
      </c>
      <c r="G4462" s="116" t="str">
        <f>HYPERLINK("http://nsgreg.nga.mil/genc/view?v=203104&amp;end_month=3&amp;end_day=31&amp;end_year=2014","Manufahi")</f>
        <v>Manufahi</v>
      </c>
      <c r="H4462" s="87" t="str">
        <f>HYPERLINK("http://api.nsgreg.nga.mil/geo-division/GENC/6/ed2/TL-MF","TL-MF")</f>
        <v>TL-MF</v>
      </c>
    </row>
    <row r="4463" spans="1:8" x14ac:dyDescent="0.2">
      <c r="A4463" s="157"/>
      <c r="B4463" s="31" t="s">
        <v>15179</v>
      </c>
      <c r="C4463" s="31" t="s">
        <v>15180</v>
      </c>
      <c r="D4463" s="31" t="s">
        <v>2026</v>
      </c>
      <c r="E4463" s="61" t="b">
        <v>1</v>
      </c>
      <c r="F4463" s="107" t="s">
        <v>15181</v>
      </c>
      <c r="G4463" s="116" t="str">
        <f>HYPERLINK("http://nsgreg.nga.mil/genc/view?v=203106&amp;end_month=3&amp;end_day=31&amp;end_year=2014","Oecussi-Ambeno")</f>
        <v>Oecussi-Ambeno</v>
      </c>
      <c r="H4463" s="87" t="str">
        <f>HYPERLINK("http://api.nsgreg.nga.mil/geo-division/GENC/6/ed2/TL-OE","TL-OE")</f>
        <v>TL-OE</v>
      </c>
    </row>
    <row r="4464" spans="1:8" x14ac:dyDescent="0.2">
      <c r="A4464" s="158"/>
      <c r="B4464" s="58" t="s">
        <v>15182</v>
      </c>
      <c r="C4464" s="58" t="s">
        <v>15183</v>
      </c>
      <c r="D4464" s="58" t="s">
        <v>2026</v>
      </c>
      <c r="E4464" s="62" t="b">
        <v>1</v>
      </c>
      <c r="F4464" s="111" t="s">
        <v>15184</v>
      </c>
      <c r="G4464" s="117" t="str">
        <f>HYPERLINK("http://nsgreg.nga.mil/genc/view?v=203107&amp;end_month=3&amp;end_day=31&amp;end_year=2014","Viqueque")</f>
        <v>Viqueque</v>
      </c>
      <c r="H4464" s="89" t="str">
        <f>HYPERLINK("http://api.nsgreg.nga.mil/geo-division/GENC/6/ed2/TL-VI","TL-VI")</f>
        <v>TL-VI</v>
      </c>
    </row>
    <row r="4465" spans="1:8" x14ac:dyDescent="0.2">
      <c r="A4465" s="156" t="str">
        <f>HYPERLINK("[#]Geopolitical_Entities!A253:I253","TOGO")</f>
        <v>TOGO</v>
      </c>
      <c r="B4465" s="52" t="s">
        <v>15185</v>
      </c>
      <c r="C4465" s="52" t="s">
        <v>15186</v>
      </c>
      <c r="D4465" s="52" t="s">
        <v>3137</v>
      </c>
      <c r="E4465" s="60" t="b">
        <v>1</v>
      </c>
      <c r="F4465" s="110" t="s">
        <v>15187</v>
      </c>
      <c r="G4465" s="118" t="str">
        <f>HYPERLINK("http://nsgreg.nga.mil/genc/view?v=203083&amp;end_month=3&amp;end_day=31&amp;end_year=2014","Centrale")</f>
        <v>Centrale</v>
      </c>
      <c r="H4465" s="91" t="str">
        <f>HYPERLINK("http://api.nsgreg.nga.mil/geo-division/GENC/6/ed2/TG-C","TG-C")</f>
        <v>TG-C</v>
      </c>
    </row>
    <row r="4466" spans="1:8" x14ac:dyDescent="0.2">
      <c r="A4466" s="157"/>
      <c r="B4466" s="31" t="s">
        <v>15188</v>
      </c>
      <c r="C4466" s="31" t="s">
        <v>15189</v>
      </c>
      <c r="D4466" s="31" t="s">
        <v>3137</v>
      </c>
      <c r="E4466" s="61" t="b">
        <v>1</v>
      </c>
      <c r="F4466" s="106" t="s">
        <v>15190</v>
      </c>
      <c r="G4466" s="116" t="str">
        <f>HYPERLINK("http://nsgreg.nga.mil/genc/view?v=116166&amp;gencs=T&amp;end_month=3&amp;end_day=31&amp;end_year=2014","Kara")</f>
        <v>Kara</v>
      </c>
      <c r="H4466" s="87" t="str">
        <f>HYPERLINK("http://api.nsgreg.nga.mil/geo-division/ISO3166-2/6/ed3/TG-K","TG-K")</f>
        <v>TG-K</v>
      </c>
    </row>
    <row r="4467" spans="1:8" x14ac:dyDescent="0.2">
      <c r="A4467" s="157"/>
      <c r="B4467" s="31" t="s">
        <v>15191</v>
      </c>
      <c r="C4467" s="31" t="s">
        <v>15192</v>
      </c>
      <c r="D4467" s="31" t="s">
        <v>3137</v>
      </c>
      <c r="E4467" s="61" t="b">
        <v>1</v>
      </c>
      <c r="F4467" s="107" t="s">
        <v>15193</v>
      </c>
      <c r="G4467" s="116" t="str">
        <f>HYPERLINK("http://nsgreg.nga.mil/genc/view?v=203084&amp;end_month=3&amp;end_day=31&amp;end_year=2014","Maritime")</f>
        <v>Maritime</v>
      </c>
      <c r="H4467" s="87" t="str">
        <f>HYPERLINK("http://api.nsgreg.nga.mil/geo-division/GENC/6/ed2/TG-M","TG-M")</f>
        <v>TG-M</v>
      </c>
    </row>
    <row r="4468" spans="1:8" x14ac:dyDescent="0.2">
      <c r="A4468" s="157"/>
      <c r="B4468" s="31" t="s">
        <v>15194</v>
      </c>
      <c r="C4468" s="31" t="s">
        <v>4531</v>
      </c>
      <c r="D4468" s="31" t="s">
        <v>3137</v>
      </c>
      <c r="E4468" s="61" t="b">
        <v>1</v>
      </c>
      <c r="F4468" s="106" t="s">
        <v>15195</v>
      </c>
      <c r="G4468" s="116" t="str">
        <f>HYPERLINK("http://nsgreg.nga.mil/genc/view?v=116168&amp;gencs=T&amp;end_month=3&amp;end_day=31&amp;end_year=2014","Plateaux")</f>
        <v>Plateaux</v>
      </c>
      <c r="H4468" s="87" t="str">
        <f>HYPERLINK("http://api.nsgreg.nga.mil/geo-division/ISO3166-2/6/ed3/TG-P","TG-P")</f>
        <v>TG-P</v>
      </c>
    </row>
    <row r="4469" spans="1:8" x14ac:dyDescent="0.2">
      <c r="A4469" s="158"/>
      <c r="B4469" s="58" t="s">
        <v>15196</v>
      </c>
      <c r="C4469" s="58" t="s">
        <v>4648</v>
      </c>
      <c r="D4469" s="58" t="s">
        <v>3137</v>
      </c>
      <c r="E4469" s="62" t="b">
        <v>1</v>
      </c>
      <c r="F4469" s="111" t="s">
        <v>15197</v>
      </c>
      <c r="G4469" s="117" t="str">
        <f>HYPERLINK("http://nsgreg.nga.mil/genc/view?v=203085&amp;end_month=3&amp;end_day=31&amp;end_year=2014","Savanes")</f>
        <v>Savanes</v>
      </c>
      <c r="H4469" s="89" t="str">
        <f>HYPERLINK("http://api.nsgreg.nga.mil/geo-division/GENC/6/ed2/TG-S","TG-S")</f>
        <v>TG-S</v>
      </c>
    </row>
    <row r="4470" spans="1:8" x14ac:dyDescent="0.2">
      <c r="A4470" s="156" t="str">
        <f>HYPERLINK("[#]Geopolitical_Entities!A255:I255","TONGA")</f>
        <v>TONGA</v>
      </c>
      <c r="B4470" s="52" t="s">
        <v>15198</v>
      </c>
      <c r="C4470" s="52" t="s">
        <v>15199</v>
      </c>
      <c r="D4470" s="52" t="s">
        <v>2912</v>
      </c>
      <c r="E4470" s="60" t="b">
        <v>1</v>
      </c>
      <c r="F4470" s="110" t="s">
        <v>15200</v>
      </c>
      <c r="G4470" s="118" t="str">
        <f>HYPERLINK("http://nsgreg.nga.mil/genc/view?v=203137&amp;end_month=3&amp;end_day=31&amp;end_year=2014","‘Eua")</f>
        <v>‘Eua</v>
      </c>
      <c r="H4470" s="91" t="str">
        <f>HYPERLINK("http://api.nsgreg.nga.mil/geo-division/GENC/6/ed2/TO-01","TO-01")</f>
        <v>TO-01</v>
      </c>
    </row>
    <row r="4471" spans="1:8" x14ac:dyDescent="0.2">
      <c r="A4471" s="157"/>
      <c r="B4471" s="31" t="s">
        <v>15201</v>
      </c>
      <c r="C4471" s="31" t="s">
        <v>15202</v>
      </c>
      <c r="D4471" s="31" t="s">
        <v>2912</v>
      </c>
      <c r="E4471" s="61" t="b">
        <v>1</v>
      </c>
      <c r="F4471" s="107" t="s">
        <v>15203</v>
      </c>
      <c r="G4471" s="116" t="str">
        <f>HYPERLINK("http://nsgreg.nga.mil/genc/view?v=203138&amp;end_month=3&amp;end_day=31&amp;end_year=2014","Ha‘apai")</f>
        <v>Ha‘apai</v>
      </c>
      <c r="H4471" s="87" t="str">
        <f>HYPERLINK("http://api.nsgreg.nga.mil/geo-division/GENC/6/ed2/TO-02","TO-02")</f>
        <v>TO-02</v>
      </c>
    </row>
    <row r="4472" spans="1:8" x14ac:dyDescent="0.2">
      <c r="A4472" s="157"/>
      <c r="B4472" s="31" t="s">
        <v>15204</v>
      </c>
      <c r="C4472" s="31" t="s">
        <v>15205</v>
      </c>
      <c r="D4472" s="31" t="s">
        <v>2912</v>
      </c>
      <c r="E4472" s="61" t="b">
        <v>1</v>
      </c>
      <c r="F4472" s="107" t="s">
        <v>15206</v>
      </c>
      <c r="G4472" s="116" t="str">
        <f>HYPERLINK("http://nsgreg.nga.mil/genc/view?v=203139&amp;end_month=3&amp;end_day=31&amp;end_year=2014","Ongo Niua")</f>
        <v>Ongo Niua</v>
      </c>
      <c r="H4472" s="87" t="str">
        <f>HYPERLINK("http://api.nsgreg.nga.mil/geo-division/GENC/6/ed2/TO-03","TO-03")</f>
        <v>TO-03</v>
      </c>
    </row>
    <row r="4473" spans="1:8" x14ac:dyDescent="0.2">
      <c r="A4473" s="157"/>
      <c r="B4473" s="31" t="s">
        <v>15207</v>
      </c>
      <c r="C4473" s="31" t="s">
        <v>15208</v>
      </c>
      <c r="D4473" s="31" t="s">
        <v>2912</v>
      </c>
      <c r="E4473" s="61" t="b">
        <v>1</v>
      </c>
      <c r="F4473" s="107" t="s">
        <v>15209</v>
      </c>
      <c r="G4473" s="116" t="str">
        <f>HYPERLINK("http://nsgreg.nga.mil/genc/view?v=203140&amp;end_month=3&amp;end_day=31&amp;end_year=2014","Tongatapu")</f>
        <v>Tongatapu</v>
      </c>
      <c r="H4473" s="87" t="str">
        <f>HYPERLINK("http://api.nsgreg.nga.mil/geo-division/GENC/6/ed2/TO-04","TO-04")</f>
        <v>TO-04</v>
      </c>
    </row>
    <row r="4474" spans="1:8" x14ac:dyDescent="0.2">
      <c r="A4474" s="158"/>
      <c r="B4474" s="58" t="s">
        <v>15210</v>
      </c>
      <c r="C4474" s="58" t="s">
        <v>15211</v>
      </c>
      <c r="D4474" s="58" t="s">
        <v>2912</v>
      </c>
      <c r="E4474" s="62" t="b">
        <v>1</v>
      </c>
      <c r="F4474" s="111" t="s">
        <v>15212</v>
      </c>
      <c r="G4474" s="117" t="str">
        <f>HYPERLINK("http://nsgreg.nga.mil/genc/view?v=203141&amp;end_month=3&amp;end_day=31&amp;end_year=2014","Vava‘u")</f>
        <v>Vava‘u</v>
      </c>
      <c r="H4474" s="89" t="str">
        <f>HYPERLINK("http://api.nsgreg.nga.mil/geo-division/GENC/6/ed2/TO-05","TO-05")</f>
        <v>TO-05</v>
      </c>
    </row>
    <row r="4475" spans="1:8" x14ac:dyDescent="0.2">
      <c r="A4475" s="156" t="str">
        <f>HYPERLINK("[#]Geopolitical_Entities!A256:I256","TRINIDAD AND TOBAGO")</f>
        <v>TRINIDAD AND TOBAGO</v>
      </c>
      <c r="B4475" s="52" t="s">
        <v>15213</v>
      </c>
      <c r="C4475" s="52" t="s">
        <v>15214</v>
      </c>
      <c r="D4475" s="52" t="s">
        <v>3254</v>
      </c>
      <c r="E4475" s="60" t="b">
        <v>1</v>
      </c>
      <c r="F4475" s="109" t="s">
        <v>15215</v>
      </c>
      <c r="G4475" s="118" t="str">
        <f>HYPERLINK("http://nsgreg.nga.mil/genc/view?v=116380&amp;gencs=T&amp;end_month=3&amp;end_day=31&amp;end_year=2014","Arima")</f>
        <v>Arima</v>
      </c>
      <c r="H4475" s="91" t="str">
        <f>HYPERLINK("http://api.nsgreg.nga.mil/geo-division/ISO3166-2/6/ed3/TT-ARI","TT-ARI")</f>
        <v>TT-ARI</v>
      </c>
    </row>
    <row r="4476" spans="1:8" x14ac:dyDescent="0.2">
      <c r="A4476" s="157"/>
      <c r="B4476" s="31" t="s">
        <v>15216</v>
      </c>
      <c r="C4476" s="31" t="s">
        <v>15217</v>
      </c>
      <c r="D4476" s="31" t="s">
        <v>3254</v>
      </c>
      <c r="E4476" s="61" t="b">
        <v>1</v>
      </c>
      <c r="F4476" s="106" t="s">
        <v>15218</v>
      </c>
      <c r="G4476" s="116" t="str">
        <f>HYPERLINK("http://nsgreg.nga.mil/genc/view?v=116381&amp;gencs=T&amp;end_month=3&amp;end_day=31&amp;end_year=2014","Chaguanas")</f>
        <v>Chaguanas</v>
      </c>
      <c r="H4476" s="87" t="str">
        <f>HYPERLINK("http://api.nsgreg.nga.mil/geo-division/ISO3166-2/6/ed3/TT-CHA","TT-CHA")</f>
        <v>TT-CHA</v>
      </c>
    </row>
    <row r="4477" spans="1:8" x14ac:dyDescent="0.2">
      <c r="A4477" s="157"/>
      <c r="B4477" s="31" t="s">
        <v>15219</v>
      </c>
      <c r="C4477" s="31" t="s">
        <v>15220</v>
      </c>
      <c r="D4477" s="31" t="s">
        <v>3137</v>
      </c>
      <c r="E4477" s="61" t="b">
        <v>1</v>
      </c>
      <c r="F4477" s="107" t="s">
        <v>15221</v>
      </c>
      <c r="G4477" s="116" t="str">
        <f>HYPERLINK("http://nsgreg.nga.mil/genc/view?v=203142&amp;end_month=3&amp;end_day=31&amp;end_year=2014","Couva/Tabaquite/Talparo")</f>
        <v>Couva/Tabaquite/Talparo</v>
      </c>
      <c r="H4477" s="87" t="str">
        <f>HYPERLINK("http://api.nsgreg.nga.mil/geo-division/GENC/6/ed2/TT-CTT","TT-CTT")</f>
        <v>TT-CTT</v>
      </c>
    </row>
    <row r="4478" spans="1:8" x14ac:dyDescent="0.2">
      <c r="A4478" s="157"/>
      <c r="B4478" s="31" t="s">
        <v>15222</v>
      </c>
      <c r="C4478" s="31" t="s">
        <v>15223</v>
      </c>
      <c r="D4478" s="31" t="s">
        <v>3137</v>
      </c>
      <c r="E4478" s="61" t="b">
        <v>1</v>
      </c>
      <c r="F4478" s="106" t="s">
        <v>15224</v>
      </c>
      <c r="G4478" s="116" t="str">
        <f>HYPERLINK("http://nsgreg.nga.mil/genc/view?v=116383&amp;gencs=T&amp;end_month=3&amp;end_day=31&amp;end_year=2014","Diego Martin")</f>
        <v>Diego Martin</v>
      </c>
      <c r="H4478" s="87" t="str">
        <f>HYPERLINK("http://api.nsgreg.nga.mil/geo-division/ISO3166-2/6/ed3/TT-DMN","TT-DMN")</f>
        <v>TT-DMN</v>
      </c>
    </row>
    <row r="4479" spans="1:8" x14ac:dyDescent="0.2">
      <c r="A4479" s="157"/>
      <c r="B4479" s="31" t="s">
        <v>15225</v>
      </c>
      <c r="C4479" s="31" t="s">
        <v>15226</v>
      </c>
      <c r="D4479" s="98" t="s">
        <v>3137</v>
      </c>
      <c r="E4479" s="99" t="b">
        <v>0</v>
      </c>
      <c r="F4479" s="107" t="s">
        <v>15227</v>
      </c>
      <c r="G4479" s="116" t="str">
        <f>HYPERLINK("http://nsgreg.nga.mil/genc/view?v=203143&amp;end_month=3&amp;end_day=31&amp;end_year=2014","Eastern Tobago")</f>
        <v>Eastern Tobago</v>
      </c>
      <c r="H4479" s="87" t="str">
        <f>HYPERLINK("http://api.nsgreg.nga.mil/geo-division/GENC/6/ed2/TT-ETO","TT-ETO")</f>
        <v>TT-ETO</v>
      </c>
    </row>
    <row r="4480" spans="1:8" x14ac:dyDescent="0.2">
      <c r="A4480" s="157"/>
      <c r="B4480" s="31" t="s">
        <v>15228</v>
      </c>
      <c r="C4480" s="31" t="s">
        <v>15229</v>
      </c>
      <c r="D4480" s="31" t="s">
        <v>3137</v>
      </c>
      <c r="E4480" s="61" t="b">
        <v>1</v>
      </c>
      <c r="F4480" s="107" t="s">
        <v>15230</v>
      </c>
      <c r="G4480" s="116" t="str">
        <f>HYPERLINK("http://nsgreg.nga.mil/genc/view?v=203145&amp;end_month=3&amp;end_day=31&amp;end_year=2014","Mayaro/Rio Claro")</f>
        <v>Mayaro/Rio Claro</v>
      </c>
      <c r="H4480" s="87" t="str">
        <f>HYPERLINK("http://api.nsgreg.nga.mil/geo-division/GENC/6/ed2/TT-RCM","TT-RCM")</f>
        <v>TT-RCM</v>
      </c>
    </row>
    <row r="4481" spans="1:8" x14ac:dyDescent="0.2">
      <c r="A4481" s="157"/>
      <c r="B4481" s="31" t="s">
        <v>15231</v>
      </c>
      <c r="C4481" s="31" t="s">
        <v>15232</v>
      </c>
      <c r="D4481" s="31" t="s">
        <v>3137</v>
      </c>
      <c r="E4481" s="61" t="b">
        <v>1</v>
      </c>
      <c r="F4481" s="107" t="s">
        <v>15233</v>
      </c>
      <c r="G4481" s="116" t="str">
        <f>HYPERLINK("http://nsgreg.nga.mil/genc/view?v=203144&amp;end_month=3&amp;end_day=31&amp;end_year=2014","Penal/Debe")</f>
        <v>Penal/Debe</v>
      </c>
      <c r="H4481" s="87" t="str">
        <f>HYPERLINK("http://api.nsgreg.nga.mil/geo-division/GENC/6/ed2/TT-PED","TT-PED")</f>
        <v>TT-PED</v>
      </c>
    </row>
    <row r="4482" spans="1:8" x14ac:dyDescent="0.2">
      <c r="A4482" s="157"/>
      <c r="B4482" s="31" t="s">
        <v>15234</v>
      </c>
      <c r="C4482" s="31" t="s">
        <v>15235</v>
      </c>
      <c r="D4482" s="31" t="s">
        <v>3254</v>
      </c>
      <c r="E4482" s="61" t="b">
        <v>1</v>
      </c>
      <c r="F4482" s="106" t="s">
        <v>15236</v>
      </c>
      <c r="G4482" s="116" t="str">
        <f>HYPERLINK("http://nsgreg.nga.mil/genc/view?v=116388&amp;gencs=T&amp;end_month=3&amp;end_day=31&amp;end_year=2014","Point Fortin")</f>
        <v>Point Fortin</v>
      </c>
      <c r="H4482" s="87" t="str">
        <f>HYPERLINK("http://api.nsgreg.nga.mil/geo-division/ISO3166-2/6/ed3/TT-PTF","TT-PTF")</f>
        <v>TT-PTF</v>
      </c>
    </row>
    <row r="4483" spans="1:8" x14ac:dyDescent="0.2">
      <c r="A4483" s="157"/>
      <c r="B4483" s="31" t="s">
        <v>15237</v>
      </c>
      <c r="C4483" s="31" t="s">
        <v>15238</v>
      </c>
      <c r="D4483" s="31" t="s">
        <v>3254</v>
      </c>
      <c r="E4483" s="61" t="b">
        <v>1</v>
      </c>
      <c r="F4483" s="106" t="s">
        <v>15239</v>
      </c>
      <c r="G4483" s="116" t="str">
        <f>HYPERLINK("http://nsgreg.nga.mil/genc/view?v=116386&amp;gencs=T&amp;end_month=3&amp;end_day=31&amp;end_year=2014","Port of Spain")</f>
        <v>Port of Spain</v>
      </c>
      <c r="H4483" s="87" t="str">
        <f>HYPERLINK("http://api.nsgreg.nga.mil/geo-division/ISO3166-2/6/ed3/TT-POS","TT-POS")</f>
        <v>TT-POS</v>
      </c>
    </row>
    <row r="4484" spans="1:8" x14ac:dyDescent="0.2">
      <c r="A4484" s="157"/>
      <c r="B4484" s="31" t="s">
        <v>15240</v>
      </c>
      <c r="C4484" s="31" t="s">
        <v>15241</v>
      </c>
      <c r="D4484" s="31" t="s">
        <v>3137</v>
      </c>
      <c r="E4484" s="61" t="b">
        <v>1</v>
      </c>
      <c r="F4484" s="106" t="s">
        <v>15242</v>
      </c>
      <c r="G4484" s="116" t="str">
        <f>HYPERLINK("http://nsgreg.nga.mil/genc/view?v=116387&amp;gencs=T&amp;end_month=3&amp;end_day=31&amp;end_year=2014","Princes Town")</f>
        <v>Princes Town</v>
      </c>
      <c r="H4484" s="87" t="str">
        <f>HYPERLINK("http://api.nsgreg.nga.mil/geo-division/ISO3166-2/6/ed3/TT-PRT","TT-PRT")</f>
        <v>TT-PRT</v>
      </c>
    </row>
    <row r="4485" spans="1:8" x14ac:dyDescent="0.2">
      <c r="A4485" s="157"/>
      <c r="B4485" s="31" t="s">
        <v>15243</v>
      </c>
      <c r="C4485" s="31" t="s">
        <v>15244</v>
      </c>
      <c r="D4485" s="31" t="s">
        <v>3254</v>
      </c>
      <c r="E4485" s="61" t="b">
        <v>1</v>
      </c>
      <c r="F4485" s="106" t="s">
        <v>15245</v>
      </c>
      <c r="G4485" s="116" t="str">
        <f>HYPERLINK("http://nsgreg.nga.mil/genc/view?v=116390&amp;gencs=T&amp;end_month=3&amp;end_day=31&amp;end_year=2014","San Fernando")</f>
        <v>San Fernando</v>
      </c>
      <c r="H4485" s="87" t="str">
        <f>HYPERLINK("http://api.nsgreg.nga.mil/geo-division/ISO3166-2/6/ed3/TT-SFO","TT-SFO")</f>
        <v>TT-SFO</v>
      </c>
    </row>
    <row r="4486" spans="1:8" x14ac:dyDescent="0.2">
      <c r="A4486" s="157"/>
      <c r="B4486" s="31" t="s">
        <v>15246</v>
      </c>
      <c r="C4486" s="31" t="s">
        <v>15247</v>
      </c>
      <c r="D4486" s="31" t="s">
        <v>3137</v>
      </c>
      <c r="E4486" s="61" t="b">
        <v>1</v>
      </c>
      <c r="F4486" s="106" t="s">
        <v>15248</v>
      </c>
      <c r="G4486" s="116" t="str">
        <f>HYPERLINK("http://nsgreg.nga.mil/genc/view?v=116391&amp;gencs=T&amp;end_month=3&amp;end_day=31&amp;end_year=2014","Sangre Grande")</f>
        <v>Sangre Grande</v>
      </c>
      <c r="H4486" s="87" t="str">
        <f>HYPERLINK("http://api.nsgreg.nga.mil/geo-division/ISO3166-2/6/ed3/TT-SGE","TT-SGE")</f>
        <v>TT-SGE</v>
      </c>
    </row>
    <row r="4487" spans="1:8" x14ac:dyDescent="0.2">
      <c r="A4487" s="157"/>
      <c r="B4487" s="31" t="s">
        <v>15249</v>
      </c>
      <c r="C4487" s="31" t="s">
        <v>15250</v>
      </c>
      <c r="D4487" s="31" t="s">
        <v>3137</v>
      </c>
      <c r="E4487" s="61" t="b">
        <v>1</v>
      </c>
      <c r="F4487" s="107" t="s">
        <v>15251</v>
      </c>
      <c r="G4487" s="116" t="str">
        <f>HYPERLINK("http://nsgreg.nga.mil/genc/view?v=203146&amp;end_month=3&amp;end_day=31&amp;end_year=2014","San Juan/Laventille")</f>
        <v>San Juan/Laventille</v>
      </c>
      <c r="H4487" s="87" t="str">
        <f>HYPERLINK("http://api.nsgreg.nga.mil/geo-division/GENC/6/ed2/TT-SJL","TT-SJL")</f>
        <v>TT-SJL</v>
      </c>
    </row>
    <row r="4488" spans="1:8" x14ac:dyDescent="0.2">
      <c r="A4488" s="157"/>
      <c r="B4488" s="31" t="s">
        <v>15252</v>
      </c>
      <c r="C4488" s="31" t="s">
        <v>15253</v>
      </c>
      <c r="D4488" s="31" t="s">
        <v>3137</v>
      </c>
      <c r="E4488" s="61" t="b">
        <v>1</v>
      </c>
      <c r="F4488" s="106" t="s">
        <v>15254</v>
      </c>
      <c r="G4488" s="116" t="str">
        <f>HYPERLINK("http://nsgreg.nga.mil/genc/view?v=116392&amp;gencs=T&amp;end_month=3&amp;end_day=31&amp;end_year=2014","Siparia")</f>
        <v>Siparia</v>
      </c>
      <c r="H4488" s="87" t="str">
        <f>HYPERLINK("http://api.nsgreg.nga.mil/geo-division/ISO3166-2/6/ed3/TT-SIP","TT-SIP")</f>
        <v>TT-SIP</v>
      </c>
    </row>
    <row r="4489" spans="1:8" x14ac:dyDescent="0.2">
      <c r="A4489" s="157"/>
      <c r="B4489" s="31" t="s">
        <v>15255</v>
      </c>
      <c r="C4489" s="31" t="s">
        <v>15256</v>
      </c>
      <c r="D4489" s="31" t="s">
        <v>15257</v>
      </c>
      <c r="E4489" s="61" t="b">
        <v>1</v>
      </c>
      <c r="F4489" s="107" t="s">
        <v>15258</v>
      </c>
      <c r="G4489" s="116" t="str">
        <f>HYPERLINK("http://nsgreg.nga.mil/genc/view?v=203147&amp;end_month=3&amp;end_day=31&amp;end_year=2014","Tobago")</f>
        <v>Tobago</v>
      </c>
      <c r="H4489" s="87" t="str">
        <f>HYPERLINK("http://api.nsgreg.nga.mil/geo-division/GENC/6/ed2/TT-TOB","TT-TOB")</f>
        <v>TT-TOB</v>
      </c>
    </row>
    <row r="4490" spans="1:8" x14ac:dyDescent="0.2">
      <c r="A4490" s="157"/>
      <c r="B4490" s="31" t="s">
        <v>15259</v>
      </c>
      <c r="C4490" s="31" t="s">
        <v>15260</v>
      </c>
      <c r="D4490" s="31" t="s">
        <v>3137</v>
      </c>
      <c r="E4490" s="61" t="b">
        <v>1</v>
      </c>
      <c r="F4490" s="107" t="s">
        <v>15261</v>
      </c>
      <c r="G4490" s="116" t="str">
        <f>HYPERLINK("http://nsgreg.nga.mil/genc/view?v=203148&amp;end_month=3&amp;end_day=31&amp;end_year=2014","Tunapuna/Piarco")</f>
        <v>Tunapuna/Piarco</v>
      </c>
      <c r="H4490" s="87" t="str">
        <f>HYPERLINK("http://api.nsgreg.nga.mil/geo-division/GENC/6/ed2/TT-TUP","TT-TUP")</f>
        <v>TT-TUP</v>
      </c>
    </row>
    <row r="4491" spans="1:8" x14ac:dyDescent="0.2">
      <c r="A4491" s="158"/>
      <c r="B4491" s="58" t="s">
        <v>15262</v>
      </c>
      <c r="C4491" s="58" t="s">
        <v>15263</v>
      </c>
      <c r="D4491" s="100" t="s">
        <v>3137</v>
      </c>
      <c r="E4491" s="101" t="b">
        <v>0</v>
      </c>
      <c r="F4491" s="111" t="s">
        <v>15264</v>
      </c>
      <c r="G4491" s="117" t="str">
        <f>HYPERLINK("http://nsgreg.nga.mil/genc/view?v=203149&amp;end_month=3&amp;end_day=31&amp;end_year=2014","Western Tobago")</f>
        <v>Western Tobago</v>
      </c>
      <c r="H4491" s="89" t="str">
        <f>HYPERLINK("http://api.nsgreg.nga.mil/geo-division/GENC/6/ed2/TT-WTO","TT-WTO")</f>
        <v>TT-WTO</v>
      </c>
    </row>
    <row r="4492" spans="1:8" x14ac:dyDescent="0.2">
      <c r="A4492" s="156" t="str">
        <f>HYPERLINK("[#]Geopolitical_Entities!A258:I258","TUNISIA")</f>
        <v>TUNISIA</v>
      </c>
      <c r="B4492" s="52" t="s">
        <v>15265</v>
      </c>
      <c r="C4492" s="52" t="s">
        <v>15266</v>
      </c>
      <c r="D4492" s="52" t="s">
        <v>2885</v>
      </c>
      <c r="E4492" s="60" t="b">
        <v>1</v>
      </c>
      <c r="F4492" s="110" t="s">
        <v>15267</v>
      </c>
      <c r="G4492" s="118" t="str">
        <f>HYPERLINK("http://nsgreg.nga.mil/genc/view?v=203120&amp;end_month=3&amp;end_day=31&amp;end_year=2014","Béja")</f>
        <v>Béja</v>
      </c>
      <c r="H4492" s="91" t="str">
        <f>HYPERLINK("http://api.nsgreg.nga.mil/geo-division/GENC/6/ed2/TN-31","TN-31")</f>
        <v>TN-31</v>
      </c>
    </row>
    <row r="4493" spans="1:8" x14ac:dyDescent="0.2">
      <c r="A4493" s="157"/>
      <c r="B4493" s="31" t="s">
        <v>15268</v>
      </c>
      <c r="C4493" s="31" t="s">
        <v>15269</v>
      </c>
      <c r="D4493" s="31" t="s">
        <v>2885</v>
      </c>
      <c r="E4493" s="61" t="b">
        <v>1</v>
      </c>
      <c r="F4493" s="107" t="s">
        <v>15270</v>
      </c>
      <c r="G4493" s="116" t="str">
        <f>HYPERLINK("http://nsgreg.nga.mil/genc/view?v=203115&amp;end_month=3&amp;end_day=31&amp;end_year=2014","Ben Arous")</f>
        <v>Ben Arous</v>
      </c>
      <c r="H4493" s="87" t="str">
        <f>HYPERLINK("http://api.nsgreg.nga.mil/geo-division/GENC/6/ed2/TN-13","TN-13")</f>
        <v>TN-13</v>
      </c>
    </row>
    <row r="4494" spans="1:8" x14ac:dyDescent="0.2">
      <c r="A4494" s="157"/>
      <c r="B4494" s="31" t="s">
        <v>15271</v>
      </c>
      <c r="C4494" s="31" t="s">
        <v>15272</v>
      </c>
      <c r="D4494" s="31" t="s">
        <v>2885</v>
      </c>
      <c r="E4494" s="61" t="b">
        <v>1</v>
      </c>
      <c r="F4494" s="107" t="s">
        <v>15273</v>
      </c>
      <c r="G4494" s="116" t="str">
        <f>HYPERLINK("http://nsgreg.nga.mil/genc/view?v=203119&amp;end_month=3&amp;end_day=31&amp;end_year=2014","Bizerte")</f>
        <v>Bizerte</v>
      </c>
      <c r="H4494" s="87" t="str">
        <f>HYPERLINK("http://api.nsgreg.nga.mil/geo-division/GENC/6/ed2/TN-23","TN-23")</f>
        <v>TN-23</v>
      </c>
    </row>
    <row r="4495" spans="1:8" x14ac:dyDescent="0.2">
      <c r="A4495" s="157"/>
      <c r="B4495" s="31" t="s">
        <v>15274</v>
      </c>
      <c r="C4495" s="31" t="s">
        <v>15275</v>
      </c>
      <c r="D4495" s="31" t="s">
        <v>2885</v>
      </c>
      <c r="E4495" s="61" t="b">
        <v>1</v>
      </c>
      <c r="F4495" s="107" t="s">
        <v>15276</v>
      </c>
      <c r="G4495" s="116" t="str">
        <f>HYPERLINK("http://nsgreg.nga.mil/genc/view?v=203134&amp;end_month=3&amp;end_day=31&amp;end_year=2014","Gabès")</f>
        <v>Gabès</v>
      </c>
      <c r="H4495" s="87" t="str">
        <f>HYPERLINK("http://api.nsgreg.nga.mil/geo-division/GENC/6/ed2/TN-81","TN-81")</f>
        <v>TN-81</v>
      </c>
    </row>
    <row r="4496" spans="1:8" x14ac:dyDescent="0.2">
      <c r="A4496" s="157"/>
      <c r="B4496" s="31" t="s">
        <v>15277</v>
      </c>
      <c r="C4496" s="31" t="s">
        <v>15278</v>
      </c>
      <c r="D4496" s="31" t="s">
        <v>2885</v>
      </c>
      <c r="E4496" s="61" t="b">
        <v>1</v>
      </c>
      <c r="F4496" s="107" t="s">
        <v>15279</v>
      </c>
      <c r="G4496" s="116" t="str">
        <f>HYPERLINK("http://nsgreg.nga.mil/genc/view?v=203131&amp;end_month=3&amp;end_day=31&amp;end_year=2014","Gafsa")</f>
        <v>Gafsa</v>
      </c>
      <c r="H4496" s="87" t="str">
        <f>HYPERLINK("http://api.nsgreg.nga.mil/geo-division/GENC/6/ed2/TN-71","TN-71")</f>
        <v>TN-71</v>
      </c>
    </row>
    <row r="4497" spans="1:8" x14ac:dyDescent="0.2">
      <c r="A4497" s="157"/>
      <c r="B4497" s="31" t="s">
        <v>15280</v>
      </c>
      <c r="C4497" s="31" t="s">
        <v>15281</v>
      </c>
      <c r="D4497" s="31" t="s">
        <v>2885</v>
      </c>
      <c r="E4497" s="61" t="b">
        <v>1</v>
      </c>
      <c r="F4497" s="107" t="s">
        <v>15282</v>
      </c>
      <c r="G4497" s="116" t="str">
        <f>HYPERLINK("http://nsgreg.nga.mil/genc/view?v=203121&amp;end_month=3&amp;end_day=31&amp;end_year=2014","Jendouba")</f>
        <v>Jendouba</v>
      </c>
      <c r="H4497" s="87" t="str">
        <f>HYPERLINK("http://api.nsgreg.nga.mil/geo-division/GENC/6/ed2/TN-32","TN-32")</f>
        <v>TN-32</v>
      </c>
    </row>
    <row r="4498" spans="1:8" x14ac:dyDescent="0.2">
      <c r="A4498" s="157"/>
      <c r="B4498" s="31" t="s">
        <v>15283</v>
      </c>
      <c r="C4498" s="31" t="s">
        <v>15284</v>
      </c>
      <c r="D4498" s="31" t="s">
        <v>2885</v>
      </c>
      <c r="E4498" s="61" t="b">
        <v>1</v>
      </c>
      <c r="F4498" s="107" t="s">
        <v>15285</v>
      </c>
      <c r="G4498" s="116" t="str">
        <f>HYPERLINK("http://nsgreg.nga.mil/genc/view?v=203124&amp;end_month=3&amp;end_day=31&amp;end_year=2014","Kairouan")</f>
        <v>Kairouan</v>
      </c>
      <c r="H4498" s="87" t="str">
        <f>HYPERLINK("http://api.nsgreg.nga.mil/geo-division/GENC/6/ed2/TN-41","TN-41")</f>
        <v>TN-41</v>
      </c>
    </row>
    <row r="4499" spans="1:8" x14ac:dyDescent="0.2">
      <c r="A4499" s="157"/>
      <c r="B4499" s="31" t="s">
        <v>15286</v>
      </c>
      <c r="C4499" s="31" t="s">
        <v>15287</v>
      </c>
      <c r="D4499" s="31" t="s">
        <v>2885</v>
      </c>
      <c r="E4499" s="61" t="b">
        <v>1</v>
      </c>
      <c r="F4499" s="107" t="s">
        <v>15288</v>
      </c>
      <c r="G4499" s="116" t="str">
        <f>HYPERLINK("http://nsgreg.nga.mil/genc/view?v=203125&amp;end_month=3&amp;end_day=31&amp;end_year=2014","Kasserine")</f>
        <v>Kasserine</v>
      </c>
      <c r="H4499" s="87" t="str">
        <f>HYPERLINK("http://api.nsgreg.nga.mil/geo-division/GENC/6/ed2/TN-42","TN-42")</f>
        <v>TN-42</v>
      </c>
    </row>
    <row r="4500" spans="1:8" x14ac:dyDescent="0.2">
      <c r="A4500" s="157"/>
      <c r="B4500" s="31" t="s">
        <v>15289</v>
      </c>
      <c r="C4500" s="31" t="s">
        <v>15290</v>
      </c>
      <c r="D4500" s="31" t="s">
        <v>2885</v>
      </c>
      <c r="E4500" s="61" t="b">
        <v>1</v>
      </c>
      <c r="F4500" s="107" t="s">
        <v>15291</v>
      </c>
      <c r="G4500" s="116" t="str">
        <f>HYPERLINK("http://nsgreg.nga.mil/genc/view?v=203133&amp;end_month=3&amp;end_day=31&amp;end_year=2014","Kébili")</f>
        <v>Kébili</v>
      </c>
      <c r="H4500" s="87" t="str">
        <f>HYPERLINK("http://api.nsgreg.nga.mil/geo-division/GENC/6/ed2/TN-73","TN-73")</f>
        <v>TN-73</v>
      </c>
    </row>
    <row r="4501" spans="1:8" x14ac:dyDescent="0.2">
      <c r="A4501" s="157"/>
      <c r="B4501" s="31" t="s">
        <v>15292</v>
      </c>
      <c r="C4501" s="31" t="s">
        <v>15293</v>
      </c>
      <c r="D4501" s="31" t="s">
        <v>2885</v>
      </c>
      <c r="E4501" s="61" t="b">
        <v>1</v>
      </c>
      <c r="F4501" s="107" t="s">
        <v>15294</v>
      </c>
      <c r="G4501" s="116" t="str">
        <f>HYPERLINK("http://nsgreg.nga.mil/genc/view?v=203122&amp;end_month=3&amp;end_day=31&amp;end_year=2014","Kef")</f>
        <v>Kef</v>
      </c>
      <c r="H4501" s="87" t="str">
        <f>HYPERLINK("http://api.nsgreg.nga.mil/geo-division/GENC/6/ed2/TN-33","TN-33")</f>
        <v>TN-33</v>
      </c>
    </row>
    <row r="4502" spans="1:8" x14ac:dyDescent="0.2">
      <c r="A4502" s="157"/>
      <c r="B4502" s="31" t="s">
        <v>15295</v>
      </c>
      <c r="C4502" s="31" t="s">
        <v>15296</v>
      </c>
      <c r="D4502" s="31" t="s">
        <v>2885</v>
      </c>
      <c r="E4502" s="61" t="b">
        <v>1</v>
      </c>
      <c r="F4502" s="107" t="s">
        <v>15297</v>
      </c>
      <c r="G4502" s="116" t="str">
        <f>HYPERLINK("http://nsgreg.nga.mil/genc/view?v=203114&amp;end_month=3&amp;end_day=31&amp;end_year=2014","L’Ariana")</f>
        <v>L’Ariana</v>
      </c>
      <c r="H4502" s="87" t="str">
        <f>HYPERLINK("http://api.nsgreg.nga.mil/geo-division/GENC/6/ed2/TN-12","TN-12")</f>
        <v>TN-12</v>
      </c>
    </row>
    <row r="4503" spans="1:8" x14ac:dyDescent="0.2">
      <c r="A4503" s="157"/>
      <c r="B4503" s="31" t="s">
        <v>15298</v>
      </c>
      <c r="C4503" s="31" t="s">
        <v>15299</v>
      </c>
      <c r="D4503" s="31" t="s">
        <v>2885</v>
      </c>
      <c r="E4503" s="61" t="b">
        <v>1</v>
      </c>
      <c r="F4503" s="107" t="s">
        <v>15300</v>
      </c>
      <c r="G4503" s="116" t="str">
        <f>HYPERLINK("http://nsgreg.nga.mil/genc/view?v=203129&amp;end_month=3&amp;end_day=31&amp;end_year=2014","Mahdia")</f>
        <v>Mahdia</v>
      </c>
      <c r="H4503" s="87" t="str">
        <f>HYPERLINK("http://api.nsgreg.nga.mil/geo-division/GENC/6/ed2/TN-53","TN-53")</f>
        <v>TN-53</v>
      </c>
    </row>
    <row r="4504" spans="1:8" x14ac:dyDescent="0.2">
      <c r="A4504" s="157"/>
      <c r="B4504" s="31" t="s">
        <v>15301</v>
      </c>
      <c r="C4504" s="31" t="s">
        <v>15302</v>
      </c>
      <c r="D4504" s="31" t="s">
        <v>2885</v>
      </c>
      <c r="E4504" s="61" t="b">
        <v>1</v>
      </c>
      <c r="F4504" s="107" t="s">
        <v>15303</v>
      </c>
      <c r="G4504" s="116" t="str">
        <f>HYPERLINK("http://nsgreg.nga.mil/genc/view?v=203116&amp;end_month=3&amp;end_day=31&amp;end_year=2014","Manouba")</f>
        <v>Manouba</v>
      </c>
      <c r="H4504" s="87" t="str">
        <f>HYPERLINK("http://api.nsgreg.nga.mil/geo-division/GENC/6/ed2/TN-14","TN-14")</f>
        <v>TN-14</v>
      </c>
    </row>
    <row r="4505" spans="1:8" x14ac:dyDescent="0.2">
      <c r="A4505" s="157"/>
      <c r="B4505" s="31" t="s">
        <v>15304</v>
      </c>
      <c r="C4505" s="31" t="s">
        <v>15305</v>
      </c>
      <c r="D4505" s="31" t="s">
        <v>2885</v>
      </c>
      <c r="E4505" s="61" t="b">
        <v>1</v>
      </c>
      <c r="F4505" s="107" t="s">
        <v>15306</v>
      </c>
      <c r="G4505" s="116" t="str">
        <f>HYPERLINK("http://nsgreg.nga.mil/genc/view?v=203135&amp;end_month=3&amp;end_day=31&amp;end_year=2014","Médenine")</f>
        <v>Médenine</v>
      </c>
      <c r="H4505" s="87" t="str">
        <f>HYPERLINK("http://api.nsgreg.nga.mil/geo-division/GENC/6/ed2/TN-82","TN-82")</f>
        <v>TN-82</v>
      </c>
    </row>
    <row r="4506" spans="1:8" x14ac:dyDescent="0.2">
      <c r="A4506" s="157"/>
      <c r="B4506" s="31" t="s">
        <v>15307</v>
      </c>
      <c r="C4506" s="31" t="s">
        <v>15308</v>
      </c>
      <c r="D4506" s="31" t="s">
        <v>2885</v>
      </c>
      <c r="E4506" s="61" t="b">
        <v>1</v>
      </c>
      <c r="F4506" s="107" t="s">
        <v>15309</v>
      </c>
      <c r="G4506" s="116" t="str">
        <f>HYPERLINK("http://nsgreg.nga.mil/genc/view?v=203128&amp;end_month=3&amp;end_day=31&amp;end_year=2014","Monastir")</f>
        <v>Monastir</v>
      </c>
      <c r="H4506" s="87" t="str">
        <f>HYPERLINK("http://api.nsgreg.nga.mil/geo-division/GENC/6/ed2/TN-52","TN-52")</f>
        <v>TN-52</v>
      </c>
    </row>
    <row r="4507" spans="1:8" x14ac:dyDescent="0.2">
      <c r="A4507" s="157"/>
      <c r="B4507" s="31" t="s">
        <v>15310</v>
      </c>
      <c r="C4507" s="31" t="s">
        <v>15311</v>
      </c>
      <c r="D4507" s="31" t="s">
        <v>2885</v>
      </c>
      <c r="E4507" s="61" t="b">
        <v>1</v>
      </c>
      <c r="F4507" s="107" t="s">
        <v>15312</v>
      </c>
      <c r="G4507" s="116" t="str">
        <f>HYPERLINK("http://nsgreg.nga.mil/genc/view?v=203117&amp;end_month=3&amp;end_day=31&amp;end_year=2014","Nabeul")</f>
        <v>Nabeul</v>
      </c>
      <c r="H4507" s="87" t="str">
        <f>HYPERLINK("http://api.nsgreg.nga.mil/geo-division/GENC/6/ed2/TN-21","TN-21")</f>
        <v>TN-21</v>
      </c>
    </row>
    <row r="4508" spans="1:8" x14ac:dyDescent="0.2">
      <c r="A4508" s="157"/>
      <c r="B4508" s="31" t="s">
        <v>15313</v>
      </c>
      <c r="C4508" s="31" t="s">
        <v>15314</v>
      </c>
      <c r="D4508" s="31" t="s">
        <v>2885</v>
      </c>
      <c r="E4508" s="61" t="b">
        <v>1</v>
      </c>
      <c r="F4508" s="107" t="s">
        <v>15315</v>
      </c>
      <c r="G4508" s="116" t="str">
        <f>HYPERLINK("http://nsgreg.nga.mil/genc/view?v=203130&amp;end_month=3&amp;end_day=31&amp;end_year=2014","Sfax")</f>
        <v>Sfax</v>
      </c>
      <c r="H4508" s="87" t="str">
        <f>HYPERLINK("http://api.nsgreg.nga.mil/geo-division/GENC/6/ed2/TN-61","TN-61")</f>
        <v>TN-61</v>
      </c>
    </row>
    <row r="4509" spans="1:8" x14ac:dyDescent="0.2">
      <c r="A4509" s="157"/>
      <c r="B4509" s="31" t="s">
        <v>15316</v>
      </c>
      <c r="C4509" s="31" t="s">
        <v>15317</v>
      </c>
      <c r="D4509" s="31" t="s">
        <v>2885</v>
      </c>
      <c r="E4509" s="61" t="b">
        <v>1</v>
      </c>
      <c r="F4509" s="107" t="s">
        <v>15318</v>
      </c>
      <c r="G4509" s="116" t="str">
        <f>HYPERLINK("http://nsgreg.nga.mil/genc/view?v=203126&amp;end_month=3&amp;end_day=31&amp;end_year=2014","Sidi Bouzid")</f>
        <v>Sidi Bouzid</v>
      </c>
      <c r="H4509" s="87" t="str">
        <f>HYPERLINK("http://api.nsgreg.nga.mil/geo-division/GENC/6/ed2/TN-43","TN-43")</f>
        <v>TN-43</v>
      </c>
    </row>
    <row r="4510" spans="1:8" x14ac:dyDescent="0.2">
      <c r="A4510" s="157"/>
      <c r="B4510" s="31" t="s">
        <v>15319</v>
      </c>
      <c r="C4510" s="31" t="s">
        <v>15320</v>
      </c>
      <c r="D4510" s="31" t="s">
        <v>2885</v>
      </c>
      <c r="E4510" s="61" t="b">
        <v>1</v>
      </c>
      <c r="F4510" s="107" t="s">
        <v>15321</v>
      </c>
      <c r="G4510" s="116" t="str">
        <f>HYPERLINK("http://nsgreg.nga.mil/genc/view?v=203123&amp;end_month=3&amp;end_day=31&amp;end_year=2014","Siliana")</f>
        <v>Siliana</v>
      </c>
      <c r="H4510" s="87" t="str">
        <f>HYPERLINK("http://api.nsgreg.nga.mil/geo-division/GENC/6/ed2/TN-34","TN-34")</f>
        <v>TN-34</v>
      </c>
    </row>
    <row r="4511" spans="1:8" x14ac:dyDescent="0.2">
      <c r="A4511" s="157"/>
      <c r="B4511" s="31" t="s">
        <v>15322</v>
      </c>
      <c r="C4511" s="31" t="s">
        <v>15323</v>
      </c>
      <c r="D4511" s="31" t="s">
        <v>2885</v>
      </c>
      <c r="E4511" s="61" t="b">
        <v>1</v>
      </c>
      <c r="F4511" s="107" t="s">
        <v>15324</v>
      </c>
      <c r="G4511" s="116" t="str">
        <f>HYPERLINK("http://nsgreg.nga.mil/genc/view?v=203127&amp;end_month=3&amp;end_day=31&amp;end_year=2014","Sousse")</f>
        <v>Sousse</v>
      </c>
      <c r="H4511" s="87" t="str">
        <f>HYPERLINK("http://api.nsgreg.nga.mil/geo-division/GENC/6/ed2/TN-51","TN-51")</f>
        <v>TN-51</v>
      </c>
    </row>
    <row r="4512" spans="1:8" x14ac:dyDescent="0.2">
      <c r="A4512" s="157"/>
      <c r="B4512" s="31" t="s">
        <v>15325</v>
      </c>
      <c r="C4512" s="31" t="s">
        <v>15326</v>
      </c>
      <c r="D4512" s="31" t="s">
        <v>2885</v>
      </c>
      <c r="E4512" s="61" t="b">
        <v>1</v>
      </c>
      <c r="F4512" s="107" t="s">
        <v>15327</v>
      </c>
      <c r="G4512" s="116" t="str">
        <f>HYPERLINK("http://nsgreg.nga.mil/genc/view?v=203136&amp;end_month=3&amp;end_day=31&amp;end_year=2014","Tataouine")</f>
        <v>Tataouine</v>
      </c>
      <c r="H4512" s="87" t="str">
        <f>HYPERLINK("http://api.nsgreg.nga.mil/geo-division/GENC/6/ed2/TN-83","TN-83")</f>
        <v>TN-83</v>
      </c>
    </row>
    <row r="4513" spans="1:8" x14ac:dyDescent="0.2">
      <c r="A4513" s="157"/>
      <c r="B4513" s="31" t="s">
        <v>15328</v>
      </c>
      <c r="C4513" s="31" t="s">
        <v>15329</v>
      </c>
      <c r="D4513" s="31" t="s">
        <v>2885</v>
      </c>
      <c r="E4513" s="61" t="b">
        <v>1</v>
      </c>
      <c r="F4513" s="107" t="s">
        <v>15330</v>
      </c>
      <c r="G4513" s="116" t="str">
        <f>HYPERLINK("http://nsgreg.nga.mil/genc/view?v=203132&amp;end_month=3&amp;end_day=31&amp;end_year=2014","Tozeur")</f>
        <v>Tozeur</v>
      </c>
      <c r="H4513" s="87" t="str">
        <f>HYPERLINK("http://api.nsgreg.nga.mil/geo-division/GENC/6/ed2/TN-72","TN-72")</f>
        <v>TN-72</v>
      </c>
    </row>
    <row r="4514" spans="1:8" x14ac:dyDescent="0.2">
      <c r="A4514" s="157"/>
      <c r="B4514" s="31" t="s">
        <v>15331</v>
      </c>
      <c r="C4514" s="31" t="s">
        <v>15332</v>
      </c>
      <c r="D4514" s="31" t="s">
        <v>2885</v>
      </c>
      <c r="E4514" s="61" t="b">
        <v>1</v>
      </c>
      <c r="F4514" s="107" t="s">
        <v>15333</v>
      </c>
      <c r="G4514" s="116" t="str">
        <f>HYPERLINK("http://nsgreg.nga.mil/genc/view?v=203113&amp;end_month=3&amp;end_day=31&amp;end_year=2014","Tunis")</f>
        <v>Tunis</v>
      </c>
      <c r="H4514" s="87" t="str">
        <f>HYPERLINK("http://api.nsgreg.nga.mil/geo-division/GENC/6/ed2/TN-11","TN-11")</f>
        <v>TN-11</v>
      </c>
    </row>
    <row r="4515" spans="1:8" x14ac:dyDescent="0.2">
      <c r="A4515" s="158"/>
      <c r="B4515" s="58" t="s">
        <v>15334</v>
      </c>
      <c r="C4515" s="58" t="s">
        <v>15335</v>
      </c>
      <c r="D4515" s="58" t="s">
        <v>2885</v>
      </c>
      <c r="E4515" s="62" t="b">
        <v>1</v>
      </c>
      <c r="F4515" s="111" t="s">
        <v>15336</v>
      </c>
      <c r="G4515" s="117" t="str">
        <f>HYPERLINK("http://nsgreg.nga.mil/genc/view?v=203118&amp;end_month=3&amp;end_day=31&amp;end_year=2014","Zaghouan")</f>
        <v>Zaghouan</v>
      </c>
      <c r="H4515" s="89" t="str">
        <f>HYPERLINK("http://api.nsgreg.nga.mil/geo-division/GENC/6/ed2/TN-22","TN-22")</f>
        <v>TN-22</v>
      </c>
    </row>
    <row r="4516" spans="1:8" x14ac:dyDescent="0.2">
      <c r="A4516" s="156" t="str">
        <f>HYPERLINK("[#]Geopolitical_Entities!A259:I259","TURKEY")</f>
        <v>TURKEY</v>
      </c>
      <c r="B4516" s="52" t="s">
        <v>15337</v>
      </c>
      <c r="C4516" s="52" t="s">
        <v>15338</v>
      </c>
      <c r="D4516" s="52" t="s">
        <v>1920</v>
      </c>
      <c r="E4516" s="60" t="b">
        <v>1</v>
      </c>
      <c r="F4516" s="109" t="s">
        <v>15339</v>
      </c>
      <c r="G4516" s="118" t="str">
        <f>HYPERLINK("http://nsgreg.nga.mil/genc/view?v=116299&amp;gencs=T&amp;end_month=3&amp;end_day=31&amp;end_year=2014","Adana")</f>
        <v>Adana</v>
      </c>
      <c r="H4516" s="91" t="str">
        <f>HYPERLINK("http://api.nsgreg.nga.mil/geo-division/ISO3166-2/6/ed3/TR-01","TR-01")</f>
        <v>TR-01</v>
      </c>
    </row>
    <row r="4517" spans="1:8" x14ac:dyDescent="0.2">
      <c r="A4517" s="157"/>
      <c r="B4517" s="31" t="s">
        <v>15340</v>
      </c>
      <c r="C4517" s="31" t="s">
        <v>15341</v>
      </c>
      <c r="D4517" s="31" t="s">
        <v>1920</v>
      </c>
      <c r="E4517" s="61" t="b">
        <v>1</v>
      </c>
      <c r="F4517" s="106" t="s">
        <v>15342</v>
      </c>
      <c r="G4517" s="116" t="str">
        <f>HYPERLINK("http://nsgreg.nga.mil/genc/view?v=116300&amp;gencs=T&amp;end_month=3&amp;end_day=31&amp;end_year=2014","Adıyaman")</f>
        <v>Adıyaman</v>
      </c>
      <c r="H4517" s="87" t="str">
        <f>HYPERLINK("http://api.nsgreg.nga.mil/geo-division/ISO3166-2/6/ed3/TR-02","TR-02")</f>
        <v>TR-02</v>
      </c>
    </row>
    <row r="4518" spans="1:8" x14ac:dyDescent="0.2">
      <c r="A4518" s="157"/>
      <c r="B4518" s="31" t="s">
        <v>15343</v>
      </c>
      <c r="C4518" s="31" t="s">
        <v>15344</v>
      </c>
      <c r="D4518" s="31" t="s">
        <v>1920</v>
      </c>
      <c r="E4518" s="61" t="b">
        <v>1</v>
      </c>
      <c r="F4518" s="106" t="s">
        <v>15345</v>
      </c>
      <c r="G4518" s="116" t="str">
        <f>HYPERLINK("http://nsgreg.nga.mil/genc/view?v=116301&amp;gencs=T&amp;end_month=3&amp;end_day=31&amp;end_year=2014","Afyonkarahisar")</f>
        <v>Afyonkarahisar</v>
      </c>
      <c r="H4518" s="87" t="str">
        <f>HYPERLINK("http://api.nsgreg.nga.mil/geo-division/ISO3166-2/6/ed3/TR-03","TR-03")</f>
        <v>TR-03</v>
      </c>
    </row>
    <row r="4519" spans="1:8" x14ac:dyDescent="0.2">
      <c r="A4519" s="157"/>
      <c r="B4519" s="31" t="s">
        <v>15346</v>
      </c>
      <c r="C4519" s="31" t="s">
        <v>15347</v>
      </c>
      <c r="D4519" s="31" t="s">
        <v>1920</v>
      </c>
      <c r="E4519" s="61" t="b">
        <v>1</v>
      </c>
      <c r="F4519" s="106" t="s">
        <v>15348</v>
      </c>
      <c r="G4519" s="116" t="str">
        <f>HYPERLINK("http://nsgreg.nga.mil/genc/view?v=116302&amp;gencs=T&amp;end_month=3&amp;end_day=31&amp;end_year=2014","Ağrı")</f>
        <v>Ağrı</v>
      </c>
      <c r="H4519" s="87" t="str">
        <f>HYPERLINK("http://api.nsgreg.nga.mil/geo-division/ISO3166-2/6/ed3/TR-04","TR-04")</f>
        <v>TR-04</v>
      </c>
    </row>
    <row r="4520" spans="1:8" x14ac:dyDescent="0.2">
      <c r="A4520" s="157"/>
      <c r="B4520" s="31" t="s">
        <v>15349</v>
      </c>
      <c r="C4520" s="31" t="s">
        <v>15350</v>
      </c>
      <c r="D4520" s="31" t="s">
        <v>1920</v>
      </c>
      <c r="E4520" s="61" t="b">
        <v>1</v>
      </c>
      <c r="F4520" s="106" t="s">
        <v>15351</v>
      </c>
      <c r="G4520" s="116" t="str">
        <f>HYPERLINK("http://nsgreg.nga.mil/genc/view?v=116366&amp;gencs=T&amp;end_month=3&amp;end_day=31&amp;end_year=2014","Aksaray")</f>
        <v>Aksaray</v>
      </c>
      <c r="H4520" s="87" t="str">
        <f>HYPERLINK("http://api.nsgreg.nga.mil/geo-division/ISO3166-2/6/ed3/TR-68","TR-68")</f>
        <v>TR-68</v>
      </c>
    </row>
    <row r="4521" spans="1:8" x14ac:dyDescent="0.2">
      <c r="A4521" s="157"/>
      <c r="B4521" s="31" t="s">
        <v>15352</v>
      </c>
      <c r="C4521" s="31" t="s">
        <v>15353</v>
      </c>
      <c r="D4521" s="31" t="s">
        <v>1920</v>
      </c>
      <c r="E4521" s="61" t="b">
        <v>1</v>
      </c>
      <c r="F4521" s="106" t="s">
        <v>15354</v>
      </c>
      <c r="G4521" s="116" t="str">
        <f>HYPERLINK("http://nsgreg.nga.mil/genc/view?v=116303&amp;gencs=T&amp;end_month=3&amp;end_day=31&amp;end_year=2014","Amasya")</f>
        <v>Amasya</v>
      </c>
      <c r="H4521" s="87" t="str">
        <f>HYPERLINK("http://api.nsgreg.nga.mil/geo-division/ISO3166-2/6/ed3/TR-05","TR-05")</f>
        <v>TR-05</v>
      </c>
    </row>
    <row r="4522" spans="1:8" x14ac:dyDescent="0.2">
      <c r="A4522" s="157"/>
      <c r="B4522" s="31" t="s">
        <v>15355</v>
      </c>
      <c r="C4522" s="31" t="s">
        <v>15356</v>
      </c>
      <c r="D4522" s="31" t="s">
        <v>1920</v>
      </c>
      <c r="E4522" s="61" t="b">
        <v>1</v>
      </c>
      <c r="F4522" s="106" t="s">
        <v>15357</v>
      </c>
      <c r="G4522" s="116" t="str">
        <f>HYPERLINK("http://nsgreg.nga.mil/genc/view?v=116304&amp;gencs=T&amp;end_month=3&amp;end_day=31&amp;end_year=2014","Ankara")</f>
        <v>Ankara</v>
      </c>
      <c r="H4522" s="87" t="str">
        <f>HYPERLINK("http://api.nsgreg.nga.mil/geo-division/ISO3166-2/6/ed3/TR-06","TR-06")</f>
        <v>TR-06</v>
      </c>
    </row>
    <row r="4523" spans="1:8" x14ac:dyDescent="0.2">
      <c r="A4523" s="157"/>
      <c r="B4523" s="31" t="s">
        <v>15358</v>
      </c>
      <c r="C4523" s="31" t="s">
        <v>15359</v>
      </c>
      <c r="D4523" s="31" t="s">
        <v>1920</v>
      </c>
      <c r="E4523" s="61" t="b">
        <v>1</v>
      </c>
      <c r="F4523" s="106" t="s">
        <v>15360</v>
      </c>
      <c r="G4523" s="116" t="str">
        <f>HYPERLINK("http://nsgreg.nga.mil/genc/view?v=116305&amp;gencs=T&amp;end_month=3&amp;end_day=31&amp;end_year=2014","Antalya")</f>
        <v>Antalya</v>
      </c>
      <c r="H4523" s="87" t="str">
        <f>HYPERLINK("http://api.nsgreg.nga.mil/geo-division/ISO3166-2/6/ed3/TR-07","TR-07")</f>
        <v>TR-07</v>
      </c>
    </row>
    <row r="4524" spans="1:8" x14ac:dyDescent="0.2">
      <c r="A4524" s="157"/>
      <c r="B4524" s="31" t="s">
        <v>15361</v>
      </c>
      <c r="C4524" s="31" t="s">
        <v>15362</v>
      </c>
      <c r="D4524" s="31" t="s">
        <v>1920</v>
      </c>
      <c r="E4524" s="61" t="b">
        <v>1</v>
      </c>
      <c r="F4524" s="106" t="s">
        <v>15363</v>
      </c>
      <c r="G4524" s="116" t="str">
        <f>HYPERLINK("http://nsgreg.nga.mil/genc/view?v=116373&amp;gencs=T&amp;end_month=3&amp;end_day=31&amp;end_year=2014","Ardahan")</f>
        <v>Ardahan</v>
      </c>
      <c r="H4524" s="87" t="str">
        <f>HYPERLINK("http://api.nsgreg.nga.mil/geo-division/ISO3166-2/6/ed3/TR-75","TR-75")</f>
        <v>TR-75</v>
      </c>
    </row>
    <row r="4525" spans="1:8" x14ac:dyDescent="0.2">
      <c r="A4525" s="157"/>
      <c r="B4525" s="31" t="s">
        <v>15364</v>
      </c>
      <c r="C4525" s="31" t="s">
        <v>15365</v>
      </c>
      <c r="D4525" s="31" t="s">
        <v>1920</v>
      </c>
      <c r="E4525" s="61" t="b">
        <v>1</v>
      </c>
      <c r="F4525" s="106" t="s">
        <v>15366</v>
      </c>
      <c r="G4525" s="116" t="str">
        <f>HYPERLINK("http://nsgreg.nga.mil/genc/view?v=116306&amp;gencs=T&amp;end_month=3&amp;end_day=31&amp;end_year=2014","Artvin")</f>
        <v>Artvin</v>
      </c>
      <c r="H4525" s="87" t="str">
        <f>HYPERLINK("http://api.nsgreg.nga.mil/geo-division/ISO3166-2/6/ed3/TR-08","TR-08")</f>
        <v>TR-08</v>
      </c>
    </row>
    <row r="4526" spans="1:8" x14ac:dyDescent="0.2">
      <c r="A4526" s="157"/>
      <c r="B4526" s="31" t="s">
        <v>15367</v>
      </c>
      <c r="C4526" s="31" t="s">
        <v>15368</v>
      </c>
      <c r="D4526" s="31" t="s">
        <v>1920</v>
      </c>
      <c r="E4526" s="61" t="b">
        <v>1</v>
      </c>
      <c r="F4526" s="106" t="s">
        <v>15369</v>
      </c>
      <c r="G4526" s="116" t="str">
        <f>HYPERLINK("http://nsgreg.nga.mil/genc/view?v=116307&amp;gencs=T&amp;end_month=3&amp;end_day=31&amp;end_year=2014","Aydın")</f>
        <v>Aydın</v>
      </c>
      <c r="H4526" s="87" t="str">
        <f>HYPERLINK("http://api.nsgreg.nga.mil/geo-division/ISO3166-2/6/ed3/TR-09","TR-09")</f>
        <v>TR-09</v>
      </c>
    </row>
    <row r="4527" spans="1:8" x14ac:dyDescent="0.2">
      <c r="A4527" s="157"/>
      <c r="B4527" s="31" t="s">
        <v>15370</v>
      </c>
      <c r="C4527" s="31" t="s">
        <v>15371</v>
      </c>
      <c r="D4527" s="31" t="s">
        <v>1920</v>
      </c>
      <c r="E4527" s="61" t="b">
        <v>1</v>
      </c>
      <c r="F4527" s="106" t="s">
        <v>15372</v>
      </c>
      <c r="G4527" s="116" t="str">
        <f>HYPERLINK("http://nsgreg.nga.mil/genc/view?v=116308&amp;gencs=T&amp;end_month=3&amp;end_day=31&amp;end_year=2014","Balıkesir")</f>
        <v>Balıkesir</v>
      </c>
      <c r="H4527" s="87" t="str">
        <f>HYPERLINK("http://api.nsgreg.nga.mil/geo-division/ISO3166-2/6/ed3/TR-10","TR-10")</f>
        <v>TR-10</v>
      </c>
    </row>
    <row r="4528" spans="1:8" x14ac:dyDescent="0.2">
      <c r="A4528" s="157"/>
      <c r="B4528" s="31" t="s">
        <v>15373</v>
      </c>
      <c r="C4528" s="31" t="s">
        <v>15374</v>
      </c>
      <c r="D4528" s="31" t="s">
        <v>1920</v>
      </c>
      <c r="E4528" s="61" t="b">
        <v>1</v>
      </c>
      <c r="F4528" s="106" t="s">
        <v>15375</v>
      </c>
      <c r="G4528" s="116" t="str">
        <f>HYPERLINK("http://nsgreg.nga.mil/genc/view?v=116372&amp;gencs=T&amp;end_month=3&amp;end_day=31&amp;end_year=2014","Bartın")</f>
        <v>Bartın</v>
      </c>
      <c r="H4528" s="87" t="str">
        <f>HYPERLINK("http://api.nsgreg.nga.mil/geo-division/ISO3166-2/6/ed3/TR-74","TR-74")</f>
        <v>TR-74</v>
      </c>
    </row>
    <row r="4529" spans="1:8" x14ac:dyDescent="0.2">
      <c r="A4529" s="157"/>
      <c r="B4529" s="31" t="s">
        <v>15376</v>
      </c>
      <c r="C4529" s="31" t="s">
        <v>15377</v>
      </c>
      <c r="D4529" s="31" t="s">
        <v>1920</v>
      </c>
      <c r="E4529" s="61" t="b">
        <v>1</v>
      </c>
      <c r="F4529" s="106" t="s">
        <v>15378</v>
      </c>
      <c r="G4529" s="116" t="str">
        <f>HYPERLINK("http://nsgreg.nga.mil/genc/view?v=116370&amp;gencs=T&amp;end_month=3&amp;end_day=31&amp;end_year=2014","Batman")</f>
        <v>Batman</v>
      </c>
      <c r="H4529" s="87" t="str">
        <f>HYPERLINK("http://api.nsgreg.nga.mil/geo-division/ISO3166-2/6/ed3/TR-72","TR-72")</f>
        <v>TR-72</v>
      </c>
    </row>
    <row r="4530" spans="1:8" x14ac:dyDescent="0.2">
      <c r="A4530" s="157"/>
      <c r="B4530" s="31" t="s">
        <v>15379</v>
      </c>
      <c r="C4530" s="31" t="s">
        <v>15380</v>
      </c>
      <c r="D4530" s="31" t="s">
        <v>1920</v>
      </c>
      <c r="E4530" s="61" t="b">
        <v>1</v>
      </c>
      <c r="F4530" s="106" t="s">
        <v>15381</v>
      </c>
      <c r="G4530" s="116" t="str">
        <f>HYPERLINK("http://nsgreg.nga.mil/genc/view?v=116367&amp;gencs=T&amp;end_month=3&amp;end_day=31&amp;end_year=2014","Bayburt")</f>
        <v>Bayburt</v>
      </c>
      <c r="H4530" s="87" t="str">
        <f>HYPERLINK("http://api.nsgreg.nga.mil/geo-division/ISO3166-2/6/ed3/TR-69","TR-69")</f>
        <v>TR-69</v>
      </c>
    </row>
    <row r="4531" spans="1:8" x14ac:dyDescent="0.2">
      <c r="A4531" s="157"/>
      <c r="B4531" s="31" t="s">
        <v>15382</v>
      </c>
      <c r="C4531" s="31" t="s">
        <v>15383</v>
      </c>
      <c r="D4531" s="31" t="s">
        <v>1920</v>
      </c>
      <c r="E4531" s="61" t="b">
        <v>1</v>
      </c>
      <c r="F4531" s="106" t="s">
        <v>15384</v>
      </c>
      <c r="G4531" s="116" t="str">
        <f>HYPERLINK("http://nsgreg.nga.mil/genc/view?v=116309&amp;gencs=T&amp;end_month=3&amp;end_day=31&amp;end_year=2014","Bilecik")</f>
        <v>Bilecik</v>
      </c>
      <c r="H4531" s="87" t="str">
        <f>HYPERLINK("http://api.nsgreg.nga.mil/geo-division/ISO3166-2/6/ed3/TR-11","TR-11")</f>
        <v>TR-11</v>
      </c>
    </row>
    <row r="4532" spans="1:8" x14ac:dyDescent="0.2">
      <c r="A4532" s="157"/>
      <c r="B4532" s="31" t="s">
        <v>15385</v>
      </c>
      <c r="C4532" s="31" t="s">
        <v>15386</v>
      </c>
      <c r="D4532" s="31" t="s">
        <v>1920</v>
      </c>
      <c r="E4532" s="61" t="b">
        <v>1</v>
      </c>
      <c r="F4532" s="106" t="s">
        <v>15387</v>
      </c>
      <c r="G4532" s="116" t="str">
        <f>HYPERLINK("http://nsgreg.nga.mil/genc/view?v=116310&amp;gencs=T&amp;end_month=3&amp;end_day=31&amp;end_year=2014","Bingöl")</f>
        <v>Bingöl</v>
      </c>
      <c r="H4532" s="87" t="str">
        <f>HYPERLINK("http://api.nsgreg.nga.mil/geo-division/ISO3166-2/6/ed3/TR-12","TR-12")</f>
        <v>TR-12</v>
      </c>
    </row>
    <row r="4533" spans="1:8" x14ac:dyDescent="0.2">
      <c r="A4533" s="157"/>
      <c r="B4533" s="31" t="s">
        <v>15388</v>
      </c>
      <c r="C4533" s="31" t="s">
        <v>15389</v>
      </c>
      <c r="D4533" s="31" t="s">
        <v>1920</v>
      </c>
      <c r="E4533" s="61" t="b">
        <v>1</v>
      </c>
      <c r="F4533" s="106" t="s">
        <v>15390</v>
      </c>
      <c r="G4533" s="116" t="str">
        <f>HYPERLINK("http://nsgreg.nga.mil/genc/view?v=116311&amp;gencs=T&amp;end_month=3&amp;end_day=31&amp;end_year=2014","Bitlis")</f>
        <v>Bitlis</v>
      </c>
      <c r="H4533" s="87" t="str">
        <f>HYPERLINK("http://api.nsgreg.nga.mil/geo-division/ISO3166-2/6/ed3/TR-13","TR-13")</f>
        <v>TR-13</v>
      </c>
    </row>
    <row r="4534" spans="1:8" x14ac:dyDescent="0.2">
      <c r="A4534" s="157"/>
      <c r="B4534" s="31" t="s">
        <v>15391</v>
      </c>
      <c r="C4534" s="31" t="s">
        <v>15392</v>
      </c>
      <c r="D4534" s="31" t="s">
        <v>1920</v>
      </c>
      <c r="E4534" s="61" t="b">
        <v>1</v>
      </c>
      <c r="F4534" s="106" t="s">
        <v>15393</v>
      </c>
      <c r="G4534" s="116" t="str">
        <f>HYPERLINK("http://nsgreg.nga.mil/genc/view?v=116312&amp;gencs=T&amp;end_month=3&amp;end_day=31&amp;end_year=2014","Bolu")</f>
        <v>Bolu</v>
      </c>
      <c r="H4534" s="87" t="str">
        <f>HYPERLINK("http://api.nsgreg.nga.mil/geo-division/ISO3166-2/6/ed3/TR-14","TR-14")</f>
        <v>TR-14</v>
      </c>
    </row>
    <row r="4535" spans="1:8" x14ac:dyDescent="0.2">
      <c r="A4535" s="157"/>
      <c r="B4535" s="31" t="s">
        <v>15394</v>
      </c>
      <c r="C4535" s="31" t="s">
        <v>15395</v>
      </c>
      <c r="D4535" s="31" t="s">
        <v>1920</v>
      </c>
      <c r="E4535" s="61" t="b">
        <v>1</v>
      </c>
      <c r="F4535" s="106" t="s">
        <v>15396</v>
      </c>
      <c r="G4535" s="116" t="str">
        <f>HYPERLINK("http://nsgreg.nga.mil/genc/view?v=116313&amp;gencs=T&amp;end_month=3&amp;end_day=31&amp;end_year=2014","Burdur")</f>
        <v>Burdur</v>
      </c>
      <c r="H4535" s="87" t="str">
        <f>HYPERLINK("http://api.nsgreg.nga.mil/geo-division/ISO3166-2/6/ed3/TR-15","TR-15")</f>
        <v>TR-15</v>
      </c>
    </row>
    <row r="4536" spans="1:8" x14ac:dyDescent="0.2">
      <c r="A4536" s="157"/>
      <c r="B4536" s="31" t="s">
        <v>15397</v>
      </c>
      <c r="C4536" s="31" t="s">
        <v>15398</v>
      </c>
      <c r="D4536" s="31" t="s">
        <v>1920</v>
      </c>
      <c r="E4536" s="61" t="b">
        <v>1</v>
      </c>
      <c r="F4536" s="106" t="s">
        <v>15399</v>
      </c>
      <c r="G4536" s="116" t="str">
        <f>HYPERLINK("http://nsgreg.nga.mil/genc/view?v=116314&amp;gencs=T&amp;end_month=3&amp;end_day=31&amp;end_year=2014","Bursa")</f>
        <v>Bursa</v>
      </c>
      <c r="H4536" s="87" t="str">
        <f>HYPERLINK("http://api.nsgreg.nga.mil/geo-division/ISO3166-2/6/ed3/TR-16","TR-16")</f>
        <v>TR-16</v>
      </c>
    </row>
    <row r="4537" spans="1:8" x14ac:dyDescent="0.2">
      <c r="A4537" s="157"/>
      <c r="B4537" s="31" t="s">
        <v>15400</v>
      </c>
      <c r="C4537" s="31" t="s">
        <v>15401</v>
      </c>
      <c r="D4537" s="31" t="s">
        <v>1920</v>
      </c>
      <c r="E4537" s="61" t="b">
        <v>1</v>
      </c>
      <c r="F4537" s="106" t="s">
        <v>15402</v>
      </c>
      <c r="G4537" s="116" t="str">
        <f>HYPERLINK("http://nsgreg.nga.mil/genc/view?v=116315&amp;gencs=T&amp;end_month=3&amp;end_day=31&amp;end_year=2014","Çanakkale")</f>
        <v>Çanakkale</v>
      </c>
      <c r="H4537" s="87" t="str">
        <f>HYPERLINK("http://api.nsgreg.nga.mil/geo-division/ISO3166-2/6/ed3/TR-17","TR-17")</f>
        <v>TR-17</v>
      </c>
    </row>
    <row r="4538" spans="1:8" x14ac:dyDescent="0.2">
      <c r="A4538" s="157"/>
      <c r="B4538" s="31" t="s">
        <v>15403</v>
      </c>
      <c r="C4538" s="31" t="s">
        <v>15404</v>
      </c>
      <c r="D4538" s="31" t="s">
        <v>1920</v>
      </c>
      <c r="E4538" s="61" t="b">
        <v>1</v>
      </c>
      <c r="F4538" s="106" t="s">
        <v>15405</v>
      </c>
      <c r="G4538" s="116" t="str">
        <f>HYPERLINK("http://nsgreg.nga.mil/genc/view?v=116316&amp;gencs=T&amp;end_month=3&amp;end_day=31&amp;end_year=2014","Çankırı")</f>
        <v>Çankırı</v>
      </c>
      <c r="H4538" s="87" t="str">
        <f>HYPERLINK("http://api.nsgreg.nga.mil/geo-division/ISO3166-2/6/ed3/TR-18","TR-18")</f>
        <v>TR-18</v>
      </c>
    </row>
    <row r="4539" spans="1:8" x14ac:dyDescent="0.2">
      <c r="A4539" s="157"/>
      <c r="B4539" s="31" t="s">
        <v>15406</v>
      </c>
      <c r="C4539" s="31" t="s">
        <v>15407</v>
      </c>
      <c r="D4539" s="31" t="s">
        <v>1920</v>
      </c>
      <c r="E4539" s="61" t="b">
        <v>1</v>
      </c>
      <c r="F4539" s="106" t="s">
        <v>15408</v>
      </c>
      <c r="G4539" s="116" t="str">
        <f>HYPERLINK("http://nsgreg.nga.mil/genc/view?v=116317&amp;gencs=T&amp;end_month=3&amp;end_day=31&amp;end_year=2014","Çorum")</f>
        <v>Çorum</v>
      </c>
      <c r="H4539" s="87" t="str">
        <f>HYPERLINK("http://api.nsgreg.nga.mil/geo-division/ISO3166-2/6/ed3/TR-19","TR-19")</f>
        <v>TR-19</v>
      </c>
    </row>
    <row r="4540" spans="1:8" x14ac:dyDescent="0.2">
      <c r="A4540" s="157"/>
      <c r="B4540" s="31" t="s">
        <v>15409</v>
      </c>
      <c r="C4540" s="31" t="s">
        <v>15410</v>
      </c>
      <c r="D4540" s="31" t="s">
        <v>1920</v>
      </c>
      <c r="E4540" s="61" t="b">
        <v>1</v>
      </c>
      <c r="F4540" s="106" t="s">
        <v>15411</v>
      </c>
      <c r="G4540" s="116" t="str">
        <f>HYPERLINK("http://nsgreg.nga.mil/genc/view?v=116318&amp;gencs=T&amp;end_month=3&amp;end_day=31&amp;end_year=2014","Denizli")</f>
        <v>Denizli</v>
      </c>
      <c r="H4540" s="87" t="str">
        <f>HYPERLINK("http://api.nsgreg.nga.mil/geo-division/ISO3166-2/6/ed3/TR-20","TR-20")</f>
        <v>TR-20</v>
      </c>
    </row>
    <row r="4541" spans="1:8" x14ac:dyDescent="0.2">
      <c r="A4541" s="157"/>
      <c r="B4541" s="31" t="s">
        <v>15412</v>
      </c>
      <c r="C4541" s="31" t="s">
        <v>15413</v>
      </c>
      <c r="D4541" s="31" t="s">
        <v>1920</v>
      </c>
      <c r="E4541" s="61" t="b">
        <v>1</v>
      </c>
      <c r="F4541" s="106" t="s">
        <v>15414</v>
      </c>
      <c r="G4541" s="116" t="str">
        <f>HYPERLINK("http://nsgreg.nga.mil/genc/view?v=116319&amp;gencs=T&amp;end_month=3&amp;end_day=31&amp;end_year=2014","Diyarbakır")</f>
        <v>Diyarbakır</v>
      </c>
      <c r="H4541" s="87" t="str">
        <f>HYPERLINK("http://api.nsgreg.nga.mil/geo-division/ISO3166-2/6/ed3/TR-21","TR-21")</f>
        <v>TR-21</v>
      </c>
    </row>
    <row r="4542" spans="1:8" x14ac:dyDescent="0.2">
      <c r="A4542" s="157"/>
      <c r="B4542" s="31" t="s">
        <v>15415</v>
      </c>
      <c r="C4542" s="31" t="s">
        <v>15416</v>
      </c>
      <c r="D4542" s="31" t="s">
        <v>1920</v>
      </c>
      <c r="E4542" s="61" t="b">
        <v>1</v>
      </c>
      <c r="F4542" s="106" t="s">
        <v>15417</v>
      </c>
      <c r="G4542" s="116" t="str">
        <f>HYPERLINK("http://nsgreg.nga.mil/genc/view?v=116379&amp;gencs=T&amp;end_month=3&amp;end_day=31&amp;end_year=2014","Düzce")</f>
        <v>Düzce</v>
      </c>
      <c r="H4542" s="87" t="str">
        <f>HYPERLINK("http://api.nsgreg.nga.mil/geo-division/ISO3166-2/6/ed3/TR-81","TR-81")</f>
        <v>TR-81</v>
      </c>
    </row>
    <row r="4543" spans="1:8" x14ac:dyDescent="0.2">
      <c r="A4543" s="157"/>
      <c r="B4543" s="31" t="s">
        <v>15418</v>
      </c>
      <c r="C4543" s="31" t="s">
        <v>15419</v>
      </c>
      <c r="D4543" s="31" t="s">
        <v>1920</v>
      </c>
      <c r="E4543" s="61" t="b">
        <v>1</v>
      </c>
      <c r="F4543" s="106" t="s">
        <v>15420</v>
      </c>
      <c r="G4543" s="116" t="str">
        <f>HYPERLINK("http://nsgreg.nga.mil/genc/view?v=116320&amp;gencs=T&amp;end_month=3&amp;end_day=31&amp;end_year=2014","Edirne")</f>
        <v>Edirne</v>
      </c>
      <c r="H4543" s="87" t="str">
        <f>HYPERLINK("http://api.nsgreg.nga.mil/geo-division/ISO3166-2/6/ed3/TR-22","TR-22")</f>
        <v>TR-22</v>
      </c>
    </row>
    <row r="4544" spans="1:8" x14ac:dyDescent="0.2">
      <c r="A4544" s="157"/>
      <c r="B4544" s="31" t="s">
        <v>15421</v>
      </c>
      <c r="C4544" s="31" t="s">
        <v>15422</v>
      </c>
      <c r="D4544" s="31" t="s">
        <v>1920</v>
      </c>
      <c r="E4544" s="61" t="b">
        <v>1</v>
      </c>
      <c r="F4544" s="106" t="s">
        <v>15423</v>
      </c>
      <c r="G4544" s="116" t="str">
        <f>HYPERLINK("http://nsgreg.nga.mil/genc/view?v=116321&amp;gencs=T&amp;end_month=3&amp;end_day=31&amp;end_year=2014","Elazığ")</f>
        <v>Elazığ</v>
      </c>
      <c r="H4544" s="87" t="str">
        <f>HYPERLINK("http://api.nsgreg.nga.mil/geo-division/ISO3166-2/6/ed3/TR-23","TR-23")</f>
        <v>TR-23</v>
      </c>
    </row>
    <row r="4545" spans="1:8" x14ac:dyDescent="0.2">
      <c r="A4545" s="157"/>
      <c r="B4545" s="31" t="s">
        <v>15424</v>
      </c>
      <c r="C4545" s="31" t="s">
        <v>15425</v>
      </c>
      <c r="D4545" s="31" t="s">
        <v>1920</v>
      </c>
      <c r="E4545" s="61" t="b">
        <v>1</v>
      </c>
      <c r="F4545" s="106" t="s">
        <v>15426</v>
      </c>
      <c r="G4545" s="116" t="str">
        <f>HYPERLINK("http://nsgreg.nga.mil/genc/view?v=116322&amp;gencs=T&amp;end_month=3&amp;end_day=31&amp;end_year=2014","Erzincan")</f>
        <v>Erzincan</v>
      </c>
      <c r="H4545" s="87" t="str">
        <f>HYPERLINK("http://api.nsgreg.nga.mil/geo-division/ISO3166-2/6/ed3/TR-24","TR-24")</f>
        <v>TR-24</v>
      </c>
    </row>
    <row r="4546" spans="1:8" x14ac:dyDescent="0.2">
      <c r="A4546" s="157"/>
      <c r="B4546" s="31" t="s">
        <v>15427</v>
      </c>
      <c r="C4546" s="31" t="s">
        <v>15428</v>
      </c>
      <c r="D4546" s="31" t="s">
        <v>1920</v>
      </c>
      <c r="E4546" s="61" t="b">
        <v>1</v>
      </c>
      <c r="F4546" s="106" t="s">
        <v>15429</v>
      </c>
      <c r="G4546" s="116" t="str">
        <f>HYPERLINK("http://nsgreg.nga.mil/genc/view?v=116323&amp;gencs=T&amp;end_month=3&amp;end_day=31&amp;end_year=2014","Erzurum")</f>
        <v>Erzurum</v>
      </c>
      <c r="H4546" s="87" t="str">
        <f>HYPERLINK("http://api.nsgreg.nga.mil/geo-division/ISO3166-2/6/ed3/TR-25","TR-25")</f>
        <v>TR-25</v>
      </c>
    </row>
    <row r="4547" spans="1:8" x14ac:dyDescent="0.2">
      <c r="A4547" s="157"/>
      <c r="B4547" s="31" t="s">
        <v>15430</v>
      </c>
      <c r="C4547" s="31" t="s">
        <v>15431</v>
      </c>
      <c r="D4547" s="31" t="s">
        <v>1920</v>
      </c>
      <c r="E4547" s="61" t="b">
        <v>1</v>
      </c>
      <c r="F4547" s="106" t="s">
        <v>15432</v>
      </c>
      <c r="G4547" s="116" t="str">
        <f>HYPERLINK("http://nsgreg.nga.mil/genc/view?v=116324&amp;gencs=T&amp;end_month=3&amp;end_day=31&amp;end_year=2014","Eskişehir")</f>
        <v>Eskişehir</v>
      </c>
      <c r="H4547" s="87" t="str">
        <f>HYPERLINK("http://api.nsgreg.nga.mil/geo-division/ISO3166-2/6/ed3/TR-26","TR-26")</f>
        <v>TR-26</v>
      </c>
    </row>
    <row r="4548" spans="1:8" x14ac:dyDescent="0.2">
      <c r="A4548" s="157"/>
      <c r="B4548" s="31" t="s">
        <v>15433</v>
      </c>
      <c r="C4548" s="31" t="s">
        <v>15434</v>
      </c>
      <c r="D4548" s="31" t="s">
        <v>1920</v>
      </c>
      <c r="E4548" s="61" t="b">
        <v>1</v>
      </c>
      <c r="F4548" s="106" t="s">
        <v>15435</v>
      </c>
      <c r="G4548" s="116" t="str">
        <f>HYPERLINK("http://nsgreg.nga.mil/genc/view?v=116325&amp;gencs=T&amp;end_month=3&amp;end_day=31&amp;end_year=2014","Gaziantep")</f>
        <v>Gaziantep</v>
      </c>
      <c r="H4548" s="87" t="str">
        <f>HYPERLINK("http://api.nsgreg.nga.mil/geo-division/ISO3166-2/6/ed3/TR-27","TR-27")</f>
        <v>TR-27</v>
      </c>
    </row>
    <row r="4549" spans="1:8" x14ac:dyDescent="0.2">
      <c r="A4549" s="157"/>
      <c r="B4549" s="31" t="s">
        <v>15436</v>
      </c>
      <c r="C4549" s="31" t="s">
        <v>15437</v>
      </c>
      <c r="D4549" s="31" t="s">
        <v>1920</v>
      </c>
      <c r="E4549" s="61" t="b">
        <v>1</v>
      </c>
      <c r="F4549" s="106" t="s">
        <v>15438</v>
      </c>
      <c r="G4549" s="116" t="str">
        <f>HYPERLINK("http://nsgreg.nga.mil/genc/view?v=116326&amp;gencs=T&amp;end_month=3&amp;end_day=31&amp;end_year=2014","Giresun")</f>
        <v>Giresun</v>
      </c>
      <c r="H4549" s="87" t="str">
        <f>HYPERLINK("http://api.nsgreg.nga.mil/geo-division/ISO3166-2/6/ed3/TR-28","TR-28")</f>
        <v>TR-28</v>
      </c>
    </row>
    <row r="4550" spans="1:8" x14ac:dyDescent="0.2">
      <c r="A4550" s="157"/>
      <c r="B4550" s="31" t="s">
        <v>15439</v>
      </c>
      <c r="C4550" s="31" t="s">
        <v>15440</v>
      </c>
      <c r="D4550" s="31" t="s">
        <v>1920</v>
      </c>
      <c r="E4550" s="61" t="b">
        <v>1</v>
      </c>
      <c r="F4550" s="106" t="s">
        <v>15441</v>
      </c>
      <c r="G4550" s="116" t="str">
        <f>HYPERLINK("http://nsgreg.nga.mil/genc/view?v=116327&amp;gencs=T&amp;end_month=3&amp;end_day=31&amp;end_year=2014","Gümüşhane")</f>
        <v>Gümüşhane</v>
      </c>
      <c r="H4550" s="87" t="str">
        <f>HYPERLINK("http://api.nsgreg.nga.mil/geo-division/ISO3166-2/6/ed3/TR-29","TR-29")</f>
        <v>TR-29</v>
      </c>
    </row>
    <row r="4551" spans="1:8" x14ac:dyDescent="0.2">
      <c r="A4551" s="157"/>
      <c r="B4551" s="31" t="s">
        <v>15442</v>
      </c>
      <c r="C4551" s="31" t="s">
        <v>15443</v>
      </c>
      <c r="D4551" s="31" t="s">
        <v>1920</v>
      </c>
      <c r="E4551" s="61" t="b">
        <v>1</v>
      </c>
      <c r="F4551" s="106" t="s">
        <v>15444</v>
      </c>
      <c r="G4551" s="116" t="str">
        <f>HYPERLINK("http://nsgreg.nga.mil/genc/view?v=116328&amp;gencs=T&amp;end_month=3&amp;end_day=31&amp;end_year=2014","Hakkâri")</f>
        <v>Hakkâri</v>
      </c>
      <c r="H4551" s="87" t="str">
        <f>HYPERLINK("http://api.nsgreg.nga.mil/geo-division/ISO3166-2/6/ed3/TR-30","TR-30")</f>
        <v>TR-30</v>
      </c>
    </row>
    <row r="4552" spans="1:8" x14ac:dyDescent="0.2">
      <c r="A4552" s="157"/>
      <c r="B4552" s="31" t="s">
        <v>15445</v>
      </c>
      <c r="C4552" s="31" t="s">
        <v>15446</v>
      </c>
      <c r="D4552" s="31" t="s">
        <v>1920</v>
      </c>
      <c r="E4552" s="61" t="b">
        <v>1</v>
      </c>
      <c r="F4552" s="106" t="s">
        <v>15447</v>
      </c>
      <c r="G4552" s="116" t="str">
        <f>HYPERLINK("http://nsgreg.nga.mil/genc/view?v=116329&amp;gencs=T&amp;end_month=3&amp;end_day=31&amp;end_year=2014","Hatay")</f>
        <v>Hatay</v>
      </c>
      <c r="H4552" s="87" t="str">
        <f>HYPERLINK("http://api.nsgreg.nga.mil/geo-division/ISO3166-2/6/ed3/TR-31","TR-31")</f>
        <v>TR-31</v>
      </c>
    </row>
    <row r="4553" spans="1:8" x14ac:dyDescent="0.2">
      <c r="A4553" s="157"/>
      <c r="B4553" s="31" t="s">
        <v>15448</v>
      </c>
      <c r="C4553" s="31" t="s">
        <v>15449</v>
      </c>
      <c r="D4553" s="31" t="s">
        <v>1920</v>
      </c>
      <c r="E4553" s="61" t="b">
        <v>1</v>
      </c>
      <c r="F4553" s="106" t="s">
        <v>15450</v>
      </c>
      <c r="G4553" s="116" t="str">
        <f>HYPERLINK("http://nsgreg.nga.mil/genc/view?v=116374&amp;gencs=T&amp;end_month=3&amp;end_day=31&amp;end_year=2014","Iğdır")</f>
        <v>Iğdır</v>
      </c>
      <c r="H4553" s="87" t="str">
        <f>HYPERLINK("http://api.nsgreg.nga.mil/geo-division/ISO3166-2/6/ed3/TR-76","TR-76")</f>
        <v>TR-76</v>
      </c>
    </row>
    <row r="4554" spans="1:8" x14ac:dyDescent="0.2">
      <c r="A4554" s="157"/>
      <c r="B4554" s="31" t="s">
        <v>15451</v>
      </c>
      <c r="C4554" s="31" t="s">
        <v>15452</v>
      </c>
      <c r="D4554" s="31" t="s">
        <v>1920</v>
      </c>
      <c r="E4554" s="61" t="b">
        <v>1</v>
      </c>
      <c r="F4554" s="106" t="s">
        <v>15453</v>
      </c>
      <c r="G4554" s="116" t="str">
        <f>HYPERLINK("http://nsgreg.nga.mil/genc/view?v=116330&amp;gencs=T&amp;end_month=3&amp;end_day=31&amp;end_year=2014","Isparta")</f>
        <v>Isparta</v>
      </c>
      <c r="H4554" s="87" t="str">
        <f>HYPERLINK("http://api.nsgreg.nga.mil/geo-division/ISO3166-2/6/ed3/TR-32","TR-32")</f>
        <v>TR-32</v>
      </c>
    </row>
    <row r="4555" spans="1:8" x14ac:dyDescent="0.2">
      <c r="A4555" s="157"/>
      <c r="B4555" s="31" t="s">
        <v>15454</v>
      </c>
      <c r="C4555" s="31" t="s">
        <v>15455</v>
      </c>
      <c r="D4555" s="31" t="s">
        <v>1920</v>
      </c>
      <c r="E4555" s="61" t="b">
        <v>1</v>
      </c>
      <c r="F4555" s="106" t="s">
        <v>15456</v>
      </c>
      <c r="G4555" s="116" t="str">
        <f>HYPERLINK("http://nsgreg.nga.mil/genc/view?v=116332&amp;gencs=T&amp;end_month=3&amp;end_day=31&amp;end_year=2014","İstanbul")</f>
        <v>İstanbul</v>
      </c>
      <c r="H4555" s="87" t="str">
        <f>HYPERLINK("http://api.nsgreg.nga.mil/geo-division/ISO3166-2/6/ed3/TR-34","TR-34")</f>
        <v>TR-34</v>
      </c>
    </row>
    <row r="4556" spans="1:8" x14ac:dyDescent="0.2">
      <c r="A4556" s="157"/>
      <c r="B4556" s="31" t="s">
        <v>15457</v>
      </c>
      <c r="C4556" s="31" t="s">
        <v>15458</v>
      </c>
      <c r="D4556" s="31" t="s">
        <v>1920</v>
      </c>
      <c r="E4556" s="61" t="b">
        <v>1</v>
      </c>
      <c r="F4556" s="106" t="s">
        <v>15459</v>
      </c>
      <c r="G4556" s="116" t="str">
        <f>HYPERLINK("http://nsgreg.nga.mil/genc/view?v=116333&amp;gencs=T&amp;end_month=3&amp;end_day=31&amp;end_year=2014","İzmir")</f>
        <v>İzmir</v>
      </c>
      <c r="H4556" s="87" t="str">
        <f>HYPERLINK("http://api.nsgreg.nga.mil/geo-division/ISO3166-2/6/ed3/TR-35","TR-35")</f>
        <v>TR-35</v>
      </c>
    </row>
    <row r="4557" spans="1:8" x14ac:dyDescent="0.2">
      <c r="A4557" s="157"/>
      <c r="B4557" s="31" t="s">
        <v>15460</v>
      </c>
      <c r="C4557" s="31" t="s">
        <v>15461</v>
      </c>
      <c r="D4557" s="31" t="s">
        <v>1920</v>
      </c>
      <c r="E4557" s="61" t="b">
        <v>1</v>
      </c>
      <c r="F4557" s="106" t="s">
        <v>15462</v>
      </c>
      <c r="G4557" s="116" t="str">
        <f>HYPERLINK("http://nsgreg.nga.mil/genc/view?v=116344&amp;gencs=T&amp;end_month=3&amp;end_day=31&amp;end_year=2014","Kahramanmaraş")</f>
        <v>Kahramanmaraş</v>
      </c>
      <c r="H4557" s="87" t="str">
        <f>HYPERLINK("http://api.nsgreg.nga.mil/geo-division/ISO3166-2/6/ed3/TR-46","TR-46")</f>
        <v>TR-46</v>
      </c>
    </row>
    <row r="4558" spans="1:8" x14ac:dyDescent="0.2">
      <c r="A4558" s="157"/>
      <c r="B4558" s="31" t="s">
        <v>15463</v>
      </c>
      <c r="C4558" s="31" t="s">
        <v>15464</v>
      </c>
      <c r="D4558" s="31" t="s">
        <v>1920</v>
      </c>
      <c r="E4558" s="61" t="b">
        <v>1</v>
      </c>
      <c r="F4558" s="106" t="s">
        <v>15465</v>
      </c>
      <c r="G4558" s="116" t="str">
        <f>HYPERLINK("http://nsgreg.nga.mil/genc/view?v=116376&amp;gencs=T&amp;end_month=3&amp;end_day=31&amp;end_year=2014","Karabük")</f>
        <v>Karabük</v>
      </c>
      <c r="H4558" s="87" t="str">
        <f>HYPERLINK("http://api.nsgreg.nga.mil/geo-division/ISO3166-2/6/ed3/TR-78","TR-78")</f>
        <v>TR-78</v>
      </c>
    </row>
    <row r="4559" spans="1:8" x14ac:dyDescent="0.2">
      <c r="A4559" s="157"/>
      <c r="B4559" s="31" t="s">
        <v>15466</v>
      </c>
      <c r="C4559" s="31" t="s">
        <v>15467</v>
      </c>
      <c r="D4559" s="31" t="s">
        <v>1920</v>
      </c>
      <c r="E4559" s="61" t="b">
        <v>1</v>
      </c>
      <c r="F4559" s="106" t="s">
        <v>15468</v>
      </c>
      <c r="G4559" s="116" t="str">
        <f>HYPERLINK("http://nsgreg.nga.mil/genc/view?v=116368&amp;gencs=T&amp;end_month=3&amp;end_day=31&amp;end_year=2014","Karaman")</f>
        <v>Karaman</v>
      </c>
      <c r="H4559" s="87" t="str">
        <f>HYPERLINK("http://api.nsgreg.nga.mil/geo-division/ISO3166-2/6/ed3/TR-70","TR-70")</f>
        <v>TR-70</v>
      </c>
    </row>
    <row r="4560" spans="1:8" x14ac:dyDescent="0.2">
      <c r="A4560" s="157"/>
      <c r="B4560" s="31" t="s">
        <v>15469</v>
      </c>
      <c r="C4560" s="31" t="s">
        <v>15470</v>
      </c>
      <c r="D4560" s="31" t="s">
        <v>1920</v>
      </c>
      <c r="E4560" s="61" t="b">
        <v>1</v>
      </c>
      <c r="F4560" s="106" t="s">
        <v>15471</v>
      </c>
      <c r="G4560" s="116" t="str">
        <f>HYPERLINK("http://nsgreg.nga.mil/genc/view?v=116334&amp;gencs=T&amp;end_month=3&amp;end_day=31&amp;end_year=2014","Kars")</f>
        <v>Kars</v>
      </c>
      <c r="H4560" s="87" t="str">
        <f>HYPERLINK("http://api.nsgreg.nga.mil/geo-division/ISO3166-2/6/ed3/TR-36","TR-36")</f>
        <v>TR-36</v>
      </c>
    </row>
    <row r="4561" spans="1:8" x14ac:dyDescent="0.2">
      <c r="A4561" s="157"/>
      <c r="B4561" s="31" t="s">
        <v>15472</v>
      </c>
      <c r="C4561" s="31" t="s">
        <v>15473</v>
      </c>
      <c r="D4561" s="31" t="s">
        <v>1920</v>
      </c>
      <c r="E4561" s="61" t="b">
        <v>1</v>
      </c>
      <c r="F4561" s="106" t="s">
        <v>15474</v>
      </c>
      <c r="G4561" s="116" t="str">
        <f>HYPERLINK("http://nsgreg.nga.mil/genc/view?v=116335&amp;gencs=T&amp;end_month=3&amp;end_day=31&amp;end_year=2014","Kastamonu")</f>
        <v>Kastamonu</v>
      </c>
      <c r="H4561" s="87" t="str">
        <f>HYPERLINK("http://api.nsgreg.nga.mil/geo-division/ISO3166-2/6/ed3/TR-37","TR-37")</f>
        <v>TR-37</v>
      </c>
    </row>
    <row r="4562" spans="1:8" x14ac:dyDescent="0.2">
      <c r="A4562" s="157"/>
      <c r="B4562" s="31" t="s">
        <v>15475</v>
      </c>
      <c r="C4562" s="31" t="s">
        <v>15476</v>
      </c>
      <c r="D4562" s="31" t="s">
        <v>1920</v>
      </c>
      <c r="E4562" s="61" t="b">
        <v>1</v>
      </c>
      <c r="F4562" s="106" t="s">
        <v>15477</v>
      </c>
      <c r="G4562" s="116" t="str">
        <f>HYPERLINK("http://nsgreg.nga.mil/genc/view?v=116336&amp;gencs=T&amp;end_month=3&amp;end_day=31&amp;end_year=2014","Kayseri")</f>
        <v>Kayseri</v>
      </c>
      <c r="H4562" s="87" t="str">
        <f>HYPERLINK("http://api.nsgreg.nga.mil/geo-division/ISO3166-2/6/ed3/TR-38","TR-38")</f>
        <v>TR-38</v>
      </c>
    </row>
    <row r="4563" spans="1:8" x14ac:dyDescent="0.2">
      <c r="A4563" s="157"/>
      <c r="B4563" s="31" t="s">
        <v>15478</v>
      </c>
      <c r="C4563" s="31" t="s">
        <v>15479</v>
      </c>
      <c r="D4563" s="31" t="s">
        <v>1920</v>
      </c>
      <c r="E4563" s="61" t="b">
        <v>1</v>
      </c>
      <c r="F4563" s="106" t="s">
        <v>15480</v>
      </c>
      <c r="G4563" s="116" t="str">
        <f>HYPERLINK("http://nsgreg.nga.mil/genc/view?v=116377&amp;gencs=T&amp;end_month=3&amp;end_day=31&amp;end_year=2014","Kilis")</f>
        <v>Kilis</v>
      </c>
      <c r="H4563" s="87" t="str">
        <f>HYPERLINK("http://api.nsgreg.nga.mil/geo-division/ISO3166-2/6/ed3/TR-79","TR-79")</f>
        <v>TR-79</v>
      </c>
    </row>
    <row r="4564" spans="1:8" x14ac:dyDescent="0.2">
      <c r="A4564" s="157"/>
      <c r="B4564" s="31" t="s">
        <v>15481</v>
      </c>
      <c r="C4564" s="31" t="s">
        <v>15482</v>
      </c>
      <c r="D4564" s="31" t="s">
        <v>1920</v>
      </c>
      <c r="E4564" s="61" t="b">
        <v>1</v>
      </c>
      <c r="F4564" s="106" t="s">
        <v>15483</v>
      </c>
      <c r="G4564" s="116" t="str">
        <f>HYPERLINK("http://nsgreg.nga.mil/genc/view?v=116369&amp;gencs=T&amp;end_month=3&amp;end_day=31&amp;end_year=2014","Kırıkkale")</f>
        <v>Kırıkkale</v>
      </c>
      <c r="H4564" s="87" t="str">
        <f>HYPERLINK("http://api.nsgreg.nga.mil/geo-division/ISO3166-2/6/ed3/TR-71","TR-71")</f>
        <v>TR-71</v>
      </c>
    </row>
    <row r="4565" spans="1:8" x14ac:dyDescent="0.2">
      <c r="A4565" s="157"/>
      <c r="B4565" s="31" t="s">
        <v>15484</v>
      </c>
      <c r="C4565" s="31" t="s">
        <v>15485</v>
      </c>
      <c r="D4565" s="31" t="s">
        <v>1920</v>
      </c>
      <c r="E4565" s="61" t="b">
        <v>1</v>
      </c>
      <c r="F4565" s="106" t="s">
        <v>15486</v>
      </c>
      <c r="G4565" s="116" t="str">
        <f>HYPERLINK("http://nsgreg.nga.mil/genc/view?v=116337&amp;gencs=T&amp;end_month=3&amp;end_day=31&amp;end_year=2014","Kırklareli")</f>
        <v>Kırklareli</v>
      </c>
      <c r="H4565" s="87" t="str">
        <f>HYPERLINK("http://api.nsgreg.nga.mil/geo-division/ISO3166-2/6/ed3/TR-39","TR-39")</f>
        <v>TR-39</v>
      </c>
    </row>
    <row r="4566" spans="1:8" x14ac:dyDescent="0.2">
      <c r="A4566" s="157"/>
      <c r="B4566" s="31" t="s">
        <v>15487</v>
      </c>
      <c r="C4566" s="31" t="s">
        <v>15488</v>
      </c>
      <c r="D4566" s="31" t="s">
        <v>1920</v>
      </c>
      <c r="E4566" s="61" t="b">
        <v>1</v>
      </c>
      <c r="F4566" s="106" t="s">
        <v>15489</v>
      </c>
      <c r="G4566" s="116" t="str">
        <f>HYPERLINK("http://nsgreg.nga.mil/genc/view?v=116338&amp;gencs=T&amp;end_month=3&amp;end_day=31&amp;end_year=2014","Kırşehir")</f>
        <v>Kırşehir</v>
      </c>
      <c r="H4566" s="87" t="str">
        <f>HYPERLINK("http://api.nsgreg.nga.mil/geo-division/ISO3166-2/6/ed3/TR-40","TR-40")</f>
        <v>TR-40</v>
      </c>
    </row>
    <row r="4567" spans="1:8" x14ac:dyDescent="0.2">
      <c r="A4567" s="157"/>
      <c r="B4567" s="31" t="s">
        <v>15490</v>
      </c>
      <c r="C4567" s="31" t="s">
        <v>15491</v>
      </c>
      <c r="D4567" s="31" t="s">
        <v>1920</v>
      </c>
      <c r="E4567" s="61" t="b">
        <v>1</v>
      </c>
      <c r="F4567" s="106" t="s">
        <v>15492</v>
      </c>
      <c r="G4567" s="116" t="str">
        <f>HYPERLINK("http://nsgreg.nga.mil/genc/view?v=116339&amp;gencs=T&amp;end_month=3&amp;end_day=31&amp;end_year=2014","Kocaeli")</f>
        <v>Kocaeli</v>
      </c>
      <c r="H4567" s="87" t="str">
        <f>HYPERLINK("http://api.nsgreg.nga.mil/geo-division/ISO3166-2/6/ed3/TR-41","TR-41")</f>
        <v>TR-41</v>
      </c>
    </row>
    <row r="4568" spans="1:8" x14ac:dyDescent="0.2">
      <c r="A4568" s="157"/>
      <c r="B4568" s="31" t="s">
        <v>15493</v>
      </c>
      <c r="C4568" s="31" t="s">
        <v>15494</v>
      </c>
      <c r="D4568" s="31" t="s">
        <v>1920</v>
      </c>
      <c r="E4568" s="61" t="b">
        <v>1</v>
      </c>
      <c r="F4568" s="106" t="s">
        <v>15495</v>
      </c>
      <c r="G4568" s="116" t="str">
        <f>HYPERLINK("http://nsgreg.nga.mil/genc/view?v=116340&amp;gencs=T&amp;end_month=3&amp;end_day=31&amp;end_year=2014","Konya")</f>
        <v>Konya</v>
      </c>
      <c r="H4568" s="87" t="str">
        <f>HYPERLINK("http://api.nsgreg.nga.mil/geo-division/ISO3166-2/6/ed3/TR-42","TR-42")</f>
        <v>TR-42</v>
      </c>
    </row>
    <row r="4569" spans="1:8" x14ac:dyDescent="0.2">
      <c r="A4569" s="157"/>
      <c r="B4569" s="31" t="s">
        <v>15496</v>
      </c>
      <c r="C4569" s="31" t="s">
        <v>15497</v>
      </c>
      <c r="D4569" s="31" t="s">
        <v>1920</v>
      </c>
      <c r="E4569" s="61" t="b">
        <v>1</v>
      </c>
      <c r="F4569" s="106" t="s">
        <v>15498</v>
      </c>
      <c r="G4569" s="116" t="str">
        <f>HYPERLINK("http://nsgreg.nga.mil/genc/view?v=116341&amp;gencs=T&amp;end_month=3&amp;end_day=31&amp;end_year=2014","Kütahya")</f>
        <v>Kütahya</v>
      </c>
      <c r="H4569" s="87" t="str">
        <f>HYPERLINK("http://api.nsgreg.nga.mil/geo-division/ISO3166-2/6/ed3/TR-43","TR-43")</f>
        <v>TR-43</v>
      </c>
    </row>
    <row r="4570" spans="1:8" x14ac:dyDescent="0.2">
      <c r="A4570" s="157"/>
      <c r="B4570" s="31" t="s">
        <v>15499</v>
      </c>
      <c r="C4570" s="31" t="s">
        <v>15500</v>
      </c>
      <c r="D4570" s="31" t="s">
        <v>1920</v>
      </c>
      <c r="E4570" s="61" t="b">
        <v>1</v>
      </c>
      <c r="F4570" s="106" t="s">
        <v>15501</v>
      </c>
      <c r="G4570" s="116" t="str">
        <f>HYPERLINK("http://nsgreg.nga.mil/genc/view?v=116342&amp;gencs=T&amp;end_month=3&amp;end_day=31&amp;end_year=2014","Malatya")</f>
        <v>Malatya</v>
      </c>
      <c r="H4570" s="87" t="str">
        <f>HYPERLINK("http://api.nsgreg.nga.mil/geo-division/ISO3166-2/6/ed3/TR-44","TR-44")</f>
        <v>TR-44</v>
      </c>
    </row>
    <row r="4571" spans="1:8" x14ac:dyDescent="0.2">
      <c r="A4571" s="157"/>
      <c r="B4571" s="31" t="s">
        <v>15502</v>
      </c>
      <c r="C4571" s="31" t="s">
        <v>15503</v>
      </c>
      <c r="D4571" s="31" t="s">
        <v>1920</v>
      </c>
      <c r="E4571" s="61" t="b">
        <v>1</v>
      </c>
      <c r="F4571" s="106" t="s">
        <v>15504</v>
      </c>
      <c r="G4571" s="116" t="str">
        <f>HYPERLINK("http://nsgreg.nga.mil/genc/view?v=116343&amp;gencs=T&amp;end_month=3&amp;end_day=31&amp;end_year=2014","Manisa")</f>
        <v>Manisa</v>
      </c>
      <c r="H4571" s="87" t="str">
        <f>HYPERLINK("http://api.nsgreg.nga.mil/geo-division/ISO3166-2/6/ed3/TR-45","TR-45")</f>
        <v>TR-45</v>
      </c>
    </row>
    <row r="4572" spans="1:8" x14ac:dyDescent="0.2">
      <c r="A4572" s="157"/>
      <c r="B4572" s="31" t="s">
        <v>15505</v>
      </c>
      <c r="C4572" s="31" t="s">
        <v>15506</v>
      </c>
      <c r="D4572" s="31" t="s">
        <v>1920</v>
      </c>
      <c r="E4572" s="61" t="b">
        <v>1</v>
      </c>
      <c r="F4572" s="106" t="s">
        <v>15507</v>
      </c>
      <c r="G4572" s="116" t="str">
        <f>HYPERLINK("http://nsgreg.nga.mil/genc/view?v=116345&amp;gencs=T&amp;end_month=3&amp;end_day=31&amp;end_year=2014","Mardin")</f>
        <v>Mardin</v>
      </c>
      <c r="H4572" s="87" t="str">
        <f>HYPERLINK("http://api.nsgreg.nga.mil/geo-division/ISO3166-2/6/ed3/TR-47","TR-47")</f>
        <v>TR-47</v>
      </c>
    </row>
    <row r="4573" spans="1:8" x14ac:dyDescent="0.2">
      <c r="A4573" s="157"/>
      <c r="B4573" s="31" t="s">
        <v>15508</v>
      </c>
      <c r="C4573" s="31" t="s">
        <v>15509</v>
      </c>
      <c r="D4573" s="31" t="s">
        <v>1920</v>
      </c>
      <c r="E4573" s="61" t="b">
        <v>1</v>
      </c>
      <c r="F4573" s="106" t="s">
        <v>15510</v>
      </c>
      <c r="G4573" s="116" t="str">
        <f>HYPERLINK("http://nsgreg.nga.mil/genc/view?v=116331&amp;gencs=T&amp;end_month=3&amp;end_day=31&amp;end_year=2014","Mersin")</f>
        <v>Mersin</v>
      </c>
      <c r="H4573" s="87" t="str">
        <f>HYPERLINK("http://api.nsgreg.nga.mil/geo-division/ISO3166-2/6/ed3/TR-33","TR-33")</f>
        <v>TR-33</v>
      </c>
    </row>
    <row r="4574" spans="1:8" x14ac:dyDescent="0.2">
      <c r="A4574" s="157"/>
      <c r="B4574" s="31" t="s">
        <v>15511</v>
      </c>
      <c r="C4574" s="31" t="s">
        <v>15512</v>
      </c>
      <c r="D4574" s="31" t="s">
        <v>1920</v>
      </c>
      <c r="E4574" s="61" t="b">
        <v>1</v>
      </c>
      <c r="F4574" s="106" t="s">
        <v>15513</v>
      </c>
      <c r="G4574" s="116" t="str">
        <f>HYPERLINK("http://nsgreg.nga.mil/genc/view?v=116346&amp;gencs=T&amp;end_month=3&amp;end_day=31&amp;end_year=2014","Muğla")</f>
        <v>Muğla</v>
      </c>
      <c r="H4574" s="87" t="str">
        <f>HYPERLINK("http://api.nsgreg.nga.mil/geo-division/ISO3166-2/6/ed3/TR-48","TR-48")</f>
        <v>TR-48</v>
      </c>
    </row>
    <row r="4575" spans="1:8" x14ac:dyDescent="0.2">
      <c r="A4575" s="157"/>
      <c r="B4575" s="31" t="s">
        <v>15514</v>
      </c>
      <c r="C4575" s="31" t="s">
        <v>15515</v>
      </c>
      <c r="D4575" s="31" t="s">
        <v>1920</v>
      </c>
      <c r="E4575" s="61" t="b">
        <v>1</v>
      </c>
      <c r="F4575" s="106" t="s">
        <v>15516</v>
      </c>
      <c r="G4575" s="116" t="str">
        <f>HYPERLINK("http://nsgreg.nga.mil/genc/view?v=116347&amp;gencs=T&amp;end_month=3&amp;end_day=31&amp;end_year=2014","Muş")</f>
        <v>Muş</v>
      </c>
      <c r="H4575" s="87" t="str">
        <f>HYPERLINK("http://api.nsgreg.nga.mil/geo-division/ISO3166-2/6/ed3/TR-49","TR-49")</f>
        <v>TR-49</v>
      </c>
    </row>
    <row r="4576" spans="1:8" x14ac:dyDescent="0.2">
      <c r="A4576" s="157"/>
      <c r="B4576" s="31" t="s">
        <v>15517</v>
      </c>
      <c r="C4576" s="31" t="s">
        <v>15518</v>
      </c>
      <c r="D4576" s="31" t="s">
        <v>1920</v>
      </c>
      <c r="E4576" s="61" t="b">
        <v>1</v>
      </c>
      <c r="F4576" s="106" t="s">
        <v>15519</v>
      </c>
      <c r="G4576" s="116" t="str">
        <f>HYPERLINK("http://nsgreg.nga.mil/genc/view?v=116348&amp;gencs=T&amp;end_month=3&amp;end_day=31&amp;end_year=2014","Nevşehir")</f>
        <v>Nevşehir</v>
      </c>
      <c r="H4576" s="87" t="str">
        <f>HYPERLINK("http://api.nsgreg.nga.mil/geo-division/ISO3166-2/6/ed3/TR-50","TR-50")</f>
        <v>TR-50</v>
      </c>
    </row>
    <row r="4577" spans="1:8" x14ac:dyDescent="0.2">
      <c r="A4577" s="157"/>
      <c r="B4577" s="31" t="s">
        <v>15520</v>
      </c>
      <c r="C4577" s="31" t="s">
        <v>15521</v>
      </c>
      <c r="D4577" s="31" t="s">
        <v>1920</v>
      </c>
      <c r="E4577" s="61" t="b">
        <v>1</v>
      </c>
      <c r="F4577" s="106" t="s">
        <v>15522</v>
      </c>
      <c r="G4577" s="116" t="str">
        <f>HYPERLINK("http://nsgreg.nga.mil/genc/view?v=116349&amp;gencs=T&amp;end_month=3&amp;end_day=31&amp;end_year=2014","Niğde")</f>
        <v>Niğde</v>
      </c>
      <c r="H4577" s="87" t="str">
        <f>HYPERLINK("http://api.nsgreg.nga.mil/geo-division/ISO3166-2/6/ed3/TR-51","TR-51")</f>
        <v>TR-51</v>
      </c>
    </row>
    <row r="4578" spans="1:8" x14ac:dyDescent="0.2">
      <c r="A4578" s="157"/>
      <c r="B4578" s="31" t="s">
        <v>15523</v>
      </c>
      <c r="C4578" s="31" t="s">
        <v>15524</v>
      </c>
      <c r="D4578" s="31" t="s">
        <v>1920</v>
      </c>
      <c r="E4578" s="61" t="b">
        <v>1</v>
      </c>
      <c r="F4578" s="106" t="s">
        <v>15525</v>
      </c>
      <c r="G4578" s="116" t="str">
        <f>HYPERLINK("http://nsgreg.nga.mil/genc/view?v=116350&amp;gencs=T&amp;end_month=3&amp;end_day=31&amp;end_year=2014","Ordu")</f>
        <v>Ordu</v>
      </c>
      <c r="H4578" s="87" t="str">
        <f>HYPERLINK("http://api.nsgreg.nga.mil/geo-division/ISO3166-2/6/ed3/TR-52","TR-52")</f>
        <v>TR-52</v>
      </c>
    </row>
    <row r="4579" spans="1:8" x14ac:dyDescent="0.2">
      <c r="A4579" s="157"/>
      <c r="B4579" s="31" t="s">
        <v>15526</v>
      </c>
      <c r="C4579" s="31" t="s">
        <v>15527</v>
      </c>
      <c r="D4579" s="31" t="s">
        <v>1920</v>
      </c>
      <c r="E4579" s="61" t="b">
        <v>1</v>
      </c>
      <c r="F4579" s="106" t="s">
        <v>15528</v>
      </c>
      <c r="G4579" s="116" t="str">
        <f>HYPERLINK("http://nsgreg.nga.mil/genc/view?v=116378&amp;gencs=T&amp;end_month=3&amp;end_day=31&amp;end_year=2014","Osmaniye")</f>
        <v>Osmaniye</v>
      </c>
      <c r="H4579" s="87" t="str">
        <f>HYPERLINK("http://api.nsgreg.nga.mil/geo-division/ISO3166-2/6/ed3/TR-80","TR-80")</f>
        <v>TR-80</v>
      </c>
    </row>
    <row r="4580" spans="1:8" x14ac:dyDescent="0.2">
      <c r="A4580" s="157"/>
      <c r="B4580" s="31" t="s">
        <v>15529</v>
      </c>
      <c r="C4580" s="31" t="s">
        <v>15530</v>
      </c>
      <c r="D4580" s="31" t="s">
        <v>1920</v>
      </c>
      <c r="E4580" s="61" t="b">
        <v>1</v>
      </c>
      <c r="F4580" s="106" t="s">
        <v>15531</v>
      </c>
      <c r="G4580" s="116" t="str">
        <f>HYPERLINK("http://nsgreg.nga.mil/genc/view?v=116351&amp;gencs=T&amp;end_month=3&amp;end_day=31&amp;end_year=2014","Rize")</f>
        <v>Rize</v>
      </c>
      <c r="H4580" s="87" t="str">
        <f>HYPERLINK("http://api.nsgreg.nga.mil/geo-division/ISO3166-2/6/ed3/TR-53","TR-53")</f>
        <v>TR-53</v>
      </c>
    </row>
    <row r="4581" spans="1:8" x14ac:dyDescent="0.2">
      <c r="A4581" s="157"/>
      <c r="B4581" s="31" t="s">
        <v>15532</v>
      </c>
      <c r="C4581" s="31" t="s">
        <v>15533</v>
      </c>
      <c r="D4581" s="31" t="s">
        <v>1920</v>
      </c>
      <c r="E4581" s="61" t="b">
        <v>1</v>
      </c>
      <c r="F4581" s="106" t="s">
        <v>15534</v>
      </c>
      <c r="G4581" s="116" t="str">
        <f>HYPERLINK("http://nsgreg.nga.mil/genc/view?v=116352&amp;gencs=T&amp;end_month=3&amp;end_day=31&amp;end_year=2014","Sakarya")</f>
        <v>Sakarya</v>
      </c>
      <c r="H4581" s="87" t="str">
        <f>HYPERLINK("http://api.nsgreg.nga.mil/geo-division/ISO3166-2/6/ed3/TR-54","TR-54")</f>
        <v>TR-54</v>
      </c>
    </row>
    <row r="4582" spans="1:8" x14ac:dyDescent="0.2">
      <c r="A4582" s="157"/>
      <c r="B4582" s="31" t="s">
        <v>15535</v>
      </c>
      <c r="C4582" s="31" t="s">
        <v>15536</v>
      </c>
      <c r="D4582" s="31" t="s">
        <v>1920</v>
      </c>
      <c r="E4582" s="61" t="b">
        <v>1</v>
      </c>
      <c r="F4582" s="106" t="s">
        <v>15537</v>
      </c>
      <c r="G4582" s="116" t="str">
        <f>HYPERLINK("http://nsgreg.nga.mil/genc/view?v=116353&amp;gencs=T&amp;end_month=3&amp;end_day=31&amp;end_year=2014","Samsun")</f>
        <v>Samsun</v>
      </c>
      <c r="H4582" s="87" t="str">
        <f>HYPERLINK("http://api.nsgreg.nga.mil/geo-division/ISO3166-2/6/ed3/TR-55","TR-55")</f>
        <v>TR-55</v>
      </c>
    </row>
    <row r="4583" spans="1:8" x14ac:dyDescent="0.2">
      <c r="A4583" s="157"/>
      <c r="B4583" s="31" t="s">
        <v>15538</v>
      </c>
      <c r="C4583" s="31" t="s">
        <v>15539</v>
      </c>
      <c r="D4583" s="31" t="s">
        <v>1920</v>
      </c>
      <c r="E4583" s="61" t="b">
        <v>1</v>
      </c>
      <c r="F4583" s="106" t="s">
        <v>15540</v>
      </c>
      <c r="G4583" s="116" t="str">
        <f>HYPERLINK("http://nsgreg.nga.mil/genc/view?v=116361&amp;gencs=T&amp;end_month=3&amp;end_day=31&amp;end_year=2014","Şanlıurfa")</f>
        <v>Şanlıurfa</v>
      </c>
      <c r="H4583" s="87" t="str">
        <f>HYPERLINK("http://api.nsgreg.nga.mil/geo-division/ISO3166-2/6/ed3/TR-63","TR-63")</f>
        <v>TR-63</v>
      </c>
    </row>
    <row r="4584" spans="1:8" x14ac:dyDescent="0.2">
      <c r="A4584" s="157"/>
      <c r="B4584" s="31" t="s">
        <v>15541</v>
      </c>
      <c r="C4584" s="31" t="s">
        <v>15542</v>
      </c>
      <c r="D4584" s="31" t="s">
        <v>1920</v>
      </c>
      <c r="E4584" s="61" t="b">
        <v>1</v>
      </c>
      <c r="F4584" s="106" t="s">
        <v>15543</v>
      </c>
      <c r="G4584" s="116" t="str">
        <f>HYPERLINK("http://nsgreg.nga.mil/genc/view?v=116354&amp;gencs=T&amp;end_month=3&amp;end_day=31&amp;end_year=2014","Siirt")</f>
        <v>Siirt</v>
      </c>
      <c r="H4584" s="87" t="str">
        <f>HYPERLINK("http://api.nsgreg.nga.mil/geo-division/ISO3166-2/6/ed3/TR-56","TR-56")</f>
        <v>TR-56</v>
      </c>
    </row>
    <row r="4585" spans="1:8" x14ac:dyDescent="0.2">
      <c r="A4585" s="157"/>
      <c r="B4585" s="31" t="s">
        <v>15544</v>
      </c>
      <c r="C4585" s="31" t="s">
        <v>15545</v>
      </c>
      <c r="D4585" s="31" t="s">
        <v>1920</v>
      </c>
      <c r="E4585" s="61" t="b">
        <v>1</v>
      </c>
      <c r="F4585" s="106" t="s">
        <v>15546</v>
      </c>
      <c r="G4585" s="116" t="str">
        <f>HYPERLINK("http://nsgreg.nga.mil/genc/view?v=116355&amp;gencs=T&amp;end_month=3&amp;end_day=31&amp;end_year=2014","Sinop")</f>
        <v>Sinop</v>
      </c>
      <c r="H4585" s="87" t="str">
        <f>HYPERLINK("http://api.nsgreg.nga.mil/geo-division/ISO3166-2/6/ed3/TR-57","TR-57")</f>
        <v>TR-57</v>
      </c>
    </row>
    <row r="4586" spans="1:8" x14ac:dyDescent="0.2">
      <c r="A4586" s="157"/>
      <c r="B4586" s="31" t="s">
        <v>15547</v>
      </c>
      <c r="C4586" s="31" t="s">
        <v>15548</v>
      </c>
      <c r="D4586" s="31" t="s">
        <v>1920</v>
      </c>
      <c r="E4586" s="61" t="b">
        <v>1</v>
      </c>
      <c r="F4586" s="106" t="s">
        <v>15549</v>
      </c>
      <c r="G4586" s="116" t="str">
        <f>HYPERLINK("http://nsgreg.nga.mil/genc/view?v=116371&amp;gencs=T&amp;end_month=3&amp;end_day=31&amp;end_year=2014","Şırnak")</f>
        <v>Şırnak</v>
      </c>
      <c r="H4586" s="87" t="str">
        <f>HYPERLINK("http://api.nsgreg.nga.mil/geo-division/ISO3166-2/6/ed3/TR-73","TR-73")</f>
        <v>TR-73</v>
      </c>
    </row>
    <row r="4587" spans="1:8" x14ac:dyDescent="0.2">
      <c r="A4587" s="157"/>
      <c r="B4587" s="31" t="s">
        <v>15550</v>
      </c>
      <c r="C4587" s="31" t="s">
        <v>15551</v>
      </c>
      <c r="D4587" s="31" t="s">
        <v>1920</v>
      </c>
      <c r="E4587" s="61" t="b">
        <v>1</v>
      </c>
      <c r="F4587" s="106" t="s">
        <v>15552</v>
      </c>
      <c r="G4587" s="116" t="str">
        <f>HYPERLINK("http://nsgreg.nga.mil/genc/view?v=116356&amp;gencs=T&amp;end_month=3&amp;end_day=31&amp;end_year=2014","Sivas")</f>
        <v>Sivas</v>
      </c>
      <c r="H4587" s="87" t="str">
        <f>HYPERLINK("http://api.nsgreg.nga.mil/geo-division/ISO3166-2/6/ed3/TR-58","TR-58")</f>
        <v>TR-58</v>
      </c>
    </row>
    <row r="4588" spans="1:8" x14ac:dyDescent="0.2">
      <c r="A4588" s="157"/>
      <c r="B4588" s="31" t="s">
        <v>15553</v>
      </c>
      <c r="C4588" s="31" t="s">
        <v>15554</v>
      </c>
      <c r="D4588" s="31" t="s">
        <v>1920</v>
      </c>
      <c r="E4588" s="61" t="b">
        <v>1</v>
      </c>
      <c r="F4588" s="106" t="s">
        <v>15555</v>
      </c>
      <c r="G4588" s="116" t="str">
        <f>HYPERLINK("http://nsgreg.nga.mil/genc/view?v=116357&amp;gencs=T&amp;end_month=3&amp;end_day=31&amp;end_year=2014","Tekirdağ")</f>
        <v>Tekirdağ</v>
      </c>
      <c r="H4588" s="87" t="str">
        <f>HYPERLINK("http://api.nsgreg.nga.mil/geo-division/ISO3166-2/6/ed3/TR-59","TR-59")</f>
        <v>TR-59</v>
      </c>
    </row>
    <row r="4589" spans="1:8" x14ac:dyDescent="0.2">
      <c r="A4589" s="157"/>
      <c r="B4589" s="31" t="s">
        <v>15556</v>
      </c>
      <c r="C4589" s="31" t="s">
        <v>15557</v>
      </c>
      <c r="D4589" s="31" t="s">
        <v>1920</v>
      </c>
      <c r="E4589" s="61" t="b">
        <v>1</v>
      </c>
      <c r="F4589" s="106" t="s">
        <v>15558</v>
      </c>
      <c r="G4589" s="116" t="str">
        <f>HYPERLINK("http://nsgreg.nga.mil/genc/view?v=116358&amp;gencs=T&amp;end_month=3&amp;end_day=31&amp;end_year=2014","Tokat")</f>
        <v>Tokat</v>
      </c>
      <c r="H4589" s="87" t="str">
        <f>HYPERLINK("http://api.nsgreg.nga.mil/geo-division/ISO3166-2/6/ed3/TR-60","TR-60")</f>
        <v>TR-60</v>
      </c>
    </row>
    <row r="4590" spans="1:8" x14ac:dyDescent="0.2">
      <c r="A4590" s="157"/>
      <c r="B4590" s="31" t="s">
        <v>15559</v>
      </c>
      <c r="C4590" s="31" t="s">
        <v>15560</v>
      </c>
      <c r="D4590" s="31" t="s">
        <v>1920</v>
      </c>
      <c r="E4590" s="61" t="b">
        <v>1</v>
      </c>
      <c r="F4590" s="106" t="s">
        <v>15561</v>
      </c>
      <c r="G4590" s="116" t="str">
        <f>HYPERLINK("http://nsgreg.nga.mil/genc/view?v=116359&amp;gencs=T&amp;end_month=3&amp;end_day=31&amp;end_year=2014","Trabzon")</f>
        <v>Trabzon</v>
      </c>
      <c r="H4590" s="87" t="str">
        <f>HYPERLINK("http://api.nsgreg.nga.mil/geo-division/ISO3166-2/6/ed3/TR-61","TR-61")</f>
        <v>TR-61</v>
      </c>
    </row>
    <row r="4591" spans="1:8" x14ac:dyDescent="0.2">
      <c r="A4591" s="157"/>
      <c r="B4591" s="31" t="s">
        <v>15562</v>
      </c>
      <c r="C4591" s="31" t="s">
        <v>15563</v>
      </c>
      <c r="D4591" s="31" t="s">
        <v>1920</v>
      </c>
      <c r="E4591" s="61" t="b">
        <v>1</v>
      </c>
      <c r="F4591" s="106" t="s">
        <v>15564</v>
      </c>
      <c r="G4591" s="116" t="str">
        <f>HYPERLINK("http://nsgreg.nga.mil/genc/view?v=116360&amp;gencs=T&amp;end_month=3&amp;end_day=31&amp;end_year=2014","Tunceli")</f>
        <v>Tunceli</v>
      </c>
      <c r="H4591" s="87" t="str">
        <f>HYPERLINK("http://api.nsgreg.nga.mil/geo-division/ISO3166-2/6/ed3/TR-62","TR-62")</f>
        <v>TR-62</v>
      </c>
    </row>
    <row r="4592" spans="1:8" x14ac:dyDescent="0.2">
      <c r="A4592" s="157"/>
      <c r="B4592" s="31" t="s">
        <v>15565</v>
      </c>
      <c r="C4592" s="31" t="s">
        <v>15566</v>
      </c>
      <c r="D4592" s="31" t="s">
        <v>1920</v>
      </c>
      <c r="E4592" s="61" t="b">
        <v>1</v>
      </c>
      <c r="F4592" s="106" t="s">
        <v>15567</v>
      </c>
      <c r="G4592" s="116" t="str">
        <f>HYPERLINK("http://nsgreg.nga.mil/genc/view?v=116362&amp;gencs=T&amp;end_month=3&amp;end_day=31&amp;end_year=2014","Uşak")</f>
        <v>Uşak</v>
      </c>
      <c r="H4592" s="87" t="str">
        <f>HYPERLINK("http://api.nsgreg.nga.mil/geo-division/ISO3166-2/6/ed3/TR-64","TR-64")</f>
        <v>TR-64</v>
      </c>
    </row>
    <row r="4593" spans="1:8" x14ac:dyDescent="0.2">
      <c r="A4593" s="157"/>
      <c r="B4593" s="31" t="s">
        <v>15568</v>
      </c>
      <c r="C4593" s="31" t="s">
        <v>15569</v>
      </c>
      <c r="D4593" s="31" t="s">
        <v>1920</v>
      </c>
      <c r="E4593" s="61" t="b">
        <v>1</v>
      </c>
      <c r="F4593" s="106" t="s">
        <v>15570</v>
      </c>
      <c r="G4593" s="116" t="str">
        <f>HYPERLINK("http://nsgreg.nga.mil/genc/view?v=116363&amp;gencs=T&amp;end_month=3&amp;end_day=31&amp;end_year=2014","Van")</f>
        <v>Van</v>
      </c>
      <c r="H4593" s="87" t="str">
        <f>HYPERLINK("http://api.nsgreg.nga.mil/geo-division/ISO3166-2/6/ed3/TR-65","TR-65")</f>
        <v>TR-65</v>
      </c>
    </row>
    <row r="4594" spans="1:8" x14ac:dyDescent="0.2">
      <c r="A4594" s="157"/>
      <c r="B4594" s="31" t="s">
        <v>15571</v>
      </c>
      <c r="C4594" s="31" t="s">
        <v>15572</v>
      </c>
      <c r="D4594" s="31" t="s">
        <v>1920</v>
      </c>
      <c r="E4594" s="61" t="b">
        <v>1</v>
      </c>
      <c r="F4594" s="106" t="s">
        <v>15573</v>
      </c>
      <c r="G4594" s="116" t="str">
        <f>HYPERLINK("http://nsgreg.nga.mil/genc/view?v=116375&amp;gencs=T&amp;end_month=3&amp;end_day=31&amp;end_year=2014","Yalova")</f>
        <v>Yalova</v>
      </c>
      <c r="H4594" s="87" t="str">
        <f>HYPERLINK("http://api.nsgreg.nga.mil/geo-division/ISO3166-2/6/ed3/TR-77","TR-77")</f>
        <v>TR-77</v>
      </c>
    </row>
    <row r="4595" spans="1:8" x14ac:dyDescent="0.2">
      <c r="A4595" s="157"/>
      <c r="B4595" s="31" t="s">
        <v>15574</v>
      </c>
      <c r="C4595" s="31" t="s">
        <v>15575</v>
      </c>
      <c r="D4595" s="31" t="s">
        <v>1920</v>
      </c>
      <c r="E4595" s="61" t="b">
        <v>1</v>
      </c>
      <c r="F4595" s="106" t="s">
        <v>15576</v>
      </c>
      <c r="G4595" s="116" t="str">
        <f>HYPERLINK("http://nsgreg.nga.mil/genc/view?v=116364&amp;gencs=T&amp;end_month=3&amp;end_day=31&amp;end_year=2014","Yozgat")</f>
        <v>Yozgat</v>
      </c>
      <c r="H4595" s="87" t="str">
        <f>HYPERLINK("http://api.nsgreg.nga.mil/geo-division/ISO3166-2/6/ed3/TR-66","TR-66")</f>
        <v>TR-66</v>
      </c>
    </row>
    <row r="4596" spans="1:8" x14ac:dyDescent="0.2">
      <c r="A4596" s="158"/>
      <c r="B4596" s="58" t="s">
        <v>15577</v>
      </c>
      <c r="C4596" s="58" t="s">
        <v>15578</v>
      </c>
      <c r="D4596" s="58" t="s">
        <v>1920</v>
      </c>
      <c r="E4596" s="62" t="b">
        <v>1</v>
      </c>
      <c r="F4596" s="108" t="s">
        <v>15579</v>
      </c>
      <c r="G4596" s="117" t="str">
        <f>HYPERLINK("http://nsgreg.nga.mil/genc/view?v=116365&amp;gencs=T&amp;end_month=3&amp;end_day=31&amp;end_year=2014","Zonguldak")</f>
        <v>Zonguldak</v>
      </c>
      <c r="H4596" s="89" t="str">
        <f>HYPERLINK("http://api.nsgreg.nga.mil/geo-division/ISO3166-2/6/ed3/TR-67","TR-67")</f>
        <v>TR-67</v>
      </c>
    </row>
    <row r="4597" spans="1:8" x14ac:dyDescent="0.2">
      <c r="A4597" s="156" t="str">
        <f>HYPERLINK("[#]Geopolitical_Entities!A260:I260","TURKMENISTAN")</f>
        <v>TURKMENISTAN</v>
      </c>
      <c r="B4597" s="52" t="s">
        <v>15580</v>
      </c>
      <c r="C4597" s="52" t="s">
        <v>15581</v>
      </c>
      <c r="D4597" s="52" t="s">
        <v>1920</v>
      </c>
      <c r="E4597" s="60" t="b">
        <v>1</v>
      </c>
      <c r="F4597" s="110" t="s">
        <v>15582</v>
      </c>
      <c r="G4597" s="118" t="str">
        <f>HYPERLINK("http://nsgreg.nga.mil/genc/view?v=203108&amp;end_month=3&amp;end_day=31&amp;end_year=2014","Ahal")</f>
        <v>Ahal</v>
      </c>
      <c r="H4597" s="91" t="str">
        <f>HYPERLINK("http://api.nsgreg.nga.mil/geo-division/GENC/6/ed2/TM-A","TM-A")</f>
        <v>TM-A</v>
      </c>
    </row>
    <row r="4598" spans="1:8" x14ac:dyDescent="0.2">
      <c r="A4598" s="157"/>
      <c r="B4598" s="31" t="s">
        <v>15583</v>
      </c>
      <c r="C4598" s="31" t="s">
        <v>15584</v>
      </c>
      <c r="D4598" s="98" t="s">
        <v>2405</v>
      </c>
      <c r="E4598" s="99" t="b">
        <v>0</v>
      </c>
      <c r="F4598" s="106" t="s">
        <v>15585</v>
      </c>
      <c r="G4598" s="116" t="str">
        <f>HYPERLINK("http://nsgreg.nga.mil/genc/view?v=116269&amp;gencs=T&amp;end_month=3&amp;end_day=31&amp;end_year=2014","Aşgabat")</f>
        <v>Aşgabat</v>
      </c>
      <c r="H4598" s="87" t="str">
        <f>HYPERLINK("http://api.nsgreg.nga.mil/geo-division/ISO3166-2/6/ed3/TM-S","TM-S")</f>
        <v>TM-S</v>
      </c>
    </row>
    <row r="4599" spans="1:8" x14ac:dyDescent="0.2">
      <c r="A4599" s="157"/>
      <c r="B4599" s="31" t="s">
        <v>15586</v>
      </c>
      <c r="C4599" s="31" t="s">
        <v>15587</v>
      </c>
      <c r="D4599" s="31" t="s">
        <v>1920</v>
      </c>
      <c r="E4599" s="61" t="b">
        <v>1</v>
      </c>
      <c r="F4599" s="107" t="s">
        <v>15588</v>
      </c>
      <c r="G4599" s="116" t="str">
        <f>HYPERLINK("http://nsgreg.nga.mil/genc/view?v=203109&amp;end_month=3&amp;end_day=31&amp;end_year=2014","Balkan")</f>
        <v>Balkan</v>
      </c>
      <c r="H4599" s="87" t="str">
        <f>HYPERLINK("http://api.nsgreg.nga.mil/geo-division/GENC/6/ed2/TM-B","TM-B")</f>
        <v>TM-B</v>
      </c>
    </row>
    <row r="4600" spans="1:8" x14ac:dyDescent="0.2">
      <c r="A4600" s="157"/>
      <c r="B4600" s="31" t="s">
        <v>15589</v>
      </c>
      <c r="C4600" s="31" t="s">
        <v>15590</v>
      </c>
      <c r="D4600" s="31" t="s">
        <v>1920</v>
      </c>
      <c r="E4600" s="61" t="b">
        <v>1</v>
      </c>
      <c r="F4600" s="107" t="s">
        <v>15591</v>
      </c>
      <c r="G4600" s="116" t="str">
        <f>HYPERLINK("http://nsgreg.nga.mil/genc/view?v=203110&amp;end_month=3&amp;end_day=31&amp;end_year=2014","Daşoguz")</f>
        <v>Daşoguz</v>
      </c>
      <c r="H4600" s="87" t="str">
        <f>HYPERLINK("http://api.nsgreg.nga.mil/geo-division/GENC/6/ed2/TM-D","TM-D")</f>
        <v>TM-D</v>
      </c>
    </row>
    <row r="4601" spans="1:8" x14ac:dyDescent="0.2">
      <c r="A4601" s="157"/>
      <c r="B4601" s="31" t="s">
        <v>15592</v>
      </c>
      <c r="C4601" s="31" t="s">
        <v>15593</v>
      </c>
      <c r="D4601" s="31" t="s">
        <v>1920</v>
      </c>
      <c r="E4601" s="61" t="b">
        <v>1</v>
      </c>
      <c r="F4601" s="107" t="s">
        <v>15594</v>
      </c>
      <c r="G4601" s="116" t="str">
        <f>HYPERLINK("http://nsgreg.nga.mil/genc/view?v=203111&amp;end_month=3&amp;end_day=31&amp;end_year=2014","Lebap")</f>
        <v>Lebap</v>
      </c>
      <c r="H4601" s="87" t="str">
        <f>HYPERLINK("http://api.nsgreg.nga.mil/geo-division/GENC/6/ed2/TM-L","TM-L")</f>
        <v>TM-L</v>
      </c>
    </row>
    <row r="4602" spans="1:8" x14ac:dyDescent="0.2">
      <c r="A4602" s="158"/>
      <c r="B4602" s="58" t="s">
        <v>15595</v>
      </c>
      <c r="C4602" s="58" t="s">
        <v>15596</v>
      </c>
      <c r="D4602" s="58" t="s">
        <v>1920</v>
      </c>
      <c r="E4602" s="62" t="b">
        <v>1</v>
      </c>
      <c r="F4602" s="111" t="s">
        <v>15597</v>
      </c>
      <c r="G4602" s="117" t="str">
        <f>HYPERLINK("http://nsgreg.nga.mil/genc/view?v=203112&amp;end_month=3&amp;end_day=31&amp;end_year=2014","Mary")</f>
        <v>Mary</v>
      </c>
      <c r="H4602" s="89" t="str">
        <f>HYPERLINK("http://api.nsgreg.nga.mil/geo-division/GENC/6/ed2/TM-M","TM-M")</f>
        <v>TM-M</v>
      </c>
    </row>
    <row r="4603" spans="1:8" x14ac:dyDescent="0.2">
      <c r="A4603" s="156" t="str">
        <f>HYPERLINK("[#]Geopolitical_Entities!A262:I262","TUVALU")</f>
        <v>TUVALU</v>
      </c>
      <c r="B4603" s="52" t="s">
        <v>15598</v>
      </c>
      <c r="C4603" s="52" t="s">
        <v>15599</v>
      </c>
      <c r="D4603" s="52" t="s">
        <v>15600</v>
      </c>
      <c r="E4603" s="60" t="b">
        <v>1</v>
      </c>
      <c r="F4603" s="109" t="s">
        <v>15601</v>
      </c>
      <c r="G4603" s="118" t="str">
        <f>HYPERLINK("http://nsgreg.nga.mil/genc/view?v=116396&amp;gencs=T&amp;end_month=3&amp;end_day=31&amp;end_year=2014","Funafuti")</f>
        <v>Funafuti</v>
      </c>
      <c r="H4603" s="91" t="str">
        <f>HYPERLINK("http://api.nsgreg.nga.mil/geo-division/ISO3166-2/6/ed3/TV-FUN","TV-FUN")</f>
        <v>TV-FUN</v>
      </c>
    </row>
    <row r="4604" spans="1:8" x14ac:dyDescent="0.2">
      <c r="A4604" s="157"/>
      <c r="B4604" s="31" t="s">
        <v>15602</v>
      </c>
      <c r="C4604" s="31" t="s">
        <v>15603</v>
      </c>
      <c r="D4604" s="31" t="s">
        <v>15604</v>
      </c>
      <c r="E4604" s="61" t="b">
        <v>1</v>
      </c>
      <c r="F4604" s="107" t="s">
        <v>15605</v>
      </c>
      <c r="G4604" s="116" t="str">
        <f>HYPERLINK("http://nsgreg.nga.mil/genc/view?v=203150&amp;end_month=3&amp;end_day=31&amp;end_year=2014","Nanumaga")</f>
        <v>Nanumaga</v>
      </c>
      <c r="H4604" s="87" t="str">
        <f>HYPERLINK("http://api.nsgreg.nga.mil/geo-division/GENC/6/ed2/TV-NMG","TV-NMG")</f>
        <v>TV-NMG</v>
      </c>
    </row>
    <row r="4605" spans="1:8" x14ac:dyDescent="0.2">
      <c r="A4605" s="157"/>
      <c r="B4605" s="31" t="s">
        <v>15606</v>
      </c>
      <c r="C4605" s="31" t="s">
        <v>15607</v>
      </c>
      <c r="D4605" s="31" t="s">
        <v>15604</v>
      </c>
      <c r="E4605" s="61" t="b">
        <v>1</v>
      </c>
      <c r="F4605" s="106" t="s">
        <v>15608</v>
      </c>
      <c r="G4605" s="116" t="str">
        <f>HYPERLINK("http://nsgreg.nga.mil/genc/view?v=116401&amp;gencs=T&amp;end_month=3&amp;end_day=31&amp;end_year=2014","Nanumea")</f>
        <v>Nanumea</v>
      </c>
      <c r="H4605" s="87" t="str">
        <f>HYPERLINK("http://api.nsgreg.nga.mil/geo-division/ISO3166-2/6/ed3/TV-NMA","TV-NMA")</f>
        <v>TV-NMA</v>
      </c>
    </row>
    <row r="4606" spans="1:8" x14ac:dyDescent="0.2">
      <c r="A4606" s="157"/>
      <c r="B4606" s="31" t="s">
        <v>15609</v>
      </c>
      <c r="C4606" s="31" t="s">
        <v>15610</v>
      </c>
      <c r="D4606" s="31" t="s">
        <v>15604</v>
      </c>
      <c r="E4606" s="61" t="b">
        <v>1</v>
      </c>
      <c r="F4606" s="106" t="s">
        <v>15611</v>
      </c>
      <c r="G4606" s="116" t="str">
        <f>HYPERLINK("http://nsgreg.nga.mil/genc/view?v=116397&amp;gencs=T&amp;end_month=3&amp;end_day=31&amp;end_year=2014","Niutao")</f>
        <v>Niutao</v>
      </c>
      <c r="H4606" s="87" t="str">
        <f>HYPERLINK("http://api.nsgreg.nga.mil/geo-division/ISO3166-2/6/ed3/TV-NIT","TV-NIT")</f>
        <v>TV-NIT</v>
      </c>
    </row>
    <row r="4607" spans="1:8" x14ac:dyDescent="0.2">
      <c r="A4607" s="157"/>
      <c r="B4607" s="31" t="s">
        <v>15612</v>
      </c>
      <c r="C4607" s="31" t="s">
        <v>15613</v>
      </c>
      <c r="D4607" s="31" t="s">
        <v>15604</v>
      </c>
      <c r="E4607" s="61" t="b">
        <v>1</v>
      </c>
      <c r="F4607" s="106" t="s">
        <v>15614</v>
      </c>
      <c r="G4607" s="116" t="str">
        <f>HYPERLINK("http://nsgreg.nga.mil/genc/view?v=116398&amp;gencs=T&amp;end_month=3&amp;end_day=31&amp;end_year=2014","Nui")</f>
        <v>Nui</v>
      </c>
      <c r="H4607" s="87" t="str">
        <f>HYPERLINK("http://api.nsgreg.nga.mil/geo-division/ISO3166-2/6/ed3/TV-NUI","TV-NUI")</f>
        <v>TV-NUI</v>
      </c>
    </row>
    <row r="4608" spans="1:8" x14ac:dyDescent="0.2">
      <c r="A4608" s="157"/>
      <c r="B4608" s="31" t="s">
        <v>15615</v>
      </c>
      <c r="C4608" s="31" t="s">
        <v>15616</v>
      </c>
      <c r="D4608" s="31" t="s">
        <v>15604</v>
      </c>
      <c r="E4608" s="61" t="b">
        <v>1</v>
      </c>
      <c r="F4608" s="106" t="s">
        <v>15617</v>
      </c>
      <c r="G4608" s="116" t="str">
        <f>HYPERLINK("http://nsgreg.nga.mil/genc/view?v=116399&amp;gencs=T&amp;end_month=3&amp;end_day=31&amp;end_year=2014","Nukufetau")</f>
        <v>Nukufetau</v>
      </c>
      <c r="H4608" s="87" t="str">
        <f>HYPERLINK("http://api.nsgreg.nga.mil/geo-division/ISO3166-2/6/ed3/TV-NKF","TV-NKF")</f>
        <v>TV-NKF</v>
      </c>
    </row>
    <row r="4609" spans="1:8" x14ac:dyDescent="0.2">
      <c r="A4609" s="157"/>
      <c r="B4609" s="31" t="s">
        <v>15618</v>
      </c>
      <c r="C4609" s="31" t="s">
        <v>15619</v>
      </c>
      <c r="D4609" s="31" t="s">
        <v>15604</v>
      </c>
      <c r="E4609" s="61" t="b">
        <v>1</v>
      </c>
      <c r="F4609" s="106" t="s">
        <v>15620</v>
      </c>
      <c r="G4609" s="116" t="str">
        <f>HYPERLINK("http://nsgreg.nga.mil/genc/view?v=116400&amp;gencs=T&amp;end_month=3&amp;end_day=31&amp;end_year=2014","Nukulaelae")</f>
        <v>Nukulaelae</v>
      </c>
      <c r="H4609" s="87" t="str">
        <f>HYPERLINK("http://api.nsgreg.nga.mil/geo-division/ISO3166-2/6/ed3/TV-NKL","TV-NKL")</f>
        <v>TV-NKL</v>
      </c>
    </row>
    <row r="4610" spans="1:8" x14ac:dyDescent="0.2">
      <c r="A4610" s="158"/>
      <c r="B4610" s="58" t="s">
        <v>15621</v>
      </c>
      <c r="C4610" s="58" t="s">
        <v>15622</v>
      </c>
      <c r="D4610" s="58" t="s">
        <v>15604</v>
      </c>
      <c r="E4610" s="62" t="b">
        <v>1</v>
      </c>
      <c r="F4610" s="108" t="s">
        <v>15623</v>
      </c>
      <c r="G4610" s="117" t="str">
        <f>HYPERLINK("http://nsgreg.nga.mil/genc/view?v=116403&amp;gencs=T&amp;end_month=3&amp;end_day=31&amp;end_year=2014","Vaitupu")</f>
        <v>Vaitupu</v>
      </c>
      <c r="H4610" s="89" t="str">
        <f>HYPERLINK("http://api.nsgreg.nga.mil/geo-division/ISO3166-2/6/ed3/TV-VAI","TV-VAI")</f>
        <v>TV-VAI</v>
      </c>
    </row>
    <row r="4611" spans="1:8" x14ac:dyDescent="0.2">
      <c r="A4611" s="156" t="str">
        <f>HYPERLINK("[#]Geopolitical_Entities!A263:I263","UGANDA")</f>
        <v>UGANDA</v>
      </c>
      <c r="B4611" s="52" t="s">
        <v>15624</v>
      </c>
      <c r="C4611" s="52" t="s">
        <v>15625</v>
      </c>
      <c r="D4611" s="52" t="s">
        <v>2026</v>
      </c>
      <c r="E4611" s="60" t="b">
        <v>1</v>
      </c>
      <c r="F4611" s="109" t="s">
        <v>15626</v>
      </c>
      <c r="G4611" s="118" t="str">
        <f>HYPERLINK("http://nsgreg.nga.mil/genc/view?v=116536&amp;gencs=T&amp;end_month=3&amp;end_day=31&amp;end_year=2014","Abim")</f>
        <v>Abim</v>
      </c>
      <c r="H4611" s="91" t="str">
        <f>HYPERLINK("http://api.nsgreg.nga.mil/geo-division/ISO3166-2/6/ed3/UG-317","UG-317")</f>
        <v>UG-317</v>
      </c>
    </row>
    <row r="4612" spans="1:8" x14ac:dyDescent="0.2">
      <c r="A4612" s="157"/>
      <c r="B4612" s="31" t="s">
        <v>15627</v>
      </c>
      <c r="C4612" s="31" t="s">
        <v>15628</v>
      </c>
      <c r="D4612" s="31" t="s">
        <v>2026</v>
      </c>
      <c r="E4612" s="61" t="b">
        <v>1</v>
      </c>
      <c r="F4612" s="106" t="s">
        <v>15629</v>
      </c>
      <c r="G4612" s="116" t="str">
        <f>HYPERLINK("http://nsgreg.nga.mil/genc/view?v=116520&amp;gencs=T&amp;end_month=3&amp;end_day=31&amp;end_year=2014","Adjumani")</f>
        <v>Adjumani</v>
      </c>
      <c r="H4612" s="87" t="str">
        <f>HYPERLINK("http://api.nsgreg.nga.mil/geo-division/ISO3166-2/6/ed3/UG-301","UG-301")</f>
        <v>UG-301</v>
      </c>
    </row>
    <row r="4613" spans="1:8" x14ac:dyDescent="0.2">
      <c r="A4613" s="157"/>
      <c r="B4613" s="31" t="s">
        <v>15630</v>
      </c>
      <c r="C4613" s="31" t="s">
        <v>15631</v>
      </c>
      <c r="D4613" s="31" t="s">
        <v>2026</v>
      </c>
      <c r="E4613" s="61" t="b">
        <v>1</v>
      </c>
      <c r="F4613" s="107" t="s">
        <v>15632</v>
      </c>
      <c r="G4613" s="116" t="str">
        <f>HYPERLINK("http://nsgreg.nga.mil/genc/view?v=203221&amp;end_month=3&amp;end_day=31&amp;end_year=2014","Agago")</f>
        <v>Agago</v>
      </c>
      <c r="H4613" s="87" t="str">
        <f>HYPERLINK("http://api.nsgreg.nga.mil/geo-division/GENC/6/ed2/UG-322","UG-322")</f>
        <v>UG-322</v>
      </c>
    </row>
    <row r="4614" spans="1:8" x14ac:dyDescent="0.2">
      <c r="A4614" s="157"/>
      <c r="B4614" s="31" t="s">
        <v>15633</v>
      </c>
      <c r="C4614" s="31" t="s">
        <v>15634</v>
      </c>
      <c r="D4614" s="31" t="s">
        <v>2026</v>
      </c>
      <c r="E4614" s="61" t="b">
        <v>1</v>
      </c>
      <c r="F4614" s="107" t="s">
        <v>15635</v>
      </c>
      <c r="G4614" s="116" t="str">
        <f>HYPERLINK("http://nsgreg.nga.mil/genc/view?v=203222&amp;end_month=3&amp;end_day=31&amp;end_year=2014","Alebtong")</f>
        <v>Alebtong</v>
      </c>
      <c r="H4614" s="87" t="str">
        <f>HYPERLINK("http://api.nsgreg.nga.mil/geo-division/GENC/6/ed2/UG-323","UG-323")</f>
        <v>UG-323</v>
      </c>
    </row>
    <row r="4615" spans="1:8" x14ac:dyDescent="0.2">
      <c r="A4615" s="157"/>
      <c r="B4615" s="31" t="s">
        <v>15636</v>
      </c>
      <c r="C4615" s="31" t="s">
        <v>15637</v>
      </c>
      <c r="D4615" s="31" t="s">
        <v>2026</v>
      </c>
      <c r="E4615" s="61" t="b">
        <v>1</v>
      </c>
      <c r="F4615" s="106" t="s">
        <v>15638</v>
      </c>
      <c r="G4615" s="116" t="str">
        <f>HYPERLINK("http://nsgreg.nga.mil/genc/view?v=116533&amp;gencs=T&amp;end_month=3&amp;end_day=31&amp;end_year=2014","Amolatar")</f>
        <v>Amolatar</v>
      </c>
      <c r="H4615" s="87" t="str">
        <f>HYPERLINK("http://api.nsgreg.nga.mil/geo-division/ISO3166-2/6/ed3/UG-314","UG-314")</f>
        <v>UG-314</v>
      </c>
    </row>
    <row r="4616" spans="1:8" x14ac:dyDescent="0.2">
      <c r="A4616" s="157"/>
      <c r="B4616" s="31" t="s">
        <v>15639</v>
      </c>
      <c r="C4616" s="31" t="s">
        <v>15640</v>
      </c>
      <c r="D4616" s="31" t="s">
        <v>2026</v>
      </c>
      <c r="E4616" s="61" t="b">
        <v>1</v>
      </c>
      <c r="F4616" s="107" t="s">
        <v>15641</v>
      </c>
      <c r="G4616" s="116" t="str">
        <f>HYPERLINK("http://nsgreg.nga.mil/genc/view?v=203223&amp;end_month=3&amp;end_day=31&amp;end_year=2014","Amudat")</f>
        <v>Amudat</v>
      </c>
      <c r="H4616" s="87" t="str">
        <f>HYPERLINK("http://api.nsgreg.nga.mil/geo-division/GENC/6/ed2/UG-324","UG-324")</f>
        <v>UG-324</v>
      </c>
    </row>
    <row r="4617" spans="1:8" x14ac:dyDescent="0.2">
      <c r="A4617" s="157"/>
      <c r="B4617" s="31" t="s">
        <v>15642</v>
      </c>
      <c r="C4617" s="31" t="s">
        <v>15643</v>
      </c>
      <c r="D4617" s="31" t="s">
        <v>2026</v>
      </c>
      <c r="E4617" s="61" t="b">
        <v>1</v>
      </c>
      <c r="F4617" s="106" t="s">
        <v>15644</v>
      </c>
      <c r="G4617" s="116" t="str">
        <f>HYPERLINK("http://nsgreg.nga.mil/genc/view?v=116511&amp;gencs=T&amp;end_month=3&amp;end_day=31&amp;end_year=2014","Amuria")</f>
        <v>Amuria</v>
      </c>
      <c r="H4617" s="87" t="str">
        <f>HYPERLINK("http://api.nsgreg.nga.mil/geo-division/ISO3166-2/6/ed3/UG-216","UG-216")</f>
        <v>UG-216</v>
      </c>
    </row>
    <row r="4618" spans="1:8" x14ac:dyDescent="0.2">
      <c r="A4618" s="157"/>
      <c r="B4618" s="31" t="s">
        <v>15645</v>
      </c>
      <c r="C4618" s="31" t="s">
        <v>15646</v>
      </c>
      <c r="D4618" s="31" t="s">
        <v>2026</v>
      </c>
      <c r="E4618" s="61" t="b">
        <v>1</v>
      </c>
      <c r="F4618" s="106" t="s">
        <v>15647</v>
      </c>
      <c r="G4618" s="116" t="str">
        <f>HYPERLINK("http://nsgreg.nga.mil/genc/view?v=116538&amp;gencs=T&amp;end_month=3&amp;end_day=31&amp;end_year=2014","Amuru")</f>
        <v>Amuru</v>
      </c>
      <c r="H4618" s="87" t="str">
        <f>HYPERLINK("http://api.nsgreg.nga.mil/geo-division/ISO3166-2/6/ed3/UG-319","UG-319")</f>
        <v>UG-319</v>
      </c>
    </row>
    <row r="4619" spans="1:8" x14ac:dyDescent="0.2">
      <c r="A4619" s="157"/>
      <c r="B4619" s="31" t="s">
        <v>15648</v>
      </c>
      <c r="C4619" s="31" t="s">
        <v>15649</v>
      </c>
      <c r="D4619" s="31" t="s">
        <v>2026</v>
      </c>
      <c r="E4619" s="61" t="b">
        <v>1</v>
      </c>
      <c r="F4619" s="106" t="s">
        <v>15650</v>
      </c>
      <c r="G4619" s="116" t="str">
        <f>HYPERLINK("http://nsgreg.nga.mil/genc/view?v=116521&amp;gencs=T&amp;end_month=3&amp;end_day=31&amp;end_year=2014","Apac")</f>
        <v>Apac</v>
      </c>
      <c r="H4619" s="87" t="str">
        <f>HYPERLINK("http://api.nsgreg.nga.mil/geo-division/ISO3166-2/6/ed3/UG-302","UG-302")</f>
        <v>UG-302</v>
      </c>
    </row>
    <row r="4620" spans="1:8" x14ac:dyDescent="0.2">
      <c r="A4620" s="157"/>
      <c r="B4620" s="31" t="s">
        <v>15651</v>
      </c>
      <c r="C4620" s="31" t="s">
        <v>15652</v>
      </c>
      <c r="D4620" s="31" t="s">
        <v>2026</v>
      </c>
      <c r="E4620" s="61" t="b">
        <v>1</v>
      </c>
      <c r="F4620" s="106" t="s">
        <v>15653</v>
      </c>
      <c r="G4620" s="116" t="str">
        <f>HYPERLINK("http://nsgreg.nga.mil/genc/view?v=116522&amp;gencs=T&amp;end_month=3&amp;end_day=31&amp;end_year=2014","Arua")</f>
        <v>Arua</v>
      </c>
      <c r="H4620" s="87" t="str">
        <f>HYPERLINK("http://api.nsgreg.nga.mil/geo-division/ISO3166-2/6/ed3/UG-303","UG-303")</f>
        <v>UG-303</v>
      </c>
    </row>
    <row r="4621" spans="1:8" x14ac:dyDescent="0.2">
      <c r="A4621" s="157"/>
      <c r="B4621" s="31" t="s">
        <v>15654</v>
      </c>
      <c r="C4621" s="31" t="s">
        <v>15655</v>
      </c>
      <c r="D4621" s="31" t="s">
        <v>2026</v>
      </c>
      <c r="E4621" s="61" t="b">
        <v>1</v>
      </c>
      <c r="F4621" s="106" t="s">
        <v>15656</v>
      </c>
      <c r="G4621" s="116" t="str">
        <f>HYPERLINK("http://nsgreg.nga.mil/genc/view?v=116512&amp;gencs=T&amp;end_month=3&amp;end_day=31&amp;end_year=2014","Budaka")</f>
        <v>Budaka</v>
      </c>
      <c r="H4621" s="87" t="str">
        <f>HYPERLINK("http://api.nsgreg.nga.mil/geo-division/ISO3166-2/6/ed3/UG-217","UG-217")</f>
        <v>UG-217</v>
      </c>
    </row>
    <row r="4622" spans="1:8" x14ac:dyDescent="0.2">
      <c r="A4622" s="157"/>
      <c r="B4622" s="31" t="s">
        <v>15657</v>
      </c>
      <c r="C4622" s="31" t="s">
        <v>15658</v>
      </c>
      <c r="D4622" s="31" t="s">
        <v>2026</v>
      </c>
      <c r="E4622" s="61" t="b">
        <v>1</v>
      </c>
      <c r="F4622" s="106" t="s">
        <v>15659</v>
      </c>
      <c r="G4622" s="116" t="str">
        <f>HYPERLINK("http://nsgreg.nga.mil/genc/view?v=116518&amp;gencs=T&amp;end_month=3&amp;end_day=31&amp;end_year=2014","Bududa")</f>
        <v>Bududa</v>
      </c>
      <c r="H4622" s="87" t="str">
        <f>HYPERLINK("http://api.nsgreg.nga.mil/geo-division/ISO3166-2/6/ed3/UG-223","UG-223")</f>
        <v>UG-223</v>
      </c>
    </row>
    <row r="4623" spans="1:8" x14ac:dyDescent="0.2">
      <c r="A4623" s="157"/>
      <c r="B4623" s="31" t="s">
        <v>15660</v>
      </c>
      <c r="C4623" s="31" t="s">
        <v>15661</v>
      </c>
      <c r="D4623" s="31" t="s">
        <v>2026</v>
      </c>
      <c r="E4623" s="61" t="b">
        <v>1</v>
      </c>
      <c r="F4623" s="106" t="s">
        <v>15662</v>
      </c>
      <c r="G4623" s="116" t="str">
        <f>HYPERLINK("http://nsgreg.nga.mil/genc/view?v=116496&amp;gencs=T&amp;end_month=3&amp;end_day=31&amp;end_year=2014","Bugiri")</f>
        <v>Bugiri</v>
      </c>
      <c r="H4623" s="87" t="str">
        <f>HYPERLINK("http://api.nsgreg.nga.mil/geo-division/ISO3166-2/6/ed3/UG-201","UG-201")</f>
        <v>UG-201</v>
      </c>
    </row>
    <row r="4624" spans="1:8" x14ac:dyDescent="0.2">
      <c r="A4624" s="157"/>
      <c r="B4624" s="31" t="s">
        <v>15663</v>
      </c>
      <c r="C4624" s="31" t="s">
        <v>15664</v>
      </c>
      <c r="D4624" s="31" t="s">
        <v>2026</v>
      </c>
      <c r="E4624" s="61" t="b">
        <v>1</v>
      </c>
      <c r="F4624" s="107" t="s">
        <v>15665</v>
      </c>
      <c r="G4624" s="116" t="str">
        <f>HYPERLINK("http://nsgreg.nga.mil/genc/view?v=203225&amp;end_month=3&amp;end_day=31&amp;end_year=2014","Buhweju")</f>
        <v>Buhweju</v>
      </c>
      <c r="H4624" s="87" t="str">
        <f>HYPERLINK("http://api.nsgreg.nga.mil/geo-division/GENC/6/ed2/UG-326","UG-326")</f>
        <v>UG-326</v>
      </c>
    </row>
    <row r="4625" spans="1:8" x14ac:dyDescent="0.2">
      <c r="A4625" s="157"/>
      <c r="B4625" s="31" t="s">
        <v>15666</v>
      </c>
      <c r="C4625" s="31" t="s">
        <v>15667</v>
      </c>
      <c r="D4625" s="31" t="s">
        <v>2026</v>
      </c>
      <c r="E4625" s="61" t="b">
        <v>1</v>
      </c>
      <c r="F4625" s="107" t="s">
        <v>15668</v>
      </c>
      <c r="G4625" s="116" t="str">
        <f>HYPERLINK("http://nsgreg.nga.mil/genc/view?v=203205&amp;end_month=3&amp;end_day=31&amp;end_year=2014","Buikwe")</f>
        <v>Buikwe</v>
      </c>
      <c r="H4625" s="87" t="str">
        <f>HYPERLINK("http://api.nsgreg.nga.mil/geo-division/GENC/6/ed2/UG-117","UG-117")</f>
        <v>UG-117</v>
      </c>
    </row>
    <row r="4626" spans="1:8" x14ac:dyDescent="0.2">
      <c r="A4626" s="157"/>
      <c r="B4626" s="31" t="s">
        <v>15669</v>
      </c>
      <c r="C4626" s="31" t="s">
        <v>15670</v>
      </c>
      <c r="D4626" s="31" t="s">
        <v>2026</v>
      </c>
      <c r="E4626" s="61" t="b">
        <v>1</v>
      </c>
      <c r="F4626" s="106" t="s">
        <v>15671</v>
      </c>
      <c r="G4626" s="116" t="str">
        <f>HYPERLINK("http://nsgreg.nga.mil/genc/view?v=116519&amp;gencs=T&amp;end_month=3&amp;end_day=31&amp;end_year=2014","Bukedea")</f>
        <v>Bukedea</v>
      </c>
      <c r="H4626" s="87" t="str">
        <f>HYPERLINK("http://api.nsgreg.nga.mil/geo-division/ISO3166-2/6/ed3/UG-224","UG-224")</f>
        <v>UG-224</v>
      </c>
    </row>
    <row r="4627" spans="1:8" x14ac:dyDescent="0.2">
      <c r="A4627" s="157"/>
      <c r="B4627" s="31" t="s">
        <v>15672</v>
      </c>
      <c r="C4627" s="31" t="s">
        <v>15673</v>
      </c>
      <c r="D4627" s="31" t="s">
        <v>2026</v>
      </c>
      <c r="E4627" s="61" t="b">
        <v>1</v>
      </c>
      <c r="F4627" s="107" t="s">
        <v>15674</v>
      </c>
      <c r="G4627" s="116" t="str">
        <f>HYPERLINK("http://nsgreg.nga.mil/genc/view?v=203206&amp;end_month=3&amp;end_day=31&amp;end_year=2014","Bukomansimbi")</f>
        <v>Bukomansimbi</v>
      </c>
      <c r="H4627" s="87" t="str">
        <f>HYPERLINK("http://api.nsgreg.nga.mil/geo-division/GENC/6/ed2/UG-118","UG-118")</f>
        <v>UG-118</v>
      </c>
    </row>
    <row r="4628" spans="1:8" x14ac:dyDescent="0.2">
      <c r="A4628" s="157"/>
      <c r="B4628" s="31" t="s">
        <v>15675</v>
      </c>
      <c r="C4628" s="31" t="s">
        <v>15676</v>
      </c>
      <c r="D4628" s="31" t="s">
        <v>2026</v>
      </c>
      <c r="E4628" s="61" t="b">
        <v>1</v>
      </c>
      <c r="F4628" s="106" t="s">
        <v>15677</v>
      </c>
      <c r="G4628" s="116" t="str">
        <f>HYPERLINK("http://nsgreg.nga.mil/genc/view?v=116513&amp;gencs=T&amp;end_month=3&amp;end_day=31&amp;end_year=2014","Bukwa")</f>
        <v>Bukwa</v>
      </c>
      <c r="H4628" s="87" t="str">
        <f>HYPERLINK("http://api.nsgreg.nga.mil/geo-division/ISO3166-2/6/ed3/UG-218","UG-218")</f>
        <v>UG-218</v>
      </c>
    </row>
    <row r="4629" spans="1:8" x14ac:dyDescent="0.2">
      <c r="A4629" s="157"/>
      <c r="B4629" s="31" t="s">
        <v>15678</v>
      </c>
      <c r="C4629" s="31" t="s">
        <v>15679</v>
      </c>
      <c r="D4629" s="31" t="s">
        <v>2026</v>
      </c>
      <c r="E4629" s="61" t="b">
        <v>1</v>
      </c>
      <c r="F4629" s="107" t="s">
        <v>15680</v>
      </c>
      <c r="G4629" s="116" t="str">
        <f>HYPERLINK("http://nsgreg.nga.mil/genc/view?v=203213&amp;end_month=3&amp;end_day=31&amp;end_year=2014","Bulambuli")</f>
        <v>Bulambuli</v>
      </c>
      <c r="H4629" s="87" t="str">
        <f>HYPERLINK("http://api.nsgreg.nga.mil/geo-division/GENC/6/ed2/UG-225","UG-225")</f>
        <v>UG-225</v>
      </c>
    </row>
    <row r="4630" spans="1:8" x14ac:dyDescent="0.2">
      <c r="A4630" s="157"/>
      <c r="B4630" s="31" t="s">
        <v>15681</v>
      </c>
      <c r="C4630" s="31" t="s">
        <v>15682</v>
      </c>
      <c r="D4630" s="31" t="s">
        <v>2026</v>
      </c>
      <c r="E4630" s="61" t="b">
        <v>1</v>
      </c>
      <c r="F4630" s="106" t="s">
        <v>15683</v>
      </c>
      <c r="G4630" s="116" t="str">
        <f>HYPERLINK("http://nsgreg.nga.mil/genc/view?v=116559&amp;gencs=T&amp;end_month=3&amp;end_day=31&amp;end_year=2014","Buliisa")</f>
        <v>Buliisa</v>
      </c>
      <c r="H4630" s="87" t="str">
        <f>HYPERLINK("http://api.nsgreg.nga.mil/geo-division/ISO3166-2/6/ed3/UG-419","UG-419")</f>
        <v>UG-419</v>
      </c>
    </row>
    <row r="4631" spans="1:8" x14ac:dyDescent="0.2">
      <c r="A4631" s="157"/>
      <c r="B4631" s="31" t="s">
        <v>15684</v>
      </c>
      <c r="C4631" s="31" t="s">
        <v>15685</v>
      </c>
      <c r="D4631" s="31" t="s">
        <v>2026</v>
      </c>
      <c r="E4631" s="61" t="b">
        <v>1</v>
      </c>
      <c r="F4631" s="106" t="s">
        <v>15686</v>
      </c>
      <c r="G4631" s="116" t="str">
        <f>HYPERLINK("http://nsgreg.nga.mil/genc/view?v=116541&amp;gencs=T&amp;end_month=3&amp;end_day=31&amp;end_year=2014","Bundibugyo")</f>
        <v>Bundibugyo</v>
      </c>
      <c r="H4631" s="87" t="str">
        <f>HYPERLINK("http://api.nsgreg.nga.mil/geo-division/ISO3166-2/6/ed3/UG-401","UG-401")</f>
        <v>UG-401</v>
      </c>
    </row>
    <row r="4632" spans="1:8" x14ac:dyDescent="0.2">
      <c r="A4632" s="157"/>
      <c r="B4632" s="31" t="s">
        <v>15687</v>
      </c>
      <c r="C4632" s="31" t="s">
        <v>15688</v>
      </c>
      <c r="D4632" s="31" t="s">
        <v>2026</v>
      </c>
      <c r="E4632" s="61" t="b">
        <v>1</v>
      </c>
      <c r="F4632" s="106" t="s">
        <v>15689</v>
      </c>
      <c r="G4632" s="116" t="str">
        <f>HYPERLINK("http://nsgreg.nga.mil/genc/view?v=116542&amp;gencs=T&amp;end_month=3&amp;end_day=31&amp;end_year=2014","Bushenyi")</f>
        <v>Bushenyi</v>
      </c>
      <c r="H4632" s="87" t="str">
        <f>HYPERLINK("http://api.nsgreg.nga.mil/geo-division/ISO3166-2/6/ed3/UG-402","UG-402")</f>
        <v>UG-402</v>
      </c>
    </row>
    <row r="4633" spans="1:8" x14ac:dyDescent="0.2">
      <c r="A4633" s="157"/>
      <c r="B4633" s="31" t="s">
        <v>15690</v>
      </c>
      <c r="C4633" s="31" t="s">
        <v>8113</v>
      </c>
      <c r="D4633" s="31" t="s">
        <v>2026</v>
      </c>
      <c r="E4633" s="61" t="b">
        <v>1</v>
      </c>
      <c r="F4633" s="106" t="s">
        <v>15691</v>
      </c>
      <c r="G4633" s="116" t="str">
        <f>HYPERLINK("http://nsgreg.nga.mil/genc/view?v=116497&amp;gencs=T&amp;end_month=3&amp;end_day=31&amp;end_year=2014","Busia")</f>
        <v>Busia</v>
      </c>
      <c r="H4633" s="87" t="str">
        <f>HYPERLINK("http://api.nsgreg.nga.mil/geo-division/ISO3166-2/6/ed3/UG-202","UG-202")</f>
        <v>UG-202</v>
      </c>
    </row>
    <row r="4634" spans="1:8" x14ac:dyDescent="0.2">
      <c r="A4634" s="157"/>
      <c r="B4634" s="31" t="s">
        <v>15692</v>
      </c>
      <c r="C4634" s="31" t="s">
        <v>15693</v>
      </c>
      <c r="D4634" s="31" t="s">
        <v>2026</v>
      </c>
      <c r="E4634" s="61" t="b">
        <v>1</v>
      </c>
      <c r="F4634" s="106" t="s">
        <v>15694</v>
      </c>
      <c r="G4634" s="116" t="str">
        <f>HYPERLINK("http://nsgreg.nga.mil/genc/view?v=116514&amp;gencs=T&amp;end_month=3&amp;end_day=31&amp;end_year=2014","Butaleja")</f>
        <v>Butaleja</v>
      </c>
      <c r="H4634" s="87" t="str">
        <f>HYPERLINK("http://api.nsgreg.nga.mil/geo-division/ISO3166-2/6/ed3/UG-219","UG-219")</f>
        <v>UG-219</v>
      </c>
    </row>
    <row r="4635" spans="1:8" x14ac:dyDescent="0.2">
      <c r="A4635" s="157"/>
      <c r="B4635" s="31" t="s">
        <v>15695</v>
      </c>
      <c r="C4635" s="31" t="s">
        <v>15696</v>
      </c>
      <c r="D4635" s="31" t="s">
        <v>2026</v>
      </c>
      <c r="E4635" s="61" t="b">
        <v>1</v>
      </c>
      <c r="F4635" s="107" t="s">
        <v>15697</v>
      </c>
      <c r="G4635" s="116" t="str">
        <f>HYPERLINK("http://nsgreg.nga.mil/genc/view?v=203207&amp;end_month=3&amp;end_day=31&amp;end_year=2014","Butambala")</f>
        <v>Butambala</v>
      </c>
      <c r="H4635" s="87" t="str">
        <f>HYPERLINK("http://api.nsgreg.nga.mil/geo-division/GENC/6/ed2/UG-119","UG-119")</f>
        <v>UG-119</v>
      </c>
    </row>
    <row r="4636" spans="1:8" x14ac:dyDescent="0.2">
      <c r="A4636" s="157"/>
      <c r="B4636" s="31" t="s">
        <v>15698</v>
      </c>
      <c r="C4636" s="31" t="s">
        <v>15699</v>
      </c>
      <c r="D4636" s="31" t="s">
        <v>2026</v>
      </c>
      <c r="E4636" s="61" t="b">
        <v>1</v>
      </c>
      <c r="F4636" s="107" t="s">
        <v>15700</v>
      </c>
      <c r="G4636" s="116" t="str">
        <f>HYPERLINK("http://nsgreg.nga.mil/genc/view?v=203208&amp;end_month=3&amp;end_day=31&amp;end_year=2014","Buvuma")</f>
        <v>Buvuma</v>
      </c>
      <c r="H4636" s="87" t="str">
        <f>HYPERLINK("http://api.nsgreg.nga.mil/geo-division/GENC/6/ed2/UG-120","UG-120")</f>
        <v>UG-120</v>
      </c>
    </row>
    <row r="4637" spans="1:8" x14ac:dyDescent="0.2">
      <c r="A4637" s="157"/>
      <c r="B4637" s="31" t="s">
        <v>15701</v>
      </c>
      <c r="C4637" s="31" t="s">
        <v>15702</v>
      </c>
      <c r="D4637" s="31" t="s">
        <v>2026</v>
      </c>
      <c r="E4637" s="61" t="b">
        <v>1</v>
      </c>
      <c r="F4637" s="107" t="s">
        <v>15703</v>
      </c>
      <c r="G4637" s="116" t="str">
        <f>HYPERLINK("http://nsgreg.nga.mil/genc/view?v=203214&amp;end_month=3&amp;end_day=31&amp;end_year=2014","Buyende")</f>
        <v>Buyende</v>
      </c>
      <c r="H4637" s="87" t="str">
        <f>HYPERLINK("http://api.nsgreg.nga.mil/geo-division/GENC/6/ed2/UG-226","UG-226")</f>
        <v>UG-226</v>
      </c>
    </row>
    <row r="4638" spans="1:8" x14ac:dyDescent="0.2">
      <c r="A4638" s="157"/>
      <c r="B4638" s="31" t="s">
        <v>15704</v>
      </c>
      <c r="C4638" s="31" t="s">
        <v>3420</v>
      </c>
      <c r="D4638" s="98" t="s">
        <v>3925</v>
      </c>
      <c r="E4638" s="99" t="b">
        <v>0</v>
      </c>
      <c r="F4638" s="106" t="s">
        <v>15705</v>
      </c>
      <c r="G4638" s="116" t="str">
        <f>HYPERLINK("http://nsgreg.nga.mil/genc/view?v=116560&amp;gencs=T&amp;end_month=3&amp;end_day=31&amp;end_year=2014","Central")</f>
        <v>Central</v>
      </c>
      <c r="H4638" s="87" t="str">
        <f>HYPERLINK("http://api.nsgreg.nga.mil/geo-division/ISO3166-2/6/ed3/UG-C","UG-C")</f>
        <v>UG-C</v>
      </c>
    </row>
    <row r="4639" spans="1:8" x14ac:dyDescent="0.2">
      <c r="A4639" s="157"/>
      <c r="B4639" s="31" t="s">
        <v>15706</v>
      </c>
      <c r="C4639" s="31" t="s">
        <v>15707</v>
      </c>
      <c r="D4639" s="31" t="s">
        <v>2026</v>
      </c>
      <c r="E4639" s="61" t="b">
        <v>1</v>
      </c>
      <c r="F4639" s="106" t="s">
        <v>15708</v>
      </c>
      <c r="G4639" s="116" t="str">
        <f>HYPERLINK("http://nsgreg.nga.mil/genc/view?v=116537&amp;gencs=T&amp;end_month=3&amp;end_day=31&amp;end_year=2014","Dokolo")</f>
        <v>Dokolo</v>
      </c>
      <c r="H4639" s="87" t="str">
        <f>HYPERLINK("http://api.nsgreg.nga.mil/geo-division/ISO3166-2/6/ed3/UG-318","UG-318")</f>
        <v>UG-318</v>
      </c>
    </row>
    <row r="4640" spans="1:8" x14ac:dyDescent="0.2">
      <c r="A4640" s="157"/>
      <c r="B4640" s="31" t="s">
        <v>15709</v>
      </c>
      <c r="C4640" s="31" t="s">
        <v>5622</v>
      </c>
      <c r="D4640" s="98" t="s">
        <v>3925</v>
      </c>
      <c r="E4640" s="99" t="b">
        <v>0</v>
      </c>
      <c r="F4640" s="106" t="s">
        <v>15710</v>
      </c>
      <c r="G4640" s="116" t="str">
        <f>HYPERLINK("http://nsgreg.nga.mil/genc/view?v=116561&amp;gencs=T&amp;end_month=3&amp;end_day=31&amp;end_year=2014","Eastern")</f>
        <v>Eastern</v>
      </c>
      <c r="H4640" s="87" t="str">
        <f>HYPERLINK("http://api.nsgreg.nga.mil/geo-division/ISO3166-2/6/ed3/UG-E","UG-E")</f>
        <v>UG-E</v>
      </c>
    </row>
    <row r="4641" spans="1:8" x14ac:dyDescent="0.2">
      <c r="A4641" s="157"/>
      <c r="B4641" s="31" t="s">
        <v>15711</v>
      </c>
      <c r="C4641" s="31" t="s">
        <v>15712</v>
      </c>
      <c r="D4641" s="31" t="s">
        <v>2026</v>
      </c>
      <c r="E4641" s="61" t="b">
        <v>1</v>
      </c>
      <c r="F4641" s="107" t="s">
        <v>15713</v>
      </c>
      <c r="G4641" s="116" t="str">
        <f>HYPERLINK("http://nsgreg.nga.mil/genc/view?v=203209&amp;end_month=3&amp;end_day=31&amp;end_year=2014","Gomba")</f>
        <v>Gomba</v>
      </c>
      <c r="H4641" s="87" t="str">
        <f>HYPERLINK("http://api.nsgreg.nga.mil/geo-division/GENC/6/ed2/UG-121","UG-121")</f>
        <v>UG-121</v>
      </c>
    </row>
    <row r="4642" spans="1:8" x14ac:dyDescent="0.2">
      <c r="A4642" s="157"/>
      <c r="B4642" s="31" t="s">
        <v>15714</v>
      </c>
      <c r="C4642" s="31" t="s">
        <v>15715</v>
      </c>
      <c r="D4642" s="31" t="s">
        <v>2026</v>
      </c>
      <c r="E4642" s="61" t="b">
        <v>1</v>
      </c>
      <c r="F4642" s="106" t="s">
        <v>15716</v>
      </c>
      <c r="G4642" s="116" t="str">
        <f>HYPERLINK("http://nsgreg.nga.mil/genc/view?v=116523&amp;gencs=T&amp;end_month=3&amp;end_day=31&amp;end_year=2014","Gulu")</f>
        <v>Gulu</v>
      </c>
      <c r="H4642" s="87" t="str">
        <f>HYPERLINK("http://api.nsgreg.nga.mil/geo-division/ISO3166-2/6/ed3/UG-304","UG-304")</f>
        <v>UG-304</v>
      </c>
    </row>
    <row r="4643" spans="1:8" x14ac:dyDescent="0.2">
      <c r="A4643" s="157"/>
      <c r="B4643" s="31" t="s">
        <v>15717</v>
      </c>
      <c r="C4643" s="31" t="s">
        <v>15718</v>
      </c>
      <c r="D4643" s="31" t="s">
        <v>2026</v>
      </c>
      <c r="E4643" s="61" t="b">
        <v>1</v>
      </c>
      <c r="F4643" s="106" t="s">
        <v>15719</v>
      </c>
      <c r="G4643" s="116" t="str">
        <f>HYPERLINK("http://nsgreg.nga.mil/genc/view?v=116543&amp;gencs=T&amp;end_month=3&amp;end_day=31&amp;end_year=2014","Hoima")</f>
        <v>Hoima</v>
      </c>
      <c r="H4643" s="87" t="str">
        <f>HYPERLINK("http://api.nsgreg.nga.mil/geo-division/ISO3166-2/6/ed3/UG-403","UG-403")</f>
        <v>UG-403</v>
      </c>
    </row>
    <row r="4644" spans="1:8" x14ac:dyDescent="0.2">
      <c r="A4644" s="157"/>
      <c r="B4644" s="31" t="s">
        <v>15720</v>
      </c>
      <c r="C4644" s="31" t="s">
        <v>15721</v>
      </c>
      <c r="D4644" s="31" t="s">
        <v>2026</v>
      </c>
      <c r="E4644" s="61" t="b">
        <v>1</v>
      </c>
      <c r="F4644" s="106" t="s">
        <v>15722</v>
      </c>
      <c r="G4644" s="116" t="str">
        <f>HYPERLINK("http://nsgreg.nga.mil/genc/view?v=116556&amp;gencs=T&amp;end_month=3&amp;end_day=31&amp;end_year=2014","Ibanda")</f>
        <v>Ibanda</v>
      </c>
      <c r="H4644" s="87" t="str">
        <f>HYPERLINK("http://api.nsgreg.nga.mil/geo-division/ISO3166-2/6/ed3/UG-416","UG-416")</f>
        <v>UG-416</v>
      </c>
    </row>
    <row r="4645" spans="1:8" x14ac:dyDescent="0.2">
      <c r="A4645" s="157"/>
      <c r="B4645" s="31" t="s">
        <v>15723</v>
      </c>
      <c r="C4645" s="31" t="s">
        <v>15724</v>
      </c>
      <c r="D4645" s="31" t="s">
        <v>2026</v>
      </c>
      <c r="E4645" s="61" t="b">
        <v>1</v>
      </c>
      <c r="F4645" s="106" t="s">
        <v>15725</v>
      </c>
      <c r="G4645" s="116" t="str">
        <f>HYPERLINK("http://nsgreg.nga.mil/genc/view?v=116498&amp;gencs=T&amp;end_month=3&amp;end_day=31&amp;end_year=2014","Iganga")</f>
        <v>Iganga</v>
      </c>
      <c r="H4645" s="87" t="str">
        <f>HYPERLINK("http://api.nsgreg.nga.mil/geo-division/ISO3166-2/6/ed3/UG-203","UG-203")</f>
        <v>UG-203</v>
      </c>
    </row>
    <row r="4646" spans="1:8" x14ac:dyDescent="0.2">
      <c r="A4646" s="157"/>
      <c r="B4646" s="31" t="s">
        <v>15726</v>
      </c>
      <c r="C4646" s="31" t="s">
        <v>15727</v>
      </c>
      <c r="D4646" s="31" t="s">
        <v>2026</v>
      </c>
      <c r="E4646" s="61" t="b">
        <v>1</v>
      </c>
      <c r="F4646" s="106" t="s">
        <v>15728</v>
      </c>
      <c r="G4646" s="116" t="str">
        <f>HYPERLINK("http://nsgreg.nga.mil/genc/view?v=116557&amp;gencs=T&amp;end_month=3&amp;end_day=31&amp;end_year=2014","Isingiro")</f>
        <v>Isingiro</v>
      </c>
      <c r="H4646" s="87" t="str">
        <f>HYPERLINK("http://api.nsgreg.nga.mil/geo-division/ISO3166-2/6/ed3/UG-417","UG-417")</f>
        <v>UG-417</v>
      </c>
    </row>
    <row r="4647" spans="1:8" x14ac:dyDescent="0.2">
      <c r="A4647" s="157"/>
      <c r="B4647" s="31" t="s">
        <v>15729</v>
      </c>
      <c r="C4647" s="31" t="s">
        <v>15730</v>
      </c>
      <c r="D4647" s="31" t="s">
        <v>2026</v>
      </c>
      <c r="E4647" s="61" t="b">
        <v>1</v>
      </c>
      <c r="F4647" s="106" t="s">
        <v>15731</v>
      </c>
      <c r="G4647" s="116" t="str">
        <f>HYPERLINK("http://nsgreg.nga.mil/genc/view?v=116499&amp;gencs=T&amp;end_month=3&amp;end_day=31&amp;end_year=2014","Jinja")</f>
        <v>Jinja</v>
      </c>
      <c r="H4647" s="87" t="str">
        <f>HYPERLINK("http://api.nsgreg.nga.mil/geo-division/ISO3166-2/6/ed3/UG-204","UG-204")</f>
        <v>UG-204</v>
      </c>
    </row>
    <row r="4648" spans="1:8" x14ac:dyDescent="0.2">
      <c r="A4648" s="157"/>
      <c r="B4648" s="31" t="s">
        <v>15732</v>
      </c>
      <c r="C4648" s="31" t="s">
        <v>15733</v>
      </c>
      <c r="D4648" s="31" t="s">
        <v>2026</v>
      </c>
      <c r="E4648" s="61" t="b">
        <v>1</v>
      </c>
      <c r="F4648" s="106" t="s">
        <v>15734</v>
      </c>
      <c r="G4648" s="116" t="str">
        <f>HYPERLINK("http://nsgreg.nga.mil/genc/view?v=116534&amp;gencs=T&amp;end_month=3&amp;end_day=31&amp;end_year=2014","Kaabong")</f>
        <v>Kaabong</v>
      </c>
      <c r="H4648" s="87" t="str">
        <f>HYPERLINK("http://api.nsgreg.nga.mil/geo-division/ISO3166-2/6/ed3/UG-315","UG-315")</f>
        <v>UG-315</v>
      </c>
    </row>
    <row r="4649" spans="1:8" x14ac:dyDescent="0.2">
      <c r="A4649" s="157"/>
      <c r="B4649" s="31" t="s">
        <v>15735</v>
      </c>
      <c r="C4649" s="31" t="s">
        <v>15736</v>
      </c>
      <c r="D4649" s="31" t="s">
        <v>2026</v>
      </c>
      <c r="E4649" s="61" t="b">
        <v>1</v>
      </c>
      <c r="F4649" s="106" t="s">
        <v>15737</v>
      </c>
      <c r="G4649" s="116" t="str">
        <f>HYPERLINK("http://nsgreg.nga.mil/genc/view?v=116544&amp;gencs=T&amp;end_month=3&amp;end_day=31&amp;end_year=2014","Kabale")</f>
        <v>Kabale</v>
      </c>
      <c r="H4649" s="87" t="str">
        <f>HYPERLINK("http://api.nsgreg.nga.mil/geo-division/ISO3166-2/6/ed3/UG-404","UG-404")</f>
        <v>UG-404</v>
      </c>
    </row>
    <row r="4650" spans="1:8" x14ac:dyDescent="0.2">
      <c r="A4650" s="157"/>
      <c r="B4650" s="31" t="s">
        <v>15738</v>
      </c>
      <c r="C4650" s="31" t="s">
        <v>15739</v>
      </c>
      <c r="D4650" s="31" t="s">
        <v>2026</v>
      </c>
      <c r="E4650" s="61" t="b">
        <v>1</v>
      </c>
      <c r="F4650" s="106" t="s">
        <v>15740</v>
      </c>
      <c r="G4650" s="116" t="str">
        <f>HYPERLINK("http://nsgreg.nga.mil/genc/view?v=116545&amp;gencs=T&amp;end_month=3&amp;end_day=31&amp;end_year=2014","Kabarole")</f>
        <v>Kabarole</v>
      </c>
      <c r="H4650" s="87" t="str">
        <f>HYPERLINK("http://api.nsgreg.nga.mil/geo-division/ISO3166-2/6/ed3/UG-405","UG-405")</f>
        <v>UG-405</v>
      </c>
    </row>
    <row r="4651" spans="1:8" x14ac:dyDescent="0.2">
      <c r="A4651" s="157"/>
      <c r="B4651" s="31" t="s">
        <v>15741</v>
      </c>
      <c r="C4651" s="31" t="s">
        <v>15742</v>
      </c>
      <c r="D4651" s="31" t="s">
        <v>2026</v>
      </c>
      <c r="E4651" s="61" t="b">
        <v>1</v>
      </c>
      <c r="F4651" s="106" t="s">
        <v>15743</v>
      </c>
      <c r="G4651" s="116" t="str">
        <f>HYPERLINK("http://nsgreg.nga.mil/genc/view?v=116508&amp;gencs=T&amp;end_month=3&amp;end_day=31&amp;end_year=2014","Kaberamaido")</f>
        <v>Kaberamaido</v>
      </c>
      <c r="H4651" s="87" t="str">
        <f>HYPERLINK("http://api.nsgreg.nga.mil/geo-division/ISO3166-2/6/ed3/UG-213","UG-213")</f>
        <v>UG-213</v>
      </c>
    </row>
    <row r="4652" spans="1:8" x14ac:dyDescent="0.2">
      <c r="A4652" s="157"/>
      <c r="B4652" s="31" t="s">
        <v>15744</v>
      </c>
      <c r="C4652" s="31" t="s">
        <v>15745</v>
      </c>
      <c r="D4652" s="31" t="s">
        <v>2026</v>
      </c>
      <c r="E4652" s="61" t="b">
        <v>1</v>
      </c>
      <c r="F4652" s="106" t="s">
        <v>15746</v>
      </c>
      <c r="G4652" s="116" t="str">
        <f>HYPERLINK("http://nsgreg.nga.mil/genc/view?v=116480&amp;gencs=T&amp;end_month=3&amp;end_day=31&amp;end_year=2014","Kalangala")</f>
        <v>Kalangala</v>
      </c>
      <c r="H4652" s="87" t="str">
        <f>HYPERLINK("http://api.nsgreg.nga.mil/geo-division/ISO3166-2/6/ed3/UG-101","UG-101")</f>
        <v>UG-101</v>
      </c>
    </row>
    <row r="4653" spans="1:8" x14ac:dyDescent="0.2">
      <c r="A4653" s="157"/>
      <c r="B4653" s="31" t="s">
        <v>15747</v>
      </c>
      <c r="C4653" s="31" t="s">
        <v>15748</v>
      </c>
      <c r="D4653" s="31" t="s">
        <v>2026</v>
      </c>
      <c r="E4653" s="61" t="b">
        <v>1</v>
      </c>
      <c r="F4653" s="106" t="s">
        <v>15749</v>
      </c>
      <c r="G4653" s="116" t="str">
        <f>HYPERLINK("http://nsgreg.nga.mil/genc/view?v=116515&amp;gencs=T&amp;end_month=3&amp;end_day=31&amp;end_year=2014","Kaliro")</f>
        <v>Kaliro</v>
      </c>
      <c r="H4653" s="87" t="str">
        <f>HYPERLINK("http://api.nsgreg.nga.mil/geo-division/ISO3166-2/6/ed3/UG-220","UG-220")</f>
        <v>UG-220</v>
      </c>
    </row>
    <row r="4654" spans="1:8" x14ac:dyDescent="0.2">
      <c r="A4654" s="157"/>
      <c r="B4654" s="31" t="s">
        <v>15750</v>
      </c>
      <c r="C4654" s="31" t="s">
        <v>15751</v>
      </c>
      <c r="D4654" s="31" t="s">
        <v>2026</v>
      </c>
      <c r="E4654" s="61" t="b">
        <v>1</v>
      </c>
      <c r="F4654" s="107" t="s">
        <v>15752</v>
      </c>
      <c r="G4654" s="116" t="str">
        <f>HYPERLINK("http://nsgreg.nga.mil/genc/view?v=203210&amp;end_month=3&amp;end_day=31&amp;end_year=2014","Kalungu")</f>
        <v>Kalungu</v>
      </c>
      <c r="H4654" s="87" t="str">
        <f>HYPERLINK("http://api.nsgreg.nga.mil/geo-division/GENC/6/ed2/UG-122","UG-122")</f>
        <v>UG-122</v>
      </c>
    </row>
    <row r="4655" spans="1:8" x14ac:dyDescent="0.2">
      <c r="A4655" s="157"/>
      <c r="B4655" s="31" t="s">
        <v>15753</v>
      </c>
      <c r="C4655" s="31" t="s">
        <v>15754</v>
      </c>
      <c r="D4655" s="31" t="s">
        <v>2026</v>
      </c>
      <c r="E4655" s="61" t="b">
        <v>1</v>
      </c>
      <c r="F4655" s="106" t="s">
        <v>15755</v>
      </c>
      <c r="G4655" s="116" t="str">
        <f>HYPERLINK("http://nsgreg.nga.mil/genc/view?v=116481&amp;gencs=T&amp;end_month=3&amp;end_day=31&amp;end_year=2014","Kampala")</f>
        <v>Kampala</v>
      </c>
      <c r="H4655" s="87" t="str">
        <f>HYPERLINK("http://api.nsgreg.nga.mil/geo-division/ISO3166-2/6/ed3/UG-102","UG-102")</f>
        <v>UG-102</v>
      </c>
    </row>
    <row r="4656" spans="1:8" x14ac:dyDescent="0.2">
      <c r="A4656" s="157"/>
      <c r="B4656" s="31" t="s">
        <v>15756</v>
      </c>
      <c r="C4656" s="31" t="s">
        <v>15757</v>
      </c>
      <c r="D4656" s="31" t="s">
        <v>2026</v>
      </c>
      <c r="E4656" s="61" t="b">
        <v>1</v>
      </c>
      <c r="F4656" s="106" t="s">
        <v>15758</v>
      </c>
      <c r="G4656" s="116" t="str">
        <f>HYPERLINK("http://nsgreg.nga.mil/genc/view?v=116500&amp;gencs=T&amp;end_month=3&amp;end_day=31&amp;end_year=2014","Kamuli")</f>
        <v>Kamuli</v>
      </c>
      <c r="H4656" s="87" t="str">
        <f>HYPERLINK("http://api.nsgreg.nga.mil/geo-division/ISO3166-2/6/ed3/UG-205","UG-205")</f>
        <v>UG-205</v>
      </c>
    </row>
    <row r="4657" spans="1:8" x14ac:dyDescent="0.2">
      <c r="A4657" s="157"/>
      <c r="B4657" s="31" t="s">
        <v>15759</v>
      </c>
      <c r="C4657" s="31" t="s">
        <v>15760</v>
      </c>
      <c r="D4657" s="31" t="s">
        <v>2026</v>
      </c>
      <c r="E4657" s="61" t="b">
        <v>1</v>
      </c>
      <c r="F4657" s="106" t="s">
        <v>15761</v>
      </c>
      <c r="G4657" s="116" t="str">
        <f>HYPERLINK("http://nsgreg.nga.mil/genc/view?v=116553&amp;gencs=T&amp;end_month=3&amp;end_day=31&amp;end_year=2014","Kamwenge")</f>
        <v>Kamwenge</v>
      </c>
      <c r="H4657" s="87" t="str">
        <f>HYPERLINK("http://api.nsgreg.nga.mil/geo-division/ISO3166-2/6/ed3/UG-413","UG-413")</f>
        <v>UG-413</v>
      </c>
    </row>
    <row r="4658" spans="1:8" x14ac:dyDescent="0.2">
      <c r="A4658" s="157"/>
      <c r="B4658" s="31" t="s">
        <v>15762</v>
      </c>
      <c r="C4658" s="31" t="s">
        <v>15763</v>
      </c>
      <c r="D4658" s="31" t="s">
        <v>2026</v>
      </c>
      <c r="E4658" s="61" t="b">
        <v>1</v>
      </c>
      <c r="F4658" s="106" t="s">
        <v>15764</v>
      </c>
      <c r="G4658" s="116" t="str">
        <f>HYPERLINK("http://nsgreg.nga.mil/genc/view?v=116554&amp;gencs=T&amp;end_month=3&amp;end_day=31&amp;end_year=2014","Kanungu")</f>
        <v>Kanungu</v>
      </c>
      <c r="H4658" s="87" t="str">
        <f>HYPERLINK("http://api.nsgreg.nga.mil/geo-division/ISO3166-2/6/ed3/UG-414","UG-414")</f>
        <v>UG-414</v>
      </c>
    </row>
    <row r="4659" spans="1:8" x14ac:dyDescent="0.2">
      <c r="A4659" s="157"/>
      <c r="B4659" s="31" t="s">
        <v>15765</v>
      </c>
      <c r="C4659" s="31" t="s">
        <v>15766</v>
      </c>
      <c r="D4659" s="31" t="s">
        <v>2026</v>
      </c>
      <c r="E4659" s="61" t="b">
        <v>1</v>
      </c>
      <c r="F4659" s="106" t="s">
        <v>15767</v>
      </c>
      <c r="G4659" s="116" t="str">
        <f>HYPERLINK("http://nsgreg.nga.mil/genc/view?v=116501&amp;gencs=T&amp;end_month=3&amp;end_day=31&amp;end_year=2014","Kapchorwa")</f>
        <v>Kapchorwa</v>
      </c>
      <c r="H4659" s="87" t="str">
        <f>HYPERLINK("http://api.nsgreg.nga.mil/geo-division/ISO3166-2/6/ed3/UG-206","UG-206")</f>
        <v>UG-206</v>
      </c>
    </row>
    <row r="4660" spans="1:8" x14ac:dyDescent="0.2">
      <c r="A4660" s="157"/>
      <c r="B4660" s="31" t="s">
        <v>15768</v>
      </c>
      <c r="C4660" s="31" t="s">
        <v>15769</v>
      </c>
      <c r="D4660" s="31" t="s">
        <v>2026</v>
      </c>
      <c r="E4660" s="61" t="b">
        <v>1</v>
      </c>
      <c r="F4660" s="106" t="s">
        <v>15770</v>
      </c>
      <c r="G4660" s="116" t="str">
        <f>HYPERLINK("http://nsgreg.nga.mil/genc/view?v=116546&amp;gencs=T&amp;end_month=3&amp;end_day=31&amp;end_year=2014","Kasese")</f>
        <v>Kasese</v>
      </c>
      <c r="H4660" s="87" t="str">
        <f>HYPERLINK("http://api.nsgreg.nga.mil/geo-division/ISO3166-2/6/ed3/UG-406","UG-406")</f>
        <v>UG-406</v>
      </c>
    </row>
    <row r="4661" spans="1:8" x14ac:dyDescent="0.2">
      <c r="A4661" s="157"/>
      <c r="B4661" s="31" t="s">
        <v>15771</v>
      </c>
      <c r="C4661" s="31" t="s">
        <v>15772</v>
      </c>
      <c r="D4661" s="31" t="s">
        <v>2026</v>
      </c>
      <c r="E4661" s="61" t="b">
        <v>1</v>
      </c>
      <c r="F4661" s="106" t="s">
        <v>15773</v>
      </c>
      <c r="G4661" s="116" t="str">
        <f>HYPERLINK("http://nsgreg.nga.mil/genc/view?v=116502&amp;gencs=T&amp;end_month=3&amp;end_day=31&amp;end_year=2014","Katakwi")</f>
        <v>Katakwi</v>
      </c>
      <c r="H4661" s="87" t="str">
        <f>HYPERLINK("http://api.nsgreg.nga.mil/geo-division/ISO3166-2/6/ed3/UG-207","UG-207")</f>
        <v>UG-207</v>
      </c>
    </row>
    <row r="4662" spans="1:8" x14ac:dyDescent="0.2">
      <c r="A4662" s="157"/>
      <c r="B4662" s="31" t="s">
        <v>15774</v>
      </c>
      <c r="C4662" s="31" t="s">
        <v>15775</v>
      </c>
      <c r="D4662" s="31" t="s">
        <v>2026</v>
      </c>
      <c r="E4662" s="61" t="b">
        <v>1</v>
      </c>
      <c r="F4662" s="106" t="s">
        <v>15776</v>
      </c>
      <c r="G4662" s="116" t="str">
        <f>HYPERLINK("http://nsgreg.nga.mil/genc/view?v=116491&amp;gencs=T&amp;end_month=3&amp;end_day=31&amp;end_year=2014","Kayunga")</f>
        <v>Kayunga</v>
      </c>
      <c r="H4662" s="87" t="str">
        <f>HYPERLINK("http://api.nsgreg.nga.mil/geo-division/ISO3166-2/6/ed3/UG-112","UG-112")</f>
        <v>UG-112</v>
      </c>
    </row>
    <row r="4663" spans="1:8" x14ac:dyDescent="0.2">
      <c r="A4663" s="157"/>
      <c r="B4663" s="31" t="s">
        <v>15777</v>
      </c>
      <c r="C4663" s="31" t="s">
        <v>15778</v>
      </c>
      <c r="D4663" s="31" t="s">
        <v>2026</v>
      </c>
      <c r="E4663" s="61" t="b">
        <v>1</v>
      </c>
      <c r="F4663" s="106" t="s">
        <v>15779</v>
      </c>
      <c r="G4663" s="116" t="str">
        <f>HYPERLINK("http://nsgreg.nga.mil/genc/view?v=116547&amp;gencs=T&amp;end_month=3&amp;end_day=31&amp;end_year=2014","Kibaale")</f>
        <v>Kibaale</v>
      </c>
      <c r="H4663" s="87" t="str">
        <f>HYPERLINK("http://api.nsgreg.nga.mil/geo-division/ISO3166-2/6/ed3/UG-407","UG-407")</f>
        <v>UG-407</v>
      </c>
    </row>
    <row r="4664" spans="1:8" x14ac:dyDescent="0.2">
      <c r="A4664" s="157"/>
      <c r="B4664" s="31" t="s">
        <v>15780</v>
      </c>
      <c r="C4664" s="31" t="s">
        <v>15781</v>
      </c>
      <c r="D4664" s="31" t="s">
        <v>2026</v>
      </c>
      <c r="E4664" s="61" t="b">
        <v>1</v>
      </c>
      <c r="F4664" s="106" t="s">
        <v>15782</v>
      </c>
      <c r="G4664" s="116" t="str">
        <f>HYPERLINK("http://nsgreg.nga.mil/genc/view?v=116482&amp;gencs=T&amp;end_month=3&amp;end_day=31&amp;end_year=2014","Kiboga")</f>
        <v>Kiboga</v>
      </c>
      <c r="H4664" s="87" t="str">
        <f>HYPERLINK("http://api.nsgreg.nga.mil/geo-division/ISO3166-2/6/ed3/UG-103","UG-103")</f>
        <v>UG-103</v>
      </c>
    </row>
    <row r="4665" spans="1:8" x14ac:dyDescent="0.2">
      <c r="A4665" s="157"/>
      <c r="B4665" s="31" t="s">
        <v>15783</v>
      </c>
      <c r="C4665" s="31" t="s">
        <v>15784</v>
      </c>
      <c r="D4665" s="31" t="s">
        <v>2026</v>
      </c>
      <c r="E4665" s="61" t="b">
        <v>1</v>
      </c>
      <c r="F4665" s="107" t="s">
        <v>15785</v>
      </c>
      <c r="G4665" s="116" t="str">
        <f>HYPERLINK("http://nsgreg.nga.mil/genc/view?v=203215&amp;end_month=3&amp;end_day=31&amp;end_year=2014","Kibuku")</f>
        <v>Kibuku</v>
      </c>
      <c r="H4665" s="87" t="str">
        <f>HYPERLINK("http://api.nsgreg.nga.mil/geo-division/GENC/6/ed2/UG-227","UG-227")</f>
        <v>UG-227</v>
      </c>
    </row>
    <row r="4666" spans="1:8" x14ac:dyDescent="0.2">
      <c r="A4666" s="157"/>
      <c r="B4666" s="31" t="s">
        <v>15786</v>
      </c>
      <c r="C4666" s="31" t="s">
        <v>15787</v>
      </c>
      <c r="D4666" s="31" t="s">
        <v>2026</v>
      </c>
      <c r="E4666" s="61" t="b">
        <v>1</v>
      </c>
      <c r="F4666" s="106" t="s">
        <v>15788</v>
      </c>
      <c r="G4666" s="116" t="str">
        <f>HYPERLINK("http://nsgreg.nga.mil/genc/view?v=116558&amp;gencs=T&amp;end_month=3&amp;end_day=31&amp;end_year=2014","Kiruhura")</f>
        <v>Kiruhura</v>
      </c>
      <c r="H4666" s="87" t="str">
        <f>HYPERLINK("http://api.nsgreg.nga.mil/geo-division/ISO3166-2/6/ed3/UG-418","UG-418")</f>
        <v>UG-418</v>
      </c>
    </row>
    <row r="4667" spans="1:8" x14ac:dyDescent="0.2">
      <c r="A4667" s="157"/>
      <c r="B4667" s="31" t="s">
        <v>15789</v>
      </c>
      <c r="C4667" s="31" t="s">
        <v>15790</v>
      </c>
      <c r="D4667" s="31" t="s">
        <v>2026</v>
      </c>
      <c r="E4667" s="61" t="b">
        <v>1</v>
      </c>
      <c r="F4667" s="107" t="s">
        <v>15791</v>
      </c>
      <c r="G4667" s="116" t="str">
        <f>HYPERLINK("http://nsgreg.nga.mil/genc/view?v=203232&amp;end_month=3&amp;end_day=31&amp;end_year=2014","Kiryandongo")</f>
        <v>Kiryandongo</v>
      </c>
      <c r="H4667" s="87" t="str">
        <f>HYPERLINK("http://api.nsgreg.nga.mil/geo-division/GENC/6/ed2/UG-420","UG-420")</f>
        <v>UG-420</v>
      </c>
    </row>
    <row r="4668" spans="1:8" x14ac:dyDescent="0.2">
      <c r="A4668" s="157"/>
      <c r="B4668" s="31" t="s">
        <v>15792</v>
      </c>
      <c r="C4668" s="31" t="s">
        <v>15793</v>
      </c>
      <c r="D4668" s="31" t="s">
        <v>2026</v>
      </c>
      <c r="E4668" s="61" t="b">
        <v>1</v>
      </c>
      <c r="F4668" s="106" t="s">
        <v>15794</v>
      </c>
      <c r="G4668" s="116" t="str">
        <f>HYPERLINK("http://nsgreg.nga.mil/genc/view?v=116548&amp;gencs=T&amp;end_month=3&amp;end_day=31&amp;end_year=2014","Kisoro")</f>
        <v>Kisoro</v>
      </c>
      <c r="H4668" s="87" t="str">
        <f>HYPERLINK("http://api.nsgreg.nga.mil/geo-division/ISO3166-2/6/ed3/UG-408","UG-408")</f>
        <v>UG-408</v>
      </c>
    </row>
    <row r="4669" spans="1:8" x14ac:dyDescent="0.2">
      <c r="A4669" s="157"/>
      <c r="B4669" s="31" t="s">
        <v>15795</v>
      </c>
      <c r="C4669" s="31" t="s">
        <v>15796</v>
      </c>
      <c r="D4669" s="31" t="s">
        <v>2026</v>
      </c>
      <c r="E4669" s="61" t="b">
        <v>1</v>
      </c>
      <c r="F4669" s="106" t="s">
        <v>15797</v>
      </c>
      <c r="G4669" s="116" t="str">
        <f>HYPERLINK("http://nsgreg.nga.mil/genc/view?v=116524&amp;gencs=T&amp;end_month=3&amp;end_day=31&amp;end_year=2014","Kitgum")</f>
        <v>Kitgum</v>
      </c>
      <c r="H4669" s="87" t="str">
        <f>HYPERLINK("http://api.nsgreg.nga.mil/geo-division/ISO3166-2/6/ed3/UG-305","UG-305")</f>
        <v>UG-305</v>
      </c>
    </row>
    <row r="4670" spans="1:8" x14ac:dyDescent="0.2">
      <c r="A4670" s="157"/>
      <c r="B4670" s="31" t="s">
        <v>15798</v>
      </c>
      <c r="C4670" s="31" t="s">
        <v>15799</v>
      </c>
      <c r="D4670" s="31" t="s">
        <v>2026</v>
      </c>
      <c r="E4670" s="61" t="b">
        <v>1</v>
      </c>
      <c r="F4670" s="106" t="s">
        <v>15800</v>
      </c>
      <c r="G4670" s="116" t="str">
        <f>HYPERLINK("http://nsgreg.nga.mil/genc/view?v=116535&amp;gencs=T&amp;end_month=3&amp;end_day=31&amp;end_year=2014","Koboko")</f>
        <v>Koboko</v>
      </c>
      <c r="H4670" s="87" t="str">
        <f>HYPERLINK("http://api.nsgreg.nga.mil/geo-division/ISO3166-2/6/ed3/UG-316","UG-316")</f>
        <v>UG-316</v>
      </c>
    </row>
    <row r="4671" spans="1:8" x14ac:dyDescent="0.2">
      <c r="A4671" s="157"/>
      <c r="B4671" s="31" t="s">
        <v>15801</v>
      </c>
      <c r="C4671" s="31" t="s">
        <v>15802</v>
      </c>
      <c r="D4671" s="31" t="s">
        <v>2026</v>
      </c>
      <c r="E4671" s="61" t="b">
        <v>1</v>
      </c>
      <c r="F4671" s="107" t="s">
        <v>15803</v>
      </c>
      <c r="G4671" s="116" t="str">
        <f>HYPERLINK("http://nsgreg.nga.mil/genc/view?v=203224&amp;end_month=3&amp;end_day=31&amp;end_year=2014","Kole")</f>
        <v>Kole</v>
      </c>
      <c r="H4671" s="87" t="str">
        <f>HYPERLINK("http://api.nsgreg.nga.mil/geo-division/GENC/6/ed2/UG-325","UG-325")</f>
        <v>UG-325</v>
      </c>
    </row>
    <row r="4672" spans="1:8" x14ac:dyDescent="0.2">
      <c r="A4672" s="157"/>
      <c r="B4672" s="31" t="s">
        <v>15804</v>
      </c>
      <c r="C4672" s="31" t="s">
        <v>15805</v>
      </c>
      <c r="D4672" s="31" t="s">
        <v>2026</v>
      </c>
      <c r="E4672" s="61" t="b">
        <v>1</v>
      </c>
      <c r="F4672" s="106" t="s">
        <v>15806</v>
      </c>
      <c r="G4672" s="116" t="str">
        <f>HYPERLINK("http://nsgreg.nga.mil/genc/view?v=116525&amp;gencs=T&amp;end_month=3&amp;end_day=31&amp;end_year=2014","Kotido")</f>
        <v>Kotido</v>
      </c>
      <c r="H4672" s="87" t="str">
        <f>HYPERLINK("http://api.nsgreg.nga.mil/geo-division/ISO3166-2/6/ed3/UG-306","UG-306")</f>
        <v>UG-306</v>
      </c>
    </row>
    <row r="4673" spans="1:8" x14ac:dyDescent="0.2">
      <c r="A4673" s="157"/>
      <c r="B4673" s="31" t="s">
        <v>15807</v>
      </c>
      <c r="C4673" s="31" t="s">
        <v>15808</v>
      </c>
      <c r="D4673" s="31" t="s">
        <v>2026</v>
      </c>
      <c r="E4673" s="61" t="b">
        <v>1</v>
      </c>
      <c r="F4673" s="106" t="s">
        <v>15809</v>
      </c>
      <c r="G4673" s="116" t="str">
        <f>HYPERLINK("http://nsgreg.nga.mil/genc/view?v=116503&amp;gencs=T&amp;end_month=3&amp;end_day=31&amp;end_year=2014","Kumi")</f>
        <v>Kumi</v>
      </c>
      <c r="H4673" s="87" t="str">
        <f>HYPERLINK("http://api.nsgreg.nga.mil/geo-division/ISO3166-2/6/ed3/UG-208","UG-208")</f>
        <v>UG-208</v>
      </c>
    </row>
    <row r="4674" spans="1:8" x14ac:dyDescent="0.2">
      <c r="A4674" s="157"/>
      <c r="B4674" s="31" t="s">
        <v>15810</v>
      </c>
      <c r="C4674" s="31" t="s">
        <v>15811</v>
      </c>
      <c r="D4674" s="31" t="s">
        <v>2026</v>
      </c>
      <c r="E4674" s="61" t="b">
        <v>1</v>
      </c>
      <c r="F4674" s="107" t="s">
        <v>15812</v>
      </c>
      <c r="G4674" s="116" t="str">
        <f>HYPERLINK("http://nsgreg.nga.mil/genc/view?v=203216&amp;end_month=3&amp;end_day=31&amp;end_year=2014","Kween")</f>
        <v>Kween</v>
      </c>
      <c r="H4674" s="87" t="str">
        <f>HYPERLINK("http://api.nsgreg.nga.mil/geo-division/GENC/6/ed2/UG-228","UG-228")</f>
        <v>UG-228</v>
      </c>
    </row>
    <row r="4675" spans="1:8" x14ac:dyDescent="0.2">
      <c r="A4675" s="157"/>
      <c r="B4675" s="31" t="s">
        <v>15813</v>
      </c>
      <c r="C4675" s="31" t="s">
        <v>15814</v>
      </c>
      <c r="D4675" s="31" t="s">
        <v>2026</v>
      </c>
      <c r="E4675" s="61" t="b">
        <v>1</v>
      </c>
      <c r="F4675" s="107" t="s">
        <v>15815</v>
      </c>
      <c r="G4675" s="116" t="str">
        <f>HYPERLINK("http://nsgreg.nga.mil/genc/view?v=203211&amp;end_month=3&amp;end_day=31&amp;end_year=2014","Kyankwanzi")</f>
        <v>Kyankwanzi</v>
      </c>
      <c r="H4675" s="87" t="str">
        <f>HYPERLINK("http://api.nsgreg.nga.mil/geo-division/GENC/6/ed2/UG-123","UG-123")</f>
        <v>UG-123</v>
      </c>
    </row>
    <row r="4676" spans="1:8" x14ac:dyDescent="0.2">
      <c r="A4676" s="157"/>
      <c r="B4676" s="31" t="s">
        <v>15816</v>
      </c>
      <c r="C4676" s="31" t="s">
        <v>15817</v>
      </c>
      <c r="D4676" s="31" t="s">
        <v>2026</v>
      </c>
      <c r="E4676" s="61" t="b">
        <v>1</v>
      </c>
      <c r="F4676" s="107" t="s">
        <v>15818</v>
      </c>
      <c r="G4676" s="116" t="str">
        <f>HYPERLINK("http://nsgreg.nga.mil/genc/view?v=203233&amp;end_month=3&amp;end_day=31&amp;end_year=2014","Kyegegwa")</f>
        <v>Kyegegwa</v>
      </c>
      <c r="H4676" s="87" t="str">
        <f>HYPERLINK("http://api.nsgreg.nga.mil/geo-division/GENC/6/ed2/UG-421","UG-421")</f>
        <v>UG-421</v>
      </c>
    </row>
    <row r="4677" spans="1:8" x14ac:dyDescent="0.2">
      <c r="A4677" s="157"/>
      <c r="B4677" s="31" t="s">
        <v>15819</v>
      </c>
      <c r="C4677" s="31" t="s">
        <v>15820</v>
      </c>
      <c r="D4677" s="31" t="s">
        <v>2026</v>
      </c>
      <c r="E4677" s="61" t="b">
        <v>1</v>
      </c>
      <c r="F4677" s="106" t="s">
        <v>15821</v>
      </c>
      <c r="G4677" s="116" t="str">
        <f>HYPERLINK("http://nsgreg.nga.mil/genc/view?v=116555&amp;gencs=T&amp;end_month=3&amp;end_day=31&amp;end_year=2014","Kyenjojo")</f>
        <v>Kyenjojo</v>
      </c>
      <c r="H4677" s="87" t="str">
        <f>HYPERLINK("http://api.nsgreg.nga.mil/geo-division/ISO3166-2/6/ed3/UG-415","UG-415")</f>
        <v>UG-415</v>
      </c>
    </row>
    <row r="4678" spans="1:8" x14ac:dyDescent="0.2">
      <c r="A4678" s="157"/>
      <c r="B4678" s="31" t="s">
        <v>15822</v>
      </c>
      <c r="C4678" s="31" t="s">
        <v>15823</v>
      </c>
      <c r="D4678" s="31" t="s">
        <v>2026</v>
      </c>
      <c r="E4678" s="61" t="b">
        <v>1</v>
      </c>
      <c r="F4678" s="107" t="s">
        <v>15824</v>
      </c>
      <c r="G4678" s="116" t="str">
        <f>HYPERLINK("http://nsgreg.nga.mil/genc/view?v=203226&amp;end_month=3&amp;end_day=31&amp;end_year=2014","Lamwo")</f>
        <v>Lamwo</v>
      </c>
      <c r="H4678" s="87" t="str">
        <f>HYPERLINK("http://api.nsgreg.nga.mil/geo-division/GENC/6/ed2/UG-327","UG-327")</f>
        <v>UG-327</v>
      </c>
    </row>
    <row r="4679" spans="1:8" x14ac:dyDescent="0.2">
      <c r="A4679" s="157"/>
      <c r="B4679" s="31" t="s">
        <v>15825</v>
      </c>
      <c r="C4679" s="31" t="s">
        <v>15826</v>
      </c>
      <c r="D4679" s="31" t="s">
        <v>2026</v>
      </c>
      <c r="E4679" s="61" t="b">
        <v>1</v>
      </c>
      <c r="F4679" s="106" t="s">
        <v>15827</v>
      </c>
      <c r="G4679" s="116" t="str">
        <f>HYPERLINK("http://nsgreg.nga.mil/genc/view?v=116526&amp;gencs=T&amp;end_month=3&amp;end_day=31&amp;end_year=2014","Lira")</f>
        <v>Lira</v>
      </c>
      <c r="H4679" s="87" t="str">
        <f>HYPERLINK("http://api.nsgreg.nga.mil/geo-division/ISO3166-2/6/ed3/UG-307","UG-307")</f>
        <v>UG-307</v>
      </c>
    </row>
    <row r="4680" spans="1:8" x14ac:dyDescent="0.2">
      <c r="A4680" s="157"/>
      <c r="B4680" s="31" t="s">
        <v>15828</v>
      </c>
      <c r="C4680" s="31" t="s">
        <v>15829</v>
      </c>
      <c r="D4680" s="31" t="s">
        <v>2026</v>
      </c>
      <c r="E4680" s="61" t="b">
        <v>1</v>
      </c>
      <c r="F4680" s="107" t="s">
        <v>15830</v>
      </c>
      <c r="G4680" s="116" t="str">
        <f>HYPERLINK("http://nsgreg.nga.mil/genc/view?v=203217&amp;end_month=3&amp;end_day=31&amp;end_year=2014","Luuka")</f>
        <v>Luuka</v>
      </c>
      <c r="H4680" s="87" t="str">
        <f>HYPERLINK("http://api.nsgreg.nga.mil/geo-division/GENC/6/ed2/UG-229","UG-229")</f>
        <v>UG-229</v>
      </c>
    </row>
    <row r="4681" spans="1:8" x14ac:dyDescent="0.2">
      <c r="A4681" s="157"/>
      <c r="B4681" s="31" t="s">
        <v>15831</v>
      </c>
      <c r="C4681" s="31" t="s">
        <v>15832</v>
      </c>
      <c r="D4681" s="31" t="s">
        <v>2026</v>
      </c>
      <c r="E4681" s="61" t="b">
        <v>1</v>
      </c>
      <c r="F4681" s="106" t="s">
        <v>15833</v>
      </c>
      <c r="G4681" s="116" t="str">
        <f>HYPERLINK("http://nsgreg.nga.mil/genc/view?v=116483&amp;gencs=T&amp;end_month=3&amp;end_day=31&amp;end_year=2014","Luwero")</f>
        <v>Luwero</v>
      </c>
      <c r="H4681" s="87" t="str">
        <f>HYPERLINK("http://api.nsgreg.nga.mil/geo-division/ISO3166-2/6/ed3/UG-104","UG-104")</f>
        <v>UG-104</v>
      </c>
    </row>
    <row r="4682" spans="1:8" x14ac:dyDescent="0.2">
      <c r="A4682" s="157"/>
      <c r="B4682" s="31" t="s">
        <v>15834</v>
      </c>
      <c r="C4682" s="31" t="s">
        <v>15835</v>
      </c>
      <c r="D4682" s="31" t="s">
        <v>2026</v>
      </c>
      <c r="E4682" s="61" t="b">
        <v>1</v>
      </c>
      <c r="F4682" s="107" t="s">
        <v>15836</v>
      </c>
      <c r="G4682" s="116" t="str">
        <f>HYPERLINK("http://nsgreg.nga.mil/genc/view?v=203212&amp;end_month=3&amp;end_day=31&amp;end_year=2014","Lwengo")</f>
        <v>Lwengo</v>
      </c>
      <c r="H4682" s="87" t="str">
        <f>HYPERLINK("http://api.nsgreg.nga.mil/geo-division/GENC/6/ed2/UG-124","UG-124")</f>
        <v>UG-124</v>
      </c>
    </row>
    <row r="4683" spans="1:8" x14ac:dyDescent="0.2">
      <c r="A4683" s="157"/>
      <c r="B4683" s="31" t="s">
        <v>15837</v>
      </c>
      <c r="C4683" s="31" t="s">
        <v>15838</v>
      </c>
      <c r="D4683" s="31" t="s">
        <v>2026</v>
      </c>
      <c r="E4683" s="61" t="b">
        <v>1</v>
      </c>
      <c r="F4683" s="106" t="s">
        <v>15839</v>
      </c>
      <c r="G4683" s="116" t="str">
        <f>HYPERLINK("http://nsgreg.nga.mil/genc/view?v=116495&amp;gencs=T&amp;end_month=3&amp;end_day=31&amp;end_year=2014","Lyantonde")</f>
        <v>Lyantonde</v>
      </c>
      <c r="H4683" s="87" t="str">
        <f>HYPERLINK("http://api.nsgreg.nga.mil/geo-division/ISO3166-2/6/ed3/UG-116","UG-116")</f>
        <v>UG-116</v>
      </c>
    </row>
    <row r="4684" spans="1:8" x14ac:dyDescent="0.2">
      <c r="A4684" s="157"/>
      <c r="B4684" s="31" t="s">
        <v>15840</v>
      </c>
      <c r="C4684" s="31" t="s">
        <v>15841</v>
      </c>
      <c r="D4684" s="31" t="s">
        <v>2026</v>
      </c>
      <c r="E4684" s="61" t="b">
        <v>1</v>
      </c>
      <c r="F4684" s="106" t="s">
        <v>15842</v>
      </c>
      <c r="G4684" s="116" t="str">
        <f>HYPERLINK("http://nsgreg.nga.mil/genc/view?v=116516&amp;gencs=T&amp;end_month=3&amp;end_day=31&amp;end_year=2014","Manafwa")</f>
        <v>Manafwa</v>
      </c>
      <c r="H4684" s="87" t="str">
        <f>HYPERLINK("http://api.nsgreg.nga.mil/geo-division/ISO3166-2/6/ed3/UG-221","UG-221")</f>
        <v>UG-221</v>
      </c>
    </row>
    <row r="4685" spans="1:8" x14ac:dyDescent="0.2">
      <c r="A4685" s="157"/>
      <c r="B4685" s="31" t="s">
        <v>15843</v>
      </c>
      <c r="C4685" s="31" t="s">
        <v>15844</v>
      </c>
      <c r="D4685" s="31" t="s">
        <v>2026</v>
      </c>
      <c r="E4685" s="61" t="b">
        <v>1</v>
      </c>
      <c r="F4685" s="106" t="s">
        <v>15845</v>
      </c>
      <c r="G4685" s="116" t="str">
        <f>HYPERLINK("http://nsgreg.nga.mil/genc/view?v=116539&amp;gencs=T&amp;end_month=3&amp;end_day=31&amp;end_year=2014","Maracha")</f>
        <v>Maracha</v>
      </c>
      <c r="H4685" s="87" t="str">
        <f>HYPERLINK("http://api.nsgreg.nga.mil/geo-division/ISO3166-2/6/ed3/UG-320","UG-320")</f>
        <v>UG-320</v>
      </c>
    </row>
    <row r="4686" spans="1:8" x14ac:dyDescent="0.2">
      <c r="A4686" s="157"/>
      <c r="B4686" s="31" t="s">
        <v>15846</v>
      </c>
      <c r="C4686" s="31" t="s">
        <v>15847</v>
      </c>
      <c r="D4686" s="31" t="s">
        <v>2026</v>
      </c>
      <c r="E4686" s="61" t="b">
        <v>1</v>
      </c>
      <c r="F4686" s="106" t="s">
        <v>15848</v>
      </c>
      <c r="G4686" s="116" t="str">
        <f>HYPERLINK("http://nsgreg.nga.mil/genc/view?v=116484&amp;gencs=T&amp;end_month=3&amp;end_day=31&amp;end_year=2014","Masaka")</f>
        <v>Masaka</v>
      </c>
      <c r="H4686" s="87" t="str">
        <f>HYPERLINK("http://api.nsgreg.nga.mil/geo-division/ISO3166-2/6/ed3/UG-105","UG-105")</f>
        <v>UG-105</v>
      </c>
    </row>
    <row r="4687" spans="1:8" x14ac:dyDescent="0.2">
      <c r="A4687" s="157"/>
      <c r="B4687" s="31" t="s">
        <v>15849</v>
      </c>
      <c r="C4687" s="31" t="s">
        <v>15850</v>
      </c>
      <c r="D4687" s="31" t="s">
        <v>2026</v>
      </c>
      <c r="E4687" s="61" t="b">
        <v>1</v>
      </c>
      <c r="F4687" s="106" t="s">
        <v>15851</v>
      </c>
      <c r="G4687" s="116" t="str">
        <f>HYPERLINK("http://nsgreg.nga.mil/genc/view?v=116549&amp;gencs=T&amp;end_month=3&amp;end_day=31&amp;end_year=2014","Masindi")</f>
        <v>Masindi</v>
      </c>
      <c r="H4687" s="87" t="str">
        <f>HYPERLINK("http://api.nsgreg.nga.mil/geo-division/ISO3166-2/6/ed3/UG-409","UG-409")</f>
        <v>UG-409</v>
      </c>
    </row>
    <row r="4688" spans="1:8" x14ac:dyDescent="0.2">
      <c r="A4688" s="157"/>
      <c r="B4688" s="31" t="s">
        <v>15852</v>
      </c>
      <c r="C4688" s="31" t="s">
        <v>15853</v>
      </c>
      <c r="D4688" s="31" t="s">
        <v>2026</v>
      </c>
      <c r="E4688" s="61" t="b">
        <v>1</v>
      </c>
      <c r="F4688" s="106" t="s">
        <v>15854</v>
      </c>
      <c r="G4688" s="116" t="str">
        <f>HYPERLINK("http://nsgreg.nga.mil/genc/view?v=116509&amp;gencs=T&amp;end_month=3&amp;end_day=31&amp;end_year=2014","Mayuge")</f>
        <v>Mayuge</v>
      </c>
      <c r="H4688" s="87" t="str">
        <f>HYPERLINK("http://api.nsgreg.nga.mil/geo-division/ISO3166-2/6/ed3/UG-214","UG-214")</f>
        <v>UG-214</v>
      </c>
    </row>
    <row r="4689" spans="1:8" x14ac:dyDescent="0.2">
      <c r="A4689" s="157"/>
      <c r="B4689" s="31" t="s">
        <v>15855</v>
      </c>
      <c r="C4689" s="31" t="s">
        <v>15856</v>
      </c>
      <c r="D4689" s="31" t="s">
        <v>2026</v>
      </c>
      <c r="E4689" s="61" t="b">
        <v>1</v>
      </c>
      <c r="F4689" s="106" t="s">
        <v>15857</v>
      </c>
      <c r="G4689" s="116" t="str">
        <f>HYPERLINK("http://nsgreg.nga.mil/genc/view?v=116504&amp;gencs=T&amp;end_month=3&amp;end_day=31&amp;end_year=2014","Mbale")</f>
        <v>Mbale</v>
      </c>
      <c r="H4689" s="87" t="str">
        <f>HYPERLINK("http://api.nsgreg.nga.mil/geo-division/ISO3166-2/6/ed3/UG-209","UG-209")</f>
        <v>UG-209</v>
      </c>
    </row>
    <row r="4690" spans="1:8" x14ac:dyDescent="0.2">
      <c r="A4690" s="157"/>
      <c r="B4690" s="31" t="s">
        <v>15858</v>
      </c>
      <c r="C4690" s="31" t="s">
        <v>15859</v>
      </c>
      <c r="D4690" s="31" t="s">
        <v>2026</v>
      </c>
      <c r="E4690" s="61" t="b">
        <v>1</v>
      </c>
      <c r="F4690" s="106" t="s">
        <v>15860</v>
      </c>
      <c r="G4690" s="116" t="str">
        <f>HYPERLINK("http://nsgreg.nga.mil/genc/view?v=116550&amp;gencs=T&amp;end_month=3&amp;end_day=31&amp;end_year=2014","Mbarara")</f>
        <v>Mbarara</v>
      </c>
      <c r="H4690" s="87" t="str">
        <f>HYPERLINK("http://api.nsgreg.nga.mil/geo-division/ISO3166-2/6/ed3/UG-410","UG-410")</f>
        <v>UG-410</v>
      </c>
    </row>
    <row r="4691" spans="1:8" x14ac:dyDescent="0.2">
      <c r="A4691" s="157"/>
      <c r="B4691" s="31" t="s">
        <v>15861</v>
      </c>
      <c r="C4691" s="31" t="s">
        <v>15862</v>
      </c>
      <c r="D4691" s="31" t="s">
        <v>2026</v>
      </c>
      <c r="E4691" s="61" t="b">
        <v>1</v>
      </c>
      <c r="F4691" s="107" t="s">
        <v>15863</v>
      </c>
      <c r="G4691" s="116" t="str">
        <f>HYPERLINK("http://nsgreg.nga.mil/genc/view?v=203234&amp;end_month=3&amp;end_day=31&amp;end_year=2014","Mitooma")</f>
        <v>Mitooma</v>
      </c>
      <c r="H4691" s="87" t="str">
        <f>HYPERLINK("http://api.nsgreg.nga.mil/geo-division/GENC/6/ed2/UG-422","UG-422")</f>
        <v>UG-422</v>
      </c>
    </row>
    <row r="4692" spans="1:8" x14ac:dyDescent="0.2">
      <c r="A4692" s="157"/>
      <c r="B4692" s="31" t="s">
        <v>15864</v>
      </c>
      <c r="C4692" s="31" t="s">
        <v>15865</v>
      </c>
      <c r="D4692" s="31" t="s">
        <v>2026</v>
      </c>
      <c r="E4692" s="61" t="b">
        <v>1</v>
      </c>
      <c r="F4692" s="106" t="s">
        <v>15866</v>
      </c>
      <c r="G4692" s="116" t="str">
        <f>HYPERLINK("http://nsgreg.nga.mil/genc/view?v=116493&amp;gencs=T&amp;end_month=3&amp;end_day=31&amp;end_year=2014","Mityana")</f>
        <v>Mityana</v>
      </c>
      <c r="H4692" s="87" t="str">
        <f>HYPERLINK("http://api.nsgreg.nga.mil/geo-division/ISO3166-2/6/ed3/UG-114","UG-114")</f>
        <v>UG-114</v>
      </c>
    </row>
    <row r="4693" spans="1:8" x14ac:dyDescent="0.2">
      <c r="A4693" s="157"/>
      <c r="B4693" s="31" t="s">
        <v>15867</v>
      </c>
      <c r="C4693" s="31" t="s">
        <v>15868</v>
      </c>
      <c r="D4693" s="31" t="s">
        <v>2026</v>
      </c>
      <c r="E4693" s="61" t="b">
        <v>1</v>
      </c>
      <c r="F4693" s="106" t="s">
        <v>15869</v>
      </c>
      <c r="G4693" s="116" t="str">
        <f>HYPERLINK("http://nsgreg.nga.mil/genc/view?v=116527&amp;gencs=T&amp;end_month=3&amp;end_day=31&amp;end_year=2014","Moroto")</f>
        <v>Moroto</v>
      </c>
      <c r="H4693" s="87" t="str">
        <f>HYPERLINK("http://api.nsgreg.nga.mil/geo-division/ISO3166-2/6/ed3/UG-308","UG-308")</f>
        <v>UG-308</v>
      </c>
    </row>
    <row r="4694" spans="1:8" x14ac:dyDescent="0.2">
      <c r="A4694" s="157"/>
      <c r="B4694" s="31" t="s">
        <v>15870</v>
      </c>
      <c r="C4694" s="31" t="s">
        <v>15871</v>
      </c>
      <c r="D4694" s="31" t="s">
        <v>2026</v>
      </c>
      <c r="E4694" s="61" t="b">
        <v>1</v>
      </c>
      <c r="F4694" s="106" t="s">
        <v>15872</v>
      </c>
      <c r="G4694" s="116" t="str">
        <f>HYPERLINK("http://nsgreg.nga.mil/genc/view?v=116528&amp;gencs=T&amp;end_month=3&amp;end_day=31&amp;end_year=2014","Moyo")</f>
        <v>Moyo</v>
      </c>
      <c r="H4694" s="87" t="str">
        <f>HYPERLINK("http://api.nsgreg.nga.mil/geo-division/ISO3166-2/6/ed3/UG-309","UG-309")</f>
        <v>UG-309</v>
      </c>
    </row>
    <row r="4695" spans="1:8" x14ac:dyDescent="0.2">
      <c r="A4695" s="157"/>
      <c r="B4695" s="31" t="s">
        <v>15873</v>
      </c>
      <c r="C4695" s="31" t="s">
        <v>15874</v>
      </c>
      <c r="D4695" s="31" t="s">
        <v>2026</v>
      </c>
      <c r="E4695" s="61" t="b">
        <v>1</v>
      </c>
      <c r="F4695" s="106" t="s">
        <v>15875</v>
      </c>
      <c r="G4695" s="116" t="str">
        <f>HYPERLINK("http://nsgreg.nga.mil/genc/view?v=116485&amp;gencs=T&amp;end_month=3&amp;end_day=31&amp;end_year=2014","Mpigi")</f>
        <v>Mpigi</v>
      </c>
      <c r="H4695" s="87" t="str">
        <f>HYPERLINK("http://api.nsgreg.nga.mil/geo-division/ISO3166-2/6/ed3/UG-106","UG-106")</f>
        <v>UG-106</v>
      </c>
    </row>
    <row r="4696" spans="1:8" x14ac:dyDescent="0.2">
      <c r="A4696" s="157"/>
      <c r="B4696" s="31" t="s">
        <v>15876</v>
      </c>
      <c r="C4696" s="31" t="s">
        <v>15877</v>
      </c>
      <c r="D4696" s="31" t="s">
        <v>2026</v>
      </c>
      <c r="E4696" s="61" t="b">
        <v>1</v>
      </c>
      <c r="F4696" s="106" t="s">
        <v>15878</v>
      </c>
      <c r="G4696" s="116" t="str">
        <f>HYPERLINK("http://nsgreg.nga.mil/genc/view?v=116486&amp;gencs=T&amp;end_month=3&amp;end_day=31&amp;end_year=2014","Mubende")</f>
        <v>Mubende</v>
      </c>
      <c r="H4696" s="87" t="str">
        <f>HYPERLINK("http://api.nsgreg.nga.mil/geo-division/ISO3166-2/6/ed3/UG-107","UG-107")</f>
        <v>UG-107</v>
      </c>
    </row>
    <row r="4697" spans="1:8" x14ac:dyDescent="0.2">
      <c r="A4697" s="157"/>
      <c r="B4697" s="31" t="s">
        <v>15879</v>
      </c>
      <c r="C4697" s="31" t="s">
        <v>15880</v>
      </c>
      <c r="D4697" s="31" t="s">
        <v>2026</v>
      </c>
      <c r="E4697" s="61" t="b">
        <v>1</v>
      </c>
      <c r="F4697" s="106" t="s">
        <v>15881</v>
      </c>
      <c r="G4697" s="116" t="str">
        <f>HYPERLINK("http://nsgreg.nga.mil/genc/view?v=116487&amp;gencs=T&amp;end_month=3&amp;end_day=31&amp;end_year=2014","Mukono")</f>
        <v>Mukono</v>
      </c>
      <c r="H4697" s="87" t="str">
        <f>HYPERLINK("http://api.nsgreg.nga.mil/geo-division/ISO3166-2/6/ed3/UG-108","UG-108")</f>
        <v>UG-108</v>
      </c>
    </row>
    <row r="4698" spans="1:8" x14ac:dyDescent="0.2">
      <c r="A4698" s="157"/>
      <c r="B4698" s="31" t="s">
        <v>15882</v>
      </c>
      <c r="C4698" s="31" t="s">
        <v>15883</v>
      </c>
      <c r="D4698" s="31" t="s">
        <v>2026</v>
      </c>
      <c r="E4698" s="61" t="b">
        <v>1</v>
      </c>
      <c r="F4698" s="106" t="s">
        <v>15884</v>
      </c>
      <c r="G4698" s="116" t="str">
        <f>HYPERLINK("http://nsgreg.nga.mil/genc/view?v=116530&amp;gencs=T&amp;end_month=3&amp;end_day=31&amp;end_year=2014","Nakapiripirit")</f>
        <v>Nakapiripirit</v>
      </c>
      <c r="H4698" s="87" t="str">
        <f>HYPERLINK("http://api.nsgreg.nga.mil/geo-division/ISO3166-2/6/ed3/UG-311","UG-311")</f>
        <v>UG-311</v>
      </c>
    </row>
    <row r="4699" spans="1:8" x14ac:dyDescent="0.2">
      <c r="A4699" s="157"/>
      <c r="B4699" s="31" t="s">
        <v>15885</v>
      </c>
      <c r="C4699" s="31" t="s">
        <v>15886</v>
      </c>
      <c r="D4699" s="31" t="s">
        <v>2026</v>
      </c>
      <c r="E4699" s="61" t="b">
        <v>1</v>
      </c>
      <c r="F4699" s="106" t="s">
        <v>15887</v>
      </c>
      <c r="G4699" s="116" t="str">
        <f>HYPERLINK("http://nsgreg.nga.mil/genc/view?v=116494&amp;gencs=T&amp;end_month=3&amp;end_day=31&amp;end_year=2014","Nakaseke")</f>
        <v>Nakaseke</v>
      </c>
      <c r="H4699" s="87" t="str">
        <f>HYPERLINK("http://api.nsgreg.nga.mil/geo-division/ISO3166-2/6/ed3/UG-115","UG-115")</f>
        <v>UG-115</v>
      </c>
    </row>
    <row r="4700" spans="1:8" x14ac:dyDescent="0.2">
      <c r="A4700" s="157"/>
      <c r="B4700" s="31" t="s">
        <v>15888</v>
      </c>
      <c r="C4700" s="31" t="s">
        <v>15889</v>
      </c>
      <c r="D4700" s="31" t="s">
        <v>2026</v>
      </c>
      <c r="E4700" s="61" t="b">
        <v>1</v>
      </c>
      <c r="F4700" s="106" t="s">
        <v>15890</v>
      </c>
      <c r="G4700" s="116" t="str">
        <f>HYPERLINK("http://nsgreg.nga.mil/genc/view?v=116488&amp;gencs=T&amp;end_month=3&amp;end_day=31&amp;end_year=2014","Nakasongola")</f>
        <v>Nakasongola</v>
      </c>
      <c r="H4700" s="87" t="str">
        <f>HYPERLINK("http://api.nsgreg.nga.mil/geo-division/ISO3166-2/6/ed3/UG-109","UG-109")</f>
        <v>UG-109</v>
      </c>
    </row>
    <row r="4701" spans="1:8" x14ac:dyDescent="0.2">
      <c r="A4701" s="157"/>
      <c r="B4701" s="31" t="s">
        <v>15891</v>
      </c>
      <c r="C4701" s="31" t="s">
        <v>15892</v>
      </c>
      <c r="D4701" s="31" t="s">
        <v>2026</v>
      </c>
      <c r="E4701" s="61" t="b">
        <v>1</v>
      </c>
      <c r="F4701" s="107" t="s">
        <v>15893</v>
      </c>
      <c r="G4701" s="116" t="str">
        <f>HYPERLINK("http://nsgreg.nga.mil/genc/view?v=203218&amp;end_month=3&amp;end_day=31&amp;end_year=2014","Namayingo")</f>
        <v>Namayingo</v>
      </c>
      <c r="H4701" s="87" t="str">
        <f>HYPERLINK("http://api.nsgreg.nga.mil/geo-division/GENC/6/ed2/UG-230","UG-230")</f>
        <v>UG-230</v>
      </c>
    </row>
    <row r="4702" spans="1:8" x14ac:dyDescent="0.2">
      <c r="A4702" s="157"/>
      <c r="B4702" s="31" t="s">
        <v>15894</v>
      </c>
      <c r="C4702" s="31" t="s">
        <v>15895</v>
      </c>
      <c r="D4702" s="31" t="s">
        <v>2026</v>
      </c>
      <c r="E4702" s="61" t="b">
        <v>1</v>
      </c>
      <c r="F4702" s="106" t="s">
        <v>15896</v>
      </c>
      <c r="G4702" s="116" t="str">
        <f>HYPERLINK("http://nsgreg.nga.mil/genc/view?v=116517&amp;gencs=T&amp;end_month=3&amp;end_day=31&amp;end_year=2014","Namutumba")</f>
        <v>Namutumba</v>
      </c>
      <c r="H4702" s="87" t="str">
        <f>HYPERLINK("http://api.nsgreg.nga.mil/geo-division/ISO3166-2/6/ed3/UG-222","UG-222")</f>
        <v>UG-222</v>
      </c>
    </row>
    <row r="4703" spans="1:8" x14ac:dyDescent="0.2">
      <c r="A4703" s="157"/>
      <c r="B4703" s="31" t="s">
        <v>15897</v>
      </c>
      <c r="C4703" s="31" t="s">
        <v>15898</v>
      </c>
      <c r="D4703" s="31" t="s">
        <v>2026</v>
      </c>
      <c r="E4703" s="61" t="b">
        <v>1</v>
      </c>
      <c r="F4703" s="107" t="s">
        <v>15899</v>
      </c>
      <c r="G4703" s="116" t="str">
        <f>HYPERLINK("http://nsgreg.nga.mil/genc/view?v=203227&amp;end_month=3&amp;end_day=31&amp;end_year=2014","Napak")</f>
        <v>Napak</v>
      </c>
      <c r="H4703" s="87" t="str">
        <f>HYPERLINK("http://api.nsgreg.nga.mil/geo-division/GENC/6/ed2/UG-328","UG-328")</f>
        <v>UG-328</v>
      </c>
    </row>
    <row r="4704" spans="1:8" x14ac:dyDescent="0.2">
      <c r="A4704" s="157"/>
      <c r="B4704" s="31" t="s">
        <v>15900</v>
      </c>
      <c r="C4704" s="31" t="s">
        <v>15901</v>
      </c>
      <c r="D4704" s="31" t="s">
        <v>2026</v>
      </c>
      <c r="E4704" s="61" t="b">
        <v>1</v>
      </c>
      <c r="F4704" s="106" t="s">
        <v>15902</v>
      </c>
      <c r="G4704" s="116" t="str">
        <f>HYPERLINK("http://nsgreg.nga.mil/genc/view?v=116529&amp;gencs=T&amp;end_month=3&amp;end_day=31&amp;end_year=2014","Nebbi")</f>
        <v>Nebbi</v>
      </c>
      <c r="H4704" s="87" t="str">
        <f>HYPERLINK("http://api.nsgreg.nga.mil/geo-division/ISO3166-2/6/ed3/UG-310","UG-310")</f>
        <v>UG-310</v>
      </c>
    </row>
    <row r="4705" spans="1:8" x14ac:dyDescent="0.2">
      <c r="A4705" s="157"/>
      <c r="B4705" s="31" t="s">
        <v>15903</v>
      </c>
      <c r="C4705" s="31" t="s">
        <v>15904</v>
      </c>
      <c r="D4705" s="31" t="s">
        <v>2026</v>
      </c>
      <c r="E4705" s="61" t="b">
        <v>1</v>
      </c>
      <c r="F4705" s="107" t="s">
        <v>15905</v>
      </c>
      <c r="G4705" s="116" t="str">
        <f>HYPERLINK("http://nsgreg.nga.mil/genc/view?v=203219&amp;end_month=3&amp;end_day=31&amp;end_year=2014","Ngora")</f>
        <v>Ngora</v>
      </c>
      <c r="H4705" s="87" t="str">
        <f>HYPERLINK("http://api.nsgreg.nga.mil/geo-division/GENC/6/ed2/UG-231","UG-231")</f>
        <v>UG-231</v>
      </c>
    </row>
    <row r="4706" spans="1:8" x14ac:dyDescent="0.2">
      <c r="A4706" s="157"/>
      <c r="B4706" s="31" t="s">
        <v>15906</v>
      </c>
      <c r="C4706" s="31" t="s">
        <v>5625</v>
      </c>
      <c r="D4706" s="98" t="s">
        <v>3925</v>
      </c>
      <c r="E4706" s="99" t="b">
        <v>0</v>
      </c>
      <c r="F4706" s="106" t="s">
        <v>15907</v>
      </c>
      <c r="G4706" s="116" t="str">
        <f>HYPERLINK("http://nsgreg.nga.mil/genc/view?v=116562&amp;gencs=T&amp;end_month=3&amp;end_day=31&amp;end_year=2014","Northern")</f>
        <v>Northern</v>
      </c>
      <c r="H4706" s="87" t="str">
        <f>HYPERLINK("http://api.nsgreg.nga.mil/geo-division/ISO3166-2/6/ed3/UG-N","UG-N")</f>
        <v>UG-N</v>
      </c>
    </row>
    <row r="4707" spans="1:8" x14ac:dyDescent="0.2">
      <c r="A4707" s="157"/>
      <c r="B4707" s="31" t="s">
        <v>15908</v>
      </c>
      <c r="C4707" s="31" t="s">
        <v>15909</v>
      </c>
      <c r="D4707" s="31" t="s">
        <v>2026</v>
      </c>
      <c r="E4707" s="61" t="b">
        <v>1</v>
      </c>
      <c r="F4707" s="107" t="s">
        <v>15910</v>
      </c>
      <c r="G4707" s="116" t="str">
        <f>HYPERLINK("http://nsgreg.nga.mil/genc/view?v=203235&amp;end_month=3&amp;end_day=31&amp;end_year=2014","Ntoroko")</f>
        <v>Ntoroko</v>
      </c>
      <c r="H4707" s="87" t="str">
        <f>HYPERLINK("http://api.nsgreg.nga.mil/geo-division/GENC/6/ed2/UG-423","UG-423")</f>
        <v>UG-423</v>
      </c>
    </row>
    <row r="4708" spans="1:8" x14ac:dyDescent="0.2">
      <c r="A4708" s="157"/>
      <c r="B4708" s="31" t="s">
        <v>15911</v>
      </c>
      <c r="C4708" s="31" t="s">
        <v>15912</v>
      </c>
      <c r="D4708" s="31" t="s">
        <v>2026</v>
      </c>
      <c r="E4708" s="61" t="b">
        <v>1</v>
      </c>
      <c r="F4708" s="106" t="s">
        <v>15913</v>
      </c>
      <c r="G4708" s="116" t="str">
        <f>HYPERLINK("http://nsgreg.nga.mil/genc/view?v=116551&amp;gencs=T&amp;end_month=3&amp;end_day=31&amp;end_year=2014","Ntungamo")</f>
        <v>Ntungamo</v>
      </c>
      <c r="H4708" s="87" t="str">
        <f>HYPERLINK("http://api.nsgreg.nga.mil/geo-division/ISO3166-2/6/ed3/UG-411","UG-411")</f>
        <v>UG-411</v>
      </c>
    </row>
    <row r="4709" spans="1:8" x14ac:dyDescent="0.2">
      <c r="A4709" s="157"/>
      <c r="B4709" s="31" t="s">
        <v>15914</v>
      </c>
      <c r="C4709" s="31" t="s">
        <v>15915</v>
      </c>
      <c r="D4709" s="31" t="s">
        <v>2026</v>
      </c>
      <c r="E4709" s="61" t="b">
        <v>1</v>
      </c>
      <c r="F4709" s="107" t="s">
        <v>15916</v>
      </c>
      <c r="G4709" s="116" t="str">
        <f>HYPERLINK("http://nsgreg.nga.mil/genc/view?v=203228&amp;end_month=3&amp;end_day=31&amp;end_year=2014","Nwoya")</f>
        <v>Nwoya</v>
      </c>
      <c r="H4709" s="87" t="str">
        <f>HYPERLINK("http://api.nsgreg.nga.mil/geo-division/GENC/6/ed2/UG-329","UG-329")</f>
        <v>UG-329</v>
      </c>
    </row>
    <row r="4710" spans="1:8" x14ac:dyDescent="0.2">
      <c r="A4710" s="157"/>
      <c r="B4710" s="31" t="s">
        <v>15917</v>
      </c>
      <c r="C4710" s="31" t="s">
        <v>15918</v>
      </c>
      <c r="D4710" s="31" t="s">
        <v>2026</v>
      </c>
      <c r="E4710" s="61" t="b">
        <v>1</v>
      </c>
      <c r="F4710" s="107" t="s">
        <v>15919</v>
      </c>
      <c r="G4710" s="116" t="str">
        <f>HYPERLINK("http://nsgreg.nga.mil/genc/view?v=203229&amp;end_month=3&amp;end_day=31&amp;end_year=2014","Otuke")</f>
        <v>Otuke</v>
      </c>
      <c r="H4710" s="87" t="str">
        <f>HYPERLINK("http://api.nsgreg.nga.mil/geo-division/GENC/6/ed2/UG-330","UG-330")</f>
        <v>UG-330</v>
      </c>
    </row>
    <row r="4711" spans="1:8" x14ac:dyDescent="0.2">
      <c r="A4711" s="157"/>
      <c r="B4711" s="31" t="s">
        <v>15920</v>
      </c>
      <c r="C4711" s="31" t="s">
        <v>15921</v>
      </c>
      <c r="D4711" s="31" t="s">
        <v>2026</v>
      </c>
      <c r="E4711" s="61" t="b">
        <v>1</v>
      </c>
      <c r="F4711" s="106" t="s">
        <v>15922</v>
      </c>
      <c r="G4711" s="116" t="str">
        <f>HYPERLINK("http://nsgreg.nga.mil/genc/view?v=116540&amp;gencs=T&amp;end_month=3&amp;end_day=31&amp;end_year=2014","Oyam")</f>
        <v>Oyam</v>
      </c>
      <c r="H4711" s="87" t="str">
        <f>HYPERLINK("http://api.nsgreg.nga.mil/geo-division/ISO3166-2/6/ed3/UG-321","UG-321")</f>
        <v>UG-321</v>
      </c>
    </row>
    <row r="4712" spans="1:8" x14ac:dyDescent="0.2">
      <c r="A4712" s="157"/>
      <c r="B4712" s="31" t="s">
        <v>15923</v>
      </c>
      <c r="C4712" s="31" t="s">
        <v>15924</v>
      </c>
      <c r="D4712" s="31" t="s">
        <v>2026</v>
      </c>
      <c r="E4712" s="61" t="b">
        <v>1</v>
      </c>
      <c r="F4712" s="106" t="s">
        <v>15925</v>
      </c>
      <c r="G4712" s="116" t="str">
        <f>HYPERLINK("http://nsgreg.nga.mil/genc/view?v=116531&amp;gencs=T&amp;end_month=3&amp;end_day=31&amp;end_year=2014","Pader")</f>
        <v>Pader</v>
      </c>
      <c r="H4712" s="87" t="str">
        <f>HYPERLINK("http://api.nsgreg.nga.mil/geo-division/ISO3166-2/6/ed3/UG-312","UG-312")</f>
        <v>UG-312</v>
      </c>
    </row>
    <row r="4713" spans="1:8" x14ac:dyDescent="0.2">
      <c r="A4713" s="157"/>
      <c r="B4713" s="31" t="s">
        <v>15926</v>
      </c>
      <c r="C4713" s="31" t="s">
        <v>15927</v>
      </c>
      <c r="D4713" s="31" t="s">
        <v>2026</v>
      </c>
      <c r="E4713" s="61" t="b">
        <v>1</v>
      </c>
      <c r="F4713" s="106" t="s">
        <v>15928</v>
      </c>
      <c r="G4713" s="116" t="str">
        <f>HYPERLINK("http://nsgreg.nga.mil/genc/view?v=116505&amp;gencs=T&amp;end_month=3&amp;end_day=31&amp;end_year=2014","Pallisa")</f>
        <v>Pallisa</v>
      </c>
      <c r="H4713" s="87" t="str">
        <f>HYPERLINK("http://api.nsgreg.nga.mil/geo-division/ISO3166-2/6/ed3/UG-210","UG-210")</f>
        <v>UG-210</v>
      </c>
    </row>
    <row r="4714" spans="1:8" x14ac:dyDescent="0.2">
      <c r="A4714" s="157"/>
      <c r="B4714" s="31" t="s">
        <v>15929</v>
      </c>
      <c r="C4714" s="31" t="s">
        <v>15930</v>
      </c>
      <c r="D4714" s="31" t="s">
        <v>2026</v>
      </c>
      <c r="E4714" s="61" t="b">
        <v>1</v>
      </c>
      <c r="F4714" s="106" t="s">
        <v>15931</v>
      </c>
      <c r="G4714" s="116" t="str">
        <f>HYPERLINK("http://nsgreg.nga.mil/genc/view?v=116489&amp;gencs=T&amp;end_month=3&amp;end_day=31&amp;end_year=2014","Rakai")</f>
        <v>Rakai</v>
      </c>
      <c r="H4714" s="87" t="str">
        <f>HYPERLINK("http://api.nsgreg.nga.mil/geo-division/ISO3166-2/6/ed3/UG-110","UG-110")</f>
        <v>UG-110</v>
      </c>
    </row>
    <row r="4715" spans="1:8" x14ac:dyDescent="0.2">
      <c r="A4715" s="157"/>
      <c r="B4715" s="31" t="s">
        <v>15932</v>
      </c>
      <c r="C4715" s="31" t="s">
        <v>15933</v>
      </c>
      <c r="D4715" s="31" t="s">
        <v>2026</v>
      </c>
      <c r="E4715" s="61" t="b">
        <v>1</v>
      </c>
      <c r="F4715" s="107" t="s">
        <v>15934</v>
      </c>
      <c r="G4715" s="116" t="str">
        <f>HYPERLINK("http://nsgreg.nga.mil/genc/view?v=203236&amp;end_month=3&amp;end_day=31&amp;end_year=2014","Rubirizi")</f>
        <v>Rubirizi</v>
      </c>
      <c r="H4715" s="87" t="str">
        <f>HYPERLINK("http://api.nsgreg.nga.mil/geo-division/GENC/6/ed2/UG-424","UG-424")</f>
        <v>UG-424</v>
      </c>
    </row>
    <row r="4716" spans="1:8" x14ac:dyDescent="0.2">
      <c r="A4716" s="157"/>
      <c r="B4716" s="31" t="s">
        <v>15935</v>
      </c>
      <c r="C4716" s="31" t="s">
        <v>15936</v>
      </c>
      <c r="D4716" s="31" t="s">
        <v>2026</v>
      </c>
      <c r="E4716" s="61" t="b">
        <v>1</v>
      </c>
      <c r="F4716" s="106" t="s">
        <v>15937</v>
      </c>
      <c r="G4716" s="116" t="str">
        <f>HYPERLINK("http://nsgreg.nga.mil/genc/view?v=116552&amp;gencs=T&amp;end_month=3&amp;end_day=31&amp;end_year=2014","Rukungiri")</f>
        <v>Rukungiri</v>
      </c>
      <c r="H4716" s="87" t="str">
        <f>HYPERLINK("http://api.nsgreg.nga.mil/geo-division/ISO3166-2/6/ed3/UG-412","UG-412")</f>
        <v>UG-412</v>
      </c>
    </row>
    <row r="4717" spans="1:8" x14ac:dyDescent="0.2">
      <c r="A4717" s="157"/>
      <c r="B4717" s="31" t="s">
        <v>15938</v>
      </c>
      <c r="C4717" s="31" t="s">
        <v>15939</v>
      </c>
      <c r="D4717" s="31" t="s">
        <v>2026</v>
      </c>
      <c r="E4717" s="61" t="b">
        <v>1</v>
      </c>
      <c r="F4717" s="106" t="s">
        <v>15940</v>
      </c>
      <c r="G4717" s="116" t="str">
        <f>HYPERLINK("http://nsgreg.nga.mil/genc/view?v=116490&amp;gencs=T&amp;end_month=3&amp;end_day=31&amp;end_year=2014","Sembabule")</f>
        <v>Sembabule</v>
      </c>
      <c r="H4717" s="87" t="str">
        <f>HYPERLINK("http://api.nsgreg.nga.mil/geo-division/ISO3166-2/6/ed3/UG-111","UG-111")</f>
        <v>UG-111</v>
      </c>
    </row>
    <row r="4718" spans="1:8" x14ac:dyDescent="0.2">
      <c r="A4718" s="157"/>
      <c r="B4718" s="31" t="s">
        <v>15941</v>
      </c>
      <c r="C4718" s="31" t="s">
        <v>15942</v>
      </c>
      <c r="D4718" s="31" t="s">
        <v>2026</v>
      </c>
      <c r="E4718" s="61" t="b">
        <v>1</v>
      </c>
      <c r="F4718" s="107" t="s">
        <v>15943</v>
      </c>
      <c r="G4718" s="116" t="str">
        <f>HYPERLINK("http://nsgreg.nga.mil/genc/view?v=203220&amp;end_month=3&amp;end_day=31&amp;end_year=2014","Serere")</f>
        <v>Serere</v>
      </c>
      <c r="H4718" s="87" t="str">
        <f>HYPERLINK("http://api.nsgreg.nga.mil/geo-division/GENC/6/ed2/UG-232","UG-232")</f>
        <v>UG-232</v>
      </c>
    </row>
    <row r="4719" spans="1:8" x14ac:dyDescent="0.2">
      <c r="A4719" s="157"/>
      <c r="B4719" s="31" t="s">
        <v>15944</v>
      </c>
      <c r="C4719" s="31" t="s">
        <v>15945</v>
      </c>
      <c r="D4719" s="31" t="s">
        <v>2026</v>
      </c>
      <c r="E4719" s="61" t="b">
        <v>1</v>
      </c>
      <c r="F4719" s="107" t="s">
        <v>15946</v>
      </c>
      <c r="G4719" s="116" t="str">
        <f>HYPERLINK("http://nsgreg.nga.mil/genc/view?v=203237&amp;end_month=3&amp;end_day=31&amp;end_year=2014","Sheema")</f>
        <v>Sheema</v>
      </c>
      <c r="H4719" s="87" t="str">
        <f>HYPERLINK("http://api.nsgreg.nga.mil/geo-division/GENC/6/ed2/UG-425","UG-425")</f>
        <v>UG-425</v>
      </c>
    </row>
    <row r="4720" spans="1:8" x14ac:dyDescent="0.2">
      <c r="A4720" s="157"/>
      <c r="B4720" s="31" t="s">
        <v>15947</v>
      </c>
      <c r="C4720" s="31" t="s">
        <v>15948</v>
      </c>
      <c r="D4720" s="31" t="s">
        <v>2026</v>
      </c>
      <c r="E4720" s="61" t="b">
        <v>1</v>
      </c>
      <c r="F4720" s="106" t="s">
        <v>15949</v>
      </c>
      <c r="G4720" s="116" t="str">
        <f>HYPERLINK("http://nsgreg.nga.mil/genc/view?v=116510&amp;gencs=T&amp;end_month=3&amp;end_day=31&amp;end_year=2014","Sironko")</f>
        <v>Sironko</v>
      </c>
      <c r="H4720" s="87" t="str">
        <f>HYPERLINK("http://api.nsgreg.nga.mil/geo-division/ISO3166-2/6/ed3/UG-215","UG-215")</f>
        <v>UG-215</v>
      </c>
    </row>
    <row r="4721" spans="1:8" x14ac:dyDescent="0.2">
      <c r="A4721" s="157"/>
      <c r="B4721" s="31" t="s">
        <v>15950</v>
      </c>
      <c r="C4721" s="31" t="s">
        <v>15951</v>
      </c>
      <c r="D4721" s="31" t="s">
        <v>2026</v>
      </c>
      <c r="E4721" s="61" t="b">
        <v>1</v>
      </c>
      <c r="F4721" s="106" t="s">
        <v>15952</v>
      </c>
      <c r="G4721" s="116" t="str">
        <f>HYPERLINK("http://nsgreg.nga.mil/genc/view?v=116506&amp;gencs=T&amp;end_month=3&amp;end_day=31&amp;end_year=2014","Soroti")</f>
        <v>Soroti</v>
      </c>
      <c r="H4721" s="87" t="str">
        <f>HYPERLINK("http://api.nsgreg.nga.mil/geo-division/ISO3166-2/6/ed3/UG-211","UG-211")</f>
        <v>UG-211</v>
      </c>
    </row>
    <row r="4722" spans="1:8" x14ac:dyDescent="0.2">
      <c r="A4722" s="157"/>
      <c r="B4722" s="31" t="s">
        <v>15953</v>
      </c>
      <c r="C4722" s="31" t="s">
        <v>15954</v>
      </c>
      <c r="D4722" s="31" t="s">
        <v>2026</v>
      </c>
      <c r="E4722" s="61" t="b">
        <v>1</v>
      </c>
      <c r="F4722" s="106" t="s">
        <v>15955</v>
      </c>
      <c r="G4722" s="116" t="str">
        <f>HYPERLINK("http://nsgreg.nga.mil/genc/view?v=116507&amp;gencs=T&amp;end_month=3&amp;end_day=31&amp;end_year=2014","Tororo")</f>
        <v>Tororo</v>
      </c>
      <c r="H4722" s="87" t="str">
        <f>HYPERLINK("http://api.nsgreg.nga.mil/geo-division/ISO3166-2/6/ed3/UG-212","UG-212")</f>
        <v>UG-212</v>
      </c>
    </row>
    <row r="4723" spans="1:8" x14ac:dyDescent="0.2">
      <c r="A4723" s="157"/>
      <c r="B4723" s="31" t="s">
        <v>15956</v>
      </c>
      <c r="C4723" s="31" t="s">
        <v>15957</v>
      </c>
      <c r="D4723" s="31" t="s">
        <v>2026</v>
      </c>
      <c r="E4723" s="61" t="b">
        <v>1</v>
      </c>
      <c r="F4723" s="106" t="s">
        <v>15958</v>
      </c>
      <c r="G4723" s="116" t="str">
        <f>HYPERLINK("http://nsgreg.nga.mil/genc/view?v=116492&amp;gencs=T&amp;end_month=3&amp;end_day=31&amp;end_year=2014","Wakiso")</f>
        <v>Wakiso</v>
      </c>
      <c r="H4723" s="87" t="str">
        <f>HYPERLINK("http://api.nsgreg.nga.mil/geo-division/ISO3166-2/6/ed3/UG-113","UG-113")</f>
        <v>UG-113</v>
      </c>
    </row>
    <row r="4724" spans="1:8" x14ac:dyDescent="0.2">
      <c r="A4724" s="157"/>
      <c r="B4724" s="31" t="s">
        <v>15959</v>
      </c>
      <c r="C4724" s="31" t="s">
        <v>5631</v>
      </c>
      <c r="D4724" s="98" t="s">
        <v>3925</v>
      </c>
      <c r="E4724" s="99" t="b">
        <v>0</v>
      </c>
      <c r="F4724" s="106" t="s">
        <v>15960</v>
      </c>
      <c r="G4724" s="116" t="str">
        <f>HYPERLINK("http://nsgreg.nga.mil/genc/view?v=116563&amp;gencs=T&amp;end_month=3&amp;end_day=31&amp;end_year=2014","Western")</f>
        <v>Western</v>
      </c>
      <c r="H4724" s="87" t="str">
        <f>HYPERLINK("http://api.nsgreg.nga.mil/geo-division/ISO3166-2/6/ed3/UG-W","UG-W")</f>
        <v>UG-W</v>
      </c>
    </row>
    <row r="4725" spans="1:8" x14ac:dyDescent="0.2">
      <c r="A4725" s="157"/>
      <c r="B4725" s="31" t="s">
        <v>15961</v>
      </c>
      <c r="C4725" s="31" t="s">
        <v>15962</v>
      </c>
      <c r="D4725" s="31" t="s">
        <v>2026</v>
      </c>
      <c r="E4725" s="61" t="b">
        <v>1</v>
      </c>
      <c r="F4725" s="106" t="s">
        <v>15963</v>
      </c>
      <c r="G4725" s="116" t="str">
        <f>HYPERLINK("http://nsgreg.nga.mil/genc/view?v=116532&amp;gencs=T&amp;end_month=3&amp;end_day=31&amp;end_year=2014","Yumbe")</f>
        <v>Yumbe</v>
      </c>
      <c r="H4725" s="87" t="str">
        <f>HYPERLINK("http://api.nsgreg.nga.mil/geo-division/ISO3166-2/6/ed3/UG-313","UG-313")</f>
        <v>UG-313</v>
      </c>
    </row>
    <row r="4726" spans="1:8" x14ac:dyDescent="0.2">
      <c r="A4726" s="158"/>
      <c r="B4726" s="58" t="s">
        <v>15964</v>
      </c>
      <c r="C4726" s="58" t="s">
        <v>15965</v>
      </c>
      <c r="D4726" s="58" t="s">
        <v>2026</v>
      </c>
      <c r="E4726" s="62" t="b">
        <v>1</v>
      </c>
      <c r="F4726" s="111" t="s">
        <v>15966</v>
      </c>
      <c r="G4726" s="117" t="str">
        <f>HYPERLINK("http://nsgreg.nga.mil/genc/view?v=203230&amp;end_month=3&amp;end_day=31&amp;end_year=2014","Zombo")</f>
        <v>Zombo</v>
      </c>
      <c r="H4726" s="89" t="str">
        <f>HYPERLINK("http://api.nsgreg.nga.mil/geo-division/GENC/6/ed2/UG-331","UG-331")</f>
        <v>UG-331</v>
      </c>
    </row>
    <row r="4727" spans="1:8" x14ac:dyDescent="0.2">
      <c r="A4727" s="156" t="str">
        <f>HYPERLINK("[#]Geopolitical_Entities!A264:I264","UKRAINE")</f>
        <v>UKRAINE</v>
      </c>
      <c r="B4727" s="52" t="s">
        <v>15967</v>
      </c>
      <c r="C4727" s="52" t="s">
        <v>15968</v>
      </c>
      <c r="D4727" s="52" t="s">
        <v>3137</v>
      </c>
      <c r="E4727" s="60" t="b">
        <v>1</v>
      </c>
      <c r="F4727" s="110" t="s">
        <v>15969</v>
      </c>
      <c r="G4727" s="118" t="str">
        <f>HYPERLINK("http://nsgreg.nga.mil/genc/view?v=203431&amp;end_month=3&amp;end_day=31&amp;end_year=2014","Cherkas’ka Oblast’")</f>
        <v>Cherkas’ka Oblast’</v>
      </c>
      <c r="H4727" s="91" t="str">
        <f>HYPERLINK("http://api.nsgreg.nga.mil/geo-division/GENC/6/ed2/UA-71","UA-71")</f>
        <v>UA-71</v>
      </c>
    </row>
    <row r="4728" spans="1:8" x14ac:dyDescent="0.2">
      <c r="A4728" s="157"/>
      <c r="B4728" s="31" t="s">
        <v>15970</v>
      </c>
      <c r="C4728" s="31" t="s">
        <v>15971</v>
      </c>
      <c r="D4728" s="31" t="s">
        <v>3137</v>
      </c>
      <c r="E4728" s="61" t="b">
        <v>1</v>
      </c>
      <c r="F4728" s="107" t="s">
        <v>15972</v>
      </c>
      <c r="G4728" s="116" t="str">
        <f>HYPERLINK("http://nsgreg.nga.mil/genc/view?v=203432&amp;end_month=3&amp;end_day=31&amp;end_year=2014","Chernihivs’ka Oblast’")</f>
        <v>Chernihivs’ka Oblast’</v>
      </c>
      <c r="H4728" s="87" t="str">
        <f>HYPERLINK("http://api.nsgreg.nga.mil/geo-division/GENC/6/ed2/UA-74","UA-74")</f>
        <v>UA-74</v>
      </c>
    </row>
    <row r="4729" spans="1:8" x14ac:dyDescent="0.2">
      <c r="A4729" s="157"/>
      <c r="B4729" s="31" t="s">
        <v>15973</v>
      </c>
      <c r="C4729" s="31" t="s">
        <v>15974</v>
      </c>
      <c r="D4729" s="31" t="s">
        <v>3137</v>
      </c>
      <c r="E4729" s="61" t="b">
        <v>1</v>
      </c>
      <c r="F4729" s="107" t="s">
        <v>15975</v>
      </c>
      <c r="G4729" s="116" t="str">
        <f>HYPERLINK("http://nsgreg.nga.mil/genc/view?v=203433&amp;end_month=3&amp;end_day=31&amp;end_year=2014","Chernivets’ka Oblast’")</f>
        <v>Chernivets’ka Oblast’</v>
      </c>
      <c r="H4729" s="87" t="str">
        <f>HYPERLINK("http://api.nsgreg.nga.mil/geo-division/GENC/6/ed2/UA-77","UA-77")</f>
        <v>UA-77</v>
      </c>
    </row>
    <row r="4730" spans="1:8" x14ac:dyDescent="0.2">
      <c r="A4730" s="157"/>
      <c r="B4730" s="31" t="s">
        <v>15976</v>
      </c>
      <c r="C4730" s="31" t="s">
        <v>15977</v>
      </c>
      <c r="D4730" s="31" t="s">
        <v>3137</v>
      </c>
      <c r="E4730" s="61" t="b">
        <v>1</v>
      </c>
      <c r="F4730" s="107" t="s">
        <v>15978</v>
      </c>
      <c r="G4730" s="116" t="str">
        <f>HYPERLINK("http://nsgreg.nga.mil/genc/view?v=203413&amp;end_month=3&amp;end_day=31&amp;end_year=2014","Dnipropetrovs’ka Oblast’")</f>
        <v>Dnipropetrovs’ka Oblast’</v>
      </c>
      <c r="H4730" s="87" t="str">
        <f>HYPERLINK("http://api.nsgreg.nga.mil/geo-division/GENC/6/ed2/UA-12","UA-12")</f>
        <v>UA-12</v>
      </c>
    </row>
    <row r="4731" spans="1:8" x14ac:dyDescent="0.2">
      <c r="A4731" s="157"/>
      <c r="B4731" s="31" t="s">
        <v>15979</v>
      </c>
      <c r="C4731" s="31" t="s">
        <v>15980</v>
      </c>
      <c r="D4731" s="31" t="s">
        <v>3137</v>
      </c>
      <c r="E4731" s="61" t="b">
        <v>1</v>
      </c>
      <c r="F4731" s="107" t="s">
        <v>15981</v>
      </c>
      <c r="G4731" s="116" t="str">
        <f>HYPERLINK("http://nsgreg.nga.mil/genc/view?v=203414&amp;end_month=3&amp;end_day=31&amp;end_year=2014","Donets’ka Oblast’")</f>
        <v>Donets’ka Oblast’</v>
      </c>
      <c r="H4731" s="87" t="str">
        <f>HYPERLINK("http://api.nsgreg.nga.mil/geo-division/GENC/6/ed2/UA-14","UA-14")</f>
        <v>UA-14</v>
      </c>
    </row>
    <row r="4732" spans="1:8" x14ac:dyDescent="0.2">
      <c r="A4732" s="157"/>
      <c r="B4732" s="31" t="s">
        <v>15982</v>
      </c>
      <c r="C4732" s="31" t="s">
        <v>15983</v>
      </c>
      <c r="D4732" s="31" t="s">
        <v>3137</v>
      </c>
      <c r="E4732" s="61" t="b">
        <v>1</v>
      </c>
      <c r="F4732" s="107" t="s">
        <v>15984</v>
      </c>
      <c r="G4732" s="116" t="str">
        <f>HYPERLINK("http://nsgreg.nga.mil/genc/view?v=203418&amp;end_month=3&amp;end_day=31&amp;end_year=2014","Ivano-Frankivs’ka Oblast’")</f>
        <v>Ivano-Frankivs’ka Oblast’</v>
      </c>
      <c r="H4732" s="87" t="str">
        <f>HYPERLINK("http://api.nsgreg.nga.mil/geo-division/GENC/6/ed2/UA-26","UA-26")</f>
        <v>UA-26</v>
      </c>
    </row>
    <row r="4733" spans="1:8" x14ac:dyDescent="0.2">
      <c r="A4733" s="157"/>
      <c r="B4733" s="31" t="s">
        <v>15985</v>
      </c>
      <c r="C4733" s="31" t="s">
        <v>15986</v>
      </c>
      <c r="D4733" s="31" t="s">
        <v>3137</v>
      </c>
      <c r="E4733" s="61" t="b">
        <v>1</v>
      </c>
      <c r="F4733" s="107" t="s">
        <v>15987</v>
      </c>
      <c r="G4733" s="116" t="str">
        <f>HYPERLINK("http://nsgreg.nga.mil/genc/view?v=203428&amp;end_month=3&amp;end_day=31&amp;end_year=2014","Kharkivs’ka Oblast’")</f>
        <v>Kharkivs’ka Oblast’</v>
      </c>
      <c r="H4733" s="87" t="str">
        <f>HYPERLINK("http://api.nsgreg.nga.mil/geo-division/GENC/6/ed2/UA-63","UA-63")</f>
        <v>UA-63</v>
      </c>
    </row>
    <row r="4734" spans="1:8" x14ac:dyDescent="0.2">
      <c r="A4734" s="157"/>
      <c r="B4734" s="31" t="s">
        <v>15988</v>
      </c>
      <c r="C4734" s="31" t="s">
        <v>15989</v>
      </c>
      <c r="D4734" s="31" t="s">
        <v>3137</v>
      </c>
      <c r="E4734" s="61" t="b">
        <v>1</v>
      </c>
      <c r="F4734" s="107" t="s">
        <v>15990</v>
      </c>
      <c r="G4734" s="116" t="str">
        <f>HYPERLINK("http://nsgreg.nga.mil/genc/view?v=203429&amp;end_month=3&amp;end_day=31&amp;end_year=2014","Khersons’ka Oblast’")</f>
        <v>Khersons’ka Oblast’</v>
      </c>
      <c r="H4734" s="87" t="str">
        <f>HYPERLINK("http://api.nsgreg.nga.mil/geo-division/GENC/6/ed2/UA-65","UA-65")</f>
        <v>UA-65</v>
      </c>
    </row>
    <row r="4735" spans="1:8" x14ac:dyDescent="0.2">
      <c r="A4735" s="157"/>
      <c r="B4735" s="31" t="s">
        <v>15991</v>
      </c>
      <c r="C4735" s="31" t="s">
        <v>15992</v>
      </c>
      <c r="D4735" s="31" t="s">
        <v>3137</v>
      </c>
      <c r="E4735" s="61" t="b">
        <v>1</v>
      </c>
      <c r="F4735" s="107" t="s">
        <v>15993</v>
      </c>
      <c r="G4735" s="116" t="str">
        <f>HYPERLINK("http://nsgreg.nga.mil/genc/view?v=203430&amp;end_month=3&amp;end_day=31&amp;end_year=2014","Khmel’nyts’ka Oblast’")</f>
        <v>Khmel’nyts’ka Oblast’</v>
      </c>
      <c r="H4735" s="87" t="str">
        <f>HYPERLINK("http://api.nsgreg.nga.mil/geo-division/GENC/6/ed2/UA-68","UA-68")</f>
        <v>UA-68</v>
      </c>
    </row>
    <row r="4736" spans="1:8" x14ac:dyDescent="0.2">
      <c r="A4736" s="157"/>
      <c r="B4736" s="31" t="s">
        <v>15994</v>
      </c>
      <c r="C4736" s="31" t="s">
        <v>15995</v>
      </c>
      <c r="D4736" s="31" t="s">
        <v>3137</v>
      </c>
      <c r="E4736" s="61" t="b">
        <v>1</v>
      </c>
      <c r="F4736" s="107" t="s">
        <v>15996</v>
      </c>
      <c r="G4736" s="116" t="str">
        <f>HYPERLINK("http://nsgreg.nga.mil/genc/view?v=203420&amp;end_month=3&amp;end_day=31&amp;end_year=2014","Kirovohrads’ka Oblast’")</f>
        <v>Kirovohrads’ka Oblast’</v>
      </c>
      <c r="H4736" s="87" t="str">
        <f>HYPERLINK("http://api.nsgreg.nga.mil/geo-division/GENC/6/ed2/UA-35","UA-35")</f>
        <v>UA-35</v>
      </c>
    </row>
    <row r="4737" spans="1:8" x14ac:dyDescent="0.2">
      <c r="A4737" s="157"/>
      <c r="B4737" s="31" t="s">
        <v>15997</v>
      </c>
      <c r="C4737" s="31" t="s">
        <v>15998</v>
      </c>
      <c r="D4737" s="31" t="s">
        <v>2668</v>
      </c>
      <c r="E4737" s="61" t="b">
        <v>1</v>
      </c>
      <c r="F4737" s="107" t="s">
        <v>15999</v>
      </c>
      <c r="G4737" s="116" t="str">
        <f>HYPERLINK("http://nsgreg.nga.mil/genc/view?v=203204&amp;end_month=3&amp;end_day=31&amp;end_year=2014","Krym, Avtonomna Respublika")</f>
        <v>Krym, Avtonomna Respublika</v>
      </c>
      <c r="H4737" s="87" t="str">
        <f>HYPERLINK("http://api.nsgreg.nga.mil/geo-division/GENC/6/ed2/UA-43","UA-43")</f>
        <v>UA-43</v>
      </c>
    </row>
    <row r="4738" spans="1:8" x14ac:dyDescent="0.2">
      <c r="A4738" s="157"/>
      <c r="B4738" s="31" t="s">
        <v>16000</v>
      </c>
      <c r="C4738" s="31" t="s">
        <v>16001</v>
      </c>
      <c r="D4738" s="31" t="s">
        <v>2405</v>
      </c>
      <c r="E4738" s="61" t="b">
        <v>1</v>
      </c>
      <c r="F4738" s="107" t="s">
        <v>16002</v>
      </c>
      <c r="G4738" s="116" t="str">
        <f>HYPERLINK("http://nsgreg.nga.mil/genc/view?v=203202&amp;end_month=3&amp;end_day=31&amp;end_year=2014","Kyyiv, Misto")</f>
        <v>Kyyiv, Misto</v>
      </c>
      <c r="H4738" s="87" t="str">
        <f>HYPERLINK("http://api.nsgreg.nga.mil/geo-division/GENC/6/ed2/UA-30","UA-30")</f>
        <v>UA-30</v>
      </c>
    </row>
    <row r="4739" spans="1:8" x14ac:dyDescent="0.2">
      <c r="A4739" s="157"/>
      <c r="B4739" s="31" t="s">
        <v>16003</v>
      </c>
      <c r="C4739" s="31" t="s">
        <v>16004</v>
      </c>
      <c r="D4739" s="31" t="s">
        <v>3137</v>
      </c>
      <c r="E4739" s="61" t="b">
        <v>1</v>
      </c>
      <c r="F4739" s="107" t="s">
        <v>16005</v>
      </c>
      <c r="G4739" s="116" t="str">
        <f>HYPERLINK("http://nsgreg.nga.mil/genc/view?v=203419&amp;end_month=3&amp;end_day=31&amp;end_year=2014","Kyyivs’ka Oblast’")</f>
        <v>Kyyivs’ka Oblast’</v>
      </c>
      <c r="H4739" s="87" t="str">
        <f>HYPERLINK("http://api.nsgreg.nga.mil/geo-division/GENC/6/ed2/UA-32","UA-32")</f>
        <v>UA-32</v>
      </c>
    </row>
    <row r="4740" spans="1:8" x14ac:dyDescent="0.2">
      <c r="A4740" s="157"/>
      <c r="B4740" s="31" t="s">
        <v>16006</v>
      </c>
      <c r="C4740" s="31" t="s">
        <v>16007</v>
      </c>
      <c r="D4740" s="31" t="s">
        <v>3137</v>
      </c>
      <c r="E4740" s="61" t="b">
        <v>1</v>
      </c>
      <c r="F4740" s="107" t="s">
        <v>16008</v>
      </c>
      <c r="G4740" s="116" t="str">
        <f>HYPERLINK("http://nsgreg.nga.mil/genc/view?v=203412&amp;end_month=3&amp;end_day=31&amp;end_year=2014","Luhans’ka Oblast’")</f>
        <v>Luhans’ka Oblast’</v>
      </c>
      <c r="H4740" s="87" t="str">
        <f>HYPERLINK("http://api.nsgreg.nga.mil/geo-division/GENC/6/ed2/UA-09","UA-09")</f>
        <v>UA-09</v>
      </c>
    </row>
    <row r="4741" spans="1:8" x14ac:dyDescent="0.2">
      <c r="A4741" s="157"/>
      <c r="B4741" s="31" t="s">
        <v>16009</v>
      </c>
      <c r="C4741" s="31" t="s">
        <v>16010</v>
      </c>
      <c r="D4741" s="31" t="s">
        <v>3137</v>
      </c>
      <c r="E4741" s="61" t="b">
        <v>1</v>
      </c>
      <c r="F4741" s="107" t="s">
        <v>16011</v>
      </c>
      <c r="G4741" s="116" t="str">
        <f>HYPERLINK("http://nsgreg.nga.mil/genc/view?v=203421&amp;end_month=3&amp;end_day=31&amp;end_year=2014","L’vivs’ka Oblast’")</f>
        <v>L’vivs’ka Oblast’</v>
      </c>
      <c r="H4741" s="87" t="str">
        <f>HYPERLINK("http://api.nsgreg.nga.mil/geo-division/GENC/6/ed2/UA-46","UA-46")</f>
        <v>UA-46</v>
      </c>
    </row>
    <row r="4742" spans="1:8" x14ac:dyDescent="0.2">
      <c r="A4742" s="157"/>
      <c r="B4742" s="31" t="s">
        <v>16012</v>
      </c>
      <c r="C4742" s="31" t="s">
        <v>16013</v>
      </c>
      <c r="D4742" s="31" t="s">
        <v>3137</v>
      </c>
      <c r="E4742" s="61" t="b">
        <v>1</v>
      </c>
      <c r="F4742" s="107" t="s">
        <v>16014</v>
      </c>
      <c r="G4742" s="116" t="str">
        <f>HYPERLINK("http://nsgreg.nga.mil/genc/view?v=203422&amp;end_month=3&amp;end_day=31&amp;end_year=2014","Mykolayivs’ka Oblast’")</f>
        <v>Mykolayivs’ka Oblast’</v>
      </c>
      <c r="H4742" s="87" t="str">
        <f>HYPERLINK("http://api.nsgreg.nga.mil/geo-division/GENC/6/ed2/UA-48","UA-48")</f>
        <v>UA-48</v>
      </c>
    </row>
    <row r="4743" spans="1:8" x14ac:dyDescent="0.2">
      <c r="A4743" s="157"/>
      <c r="B4743" s="31" t="s">
        <v>16015</v>
      </c>
      <c r="C4743" s="31" t="s">
        <v>16016</v>
      </c>
      <c r="D4743" s="31" t="s">
        <v>3137</v>
      </c>
      <c r="E4743" s="61" t="b">
        <v>1</v>
      </c>
      <c r="F4743" s="107" t="s">
        <v>16017</v>
      </c>
      <c r="G4743" s="116" t="str">
        <f>HYPERLINK("http://nsgreg.nga.mil/genc/view?v=203423&amp;end_month=3&amp;end_day=31&amp;end_year=2014","Odes’ka Oblast’")</f>
        <v>Odes’ka Oblast’</v>
      </c>
      <c r="H4743" s="87" t="str">
        <f>HYPERLINK("http://api.nsgreg.nga.mil/geo-division/GENC/6/ed2/UA-51","UA-51")</f>
        <v>UA-51</v>
      </c>
    </row>
    <row r="4744" spans="1:8" x14ac:dyDescent="0.2">
      <c r="A4744" s="157"/>
      <c r="B4744" s="31" t="s">
        <v>16018</v>
      </c>
      <c r="C4744" s="31" t="s">
        <v>16019</v>
      </c>
      <c r="D4744" s="31" t="s">
        <v>3137</v>
      </c>
      <c r="E4744" s="61" t="b">
        <v>1</v>
      </c>
      <c r="F4744" s="107" t="s">
        <v>16020</v>
      </c>
      <c r="G4744" s="116" t="str">
        <f>HYPERLINK("http://nsgreg.nga.mil/genc/view?v=203424&amp;end_month=3&amp;end_day=31&amp;end_year=2014","Poltavs’ka Oblast’")</f>
        <v>Poltavs’ka Oblast’</v>
      </c>
      <c r="H4744" s="87" t="str">
        <f>HYPERLINK("http://api.nsgreg.nga.mil/geo-division/GENC/6/ed2/UA-53","UA-53")</f>
        <v>UA-53</v>
      </c>
    </row>
    <row r="4745" spans="1:8" x14ac:dyDescent="0.2">
      <c r="A4745" s="157"/>
      <c r="B4745" s="31" t="s">
        <v>16021</v>
      </c>
      <c r="C4745" s="31" t="s">
        <v>16022</v>
      </c>
      <c r="D4745" s="31" t="s">
        <v>3137</v>
      </c>
      <c r="E4745" s="61" t="b">
        <v>1</v>
      </c>
      <c r="F4745" s="107" t="s">
        <v>16023</v>
      </c>
      <c r="G4745" s="116" t="str">
        <f>HYPERLINK("http://nsgreg.nga.mil/genc/view?v=203425&amp;end_month=3&amp;end_day=31&amp;end_year=2014","Rivnens’ka Oblast’")</f>
        <v>Rivnens’ka Oblast’</v>
      </c>
      <c r="H4745" s="87" t="str">
        <f>HYPERLINK("http://api.nsgreg.nga.mil/geo-division/GENC/6/ed2/UA-56","UA-56")</f>
        <v>UA-56</v>
      </c>
    </row>
    <row r="4746" spans="1:8" x14ac:dyDescent="0.2">
      <c r="A4746" s="157"/>
      <c r="B4746" s="31" t="s">
        <v>16024</v>
      </c>
      <c r="C4746" s="31" t="s">
        <v>16025</v>
      </c>
      <c r="D4746" s="31" t="s">
        <v>2405</v>
      </c>
      <c r="E4746" s="61" t="b">
        <v>1</v>
      </c>
      <c r="F4746" s="107" t="s">
        <v>16026</v>
      </c>
      <c r="G4746" s="116" t="str">
        <f>HYPERLINK("http://nsgreg.nga.mil/genc/view?v=203203&amp;end_month=3&amp;end_day=31&amp;end_year=2014","Sevastopol’, Misto")</f>
        <v>Sevastopol’, Misto</v>
      </c>
      <c r="H4746" s="87" t="str">
        <f>HYPERLINK("http://api.nsgreg.nga.mil/geo-division/GENC/6/ed2/UA-40","UA-40")</f>
        <v>UA-40</v>
      </c>
    </row>
    <row r="4747" spans="1:8" x14ac:dyDescent="0.2">
      <c r="A4747" s="157"/>
      <c r="B4747" s="31" t="s">
        <v>16027</v>
      </c>
      <c r="C4747" s="31" t="s">
        <v>16028</v>
      </c>
      <c r="D4747" s="31" t="s">
        <v>3137</v>
      </c>
      <c r="E4747" s="61" t="b">
        <v>1</v>
      </c>
      <c r="F4747" s="107" t="s">
        <v>16029</v>
      </c>
      <c r="G4747" s="116" t="str">
        <f>HYPERLINK("http://nsgreg.nga.mil/genc/view?v=203426&amp;end_month=3&amp;end_day=31&amp;end_year=2014","Sums’ka Oblast’")</f>
        <v>Sums’ka Oblast’</v>
      </c>
      <c r="H4747" s="87" t="str">
        <f>HYPERLINK("http://api.nsgreg.nga.mil/geo-division/GENC/6/ed2/UA-59","UA-59")</f>
        <v>UA-59</v>
      </c>
    </row>
    <row r="4748" spans="1:8" x14ac:dyDescent="0.2">
      <c r="A4748" s="157"/>
      <c r="B4748" s="31" t="s">
        <v>16030</v>
      </c>
      <c r="C4748" s="31" t="s">
        <v>16031</v>
      </c>
      <c r="D4748" s="31" t="s">
        <v>3137</v>
      </c>
      <c r="E4748" s="61" t="b">
        <v>1</v>
      </c>
      <c r="F4748" s="107" t="s">
        <v>16032</v>
      </c>
      <c r="G4748" s="116" t="str">
        <f>HYPERLINK("http://nsgreg.nga.mil/genc/view?v=203427&amp;end_month=3&amp;end_day=31&amp;end_year=2014","Ternopil’s’ka Oblast’")</f>
        <v>Ternopil’s’ka Oblast’</v>
      </c>
      <c r="H4748" s="87" t="str">
        <f>HYPERLINK("http://api.nsgreg.nga.mil/geo-division/GENC/6/ed2/UA-61","UA-61")</f>
        <v>UA-61</v>
      </c>
    </row>
    <row r="4749" spans="1:8" x14ac:dyDescent="0.2">
      <c r="A4749" s="157"/>
      <c r="B4749" s="31" t="s">
        <v>16033</v>
      </c>
      <c r="C4749" s="31" t="s">
        <v>16034</v>
      </c>
      <c r="D4749" s="31" t="s">
        <v>3137</v>
      </c>
      <c r="E4749" s="61" t="b">
        <v>1</v>
      </c>
      <c r="F4749" s="107" t="s">
        <v>16035</v>
      </c>
      <c r="G4749" s="116" t="str">
        <f>HYPERLINK("http://nsgreg.nga.mil/genc/view?v=203410&amp;end_month=3&amp;end_day=31&amp;end_year=2014","Vinnyts’ka Oblast’")</f>
        <v>Vinnyts’ka Oblast’</v>
      </c>
      <c r="H4749" s="87" t="str">
        <f>HYPERLINK("http://api.nsgreg.nga.mil/geo-division/GENC/6/ed2/UA-05","UA-05")</f>
        <v>UA-05</v>
      </c>
    </row>
    <row r="4750" spans="1:8" x14ac:dyDescent="0.2">
      <c r="A4750" s="157"/>
      <c r="B4750" s="31" t="s">
        <v>16036</v>
      </c>
      <c r="C4750" s="31" t="s">
        <v>16037</v>
      </c>
      <c r="D4750" s="31" t="s">
        <v>3137</v>
      </c>
      <c r="E4750" s="61" t="b">
        <v>1</v>
      </c>
      <c r="F4750" s="107" t="s">
        <v>16038</v>
      </c>
      <c r="G4750" s="116" t="str">
        <f>HYPERLINK("http://nsgreg.nga.mil/genc/view?v=203411&amp;end_month=3&amp;end_day=31&amp;end_year=2014","Volyns’ka Oblast’")</f>
        <v>Volyns’ka Oblast’</v>
      </c>
      <c r="H4750" s="87" t="str">
        <f>HYPERLINK("http://api.nsgreg.nga.mil/geo-division/GENC/6/ed2/UA-07","UA-07")</f>
        <v>UA-07</v>
      </c>
    </row>
    <row r="4751" spans="1:8" x14ac:dyDescent="0.2">
      <c r="A4751" s="157"/>
      <c r="B4751" s="31" t="s">
        <v>16039</v>
      </c>
      <c r="C4751" s="31" t="s">
        <v>16040</v>
      </c>
      <c r="D4751" s="31" t="s">
        <v>3137</v>
      </c>
      <c r="E4751" s="61" t="b">
        <v>1</v>
      </c>
      <c r="F4751" s="107" t="s">
        <v>16041</v>
      </c>
      <c r="G4751" s="116" t="str">
        <f>HYPERLINK("http://nsgreg.nga.mil/genc/view?v=203416&amp;end_month=3&amp;end_day=31&amp;end_year=2014","Zakarpats’ka Oblast’")</f>
        <v>Zakarpats’ka Oblast’</v>
      </c>
      <c r="H4751" s="87" t="str">
        <f>HYPERLINK("http://api.nsgreg.nga.mil/geo-division/GENC/6/ed2/UA-21","UA-21")</f>
        <v>UA-21</v>
      </c>
    </row>
    <row r="4752" spans="1:8" x14ac:dyDescent="0.2">
      <c r="A4752" s="157"/>
      <c r="B4752" s="31" t="s">
        <v>16042</v>
      </c>
      <c r="C4752" s="31" t="s">
        <v>16043</v>
      </c>
      <c r="D4752" s="31" t="s">
        <v>3137</v>
      </c>
      <c r="E4752" s="61" t="b">
        <v>1</v>
      </c>
      <c r="F4752" s="107" t="s">
        <v>16044</v>
      </c>
      <c r="G4752" s="116" t="str">
        <f>HYPERLINK("http://nsgreg.nga.mil/genc/view?v=203417&amp;end_month=3&amp;end_day=31&amp;end_year=2014","Zaporiz’ka Oblast’")</f>
        <v>Zaporiz’ka Oblast’</v>
      </c>
      <c r="H4752" s="87" t="str">
        <f>HYPERLINK("http://api.nsgreg.nga.mil/geo-division/GENC/6/ed2/UA-23","UA-23")</f>
        <v>UA-23</v>
      </c>
    </row>
    <row r="4753" spans="1:8" x14ac:dyDescent="0.2">
      <c r="A4753" s="158"/>
      <c r="B4753" s="58" t="s">
        <v>16045</v>
      </c>
      <c r="C4753" s="58" t="s">
        <v>16046</v>
      </c>
      <c r="D4753" s="58" t="s">
        <v>3137</v>
      </c>
      <c r="E4753" s="62" t="b">
        <v>1</v>
      </c>
      <c r="F4753" s="111" t="s">
        <v>16047</v>
      </c>
      <c r="G4753" s="117" t="str">
        <f>HYPERLINK("http://nsgreg.nga.mil/genc/view?v=203415&amp;end_month=3&amp;end_day=31&amp;end_year=2014","Zhytomyrs’ka Oblast’")</f>
        <v>Zhytomyrs’ka Oblast’</v>
      </c>
      <c r="H4753" s="89" t="str">
        <f>HYPERLINK("http://api.nsgreg.nga.mil/geo-division/GENC/6/ed2/UA-18","UA-18")</f>
        <v>UA-18</v>
      </c>
    </row>
    <row r="4754" spans="1:8" x14ac:dyDescent="0.2">
      <c r="A4754" s="156" t="str">
        <f>HYPERLINK("[#]Geopolitical_Entities!A265:I265","UNITED ARAB EMIRATES")</f>
        <v>UNITED ARAB EMIRATES</v>
      </c>
      <c r="B4754" s="52" t="s">
        <v>16048</v>
      </c>
      <c r="C4754" s="52" t="s">
        <v>16049</v>
      </c>
      <c r="D4754" s="52" t="s">
        <v>16050</v>
      </c>
      <c r="E4754" s="60" t="b">
        <v>1</v>
      </c>
      <c r="F4754" s="110" t="s">
        <v>16051</v>
      </c>
      <c r="G4754" s="118" t="str">
        <f>HYPERLINK("http://nsgreg.nga.mil/genc/view?v=200689&amp;end_month=3&amp;end_day=31&amp;end_year=2014","Abū Z̧aby")</f>
        <v>Abū Z̧aby</v>
      </c>
      <c r="H4754" s="91" t="str">
        <f>HYPERLINK("http://api.nsgreg.nga.mil/geo-division/GENC/6/ed2/AE-AZ","AE-AZ")</f>
        <v>AE-AZ</v>
      </c>
    </row>
    <row r="4755" spans="1:8" x14ac:dyDescent="0.2">
      <c r="A4755" s="157"/>
      <c r="B4755" s="31" t="s">
        <v>16052</v>
      </c>
      <c r="C4755" s="31" t="s">
        <v>16053</v>
      </c>
      <c r="D4755" s="31" t="s">
        <v>16050</v>
      </c>
      <c r="E4755" s="61" t="b">
        <v>1</v>
      </c>
      <c r="F4755" s="107" t="s">
        <v>16054</v>
      </c>
      <c r="G4755" s="116" t="str">
        <f>HYPERLINK("http://nsgreg.nga.mil/genc/view?v=200688&amp;end_month=3&amp;end_day=31&amp;end_year=2014","‘Ajmān")</f>
        <v>‘Ajmān</v>
      </c>
      <c r="H4755" s="87" t="str">
        <f>HYPERLINK("http://api.nsgreg.nga.mil/geo-division/GENC/6/ed2/AE-AJ","AE-AJ")</f>
        <v>AE-AJ</v>
      </c>
    </row>
    <row r="4756" spans="1:8" x14ac:dyDescent="0.2">
      <c r="A4756" s="157"/>
      <c r="B4756" s="31" t="s">
        <v>16055</v>
      </c>
      <c r="C4756" s="31" t="s">
        <v>16056</v>
      </c>
      <c r="D4756" s="31" t="s">
        <v>16050</v>
      </c>
      <c r="E4756" s="61" t="b">
        <v>1</v>
      </c>
      <c r="F4756" s="107" t="s">
        <v>16057</v>
      </c>
      <c r="G4756" s="116" t="str">
        <f>HYPERLINK("http://nsgreg.nga.mil/genc/view?v=200691&amp;end_month=3&amp;end_day=31&amp;end_year=2014","Al Fujayrah")</f>
        <v>Al Fujayrah</v>
      </c>
      <c r="H4756" s="87" t="str">
        <f>HYPERLINK("http://api.nsgreg.nga.mil/geo-division/GENC/6/ed2/AE-FU","AE-FU")</f>
        <v>AE-FU</v>
      </c>
    </row>
    <row r="4757" spans="1:8" x14ac:dyDescent="0.2">
      <c r="A4757" s="157"/>
      <c r="B4757" s="31" t="s">
        <v>16058</v>
      </c>
      <c r="C4757" s="31" t="s">
        <v>16059</v>
      </c>
      <c r="D4757" s="31" t="s">
        <v>16050</v>
      </c>
      <c r="E4757" s="61" t="b">
        <v>1</v>
      </c>
      <c r="F4757" s="107" t="s">
        <v>16060</v>
      </c>
      <c r="G4757" s="116" t="str">
        <f>HYPERLINK("http://nsgreg.nga.mil/genc/view?v=200693&amp;end_month=3&amp;end_day=31&amp;end_year=2014","Ash Shāriqah")</f>
        <v>Ash Shāriqah</v>
      </c>
      <c r="H4757" s="87" t="str">
        <f>HYPERLINK("http://api.nsgreg.nga.mil/geo-division/GENC/6/ed2/AE-SH","AE-SH")</f>
        <v>AE-SH</v>
      </c>
    </row>
    <row r="4758" spans="1:8" x14ac:dyDescent="0.2">
      <c r="A4758" s="157"/>
      <c r="B4758" s="31" t="s">
        <v>16061</v>
      </c>
      <c r="C4758" s="31" t="s">
        <v>16062</v>
      </c>
      <c r="D4758" s="31" t="s">
        <v>16050</v>
      </c>
      <c r="E4758" s="61" t="b">
        <v>1</v>
      </c>
      <c r="F4758" s="107" t="s">
        <v>16063</v>
      </c>
      <c r="G4758" s="116" t="str">
        <f>HYPERLINK("http://nsgreg.nga.mil/genc/view?v=200690&amp;end_month=3&amp;end_day=31&amp;end_year=2014","Dubayy")</f>
        <v>Dubayy</v>
      </c>
      <c r="H4758" s="87" t="str">
        <f>HYPERLINK("http://api.nsgreg.nga.mil/geo-division/GENC/6/ed2/AE-DU","AE-DU")</f>
        <v>AE-DU</v>
      </c>
    </row>
    <row r="4759" spans="1:8" x14ac:dyDescent="0.2">
      <c r="A4759" s="157"/>
      <c r="B4759" s="31" t="s">
        <v>16064</v>
      </c>
      <c r="C4759" s="31" t="s">
        <v>16065</v>
      </c>
      <c r="D4759" s="31" t="s">
        <v>16050</v>
      </c>
      <c r="E4759" s="61" t="b">
        <v>1</v>
      </c>
      <c r="F4759" s="107" t="s">
        <v>16066</v>
      </c>
      <c r="G4759" s="116" t="str">
        <f>HYPERLINK("http://nsgreg.nga.mil/genc/view?v=200692&amp;end_month=3&amp;end_day=31&amp;end_year=2014","Ra’s al Khaymah")</f>
        <v>Ra’s al Khaymah</v>
      </c>
      <c r="H4759" s="87" t="str">
        <f>HYPERLINK("http://api.nsgreg.nga.mil/geo-division/GENC/6/ed2/AE-RK","AE-RK")</f>
        <v>AE-RK</v>
      </c>
    </row>
    <row r="4760" spans="1:8" x14ac:dyDescent="0.2">
      <c r="A4760" s="158"/>
      <c r="B4760" s="58" t="s">
        <v>16067</v>
      </c>
      <c r="C4760" s="58" t="s">
        <v>16068</v>
      </c>
      <c r="D4760" s="58" t="s">
        <v>16050</v>
      </c>
      <c r="E4760" s="62" t="b">
        <v>1</v>
      </c>
      <c r="F4760" s="111" t="s">
        <v>16069</v>
      </c>
      <c r="G4760" s="117" t="str">
        <f>HYPERLINK("http://nsgreg.nga.mil/genc/view?v=200694&amp;end_month=3&amp;end_day=31&amp;end_year=2014","Umm al Qaywayn")</f>
        <v>Umm al Qaywayn</v>
      </c>
      <c r="H4760" s="89" t="str">
        <f>HYPERLINK("http://api.nsgreg.nga.mil/geo-division/GENC/6/ed2/AE-UQ","AE-UQ")</f>
        <v>AE-UQ</v>
      </c>
    </row>
    <row r="4761" spans="1:8" x14ac:dyDescent="0.2">
      <c r="A4761" s="156" t="str">
        <f>HYPERLINK("[#]Geopolitical_Entities!A266:I266","UNITED KINGDOM")</f>
        <v>UNITED KINGDOM</v>
      </c>
      <c r="B4761" s="52" t="s">
        <v>16070</v>
      </c>
      <c r="C4761" s="52" t="s">
        <v>16071</v>
      </c>
      <c r="D4761" s="52" t="s">
        <v>16072</v>
      </c>
      <c r="E4761" s="60" t="b">
        <v>1</v>
      </c>
      <c r="F4761" s="109" t="s">
        <v>16073</v>
      </c>
      <c r="G4761" s="118" t="str">
        <f>HYPERLINK("http://nsgreg.nga.mil/genc/view?v=113341&amp;gencs=T&amp;end_month=3&amp;end_day=31&amp;end_year=2014","Aberdeen City")</f>
        <v>Aberdeen City</v>
      </c>
      <c r="H4761" s="91" t="str">
        <f>HYPERLINK("http://api.nsgreg.nga.mil/geo-division/ISO3166-2/6/ed3/GB-ABE","GB-ABE")</f>
        <v>GB-ABE</v>
      </c>
    </row>
    <row r="4762" spans="1:8" x14ac:dyDescent="0.2">
      <c r="A4762" s="157"/>
      <c r="B4762" s="31" t="s">
        <v>16074</v>
      </c>
      <c r="C4762" s="31" t="s">
        <v>16075</v>
      </c>
      <c r="D4762" s="31" t="s">
        <v>16072</v>
      </c>
      <c r="E4762" s="61" t="b">
        <v>1</v>
      </c>
      <c r="F4762" s="106" t="s">
        <v>16076</v>
      </c>
      <c r="G4762" s="116" t="str">
        <f>HYPERLINK("http://nsgreg.nga.mil/genc/view?v=113340&amp;gencs=T&amp;end_month=3&amp;end_day=31&amp;end_year=2014","Aberdeenshire")</f>
        <v>Aberdeenshire</v>
      </c>
      <c r="H4762" s="87" t="str">
        <f>HYPERLINK("http://api.nsgreg.nga.mil/geo-division/ISO3166-2/6/ed3/GB-ABD","GB-ABD")</f>
        <v>GB-ABD</v>
      </c>
    </row>
    <row r="4763" spans="1:8" x14ac:dyDescent="0.2">
      <c r="A4763" s="157"/>
      <c r="B4763" s="31" t="s">
        <v>16077</v>
      </c>
      <c r="C4763" s="31" t="s">
        <v>16078</v>
      </c>
      <c r="D4763" s="31" t="s">
        <v>16072</v>
      </c>
      <c r="E4763" s="61" t="b">
        <v>1</v>
      </c>
      <c r="F4763" s="106" t="s">
        <v>16079</v>
      </c>
      <c r="G4763" s="116" t="str">
        <f>HYPERLINK("http://nsgreg.nga.mil/genc/view?v=113344&amp;gencs=T&amp;end_month=3&amp;end_day=31&amp;end_year=2014","Angus")</f>
        <v>Angus</v>
      </c>
      <c r="H4763" s="87" t="str">
        <f>HYPERLINK("http://api.nsgreg.nga.mil/geo-division/ISO3166-2/6/ed3/GB-ANS","GB-ANS")</f>
        <v>GB-ANS</v>
      </c>
    </row>
    <row r="4764" spans="1:8" x14ac:dyDescent="0.2">
      <c r="A4764" s="157"/>
      <c r="B4764" s="31" t="s">
        <v>16080</v>
      </c>
      <c r="C4764" s="31" t="s">
        <v>16081</v>
      </c>
      <c r="D4764" s="31" t="s">
        <v>2026</v>
      </c>
      <c r="E4764" s="61" t="b">
        <v>1</v>
      </c>
      <c r="F4764" s="107" t="s">
        <v>16082</v>
      </c>
      <c r="G4764" s="116" t="str">
        <f>HYPERLINK("http://nsgreg.nga.mil/genc/view?v=201182&amp;end_month=3&amp;end_day=31&amp;end_year=2014","Antrim")</f>
        <v>Antrim</v>
      </c>
      <c r="H4764" s="87" t="str">
        <f>HYPERLINK("http://api.nsgreg.nga.mil/geo-division/GENC/6/ed2/GB-ANT","GB-ANT")</f>
        <v>GB-ANT</v>
      </c>
    </row>
    <row r="4765" spans="1:8" x14ac:dyDescent="0.2">
      <c r="A4765" s="157"/>
      <c r="B4765" s="31" t="s">
        <v>16083</v>
      </c>
      <c r="C4765" s="31" t="s">
        <v>16084</v>
      </c>
      <c r="D4765" s="31" t="s">
        <v>2026</v>
      </c>
      <c r="E4765" s="61" t="b">
        <v>1</v>
      </c>
      <c r="F4765" s="107" t="s">
        <v>16085</v>
      </c>
      <c r="G4765" s="116" t="str">
        <f>HYPERLINK("http://nsgreg.nga.mil/genc/view?v=201183&amp;end_month=3&amp;end_day=31&amp;end_year=2014","Ards")</f>
        <v>Ards</v>
      </c>
      <c r="H4765" s="87" t="str">
        <f>HYPERLINK("http://api.nsgreg.nga.mil/geo-division/GENC/6/ed2/GB-ARD","GB-ARD")</f>
        <v>GB-ARD</v>
      </c>
    </row>
    <row r="4766" spans="1:8" x14ac:dyDescent="0.2">
      <c r="A4766" s="157"/>
      <c r="B4766" s="31" t="s">
        <v>16086</v>
      </c>
      <c r="C4766" s="31" t="s">
        <v>16087</v>
      </c>
      <c r="D4766" s="31" t="s">
        <v>16072</v>
      </c>
      <c r="E4766" s="61" t="b">
        <v>1</v>
      </c>
      <c r="F4766" s="106" t="s">
        <v>16088</v>
      </c>
      <c r="G4766" s="116" t="str">
        <f>HYPERLINK("http://nsgreg.nga.mil/genc/view?v=113342&amp;gencs=T&amp;end_month=3&amp;end_day=31&amp;end_year=2014","Argyll and Bute")</f>
        <v>Argyll and Bute</v>
      </c>
      <c r="H4766" s="87" t="str">
        <f>HYPERLINK("http://api.nsgreg.nga.mil/geo-division/ISO3166-2/6/ed3/GB-AGB","GB-AGB")</f>
        <v>GB-AGB</v>
      </c>
    </row>
    <row r="4767" spans="1:8" x14ac:dyDescent="0.2">
      <c r="A4767" s="157"/>
      <c r="B4767" s="31" t="s">
        <v>16089</v>
      </c>
      <c r="C4767" s="31" t="s">
        <v>16090</v>
      </c>
      <c r="D4767" s="31" t="s">
        <v>2026</v>
      </c>
      <c r="E4767" s="61" t="b">
        <v>1</v>
      </c>
      <c r="F4767" s="107" t="s">
        <v>16091</v>
      </c>
      <c r="G4767" s="116" t="str">
        <f>HYPERLINK("http://nsgreg.nga.mil/genc/view?v=201184&amp;end_month=3&amp;end_day=31&amp;end_year=2014","Armagh")</f>
        <v>Armagh</v>
      </c>
      <c r="H4767" s="87" t="str">
        <f>HYPERLINK("http://api.nsgreg.nga.mil/geo-division/GENC/6/ed2/GB-ARM","GB-ARM")</f>
        <v>GB-ARM</v>
      </c>
    </row>
    <row r="4768" spans="1:8" x14ac:dyDescent="0.2">
      <c r="A4768" s="157"/>
      <c r="B4768" s="31" t="s">
        <v>16092</v>
      </c>
      <c r="C4768" s="31" t="s">
        <v>16093</v>
      </c>
      <c r="D4768" s="31" t="s">
        <v>2026</v>
      </c>
      <c r="E4768" s="61" t="b">
        <v>1</v>
      </c>
      <c r="F4768" s="107" t="s">
        <v>16094</v>
      </c>
      <c r="G4768" s="116" t="str">
        <f>HYPERLINK("http://nsgreg.nga.mil/genc/view?v=201192&amp;end_month=3&amp;end_day=31&amp;end_year=2014","Ballymena")</f>
        <v>Ballymena</v>
      </c>
      <c r="H4768" s="87" t="str">
        <f>HYPERLINK("http://api.nsgreg.nga.mil/geo-division/GENC/6/ed2/GB-BLA","GB-BLA")</f>
        <v>GB-BLA</v>
      </c>
    </row>
    <row r="4769" spans="1:8" x14ac:dyDescent="0.2">
      <c r="A4769" s="157"/>
      <c r="B4769" s="31" t="s">
        <v>16095</v>
      </c>
      <c r="C4769" s="31" t="s">
        <v>16096</v>
      </c>
      <c r="D4769" s="31" t="s">
        <v>2026</v>
      </c>
      <c r="E4769" s="61" t="b">
        <v>1</v>
      </c>
      <c r="F4769" s="107" t="s">
        <v>16097</v>
      </c>
      <c r="G4769" s="116" t="str">
        <f>HYPERLINK("http://nsgreg.nga.mil/genc/view?v=201193&amp;end_month=3&amp;end_day=31&amp;end_year=2014","Ballymoney")</f>
        <v>Ballymoney</v>
      </c>
      <c r="H4769" s="87" t="str">
        <f>HYPERLINK("http://api.nsgreg.nga.mil/geo-division/GENC/6/ed2/GB-BLY","GB-BLY")</f>
        <v>GB-BLY</v>
      </c>
    </row>
    <row r="4770" spans="1:8" x14ac:dyDescent="0.2">
      <c r="A4770" s="157"/>
      <c r="B4770" s="31" t="s">
        <v>16098</v>
      </c>
      <c r="C4770" s="31" t="s">
        <v>16099</v>
      </c>
      <c r="D4770" s="31" t="s">
        <v>2026</v>
      </c>
      <c r="E4770" s="61" t="b">
        <v>1</v>
      </c>
      <c r="F4770" s="107" t="s">
        <v>16100</v>
      </c>
      <c r="G4770" s="116" t="str">
        <f>HYPERLINK("http://nsgreg.nga.mil/genc/view?v=201195&amp;end_month=3&amp;end_day=31&amp;end_year=2014","Banbridge")</f>
        <v>Banbridge</v>
      </c>
      <c r="H4770" s="87" t="str">
        <f>HYPERLINK("http://api.nsgreg.nga.mil/geo-division/GENC/6/ed2/GB-BNB","GB-BNB")</f>
        <v>GB-BNB</v>
      </c>
    </row>
    <row r="4771" spans="1:8" x14ac:dyDescent="0.2">
      <c r="A4771" s="157"/>
      <c r="B4771" s="31" t="s">
        <v>16101</v>
      </c>
      <c r="C4771" s="31" t="s">
        <v>16102</v>
      </c>
      <c r="D4771" s="31" t="s">
        <v>16103</v>
      </c>
      <c r="E4771" s="61" t="b">
        <v>1</v>
      </c>
      <c r="F4771" s="106" t="s">
        <v>16104</v>
      </c>
      <c r="G4771" s="116" t="str">
        <f>HYPERLINK("http://nsgreg.nga.mil/genc/view?v=113351&amp;gencs=T&amp;end_month=3&amp;end_day=31&amp;end_year=2014","Barking and Dagenham")</f>
        <v>Barking and Dagenham</v>
      </c>
      <c r="H4771" s="87" t="str">
        <f>HYPERLINK("http://api.nsgreg.nga.mil/geo-division/ISO3166-2/6/ed3/GB-BDG","GB-BDG")</f>
        <v>GB-BDG</v>
      </c>
    </row>
    <row r="4772" spans="1:8" x14ac:dyDescent="0.2">
      <c r="A4772" s="157"/>
      <c r="B4772" s="31" t="s">
        <v>16105</v>
      </c>
      <c r="C4772" s="31" t="s">
        <v>16106</v>
      </c>
      <c r="D4772" s="31" t="s">
        <v>16103</v>
      </c>
      <c r="E4772" s="61" t="b">
        <v>1</v>
      </c>
      <c r="F4772" s="106" t="s">
        <v>16107</v>
      </c>
      <c r="G4772" s="116" t="str">
        <f>HYPERLINK("http://nsgreg.nga.mil/genc/view?v=113363&amp;gencs=T&amp;end_month=3&amp;end_day=31&amp;end_year=2014","Barnet")</f>
        <v>Barnet</v>
      </c>
      <c r="H4772" s="87" t="str">
        <f>HYPERLINK("http://api.nsgreg.nga.mil/geo-division/ISO3166-2/6/ed3/GB-BNE","GB-BNE")</f>
        <v>GB-BNE</v>
      </c>
    </row>
    <row r="4773" spans="1:8" x14ac:dyDescent="0.2">
      <c r="A4773" s="157"/>
      <c r="B4773" s="31" t="s">
        <v>16108</v>
      </c>
      <c r="C4773" s="31" t="s">
        <v>16109</v>
      </c>
      <c r="D4773" s="31" t="s">
        <v>16110</v>
      </c>
      <c r="E4773" s="61" t="b">
        <v>1</v>
      </c>
      <c r="F4773" s="106" t="s">
        <v>16111</v>
      </c>
      <c r="G4773" s="116" t="str">
        <f>HYPERLINK("http://nsgreg.nga.mil/genc/view?v=113365&amp;gencs=T&amp;end_month=3&amp;end_day=31&amp;end_year=2014","Barnsley")</f>
        <v>Barnsley</v>
      </c>
      <c r="H4773" s="87" t="str">
        <f>HYPERLINK("http://api.nsgreg.nga.mil/geo-division/ISO3166-2/6/ed3/GB-BNS","GB-BNS")</f>
        <v>GB-BNS</v>
      </c>
    </row>
    <row r="4774" spans="1:8" x14ac:dyDescent="0.2">
      <c r="A4774" s="157"/>
      <c r="B4774" s="31" t="s">
        <v>16112</v>
      </c>
      <c r="C4774" s="31" t="s">
        <v>16113</v>
      </c>
      <c r="D4774" s="31" t="s">
        <v>16114</v>
      </c>
      <c r="E4774" s="61" t="b">
        <v>1</v>
      </c>
      <c r="F4774" s="107" t="s">
        <v>16115</v>
      </c>
      <c r="G4774" s="116" t="str">
        <f>HYPERLINK("http://nsgreg.nga.mil/genc/view?v=201185&amp;end_month=3&amp;end_day=31&amp;end_year=2014","Bath and North East Somerset")</f>
        <v>Bath and North East Somerset</v>
      </c>
      <c r="H4774" s="87" t="str">
        <f>HYPERLINK("http://api.nsgreg.nga.mil/geo-division/GENC/6/ed2/GB-BAS","GB-BAS")</f>
        <v>GB-BAS</v>
      </c>
    </row>
    <row r="4775" spans="1:8" x14ac:dyDescent="0.2">
      <c r="A4775" s="157"/>
      <c r="B4775" s="31" t="s">
        <v>16116</v>
      </c>
      <c r="C4775" s="31" t="s">
        <v>16117</v>
      </c>
      <c r="D4775" s="31" t="s">
        <v>16114</v>
      </c>
      <c r="E4775" s="61" t="b">
        <v>1</v>
      </c>
      <c r="F4775" s="107" t="s">
        <v>16118</v>
      </c>
      <c r="G4775" s="116" t="str">
        <f>HYPERLINK("http://nsgreg.nga.mil/genc/view?v=201187&amp;end_month=3&amp;end_day=31&amp;end_year=2014","Bedford")</f>
        <v>Bedford</v>
      </c>
      <c r="H4775" s="87" t="str">
        <f>HYPERLINK("http://api.nsgreg.nga.mil/geo-division/GENC/6/ed2/GB-BDF","GB-BDF")</f>
        <v>GB-BDF</v>
      </c>
    </row>
    <row r="4776" spans="1:8" x14ac:dyDescent="0.2">
      <c r="A4776" s="157"/>
      <c r="B4776" s="31" t="s">
        <v>16119</v>
      </c>
      <c r="C4776" s="31" t="s">
        <v>16120</v>
      </c>
      <c r="D4776" s="31" t="s">
        <v>2026</v>
      </c>
      <c r="E4776" s="61" t="b">
        <v>1</v>
      </c>
      <c r="F4776" s="107" t="s">
        <v>16121</v>
      </c>
      <c r="G4776" s="116" t="str">
        <f>HYPERLINK("http://nsgreg.nga.mil/genc/view?v=201188&amp;end_month=3&amp;end_day=31&amp;end_year=2014","Belfast")</f>
        <v>Belfast</v>
      </c>
      <c r="H4776" s="87" t="str">
        <f>HYPERLINK("http://api.nsgreg.nga.mil/geo-division/GENC/6/ed2/GB-BFS","GB-BFS")</f>
        <v>GB-BFS</v>
      </c>
    </row>
    <row r="4777" spans="1:8" x14ac:dyDescent="0.2">
      <c r="A4777" s="157"/>
      <c r="B4777" s="31" t="s">
        <v>16122</v>
      </c>
      <c r="C4777" s="31" t="s">
        <v>16123</v>
      </c>
      <c r="D4777" s="31" t="s">
        <v>16103</v>
      </c>
      <c r="E4777" s="61" t="b">
        <v>1</v>
      </c>
      <c r="F4777" s="106" t="s">
        <v>16124</v>
      </c>
      <c r="G4777" s="116" t="str">
        <f>HYPERLINK("http://nsgreg.nga.mil/genc/view?v=113353&amp;gencs=T&amp;end_month=3&amp;end_day=31&amp;end_year=2014","Bexley")</f>
        <v>Bexley</v>
      </c>
      <c r="H4777" s="87" t="str">
        <f>HYPERLINK("http://api.nsgreg.nga.mil/geo-division/ISO3166-2/6/ed3/GB-BEX","GB-BEX")</f>
        <v>GB-BEX</v>
      </c>
    </row>
    <row r="4778" spans="1:8" x14ac:dyDescent="0.2">
      <c r="A4778" s="157"/>
      <c r="B4778" s="31" t="s">
        <v>16125</v>
      </c>
      <c r="C4778" s="31" t="s">
        <v>16126</v>
      </c>
      <c r="D4778" s="31" t="s">
        <v>16110</v>
      </c>
      <c r="E4778" s="61" t="b">
        <v>1</v>
      </c>
      <c r="F4778" s="106" t="s">
        <v>16127</v>
      </c>
      <c r="G4778" s="116" t="str">
        <f>HYPERLINK("http://nsgreg.nga.mil/genc/view?v=113357&amp;gencs=T&amp;end_month=3&amp;end_day=31&amp;end_year=2014","Birmingham")</f>
        <v>Birmingham</v>
      </c>
      <c r="H4778" s="87" t="str">
        <f>HYPERLINK("http://api.nsgreg.nga.mil/geo-division/ISO3166-2/6/ed3/GB-BIR","GB-BIR")</f>
        <v>GB-BIR</v>
      </c>
    </row>
    <row r="4779" spans="1:8" x14ac:dyDescent="0.2">
      <c r="A4779" s="157"/>
      <c r="B4779" s="31" t="s">
        <v>16128</v>
      </c>
      <c r="C4779" s="31" t="s">
        <v>16129</v>
      </c>
      <c r="D4779" s="31" t="s">
        <v>16114</v>
      </c>
      <c r="E4779" s="61" t="b">
        <v>1</v>
      </c>
      <c r="F4779" s="107" t="s">
        <v>16130</v>
      </c>
      <c r="G4779" s="116" t="str">
        <f>HYPERLINK("http://nsgreg.nga.mil/genc/view?v=201186&amp;end_month=3&amp;end_day=31&amp;end_year=2014","Blackburn with Darwen")</f>
        <v>Blackburn with Darwen</v>
      </c>
      <c r="H4779" s="87" t="str">
        <f>HYPERLINK("http://api.nsgreg.nga.mil/geo-division/GENC/6/ed2/GB-BBD","GB-BBD")</f>
        <v>GB-BBD</v>
      </c>
    </row>
    <row r="4780" spans="1:8" x14ac:dyDescent="0.2">
      <c r="A4780" s="157"/>
      <c r="B4780" s="31" t="s">
        <v>16131</v>
      </c>
      <c r="C4780" s="31" t="s">
        <v>16132</v>
      </c>
      <c r="D4780" s="31" t="s">
        <v>16114</v>
      </c>
      <c r="E4780" s="61" t="b">
        <v>1</v>
      </c>
      <c r="F4780" s="107" t="s">
        <v>16133</v>
      </c>
      <c r="G4780" s="116" t="str">
        <f>HYPERLINK("http://nsgreg.nga.mil/genc/view?v=201197&amp;end_month=3&amp;end_day=31&amp;end_year=2014","Blackpool")</f>
        <v>Blackpool</v>
      </c>
      <c r="H4780" s="87" t="str">
        <f>HYPERLINK("http://api.nsgreg.nga.mil/geo-division/GENC/6/ed2/GB-BPL","GB-BPL")</f>
        <v>GB-BPL</v>
      </c>
    </row>
    <row r="4781" spans="1:8" x14ac:dyDescent="0.2">
      <c r="A4781" s="157"/>
      <c r="B4781" s="31" t="s">
        <v>16134</v>
      </c>
      <c r="C4781" s="31" t="s">
        <v>16135</v>
      </c>
      <c r="D4781" s="31" t="s">
        <v>16114</v>
      </c>
      <c r="E4781" s="61" t="b">
        <v>1</v>
      </c>
      <c r="F4781" s="107" t="s">
        <v>16136</v>
      </c>
      <c r="G4781" s="116" t="str">
        <f>HYPERLINK("http://nsgreg.nga.mil/genc/view?v=201190&amp;end_month=3&amp;end_day=31&amp;end_year=2014","Blaenau Gwent")</f>
        <v>Blaenau Gwent</v>
      </c>
      <c r="H4781" s="87" t="str">
        <f>HYPERLINK("http://api.nsgreg.nga.mil/geo-division/GENC/6/ed2/GB-BGW","GB-BGW")</f>
        <v>GB-BGW</v>
      </c>
    </row>
    <row r="4782" spans="1:8" x14ac:dyDescent="0.2">
      <c r="A4782" s="157"/>
      <c r="B4782" s="31" t="s">
        <v>16137</v>
      </c>
      <c r="C4782" s="31" t="s">
        <v>16138</v>
      </c>
      <c r="D4782" s="31" t="s">
        <v>16110</v>
      </c>
      <c r="E4782" s="61" t="b">
        <v>1</v>
      </c>
      <c r="F4782" s="106" t="s">
        <v>16139</v>
      </c>
      <c r="G4782" s="116" t="str">
        <f>HYPERLINK("http://nsgreg.nga.mil/genc/view?v=113366&amp;gencs=T&amp;end_month=3&amp;end_day=31&amp;end_year=2014","Bolton")</f>
        <v>Bolton</v>
      </c>
      <c r="H4782" s="87" t="str">
        <f>HYPERLINK("http://api.nsgreg.nga.mil/geo-division/ISO3166-2/6/ed3/GB-BOL","GB-BOL")</f>
        <v>GB-BOL</v>
      </c>
    </row>
    <row r="4783" spans="1:8" x14ac:dyDescent="0.2">
      <c r="A4783" s="157"/>
      <c r="B4783" s="31" t="s">
        <v>16140</v>
      </c>
      <c r="C4783" s="31" t="s">
        <v>16141</v>
      </c>
      <c r="D4783" s="31" t="s">
        <v>16114</v>
      </c>
      <c r="E4783" s="61" t="b">
        <v>1</v>
      </c>
      <c r="F4783" s="107" t="s">
        <v>16142</v>
      </c>
      <c r="G4783" s="116" t="str">
        <f>HYPERLINK("http://nsgreg.nga.mil/genc/view?v=201194&amp;end_month=3&amp;end_day=31&amp;end_year=2014","Bournemouth")</f>
        <v>Bournemouth</v>
      </c>
      <c r="H4783" s="87" t="str">
        <f>HYPERLINK("http://api.nsgreg.nga.mil/geo-division/GENC/6/ed2/GB-BMH","GB-BMH")</f>
        <v>GB-BMH</v>
      </c>
    </row>
    <row r="4784" spans="1:8" x14ac:dyDescent="0.2">
      <c r="A4784" s="157"/>
      <c r="B4784" s="31" t="s">
        <v>16143</v>
      </c>
      <c r="C4784" s="31" t="s">
        <v>16144</v>
      </c>
      <c r="D4784" s="31" t="s">
        <v>16114</v>
      </c>
      <c r="E4784" s="61" t="b">
        <v>1</v>
      </c>
      <c r="F4784" s="107" t="s">
        <v>16145</v>
      </c>
      <c r="G4784" s="116" t="str">
        <f>HYPERLINK("http://nsgreg.nga.mil/genc/view?v=201198&amp;end_month=3&amp;end_day=31&amp;end_year=2014","Bracknell Forest")</f>
        <v>Bracknell Forest</v>
      </c>
      <c r="H4784" s="87" t="str">
        <f>HYPERLINK("http://api.nsgreg.nga.mil/geo-division/GENC/6/ed2/GB-BRC","GB-BRC")</f>
        <v>GB-BRC</v>
      </c>
    </row>
    <row r="4785" spans="1:8" x14ac:dyDescent="0.2">
      <c r="A4785" s="157"/>
      <c r="B4785" s="31" t="s">
        <v>16146</v>
      </c>
      <c r="C4785" s="31" t="s">
        <v>16147</v>
      </c>
      <c r="D4785" s="31" t="s">
        <v>16110</v>
      </c>
      <c r="E4785" s="61" t="b">
        <v>1</v>
      </c>
      <c r="F4785" s="106" t="s">
        <v>16148</v>
      </c>
      <c r="G4785" s="116" t="str">
        <f>HYPERLINK("http://nsgreg.nga.mil/genc/view?v=113369&amp;gencs=T&amp;end_month=3&amp;end_day=31&amp;end_year=2014","Bradford")</f>
        <v>Bradford</v>
      </c>
      <c r="H4785" s="87" t="str">
        <f>HYPERLINK("http://api.nsgreg.nga.mil/geo-division/ISO3166-2/6/ed3/GB-BRD","GB-BRD")</f>
        <v>GB-BRD</v>
      </c>
    </row>
    <row r="4786" spans="1:8" x14ac:dyDescent="0.2">
      <c r="A4786" s="157"/>
      <c r="B4786" s="31" t="s">
        <v>16149</v>
      </c>
      <c r="C4786" s="31" t="s">
        <v>16150</v>
      </c>
      <c r="D4786" s="31" t="s">
        <v>16103</v>
      </c>
      <c r="E4786" s="61" t="b">
        <v>1</v>
      </c>
      <c r="F4786" s="106" t="s">
        <v>16151</v>
      </c>
      <c r="G4786" s="116" t="str">
        <f>HYPERLINK("http://nsgreg.nga.mil/genc/view?v=113352&amp;gencs=T&amp;end_month=3&amp;end_day=31&amp;end_year=2014","Brent")</f>
        <v>Brent</v>
      </c>
      <c r="H4786" s="87" t="str">
        <f>HYPERLINK("http://api.nsgreg.nga.mil/geo-division/ISO3166-2/6/ed3/GB-BEN","GB-BEN")</f>
        <v>GB-BEN</v>
      </c>
    </row>
    <row r="4787" spans="1:8" x14ac:dyDescent="0.2">
      <c r="A4787" s="157"/>
      <c r="B4787" s="31" t="s">
        <v>16152</v>
      </c>
      <c r="C4787" s="31" t="s">
        <v>16153</v>
      </c>
      <c r="D4787" s="31" t="s">
        <v>16114</v>
      </c>
      <c r="E4787" s="61" t="b">
        <v>1</v>
      </c>
      <c r="F4787" s="107" t="s">
        <v>16154</v>
      </c>
      <c r="G4787" s="116" t="str">
        <f>HYPERLINK("http://nsgreg.nga.mil/genc/view?v=201189&amp;end_month=3&amp;end_day=31&amp;end_year=2014","Bridgend")</f>
        <v>Bridgend</v>
      </c>
      <c r="H4787" s="87" t="str">
        <f>HYPERLINK("http://api.nsgreg.nga.mil/geo-division/GENC/6/ed2/GB-BGE","GB-BGE")</f>
        <v>GB-BGE</v>
      </c>
    </row>
    <row r="4788" spans="1:8" x14ac:dyDescent="0.2">
      <c r="A4788" s="157"/>
      <c r="B4788" s="31" t="s">
        <v>16155</v>
      </c>
      <c r="C4788" s="31" t="s">
        <v>16156</v>
      </c>
      <c r="D4788" s="31" t="s">
        <v>16114</v>
      </c>
      <c r="E4788" s="61" t="b">
        <v>1</v>
      </c>
      <c r="F4788" s="107" t="s">
        <v>16157</v>
      </c>
      <c r="G4788" s="116" t="str">
        <f>HYPERLINK("http://nsgreg.nga.mil/genc/view?v=201196&amp;end_month=3&amp;end_day=31&amp;end_year=2014","Brighton and Hove")</f>
        <v>Brighton and Hove</v>
      </c>
      <c r="H4788" s="87" t="str">
        <f>HYPERLINK("http://api.nsgreg.nga.mil/geo-division/GENC/6/ed2/GB-BNH","GB-BNH")</f>
        <v>GB-BNH</v>
      </c>
    </row>
    <row r="4789" spans="1:8" x14ac:dyDescent="0.2">
      <c r="A4789" s="157"/>
      <c r="B4789" s="31" t="s">
        <v>16158</v>
      </c>
      <c r="C4789" s="31" t="s">
        <v>16159</v>
      </c>
      <c r="D4789" s="31" t="s">
        <v>16114</v>
      </c>
      <c r="E4789" s="61" t="b">
        <v>1</v>
      </c>
      <c r="F4789" s="107" t="s">
        <v>16160</v>
      </c>
      <c r="G4789" s="116" t="str">
        <f>HYPERLINK("http://nsgreg.nga.mil/genc/view?v=201199&amp;end_month=3&amp;end_day=31&amp;end_year=2014","Bristol, City of")</f>
        <v>Bristol, City of</v>
      </c>
      <c r="H4789" s="87" t="str">
        <f>HYPERLINK("http://api.nsgreg.nga.mil/geo-division/GENC/6/ed2/GB-BST","GB-BST")</f>
        <v>GB-BST</v>
      </c>
    </row>
    <row r="4790" spans="1:8" x14ac:dyDescent="0.2">
      <c r="A4790" s="157"/>
      <c r="B4790" s="31" t="s">
        <v>16161</v>
      </c>
      <c r="C4790" s="31" t="s">
        <v>16162</v>
      </c>
      <c r="D4790" s="31" t="s">
        <v>16103</v>
      </c>
      <c r="E4790" s="61" t="b">
        <v>1</v>
      </c>
      <c r="F4790" s="106" t="s">
        <v>16163</v>
      </c>
      <c r="G4790" s="116" t="str">
        <f>HYPERLINK("http://nsgreg.nga.mil/genc/view?v=113370&amp;gencs=T&amp;end_month=3&amp;end_day=31&amp;end_year=2014","Bromley")</f>
        <v>Bromley</v>
      </c>
      <c r="H4790" s="87" t="str">
        <f>HYPERLINK("http://api.nsgreg.nga.mil/geo-division/ISO3166-2/6/ed3/GB-BRY","GB-BRY")</f>
        <v>GB-BRY</v>
      </c>
    </row>
    <row r="4791" spans="1:8" x14ac:dyDescent="0.2">
      <c r="A4791" s="157"/>
      <c r="B4791" s="31" t="s">
        <v>16164</v>
      </c>
      <c r="C4791" s="31" t="s">
        <v>16165</v>
      </c>
      <c r="D4791" s="31" t="s">
        <v>2023</v>
      </c>
      <c r="E4791" s="61" t="b">
        <v>1</v>
      </c>
      <c r="F4791" s="107" t="s">
        <v>16166</v>
      </c>
      <c r="G4791" s="116" t="str">
        <f>HYPERLINK("http://nsgreg.nga.mil/genc/view?v=201191&amp;end_month=3&amp;end_day=31&amp;end_year=2014","Buckinghamshire")</f>
        <v>Buckinghamshire</v>
      </c>
      <c r="H4791" s="87" t="str">
        <f>HYPERLINK("http://api.nsgreg.nga.mil/geo-division/GENC/6/ed2/GB-BKM","GB-BKM")</f>
        <v>GB-BKM</v>
      </c>
    </row>
    <row r="4792" spans="1:8" x14ac:dyDescent="0.2">
      <c r="A4792" s="157"/>
      <c r="B4792" s="31" t="s">
        <v>16167</v>
      </c>
      <c r="C4792" s="31" t="s">
        <v>16168</v>
      </c>
      <c r="D4792" s="31" t="s">
        <v>16110</v>
      </c>
      <c r="E4792" s="61" t="b">
        <v>1</v>
      </c>
      <c r="F4792" s="106" t="s">
        <v>16169</v>
      </c>
      <c r="G4792" s="116" t="str">
        <f>HYPERLINK("http://nsgreg.nga.mil/genc/view?v=113372&amp;gencs=T&amp;end_month=3&amp;end_day=31&amp;end_year=2014","Bury")</f>
        <v>Bury</v>
      </c>
      <c r="H4792" s="87" t="str">
        <f>HYPERLINK("http://api.nsgreg.nga.mil/geo-division/ISO3166-2/6/ed3/GB-BUR","GB-BUR")</f>
        <v>GB-BUR</v>
      </c>
    </row>
    <row r="4793" spans="1:8" x14ac:dyDescent="0.2">
      <c r="A4793" s="157"/>
      <c r="B4793" s="31" t="s">
        <v>16170</v>
      </c>
      <c r="C4793" s="31" t="s">
        <v>16171</v>
      </c>
      <c r="D4793" s="31" t="s">
        <v>16114</v>
      </c>
      <c r="E4793" s="61" t="b">
        <v>1</v>
      </c>
      <c r="F4793" s="107" t="s">
        <v>16172</v>
      </c>
      <c r="G4793" s="116" t="str">
        <f>HYPERLINK("http://nsgreg.nga.mil/genc/view?v=201201&amp;end_month=3&amp;end_day=31&amp;end_year=2014","Caerphilly")</f>
        <v>Caerphilly</v>
      </c>
      <c r="H4793" s="87" t="str">
        <f>HYPERLINK("http://api.nsgreg.nga.mil/geo-division/GENC/6/ed2/GB-CAY","GB-CAY")</f>
        <v>GB-CAY</v>
      </c>
    </row>
    <row r="4794" spans="1:8" x14ac:dyDescent="0.2">
      <c r="A4794" s="157"/>
      <c r="B4794" s="31" t="s">
        <v>16173</v>
      </c>
      <c r="C4794" s="31" t="s">
        <v>16174</v>
      </c>
      <c r="D4794" s="31" t="s">
        <v>16110</v>
      </c>
      <c r="E4794" s="61" t="b">
        <v>1</v>
      </c>
      <c r="F4794" s="106" t="s">
        <v>16175</v>
      </c>
      <c r="G4794" s="116" t="str">
        <f>HYPERLINK("http://nsgreg.nga.mil/genc/view?v=113382&amp;gencs=T&amp;end_month=3&amp;end_day=31&amp;end_year=2014","Calderdale")</f>
        <v>Calderdale</v>
      </c>
      <c r="H4794" s="87" t="str">
        <f>HYPERLINK("http://api.nsgreg.nga.mil/geo-division/ISO3166-2/6/ed3/GB-CLD","GB-CLD")</f>
        <v>GB-CLD</v>
      </c>
    </row>
    <row r="4795" spans="1:8" x14ac:dyDescent="0.2">
      <c r="A4795" s="157"/>
      <c r="B4795" s="31" t="s">
        <v>16176</v>
      </c>
      <c r="C4795" s="31" t="s">
        <v>16177</v>
      </c>
      <c r="D4795" s="31" t="s">
        <v>2023</v>
      </c>
      <c r="E4795" s="61" t="b">
        <v>1</v>
      </c>
      <c r="F4795" s="107" t="s">
        <v>16178</v>
      </c>
      <c r="G4795" s="116" t="str">
        <f>HYPERLINK("http://nsgreg.nga.mil/genc/view?v=201200&amp;end_month=3&amp;end_day=31&amp;end_year=2014","Cambridgeshire")</f>
        <v>Cambridgeshire</v>
      </c>
      <c r="H4795" s="87" t="str">
        <f>HYPERLINK("http://api.nsgreg.nga.mil/geo-division/GENC/6/ed2/GB-CAM","GB-CAM")</f>
        <v>GB-CAM</v>
      </c>
    </row>
    <row r="4796" spans="1:8" x14ac:dyDescent="0.2">
      <c r="A4796" s="157"/>
      <c r="B4796" s="31" t="s">
        <v>16179</v>
      </c>
      <c r="C4796" s="31" t="s">
        <v>16180</v>
      </c>
      <c r="D4796" s="31" t="s">
        <v>16103</v>
      </c>
      <c r="E4796" s="61" t="b">
        <v>1</v>
      </c>
      <c r="F4796" s="106" t="s">
        <v>16181</v>
      </c>
      <c r="G4796" s="116" t="str">
        <f>HYPERLINK("http://nsgreg.nga.mil/genc/view?v=113386&amp;gencs=T&amp;end_month=3&amp;end_day=31&amp;end_year=2014","Camden")</f>
        <v>Camden</v>
      </c>
      <c r="H4796" s="87" t="str">
        <f>HYPERLINK("http://api.nsgreg.nga.mil/geo-division/ISO3166-2/6/ed3/GB-CMD","GB-CMD")</f>
        <v>GB-CMD</v>
      </c>
    </row>
    <row r="4797" spans="1:8" x14ac:dyDescent="0.2">
      <c r="A4797" s="157"/>
      <c r="B4797" s="31" t="s">
        <v>16182</v>
      </c>
      <c r="C4797" s="31" t="s">
        <v>16183</v>
      </c>
      <c r="D4797" s="31" t="s">
        <v>16114</v>
      </c>
      <c r="E4797" s="61" t="b">
        <v>1</v>
      </c>
      <c r="F4797" s="107" t="s">
        <v>16184</v>
      </c>
      <c r="G4797" s="116" t="str">
        <f>HYPERLINK("http://nsgreg.nga.mil/genc/view?v=201213&amp;end_month=3&amp;end_day=31&amp;end_year=2014","Cardiff")</f>
        <v>Cardiff</v>
      </c>
      <c r="H4797" s="87" t="str">
        <f>HYPERLINK("http://api.nsgreg.nga.mil/geo-division/GENC/6/ed2/GB-CRF","GB-CRF")</f>
        <v>GB-CRF</v>
      </c>
    </row>
    <row r="4798" spans="1:8" x14ac:dyDescent="0.2">
      <c r="A4798" s="157"/>
      <c r="B4798" s="31" t="s">
        <v>16185</v>
      </c>
      <c r="C4798" s="31" t="s">
        <v>16186</v>
      </c>
      <c r="D4798" s="31" t="s">
        <v>16114</v>
      </c>
      <c r="E4798" s="61" t="b">
        <v>1</v>
      </c>
      <c r="F4798" s="107" t="s">
        <v>16187</v>
      </c>
      <c r="G4798" s="116" t="str">
        <f>HYPERLINK("http://nsgreg.nga.mil/genc/view?v=201211&amp;end_month=3&amp;end_day=31&amp;end_year=2014","Carmarthenshire")</f>
        <v>Carmarthenshire</v>
      </c>
      <c r="H4798" s="87" t="str">
        <f>HYPERLINK("http://api.nsgreg.nga.mil/geo-division/GENC/6/ed2/GB-CMN","GB-CMN")</f>
        <v>GB-CMN</v>
      </c>
    </row>
    <row r="4799" spans="1:8" x14ac:dyDescent="0.2">
      <c r="A4799" s="157"/>
      <c r="B4799" s="31" t="s">
        <v>16188</v>
      </c>
      <c r="C4799" s="31" t="s">
        <v>16189</v>
      </c>
      <c r="D4799" s="31" t="s">
        <v>2026</v>
      </c>
      <c r="E4799" s="61" t="b">
        <v>1</v>
      </c>
      <c r="F4799" s="107" t="s">
        <v>16190</v>
      </c>
      <c r="G4799" s="116" t="str">
        <f>HYPERLINK("http://nsgreg.nga.mil/genc/view?v=201207&amp;end_month=3&amp;end_day=31&amp;end_year=2014","Carrickfergus")</f>
        <v>Carrickfergus</v>
      </c>
      <c r="H4799" s="87" t="str">
        <f>HYPERLINK("http://api.nsgreg.nga.mil/geo-division/GENC/6/ed2/GB-CKF","GB-CKF")</f>
        <v>GB-CKF</v>
      </c>
    </row>
    <row r="4800" spans="1:8" x14ac:dyDescent="0.2">
      <c r="A4800" s="157"/>
      <c r="B4800" s="31" t="s">
        <v>16191</v>
      </c>
      <c r="C4800" s="31" t="s">
        <v>16192</v>
      </c>
      <c r="D4800" s="31" t="s">
        <v>2026</v>
      </c>
      <c r="E4800" s="61" t="b">
        <v>1</v>
      </c>
      <c r="F4800" s="107" t="s">
        <v>16193</v>
      </c>
      <c r="G4800" s="116" t="str">
        <f>HYPERLINK("http://nsgreg.nga.mil/genc/view?v=201214&amp;end_month=3&amp;end_day=31&amp;end_year=2014","Castlereagh")</f>
        <v>Castlereagh</v>
      </c>
      <c r="H4800" s="87" t="str">
        <f>HYPERLINK("http://api.nsgreg.nga.mil/geo-division/GENC/6/ed2/GB-CSR","GB-CSR")</f>
        <v>GB-CSR</v>
      </c>
    </row>
    <row r="4801" spans="1:8" x14ac:dyDescent="0.2">
      <c r="A4801" s="157"/>
      <c r="B4801" s="31" t="s">
        <v>16194</v>
      </c>
      <c r="C4801" s="31" t="s">
        <v>16195</v>
      </c>
      <c r="D4801" s="31" t="s">
        <v>16114</v>
      </c>
      <c r="E4801" s="61" t="b">
        <v>1</v>
      </c>
      <c r="F4801" s="107" t="s">
        <v>16196</v>
      </c>
      <c r="G4801" s="116" t="str">
        <f>HYPERLINK("http://nsgreg.nga.mil/genc/view?v=201202&amp;end_month=3&amp;end_day=31&amp;end_year=2014","Central Bedfordshire")</f>
        <v>Central Bedfordshire</v>
      </c>
      <c r="H4801" s="87" t="str">
        <f>HYPERLINK("http://api.nsgreg.nga.mil/geo-division/GENC/6/ed2/GB-CBF","GB-CBF")</f>
        <v>GB-CBF</v>
      </c>
    </row>
    <row r="4802" spans="1:8" x14ac:dyDescent="0.2">
      <c r="A4802" s="157"/>
      <c r="B4802" s="31" t="s">
        <v>16197</v>
      </c>
      <c r="C4802" s="31" t="s">
        <v>16198</v>
      </c>
      <c r="D4802" s="31" t="s">
        <v>16114</v>
      </c>
      <c r="E4802" s="61" t="b">
        <v>1</v>
      </c>
      <c r="F4802" s="107" t="s">
        <v>16199</v>
      </c>
      <c r="G4802" s="116" t="str">
        <f>HYPERLINK("http://nsgreg.nga.mil/genc/view?v=201203&amp;end_month=3&amp;end_day=31&amp;end_year=2014","Ceredigion")</f>
        <v>Ceredigion</v>
      </c>
      <c r="H4802" s="87" t="str">
        <f>HYPERLINK("http://api.nsgreg.nga.mil/geo-division/GENC/6/ed2/GB-CGN","GB-CGN")</f>
        <v>GB-CGN</v>
      </c>
    </row>
    <row r="4803" spans="1:8" x14ac:dyDescent="0.2">
      <c r="A4803" s="157"/>
      <c r="B4803" s="31" t="s">
        <v>16200</v>
      </c>
      <c r="C4803" s="31" t="s">
        <v>16201</v>
      </c>
      <c r="D4803" s="31" t="s">
        <v>16114</v>
      </c>
      <c r="E4803" s="61" t="b">
        <v>1</v>
      </c>
      <c r="F4803" s="107" t="s">
        <v>16202</v>
      </c>
      <c r="G4803" s="116" t="str">
        <f>HYPERLINK("http://nsgreg.nga.mil/genc/view?v=201205&amp;end_month=3&amp;end_day=31&amp;end_year=2014","Cheshire East")</f>
        <v>Cheshire East</v>
      </c>
      <c r="H4803" s="87" t="str">
        <f>HYPERLINK("http://api.nsgreg.nga.mil/geo-division/GENC/6/ed2/GB-CHE","GB-CHE")</f>
        <v>GB-CHE</v>
      </c>
    </row>
    <row r="4804" spans="1:8" x14ac:dyDescent="0.2">
      <c r="A4804" s="157"/>
      <c r="B4804" s="31" t="s">
        <v>16203</v>
      </c>
      <c r="C4804" s="31" t="s">
        <v>16204</v>
      </c>
      <c r="D4804" s="31" t="s">
        <v>16114</v>
      </c>
      <c r="E4804" s="61" t="b">
        <v>1</v>
      </c>
      <c r="F4804" s="107" t="s">
        <v>16205</v>
      </c>
      <c r="G4804" s="116" t="str">
        <f>HYPERLINK("http://nsgreg.nga.mil/genc/view?v=201206&amp;end_month=3&amp;end_day=31&amp;end_year=2014","Cheshire West and Chester")</f>
        <v>Cheshire West and Chester</v>
      </c>
      <c r="H4804" s="87" t="str">
        <f>HYPERLINK("http://api.nsgreg.nga.mil/geo-division/GENC/6/ed2/GB-CHW","GB-CHW")</f>
        <v>GB-CHW</v>
      </c>
    </row>
    <row r="4805" spans="1:8" x14ac:dyDescent="0.2">
      <c r="A4805" s="157"/>
      <c r="B4805" s="31" t="s">
        <v>16206</v>
      </c>
      <c r="C4805" s="31" t="s">
        <v>16207</v>
      </c>
      <c r="D4805" s="31" t="s">
        <v>16072</v>
      </c>
      <c r="E4805" s="61" t="b">
        <v>1</v>
      </c>
      <c r="F4805" s="106" t="s">
        <v>16208</v>
      </c>
      <c r="G4805" s="116" t="str">
        <f>HYPERLINK("http://nsgreg.nga.mil/genc/view?v=113383&amp;gencs=T&amp;end_month=3&amp;end_day=31&amp;end_year=2014","Clackmannanshire")</f>
        <v>Clackmannanshire</v>
      </c>
      <c r="H4805" s="87" t="str">
        <f>HYPERLINK("http://api.nsgreg.nga.mil/geo-division/ISO3166-2/6/ed3/GB-CLK","GB-CLK")</f>
        <v>GB-CLK</v>
      </c>
    </row>
    <row r="4806" spans="1:8" x14ac:dyDescent="0.2">
      <c r="A4806" s="157"/>
      <c r="B4806" s="31" t="s">
        <v>16209</v>
      </c>
      <c r="C4806" s="31" t="s">
        <v>16210</v>
      </c>
      <c r="D4806" s="31" t="s">
        <v>2026</v>
      </c>
      <c r="E4806" s="61" t="b">
        <v>1</v>
      </c>
      <c r="F4806" s="107" t="s">
        <v>16211</v>
      </c>
      <c r="G4806" s="116" t="str">
        <f>HYPERLINK("http://nsgreg.nga.mil/genc/view?v=201209&amp;end_month=3&amp;end_day=31&amp;end_year=2014","Coleraine")</f>
        <v>Coleraine</v>
      </c>
      <c r="H4806" s="87" t="str">
        <f>HYPERLINK("http://api.nsgreg.nga.mil/geo-division/GENC/6/ed2/GB-CLR","GB-CLR")</f>
        <v>GB-CLR</v>
      </c>
    </row>
    <row r="4807" spans="1:8" x14ac:dyDescent="0.2">
      <c r="A4807" s="157"/>
      <c r="B4807" s="31" t="s">
        <v>16212</v>
      </c>
      <c r="C4807" s="31" t="s">
        <v>16213</v>
      </c>
      <c r="D4807" s="31" t="s">
        <v>16114</v>
      </c>
      <c r="E4807" s="61" t="b">
        <v>1</v>
      </c>
      <c r="F4807" s="107" t="s">
        <v>16214</v>
      </c>
      <c r="G4807" s="116" t="str">
        <f>HYPERLINK("http://nsgreg.nga.mil/genc/view?v=201215&amp;end_month=3&amp;end_day=31&amp;end_year=2014","Conwy")</f>
        <v>Conwy</v>
      </c>
      <c r="H4807" s="87" t="str">
        <f>HYPERLINK("http://api.nsgreg.nga.mil/geo-division/GENC/6/ed2/GB-CWY","GB-CWY")</f>
        <v>GB-CWY</v>
      </c>
    </row>
    <row r="4808" spans="1:8" x14ac:dyDescent="0.2">
      <c r="A4808" s="157"/>
      <c r="B4808" s="31" t="s">
        <v>16215</v>
      </c>
      <c r="C4808" s="31" t="s">
        <v>16216</v>
      </c>
      <c r="D4808" s="31" t="s">
        <v>2026</v>
      </c>
      <c r="E4808" s="61" t="b">
        <v>1</v>
      </c>
      <c r="F4808" s="107" t="s">
        <v>16217</v>
      </c>
      <c r="G4808" s="116" t="str">
        <f>HYPERLINK("http://nsgreg.nga.mil/genc/view?v=201208&amp;end_month=3&amp;end_day=31&amp;end_year=2014","Cookstown")</f>
        <v>Cookstown</v>
      </c>
      <c r="H4808" s="87" t="str">
        <f>HYPERLINK("http://api.nsgreg.nga.mil/geo-division/GENC/6/ed2/GB-CKT","GB-CKT")</f>
        <v>GB-CKT</v>
      </c>
    </row>
    <row r="4809" spans="1:8" x14ac:dyDescent="0.2">
      <c r="A4809" s="157"/>
      <c r="B4809" s="31" t="s">
        <v>16218</v>
      </c>
      <c r="C4809" s="31" t="s">
        <v>16219</v>
      </c>
      <c r="D4809" s="31" t="s">
        <v>16114</v>
      </c>
      <c r="E4809" s="61" t="b">
        <v>1</v>
      </c>
      <c r="F4809" s="107" t="s">
        <v>16220</v>
      </c>
      <c r="G4809" s="116" t="str">
        <f>HYPERLINK("http://nsgreg.nga.mil/genc/view?v=201212&amp;end_month=3&amp;end_day=31&amp;end_year=2014","Cornwall")</f>
        <v>Cornwall</v>
      </c>
      <c r="H4809" s="87" t="str">
        <f>HYPERLINK("http://api.nsgreg.nga.mil/geo-division/GENC/6/ed2/GB-CON","GB-CON")</f>
        <v>GB-CON</v>
      </c>
    </row>
    <row r="4810" spans="1:8" x14ac:dyDescent="0.2">
      <c r="A4810" s="157"/>
      <c r="B4810" s="31" t="s">
        <v>16221</v>
      </c>
      <c r="C4810" s="31" t="s">
        <v>16222</v>
      </c>
      <c r="D4810" s="31" t="s">
        <v>16110</v>
      </c>
      <c r="E4810" s="61" t="b">
        <v>1</v>
      </c>
      <c r="F4810" s="106" t="s">
        <v>16223</v>
      </c>
      <c r="G4810" s="116" t="str">
        <f>HYPERLINK("http://nsgreg.nga.mil/genc/view?v=113389&amp;gencs=T&amp;end_month=3&amp;end_day=31&amp;end_year=2014","Coventry")</f>
        <v>Coventry</v>
      </c>
      <c r="H4810" s="87" t="str">
        <f>HYPERLINK("http://api.nsgreg.nga.mil/geo-division/ISO3166-2/6/ed3/GB-COV","GB-COV")</f>
        <v>GB-COV</v>
      </c>
    </row>
    <row r="4811" spans="1:8" x14ac:dyDescent="0.2">
      <c r="A4811" s="157"/>
      <c r="B4811" s="31" t="s">
        <v>16224</v>
      </c>
      <c r="C4811" s="31" t="s">
        <v>16225</v>
      </c>
      <c r="D4811" s="31" t="s">
        <v>2026</v>
      </c>
      <c r="E4811" s="61" t="b">
        <v>1</v>
      </c>
      <c r="F4811" s="107" t="s">
        <v>16226</v>
      </c>
      <c r="G4811" s="116" t="str">
        <f>HYPERLINK("http://nsgreg.nga.mil/genc/view?v=201204&amp;end_month=3&amp;end_day=31&amp;end_year=2014","Craigavon")</f>
        <v>Craigavon</v>
      </c>
      <c r="H4811" s="87" t="str">
        <f>HYPERLINK("http://api.nsgreg.nga.mil/geo-division/GENC/6/ed2/GB-CGV","GB-CGV")</f>
        <v>GB-CGV</v>
      </c>
    </row>
    <row r="4812" spans="1:8" x14ac:dyDescent="0.2">
      <c r="A4812" s="157"/>
      <c r="B4812" s="31" t="s">
        <v>16227</v>
      </c>
      <c r="C4812" s="31" t="s">
        <v>16228</v>
      </c>
      <c r="D4812" s="31" t="s">
        <v>16103</v>
      </c>
      <c r="E4812" s="61" t="b">
        <v>1</v>
      </c>
      <c r="F4812" s="106" t="s">
        <v>16229</v>
      </c>
      <c r="G4812" s="116" t="str">
        <f>HYPERLINK("http://nsgreg.nga.mil/genc/view?v=113391&amp;gencs=T&amp;end_month=3&amp;end_day=31&amp;end_year=2014","Croydon")</f>
        <v>Croydon</v>
      </c>
      <c r="H4812" s="87" t="str">
        <f>HYPERLINK("http://api.nsgreg.nga.mil/geo-division/ISO3166-2/6/ed3/GB-CRY","GB-CRY")</f>
        <v>GB-CRY</v>
      </c>
    </row>
    <row r="4813" spans="1:8" x14ac:dyDescent="0.2">
      <c r="A4813" s="157"/>
      <c r="B4813" s="31" t="s">
        <v>16230</v>
      </c>
      <c r="C4813" s="31" t="s">
        <v>16231</v>
      </c>
      <c r="D4813" s="31" t="s">
        <v>2023</v>
      </c>
      <c r="E4813" s="61" t="b">
        <v>1</v>
      </c>
      <c r="F4813" s="107" t="s">
        <v>16232</v>
      </c>
      <c r="G4813" s="116" t="str">
        <f>HYPERLINK("http://nsgreg.nga.mil/genc/view?v=201210&amp;end_month=3&amp;end_day=31&amp;end_year=2014","Cumbria")</f>
        <v>Cumbria</v>
      </c>
      <c r="H4813" s="87" t="str">
        <f>HYPERLINK("http://api.nsgreg.nga.mil/geo-division/GENC/6/ed2/GB-CMA","GB-CMA")</f>
        <v>GB-CMA</v>
      </c>
    </row>
    <row r="4814" spans="1:8" x14ac:dyDescent="0.2">
      <c r="A4814" s="157"/>
      <c r="B4814" s="31" t="s">
        <v>16233</v>
      </c>
      <c r="C4814" s="31" t="s">
        <v>16234</v>
      </c>
      <c r="D4814" s="31" t="s">
        <v>16114</v>
      </c>
      <c r="E4814" s="61" t="b">
        <v>1</v>
      </c>
      <c r="F4814" s="107" t="s">
        <v>16235</v>
      </c>
      <c r="G4814" s="116" t="str">
        <f>HYPERLINK("http://nsgreg.nga.mil/genc/view?v=201216&amp;end_month=3&amp;end_day=31&amp;end_year=2014","Darlington")</f>
        <v>Darlington</v>
      </c>
      <c r="H4814" s="87" t="str">
        <f>HYPERLINK("http://api.nsgreg.nga.mil/geo-division/GENC/6/ed2/GB-DAL","GB-DAL")</f>
        <v>GB-DAL</v>
      </c>
    </row>
    <row r="4815" spans="1:8" x14ac:dyDescent="0.2">
      <c r="A4815" s="157"/>
      <c r="B4815" s="31" t="s">
        <v>16236</v>
      </c>
      <c r="C4815" s="31" t="s">
        <v>16237</v>
      </c>
      <c r="D4815" s="31" t="s">
        <v>16114</v>
      </c>
      <c r="E4815" s="61" t="b">
        <v>1</v>
      </c>
      <c r="F4815" s="107" t="s">
        <v>16238</v>
      </c>
      <c r="G4815" s="116" t="str">
        <f>HYPERLINK("http://nsgreg.nga.mil/genc/view?v=201218&amp;end_month=3&amp;end_day=31&amp;end_year=2014","Denbighshire")</f>
        <v>Denbighshire</v>
      </c>
      <c r="H4815" s="87" t="str">
        <f>HYPERLINK("http://api.nsgreg.nga.mil/geo-division/GENC/6/ed2/GB-DEN","GB-DEN")</f>
        <v>GB-DEN</v>
      </c>
    </row>
    <row r="4816" spans="1:8" x14ac:dyDescent="0.2">
      <c r="A4816" s="157"/>
      <c r="B4816" s="31" t="s">
        <v>16239</v>
      </c>
      <c r="C4816" s="31" t="s">
        <v>16240</v>
      </c>
      <c r="D4816" s="31" t="s">
        <v>16114</v>
      </c>
      <c r="E4816" s="61" t="b">
        <v>1</v>
      </c>
      <c r="F4816" s="107" t="s">
        <v>16241</v>
      </c>
      <c r="G4816" s="116" t="str">
        <f>HYPERLINK("http://nsgreg.nga.mil/genc/view?v=201219&amp;end_month=3&amp;end_day=31&amp;end_year=2014","Derby")</f>
        <v>Derby</v>
      </c>
      <c r="H4816" s="87" t="str">
        <f>HYPERLINK("http://api.nsgreg.nga.mil/geo-division/GENC/6/ed2/GB-DER","GB-DER")</f>
        <v>GB-DER</v>
      </c>
    </row>
    <row r="4817" spans="1:8" x14ac:dyDescent="0.2">
      <c r="A4817" s="157"/>
      <c r="B4817" s="31" t="s">
        <v>16242</v>
      </c>
      <c r="C4817" s="31" t="s">
        <v>16243</v>
      </c>
      <c r="D4817" s="31" t="s">
        <v>2023</v>
      </c>
      <c r="E4817" s="61" t="b">
        <v>1</v>
      </c>
      <c r="F4817" s="107" t="s">
        <v>16244</v>
      </c>
      <c r="G4817" s="116" t="str">
        <f>HYPERLINK("http://nsgreg.nga.mil/genc/view?v=201217&amp;end_month=3&amp;end_day=31&amp;end_year=2014","Derbyshire")</f>
        <v>Derbyshire</v>
      </c>
      <c r="H4817" s="87" t="str">
        <f>HYPERLINK("http://api.nsgreg.nga.mil/geo-division/GENC/6/ed2/GB-DBY","GB-DBY")</f>
        <v>GB-DBY</v>
      </c>
    </row>
    <row r="4818" spans="1:8" x14ac:dyDescent="0.2">
      <c r="A4818" s="157"/>
      <c r="B4818" s="31" t="s">
        <v>16245</v>
      </c>
      <c r="C4818" s="31" t="s">
        <v>16246</v>
      </c>
      <c r="D4818" s="31" t="s">
        <v>2026</v>
      </c>
      <c r="E4818" s="61" t="b">
        <v>1</v>
      </c>
      <c r="F4818" s="107" t="s">
        <v>16247</v>
      </c>
      <c r="G4818" s="116" t="str">
        <f>HYPERLINK("http://nsgreg.nga.mil/genc/view?v=201224&amp;end_month=3&amp;end_day=31&amp;end_year=2014","Derry")</f>
        <v>Derry</v>
      </c>
      <c r="H4818" s="87" t="str">
        <f>HYPERLINK("http://api.nsgreg.nga.mil/geo-division/GENC/6/ed2/GB-DRY","GB-DRY")</f>
        <v>GB-DRY</v>
      </c>
    </row>
    <row r="4819" spans="1:8" x14ac:dyDescent="0.2">
      <c r="A4819" s="157"/>
      <c r="B4819" s="31" t="s">
        <v>16248</v>
      </c>
      <c r="C4819" s="31" t="s">
        <v>16249</v>
      </c>
      <c r="D4819" s="31" t="s">
        <v>2023</v>
      </c>
      <c r="E4819" s="61" t="b">
        <v>1</v>
      </c>
      <c r="F4819" s="107" t="s">
        <v>16250</v>
      </c>
      <c r="G4819" s="116" t="str">
        <f>HYPERLINK("http://nsgreg.nga.mil/genc/view?v=201220&amp;end_month=3&amp;end_day=31&amp;end_year=2014","Devon")</f>
        <v>Devon</v>
      </c>
      <c r="H4819" s="87" t="str">
        <f>HYPERLINK("http://api.nsgreg.nga.mil/geo-division/GENC/6/ed2/GB-DEV","GB-DEV")</f>
        <v>GB-DEV</v>
      </c>
    </row>
    <row r="4820" spans="1:8" x14ac:dyDescent="0.2">
      <c r="A4820" s="157"/>
      <c r="B4820" s="31" t="s">
        <v>16251</v>
      </c>
      <c r="C4820" s="31" t="s">
        <v>16252</v>
      </c>
      <c r="D4820" s="31" t="s">
        <v>16110</v>
      </c>
      <c r="E4820" s="61" t="b">
        <v>1</v>
      </c>
      <c r="F4820" s="106" t="s">
        <v>16253</v>
      </c>
      <c r="G4820" s="116" t="str">
        <f>HYPERLINK("http://nsgreg.nga.mil/genc/view?v=113401&amp;gencs=T&amp;end_month=3&amp;end_day=31&amp;end_year=2014","Doncaster")</f>
        <v>Doncaster</v>
      </c>
      <c r="H4820" s="87" t="str">
        <f>HYPERLINK("http://api.nsgreg.nga.mil/geo-division/ISO3166-2/6/ed3/GB-DNC","GB-DNC")</f>
        <v>GB-DNC</v>
      </c>
    </row>
    <row r="4821" spans="1:8" x14ac:dyDescent="0.2">
      <c r="A4821" s="157"/>
      <c r="B4821" s="31" t="s">
        <v>16254</v>
      </c>
      <c r="C4821" s="31" t="s">
        <v>16255</v>
      </c>
      <c r="D4821" s="31" t="s">
        <v>2023</v>
      </c>
      <c r="E4821" s="61" t="b">
        <v>1</v>
      </c>
      <c r="F4821" s="107" t="s">
        <v>16256</v>
      </c>
      <c r="G4821" s="116" t="str">
        <f>HYPERLINK("http://nsgreg.nga.mil/genc/view?v=201222&amp;end_month=3&amp;end_day=31&amp;end_year=2014","Dorset")</f>
        <v>Dorset</v>
      </c>
      <c r="H4821" s="87" t="str">
        <f>HYPERLINK("http://api.nsgreg.nga.mil/geo-division/GENC/6/ed2/GB-DOR","GB-DOR")</f>
        <v>GB-DOR</v>
      </c>
    </row>
    <row r="4822" spans="1:8" x14ac:dyDescent="0.2">
      <c r="A4822" s="157"/>
      <c r="B4822" s="31" t="s">
        <v>16257</v>
      </c>
      <c r="C4822" s="31" t="s">
        <v>16258</v>
      </c>
      <c r="D4822" s="31" t="s">
        <v>2026</v>
      </c>
      <c r="E4822" s="61" t="b">
        <v>1</v>
      </c>
      <c r="F4822" s="107" t="s">
        <v>16259</v>
      </c>
      <c r="G4822" s="116" t="str">
        <f>HYPERLINK("http://nsgreg.nga.mil/genc/view?v=201223&amp;end_month=3&amp;end_day=31&amp;end_year=2014","Down")</f>
        <v>Down</v>
      </c>
      <c r="H4822" s="87" t="str">
        <f>HYPERLINK("http://api.nsgreg.nga.mil/geo-division/GENC/6/ed2/GB-DOW","GB-DOW")</f>
        <v>GB-DOW</v>
      </c>
    </row>
    <row r="4823" spans="1:8" x14ac:dyDescent="0.2">
      <c r="A4823" s="157"/>
      <c r="B4823" s="31" t="s">
        <v>16260</v>
      </c>
      <c r="C4823" s="31" t="s">
        <v>16261</v>
      </c>
      <c r="D4823" s="31" t="s">
        <v>16110</v>
      </c>
      <c r="E4823" s="61" t="b">
        <v>1</v>
      </c>
      <c r="F4823" s="106" t="s">
        <v>16262</v>
      </c>
      <c r="G4823" s="116" t="str">
        <f>HYPERLINK("http://nsgreg.nga.mil/genc/view?v=113406&amp;gencs=T&amp;end_month=3&amp;end_day=31&amp;end_year=2014","Dudley")</f>
        <v>Dudley</v>
      </c>
      <c r="H4823" s="87" t="str">
        <f>HYPERLINK("http://api.nsgreg.nga.mil/geo-division/ISO3166-2/6/ed3/GB-DUD","GB-DUD")</f>
        <v>GB-DUD</v>
      </c>
    </row>
    <row r="4824" spans="1:8" x14ac:dyDescent="0.2">
      <c r="A4824" s="157"/>
      <c r="B4824" s="31" t="s">
        <v>16263</v>
      </c>
      <c r="C4824" s="31" t="s">
        <v>16264</v>
      </c>
      <c r="D4824" s="31" t="s">
        <v>16072</v>
      </c>
      <c r="E4824" s="61" t="b">
        <v>1</v>
      </c>
      <c r="F4824" s="106" t="s">
        <v>16265</v>
      </c>
      <c r="G4824" s="116" t="str">
        <f>HYPERLINK("http://nsgreg.nga.mil/genc/view?v=113400&amp;gencs=T&amp;end_month=3&amp;end_day=31&amp;end_year=2014","Dumfries and Galloway")</f>
        <v>Dumfries and Galloway</v>
      </c>
      <c r="H4824" s="87" t="str">
        <f>HYPERLINK("http://api.nsgreg.nga.mil/geo-division/ISO3166-2/6/ed3/GB-DGY","GB-DGY")</f>
        <v>GB-DGY</v>
      </c>
    </row>
    <row r="4825" spans="1:8" x14ac:dyDescent="0.2">
      <c r="A4825" s="157"/>
      <c r="B4825" s="31" t="s">
        <v>16266</v>
      </c>
      <c r="C4825" s="31" t="s">
        <v>16267</v>
      </c>
      <c r="D4825" s="31" t="s">
        <v>16072</v>
      </c>
      <c r="E4825" s="61" t="b">
        <v>1</v>
      </c>
      <c r="F4825" s="106" t="s">
        <v>16268</v>
      </c>
      <c r="G4825" s="116" t="str">
        <f>HYPERLINK("http://nsgreg.nga.mil/genc/view?v=113402&amp;gencs=T&amp;end_month=3&amp;end_day=31&amp;end_year=2014","Dundee City")</f>
        <v>Dundee City</v>
      </c>
      <c r="H4825" s="87" t="str">
        <f>HYPERLINK("http://api.nsgreg.nga.mil/geo-division/ISO3166-2/6/ed3/GB-DND","GB-DND")</f>
        <v>GB-DND</v>
      </c>
    </row>
    <row r="4826" spans="1:8" x14ac:dyDescent="0.2">
      <c r="A4826" s="157"/>
      <c r="B4826" s="31" t="s">
        <v>16269</v>
      </c>
      <c r="C4826" s="31" t="s">
        <v>16270</v>
      </c>
      <c r="D4826" s="31" t="s">
        <v>2026</v>
      </c>
      <c r="E4826" s="61" t="b">
        <v>1</v>
      </c>
      <c r="F4826" s="107" t="s">
        <v>16271</v>
      </c>
      <c r="G4826" s="116" t="str">
        <f>HYPERLINK("http://nsgreg.nga.mil/genc/view?v=201221&amp;end_month=3&amp;end_day=31&amp;end_year=2014","Dungannon and South Tyrone")</f>
        <v>Dungannon and South Tyrone</v>
      </c>
      <c r="H4826" s="87" t="str">
        <f>HYPERLINK("http://api.nsgreg.nga.mil/geo-division/GENC/6/ed2/GB-DGN","GB-DGN")</f>
        <v>GB-DGN</v>
      </c>
    </row>
    <row r="4827" spans="1:8" x14ac:dyDescent="0.2">
      <c r="A4827" s="157"/>
      <c r="B4827" s="31" t="s">
        <v>16272</v>
      </c>
      <c r="C4827" s="31" t="s">
        <v>16273</v>
      </c>
      <c r="D4827" s="31" t="s">
        <v>16114</v>
      </c>
      <c r="E4827" s="61" t="b">
        <v>1</v>
      </c>
      <c r="F4827" s="107" t="s">
        <v>16274</v>
      </c>
      <c r="G4827" s="116" t="str">
        <f>HYPERLINK("http://nsgreg.nga.mil/genc/view?v=201225&amp;end_month=3&amp;end_day=31&amp;end_year=2014","Durham")</f>
        <v>Durham</v>
      </c>
      <c r="H4827" s="87" t="str">
        <f>HYPERLINK("http://api.nsgreg.nga.mil/geo-division/GENC/6/ed2/GB-DUR","GB-DUR")</f>
        <v>GB-DUR</v>
      </c>
    </row>
    <row r="4828" spans="1:8" x14ac:dyDescent="0.2">
      <c r="A4828" s="157"/>
      <c r="B4828" s="31" t="s">
        <v>16275</v>
      </c>
      <c r="C4828" s="31" t="s">
        <v>16276</v>
      </c>
      <c r="D4828" s="31" t="s">
        <v>16103</v>
      </c>
      <c r="E4828" s="61" t="b">
        <v>1</v>
      </c>
      <c r="F4828" s="106" t="s">
        <v>16277</v>
      </c>
      <c r="G4828" s="116" t="str">
        <f>HYPERLINK("http://nsgreg.nga.mil/genc/view?v=113408&amp;gencs=T&amp;end_month=3&amp;end_day=31&amp;end_year=2014","Ealing")</f>
        <v>Ealing</v>
      </c>
      <c r="H4828" s="87" t="str">
        <f>HYPERLINK("http://api.nsgreg.nga.mil/geo-division/ISO3166-2/6/ed3/GB-EAL","GB-EAL")</f>
        <v>GB-EAL</v>
      </c>
    </row>
    <row r="4829" spans="1:8" x14ac:dyDescent="0.2">
      <c r="A4829" s="157"/>
      <c r="B4829" s="31" t="s">
        <v>16278</v>
      </c>
      <c r="C4829" s="31" t="s">
        <v>16279</v>
      </c>
      <c r="D4829" s="31" t="s">
        <v>16072</v>
      </c>
      <c r="E4829" s="61" t="b">
        <v>1</v>
      </c>
      <c r="F4829" s="106" t="s">
        <v>16280</v>
      </c>
      <c r="G4829" s="116" t="str">
        <f>HYPERLINK("http://nsgreg.nga.mil/genc/view?v=113409&amp;gencs=T&amp;end_month=3&amp;end_day=31&amp;end_year=2014","East Ayrshire")</f>
        <v>East Ayrshire</v>
      </c>
      <c r="H4829" s="87" t="str">
        <f>HYPERLINK("http://api.nsgreg.nga.mil/geo-division/ISO3166-2/6/ed3/GB-EAY","GB-EAY")</f>
        <v>GB-EAY</v>
      </c>
    </row>
    <row r="4830" spans="1:8" x14ac:dyDescent="0.2">
      <c r="A4830" s="157"/>
      <c r="B4830" s="31" t="s">
        <v>16281</v>
      </c>
      <c r="C4830" s="31" t="s">
        <v>16282</v>
      </c>
      <c r="D4830" s="31" t="s">
        <v>16072</v>
      </c>
      <c r="E4830" s="61" t="b">
        <v>1</v>
      </c>
      <c r="F4830" s="106" t="s">
        <v>16283</v>
      </c>
      <c r="G4830" s="116" t="str">
        <f>HYPERLINK("http://nsgreg.nga.mil/genc/view?v=113411&amp;gencs=T&amp;end_month=3&amp;end_day=31&amp;end_year=2014","East Dunbartonshire")</f>
        <v>East Dunbartonshire</v>
      </c>
      <c r="H4830" s="87" t="str">
        <f>HYPERLINK("http://api.nsgreg.nga.mil/geo-division/ISO3166-2/6/ed3/GB-EDU","GB-EDU")</f>
        <v>GB-EDU</v>
      </c>
    </row>
    <row r="4831" spans="1:8" x14ac:dyDescent="0.2">
      <c r="A4831" s="157"/>
      <c r="B4831" s="31" t="s">
        <v>16284</v>
      </c>
      <c r="C4831" s="31" t="s">
        <v>16285</v>
      </c>
      <c r="D4831" s="31" t="s">
        <v>16072</v>
      </c>
      <c r="E4831" s="61" t="b">
        <v>1</v>
      </c>
      <c r="F4831" s="106" t="s">
        <v>16286</v>
      </c>
      <c r="G4831" s="116" t="str">
        <f>HYPERLINK("http://nsgreg.nga.mil/genc/view?v=113412&amp;gencs=T&amp;end_month=3&amp;end_day=31&amp;end_year=2014","East Lothian")</f>
        <v>East Lothian</v>
      </c>
      <c r="H4831" s="87" t="str">
        <f>HYPERLINK("http://api.nsgreg.nga.mil/geo-division/ISO3166-2/6/ed3/GB-ELN","GB-ELN")</f>
        <v>GB-ELN</v>
      </c>
    </row>
    <row r="4832" spans="1:8" x14ac:dyDescent="0.2">
      <c r="A4832" s="157"/>
      <c r="B4832" s="31" t="s">
        <v>16287</v>
      </c>
      <c r="C4832" s="31" t="s">
        <v>16288</v>
      </c>
      <c r="D4832" s="31" t="s">
        <v>16072</v>
      </c>
      <c r="E4832" s="61" t="b">
        <v>1</v>
      </c>
      <c r="F4832" s="106" t="s">
        <v>16289</v>
      </c>
      <c r="G4832" s="116" t="str">
        <f>HYPERLINK("http://nsgreg.nga.mil/genc/view?v=113416&amp;gencs=T&amp;end_month=3&amp;end_day=31&amp;end_year=2014","East Renfrewshire")</f>
        <v>East Renfrewshire</v>
      </c>
      <c r="H4832" s="87" t="str">
        <f>HYPERLINK("http://api.nsgreg.nga.mil/geo-division/ISO3166-2/6/ed3/GB-ERW","GB-ERW")</f>
        <v>GB-ERW</v>
      </c>
    </row>
    <row r="4833" spans="1:8" x14ac:dyDescent="0.2">
      <c r="A4833" s="157"/>
      <c r="B4833" s="31" t="s">
        <v>16290</v>
      </c>
      <c r="C4833" s="31" t="s">
        <v>16291</v>
      </c>
      <c r="D4833" s="31" t="s">
        <v>16114</v>
      </c>
      <c r="E4833" s="61" t="b">
        <v>1</v>
      </c>
      <c r="F4833" s="107" t="s">
        <v>16292</v>
      </c>
      <c r="G4833" s="116" t="str">
        <f>HYPERLINK("http://nsgreg.nga.mil/genc/view?v=201226&amp;end_month=3&amp;end_day=31&amp;end_year=2014","East Riding of Yorkshire")</f>
        <v>East Riding of Yorkshire</v>
      </c>
      <c r="H4833" s="87" t="str">
        <f>HYPERLINK("http://api.nsgreg.nga.mil/geo-division/GENC/6/ed2/GB-ERY","GB-ERY")</f>
        <v>GB-ERY</v>
      </c>
    </row>
    <row r="4834" spans="1:8" x14ac:dyDescent="0.2">
      <c r="A4834" s="157"/>
      <c r="B4834" s="31" t="s">
        <v>16293</v>
      </c>
      <c r="C4834" s="31" t="s">
        <v>16294</v>
      </c>
      <c r="D4834" s="31" t="s">
        <v>2023</v>
      </c>
      <c r="E4834" s="61" t="b">
        <v>1</v>
      </c>
      <c r="F4834" s="107" t="s">
        <v>16295</v>
      </c>
      <c r="G4834" s="116" t="str">
        <f>HYPERLINK("http://nsgreg.nga.mil/genc/view?v=201228&amp;end_month=3&amp;end_day=31&amp;end_year=2014","East Sussex")</f>
        <v>East Sussex</v>
      </c>
      <c r="H4834" s="87" t="str">
        <f>HYPERLINK("http://api.nsgreg.nga.mil/geo-division/GENC/6/ed2/GB-ESX","GB-ESX")</f>
        <v>GB-ESX</v>
      </c>
    </row>
    <row r="4835" spans="1:8" x14ac:dyDescent="0.2">
      <c r="A4835" s="157"/>
      <c r="B4835" s="31" t="s">
        <v>16296</v>
      </c>
      <c r="C4835" s="31" t="s">
        <v>16297</v>
      </c>
      <c r="D4835" s="31" t="s">
        <v>16072</v>
      </c>
      <c r="E4835" s="61" t="b">
        <v>1</v>
      </c>
      <c r="F4835" s="106" t="s">
        <v>16298</v>
      </c>
      <c r="G4835" s="116" t="str">
        <f>HYPERLINK("http://nsgreg.nga.mil/genc/view?v=113410&amp;gencs=T&amp;end_month=3&amp;end_day=31&amp;end_year=2014","Edinburgh, City of")</f>
        <v>Edinburgh, City of</v>
      </c>
      <c r="H4835" s="87" t="str">
        <f>HYPERLINK("http://api.nsgreg.nga.mil/geo-division/ISO3166-2/6/ed3/GB-EDH","GB-EDH")</f>
        <v>GB-EDH</v>
      </c>
    </row>
    <row r="4836" spans="1:8" x14ac:dyDescent="0.2">
      <c r="A4836" s="157"/>
      <c r="B4836" s="31" t="s">
        <v>16299</v>
      </c>
      <c r="C4836" s="31" t="s">
        <v>16300</v>
      </c>
      <c r="D4836" s="31" t="s">
        <v>16072</v>
      </c>
      <c r="E4836" s="61" t="b">
        <v>1</v>
      </c>
      <c r="F4836" s="106" t="s">
        <v>16301</v>
      </c>
      <c r="G4836" s="116" t="str">
        <f>HYPERLINK("http://nsgreg.nga.mil/genc/view?v=113413&amp;gencs=T&amp;end_month=3&amp;end_day=31&amp;end_year=2014","Eilean Siar")</f>
        <v>Eilean Siar</v>
      </c>
      <c r="H4836" s="87" t="str">
        <f>HYPERLINK("http://api.nsgreg.nga.mil/geo-division/ISO3166-2/6/ed3/GB-ELS","GB-ELS")</f>
        <v>GB-ELS</v>
      </c>
    </row>
    <row r="4837" spans="1:8" x14ac:dyDescent="0.2">
      <c r="A4837" s="157"/>
      <c r="B4837" s="31" t="s">
        <v>16302</v>
      </c>
      <c r="C4837" s="31" t="s">
        <v>16303</v>
      </c>
      <c r="D4837" s="31" t="s">
        <v>16103</v>
      </c>
      <c r="E4837" s="61" t="b">
        <v>1</v>
      </c>
      <c r="F4837" s="106" t="s">
        <v>16304</v>
      </c>
      <c r="G4837" s="116" t="str">
        <f>HYPERLINK("http://nsgreg.nga.mil/genc/view?v=113414&amp;gencs=T&amp;end_month=3&amp;end_day=31&amp;end_year=2014","Enfield")</f>
        <v>Enfield</v>
      </c>
      <c r="H4837" s="87" t="str">
        <f>HYPERLINK("http://api.nsgreg.nga.mil/geo-division/ISO3166-2/6/ed3/GB-ENF","GB-ENF")</f>
        <v>GB-ENF</v>
      </c>
    </row>
    <row r="4838" spans="1:8" x14ac:dyDescent="0.2">
      <c r="A4838" s="157"/>
      <c r="B4838" s="31" t="s">
        <v>16305</v>
      </c>
      <c r="C4838" s="31" t="s">
        <v>16306</v>
      </c>
      <c r="D4838" s="98" t="s">
        <v>10885</v>
      </c>
      <c r="E4838" s="99" t="b">
        <v>0</v>
      </c>
      <c r="F4838" s="106" t="s">
        <v>16307</v>
      </c>
      <c r="G4838" s="116" t="str">
        <f>HYPERLINK("http://nsgreg.nga.mil/genc/view?v=113415&amp;gencs=T&amp;end_month=3&amp;end_day=31&amp;end_year=2014","England")</f>
        <v>England</v>
      </c>
      <c r="H4838" s="87" t="str">
        <f>HYPERLINK("http://api.nsgreg.nga.mil/geo-division/ISO3166-2/6/ed3/GB-ENG","GB-ENG")</f>
        <v>GB-ENG</v>
      </c>
    </row>
    <row r="4839" spans="1:8" x14ac:dyDescent="0.2">
      <c r="A4839" s="157"/>
      <c r="B4839" s="31" t="s">
        <v>16308</v>
      </c>
      <c r="C4839" s="31" t="s">
        <v>16309</v>
      </c>
      <c r="D4839" s="31" t="s">
        <v>2023</v>
      </c>
      <c r="E4839" s="61" t="b">
        <v>1</v>
      </c>
      <c r="F4839" s="107" t="s">
        <v>16310</v>
      </c>
      <c r="G4839" s="116" t="str">
        <f>HYPERLINK("http://nsgreg.nga.mil/genc/view?v=201227&amp;end_month=3&amp;end_day=31&amp;end_year=2014","Essex")</f>
        <v>Essex</v>
      </c>
      <c r="H4839" s="87" t="str">
        <f>HYPERLINK("http://api.nsgreg.nga.mil/geo-division/GENC/6/ed2/GB-ESS","GB-ESS")</f>
        <v>GB-ESS</v>
      </c>
    </row>
    <row r="4840" spans="1:8" x14ac:dyDescent="0.2">
      <c r="A4840" s="157"/>
      <c r="B4840" s="31" t="s">
        <v>16311</v>
      </c>
      <c r="C4840" s="31" t="s">
        <v>16312</v>
      </c>
      <c r="D4840" s="31" t="s">
        <v>16072</v>
      </c>
      <c r="E4840" s="61" t="b">
        <v>1</v>
      </c>
      <c r="F4840" s="106" t="s">
        <v>16313</v>
      </c>
      <c r="G4840" s="116" t="str">
        <f>HYPERLINK("http://nsgreg.nga.mil/genc/view?v=113420&amp;gencs=T&amp;end_month=3&amp;end_day=31&amp;end_year=2014","Falkirk")</f>
        <v>Falkirk</v>
      </c>
      <c r="H4840" s="87" t="str">
        <f>HYPERLINK("http://api.nsgreg.nga.mil/geo-division/ISO3166-2/6/ed3/GB-FAL","GB-FAL")</f>
        <v>GB-FAL</v>
      </c>
    </row>
    <row r="4841" spans="1:8" x14ac:dyDescent="0.2">
      <c r="A4841" s="157"/>
      <c r="B4841" s="31" t="s">
        <v>16314</v>
      </c>
      <c r="C4841" s="31" t="s">
        <v>16315</v>
      </c>
      <c r="D4841" s="31" t="s">
        <v>2026</v>
      </c>
      <c r="E4841" s="61" t="b">
        <v>1</v>
      </c>
      <c r="F4841" s="107" t="s">
        <v>16316</v>
      </c>
      <c r="G4841" s="116" t="str">
        <f>HYPERLINK("http://nsgreg.nga.mil/genc/view?v=201229&amp;end_month=3&amp;end_day=31&amp;end_year=2014","Fermanagh")</f>
        <v>Fermanagh</v>
      </c>
      <c r="H4841" s="87" t="str">
        <f>HYPERLINK("http://api.nsgreg.nga.mil/geo-division/GENC/6/ed2/GB-FER","GB-FER")</f>
        <v>GB-FER</v>
      </c>
    </row>
    <row r="4842" spans="1:8" x14ac:dyDescent="0.2">
      <c r="A4842" s="157"/>
      <c r="B4842" s="31" t="s">
        <v>16317</v>
      </c>
      <c r="C4842" s="31" t="s">
        <v>16318</v>
      </c>
      <c r="D4842" s="31" t="s">
        <v>16072</v>
      </c>
      <c r="E4842" s="61" t="b">
        <v>1</v>
      </c>
      <c r="F4842" s="106" t="s">
        <v>16319</v>
      </c>
      <c r="G4842" s="116" t="str">
        <f>HYPERLINK("http://nsgreg.nga.mil/genc/view?v=113422&amp;gencs=T&amp;end_month=3&amp;end_day=31&amp;end_year=2014","Fife")</f>
        <v>Fife</v>
      </c>
      <c r="H4842" s="87" t="str">
        <f>HYPERLINK("http://api.nsgreg.nga.mil/geo-division/ISO3166-2/6/ed3/GB-FIF","GB-FIF")</f>
        <v>GB-FIF</v>
      </c>
    </row>
    <row r="4843" spans="1:8" x14ac:dyDescent="0.2">
      <c r="A4843" s="157"/>
      <c r="B4843" s="31" t="s">
        <v>16320</v>
      </c>
      <c r="C4843" s="31" t="s">
        <v>16321</v>
      </c>
      <c r="D4843" s="31" t="s">
        <v>16114</v>
      </c>
      <c r="E4843" s="61" t="b">
        <v>1</v>
      </c>
      <c r="F4843" s="107" t="s">
        <v>16322</v>
      </c>
      <c r="G4843" s="116" t="str">
        <f>HYPERLINK("http://nsgreg.nga.mil/genc/view?v=201230&amp;end_month=3&amp;end_day=31&amp;end_year=2014","Flintshire")</f>
        <v>Flintshire</v>
      </c>
      <c r="H4843" s="87" t="str">
        <f>HYPERLINK("http://api.nsgreg.nga.mil/geo-division/GENC/6/ed2/GB-FLN","GB-FLN")</f>
        <v>GB-FLN</v>
      </c>
    </row>
    <row r="4844" spans="1:8" x14ac:dyDescent="0.2">
      <c r="A4844" s="157"/>
      <c r="B4844" s="31" t="s">
        <v>16323</v>
      </c>
      <c r="C4844" s="31" t="s">
        <v>16324</v>
      </c>
      <c r="D4844" s="31" t="s">
        <v>16110</v>
      </c>
      <c r="E4844" s="61" t="b">
        <v>1</v>
      </c>
      <c r="F4844" s="106" t="s">
        <v>16325</v>
      </c>
      <c r="G4844" s="116" t="str">
        <f>HYPERLINK("http://nsgreg.nga.mil/genc/view?v=113424&amp;gencs=T&amp;end_month=3&amp;end_day=31&amp;end_year=2014","Gateshead")</f>
        <v>Gateshead</v>
      </c>
      <c r="H4844" s="87" t="str">
        <f>HYPERLINK("http://api.nsgreg.nga.mil/geo-division/ISO3166-2/6/ed3/GB-GAT","GB-GAT")</f>
        <v>GB-GAT</v>
      </c>
    </row>
    <row r="4845" spans="1:8" x14ac:dyDescent="0.2">
      <c r="A4845" s="157"/>
      <c r="B4845" s="31" t="s">
        <v>16326</v>
      </c>
      <c r="C4845" s="31" t="s">
        <v>16327</v>
      </c>
      <c r="D4845" s="31" t="s">
        <v>16072</v>
      </c>
      <c r="E4845" s="61" t="b">
        <v>1</v>
      </c>
      <c r="F4845" s="106" t="s">
        <v>16328</v>
      </c>
      <c r="G4845" s="116" t="str">
        <f>HYPERLINK("http://nsgreg.nga.mil/genc/view?v=113425&amp;gencs=T&amp;end_month=3&amp;end_day=31&amp;end_year=2014","Glasgow City")</f>
        <v>Glasgow City</v>
      </c>
      <c r="H4845" s="87" t="str">
        <f>HYPERLINK("http://api.nsgreg.nga.mil/geo-division/ISO3166-2/6/ed3/GB-GLG","GB-GLG")</f>
        <v>GB-GLG</v>
      </c>
    </row>
    <row r="4846" spans="1:8" x14ac:dyDescent="0.2">
      <c r="A4846" s="157"/>
      <c r="B4846" s="31" t="s">
        <v>16329</v>
      </c>
      <c r="C4846" s="31" t="s">
        <v>16330</v>
      </c>
      <c r="D4846" s="31" t="s">
        <v>2023</v>
      </c>
      <c r="E4846" s="61" t="b">
        <v>1</v>
      </c>
      <c r="F4846" s="107" t="s">
        <v>16331</v>
      </c>
      <c r="G4846" s="116" t="str">
        <f>HYPERLINK("http://nsgreg.nga.mil/genc/view?v=201231&amp;end_month=3&amp;end_day=31&amp;end_year=2014","Gloucestershire")</f>
        <v>Gloucestershire</v>
      </c>
      <c r="H4846" s="87" t="str">
        <f>HYPERLINK("http://api.nsgreg.nga.mil/geo-division/GENC/6/ed2/GB-GLS","GB-GLS")</f>
        <v>GB-GLS</v>
      </c>
    </row>
    <row r="4847" spans="1:8" x14ac:dyDescent="0.2">
      <c r="A4847" s="157"/>
      <c r="B4847" s="31" t="s">
        <v>16332</v>
      </c>
      <c r="C4847" s="31" t="s">
        <v>16333</v>
      </c>
      <c r="D4847" s="31" t="s">
        <v>16103</v>
      </c>
      <c r="E4847" s="61" t="b">
        <v>1</v>
      </c>
      <c r="F4847" s="106" t="s">
        <v>16334</v>
      </c>
      <c r="G4847" s="116" t="str">
        <f>HYPERLINK("http://nsgreg.nga.mil/genc/view?v=113427&amp;gencs=T&amp;end_month=3&amp;end_day=31&amp;end_year=2014","Greenwich")</f>
        <v>Greenwich</v>
      </c>
      <c r="H4847" s="87" t="str">
        <f>HYPERLINK("http://api.nsgreg.nga.mil/geo-division/ISO3166-2/6/ed3/GB-GRE","GB-GRE")</f>
        <v>GB-GRE</v>
      </c>
    </row>
    <row r="4848" spans="1:8" x14ac:dyDescent="0.2">
      <c r="A4848" s="157"/>
      <c r="B4848" s="31" t="s">
        <v>16335</v>
      </c>
      <c r="C4848" s="31" t="s">
        <v>16336</v>
      </c>
      <c r="D4848" s="31" t="s">
        <v>16114</v>
      </c>
      <c r="E4848" s="61" t="b">
        <v>1</v>
      </c>
      <c r="F4848" s="107" t="s">
        <v>16337</v>
      </c>
      <c r="G4848" s="116" t="str">
        <f>HYPERLINK("http://nsgreg.nga.mil/genc/view?v=201232&amp;end_month=3&amp;end_day=31&amp;end_year=2014","Gwynedd")</f>
        <v>Gwynedd</v>
      </c>
      <c r="H4848" s="87" t="str">
        <f>HYPERLINK("http://api.nsgreg.nga.mil/geo-division/GENC/6/ed2/GB-GWN","GB-GWN")</f>
        <v>GB-GWN</v>
      </c>
    </row>
    <row r="4849" spans="1:8" x14ac:dyDescent="0.2">
      <c r="A4849" s="157"/>
      <c r="B4849" s="31" t="s">
        <v>16338</v>
      </c>
      <c r="C4849" s="31" t="s">
        <v>16339</v>
      </c>
      <c r="D4849" s="31" t="s">
        <v>16103</v>
      </c>
      <c r="E4849" s="61" t="b">
        <v>1</v>
      </c>
      <c r="F4849" s="106" t="s">
        <v>16340</v>
      </c>
      <c r="G4849" s="116" t="str">
        <f>HYPERLINK("http://nsgreg.nga.mil/genc/view?v=113432&amp;gencs=T&amp;end_month=3&amp;end_day=31&amp;end_year=2014","Hackney")</f>
        <v>Hackney</v>
      </c>
      <c r="H4849" s="87" t="str">
        <f>HYPERLINK("http://api.nsgreg.nga.mil/geo-division/ISO3166-2/6/ed3/GB-HCK","GB-HCK")</f>
        <v>GB-HCK</v>
      </c>
    </row>
    <row r="4850" spans="1:8" x14ac:dyDescent="0.2">
      <c r="A4850" s="157"/>
      <c r="B4850" s="31" t="s">
        <v>16341</v>
      </c>
      <c r="C4850" s="31" t="s">
        <v>16342</v>
      </c>
      <c r="D4850" s="31" t="s">
        <v>16114</v>
      </c>
      <c r="E4850" s="61" t="b">
        <v>1</v>
      </c>
      <c r="F4850" s="107" t="s">
        <v>16343</v>
      </c>
      <c r="G4850" s="116" t="str">
        <f>HYPERLINK("http://nsgreg.nga.mil/genc/view?v=201233&amp;end_month=3&amp;end_day=31&amp;end_year=2014","Halton")</f>
        <v>Halton</v>
      </c>
      <c r="H4850" s="87" t="str">
        <f>HYPERLINK("http://api.nsgreg.nga.mil/geo-division/GENC/6/ed2/GB-HAL","GB-HAL")</f>
        <v>GB-HAL</v>
      </c>
    </row>
    <row r="4851" spans="1:8" x14ac:dyDescent="0.2">
      <c r="A4851" s="157"/>
      <c r="B4851" s="31" t="s">
        <v>16344</v>
      </c>
      <c r="C4851" s="31" t="s">
        <v>16345</v>
      </c>
      <c r="D4851" s="31" t="s">
        <v>16103</v>
      </c>
      <c r="E4851" s="61" t="b">
        <v>1</v>
      </c>
      <c r="F4851" s="106" t="s">
        <v>16346</v>
      </c>
      <c r="G4851" s="116" t="str">
        <f>HYPERLINK("http://nsgreg.nga.mil/genc/view?v=113436&amp;gencs=T&amp;end_month=3&amp;end_day=31&amp;end_year=2014","Hammersmith and Fulham")</f>
        <v>Hammersmith and Fulham</v>
      </c>
      <c r="H4851" s="87" t="str">
        <f>HYPERLINK("http://api.nsgreg.nga.mil/geo-division/ISO3166-2/6/ed3/GB-HMF","GB-HMF")</f>
        <v>GB-HMF</v>
      </c>
    </row>
    <row r="4852" spans="1:8" x14ac:dyDescent="0.2">
      <c r="A4852" s="157"/>
      <c r="B4852" s="31" t="s">
        <v>16347</v>
      </c>
      <c r="C4852" s="31" t="s">
        <v>16348</v>
      </c>
      <c r="D4852" s="31" t="s">
        <v>2023</v>
      </c>
      <c r="E4852" s="61" t="b">
        <v>1</v>
      </c>
      <c r="F4852" s="107" t="s">
        <v>16349</v>
      </c>
      <c r="G4852" s="116" t="str">
        <f>HYPERLINK("http://nsgreg.nga.mil/genc/view?v=201234&amp;end_month=3&amp;end_day=31&amp;end_year=2014","Hampshire")</f>
        <v>Hampshire</v>
      </c>
      <c r="H4852" s="87" t="str">
        <f>HYPERLINK("http://api.nsgreg.nga.mil/geo-division/GENC/6/ed2/GB-HAM","GB-HAM")</f>
        <v>GB-HAM</v>
      </c>
    </row>
    <row r="4853" spans="1:8" x14ac:dyDescent="0.2">
      <c r="A4853" s="157"/>
      <c r="B4853" s="31" t="s">
        <v>16350</v>
      </c>
      <c r="C4853" s="31" t="s">
        <v>16351</v>
      </c>
      <c r="D4853" s="31" t="s">
        <v>16103</v>
      </c>
      <c r="E4853" s="61" t="b">
        <v>1</v>
      </c>
      <c r="F4853" s="106" t="s">
        <v>16352</v>
      </c>
      <c r="G4853" s="116" t="str">
        <f>HYPERLINK("http://nsgreg.nga.mil/genc/view?v=113441&amp;gencs=T&amp;end_month=3&amp;end_day=31&amp;end_year=2014","Haringey")</f>
        <v>Haringey</v>
      </c>
      <c r="H4853" s="87" t="str">
        <f>HYPERLINK("http://api.nsgreg.nga.mil/geo-division/ISO3166-2/6/ed3/GB-HRY","GB-HRY")</f>
        <v>GB-HRY</v>
      </c>
    </row>
    <row r="4854" spans="1:8" x14ac:dyDescent="0.2">
      <c r="A4854" s="157"/>
      <c r="B4854" s="31" t="s">
        <v>16353</v>
      </c>
      <c r="C4854" s="31" t="s">
        <v>16354</v>
      </c>
      <c r="D4854" s="31" t="s">
        <v>16103</v>
      </c>
      <c r="E4854" s="61" t="b">
        <v>1</v>
      </c>
      <c r="F4854" s="106" t="s">
        <v>16355</v>
      </c>
      <c r="G4854" s="116" t="str">
        <f>HYPERLINK("http://nsgreg.nga.mil/genc/view?v=113440&amp;gencs=T&amp;end_month=3&amp;end_day=31&amp;end_year=2014","Harrow")</f>
        <v>Harrow</v>
      </c>
      <c r="H4854" s="87" t="str">
        <f>HYPERLINK("http://api.nsgreg.nga.mil/geo-division/ISO3166-2/6/ed3/GB-HRW","GB-HRW")</f>
        <v>GB-HRW</v>
      </c>
    </row>
    <row r="4855" spans="1:8" x14ac:dyDescent="0.2">
      <c r="A4855" s="157"/>
      <c r="B4855" s="31" t="s">
        <v>16356</v>
      </c>
      <c r="C4855" s="31" t="s">
        <v>16357</v>
      </c>
      <c r="D4855" s="31" t="s">
        <v>16114</v>
      </c>
      <c r="E4855" s="61" t="b">
        <v>1</v>
      </c>
      <c r="F4855" s="107" t="s">
        <v>16358</v>
      </c>
      <c r="G4855" s="116" t="str">
        <f>HYPERLINK("http://nsgreg.nga.mil/genc/view?v=201236&amp;end_month=3&amp;end_day=31&amp;end_year=2014","Hartlepool")</f>
        <v>Hartlepool</v>
      </c>
      <c r="H4855" s="87" t="str">
        <f>HYPERLINK("http://api.nsgreg.nga.mil/geo-division/GENC/6/ed2/GB-HPL","GB-HPL")</f>
        <v>GB-HPL</v>
      </c>
    </row>
    <row r="4856" spans="1:8" x14ac:dyDescent="0.2">
      <c r="A4856" s="157"/>
      <c r="B4856" s="31" t="s">
        <v>16359</v>
      </c>
      <c r="C4856" s="31" t="s">
        <v>16360</v>
      </c>
      <c r="D4856" s="31" t="s">
        <v>16103</v>
      </c>
      <c r="E4856" s="61" t="b">
        <v>1</v>
      </c>
      <c r="F4856" s="106" t="s">
        <v>16361</v>
      </c>
      <c r="G4856" s="116" t="str">
        <f>HYPERLINK("http://nsgreg.nga.mil/genc/view?v=113431&amp;gencs=T&amp;end_month=3&amp;end_day=31&amp;end_year=2014","Havering")</f>
        <v>Havering</v>
      </c>
      <c r="H4856" s="87" t="str">
        <f>HYPERLINK("http://api.nsgreg.nga.mil/geo-division/ISO3166-2/6/ed3/GB-HAV","GB-HAV")</f>
        <v>GB-HAV</v>
      </c>
    </row>
    <row r="4857" spans="1:8" x14ac:dyDescent="0.2">
      <c r="A4857" s="157"/>
      <c r="B4857" s="31" t="s">
        <v>16362</v>
      </c>
      <c r="C4857" s="31" t="s">
        <v>16363</v>
      </c>
      <c r="D4857" s="31" t="s">
        <v>16114</v>
      </c>
      <c r="E4857" s="61" t="b">
        <v>1</v>
      </c>
      <c r="F4857" s="107" t="s">
        <v>16364</v>
      </c>
      <c r="G4857" s="116" t="str">
        <f>HYPERLINK("http://nsgreg.nga.mil/genc/view?v=201235&amp;end_month=3&amp;end_day=31&amp;end_year=2014","Herefordshire")</f>
        <v>Herefordshire</v>
      </c>
      <c r="H4857" s="87" t="str">
        <f>HYPERLINK("http://api.nsgreg.nga.mil/geo-division/GENC/6/ed2/GB-HEF","GB-HEF")</f>
        <v>GB-HEF</v>
      </c>
    </row>
    <row r="4858" spans="1:8" x14ac:dyDescent="0.2">
      <c r="A4858" s="157"/>
      <c r="B4858" s="31" t="s">
        <v>16365</v>
      </c>
      <c r="C4858" s="31" t="s">
        <v>16366</v>
      </c>
      <c r="D4858" s="31" t="s">
        <v>2023</v>
      </c>
      <c r="E4858" s="61" t="b">
        <v>1</v>
      </c>
      <c r="F4858" s="107" t="s">
        <v>16367</v>
      </c>
      <c r="G4858" s="116" t="str">
        <f>HYPERLINK("http://nsgreg.nga.mil/genc/view?v=201237&amp;end_month=3&amp;end_day=31&amp;end_year=2014","Hertfordshire")</f>
        <v>Hertfordshire</v>
      </c>
      <c r="H4858" s="87" t="str">
        <f>HYPERLINK("http://api.nsgreg.nga.mil/geo-division/GENC/6/ed2/GB-HRT","GB-HRT")</f>
        <v>GB-HRT</v>
      </c>
    </row>
    <row r="4859" spans="1:8" x14ac:dyDescent="0.2">
      <c r="A4859" s="157"/>
      <c r="B4859" s="31" t="s">
        <v>16368</v>
      </c>
      <c r="C4859" s="31" t="s">
        <v>16369</v>
      </c>
      <c r="D4859" s="31" t="s">
        <v>16072</v>
      </c>
      <c r="E4859" s="61" t="b">
        <v>1</v>
      </c>
      <c r="F4859" s="106" t="s">
        <v>16370</v>
      </c>
      <c r="G4859" s="116" t="str">
        <f>HYPERLINK("http://nsgreg.nga.mil/genc/view?v=113435&amp;gencs=T&amp;end_month=3&amp;end_day=31&amp;end_year=2014","Highland")</f>
        <v>Highland</v>
      </c>
      <c r="H4859" s="87" t="str">
        <f>HYPERLINK("http://api.nsgreg.nga.mil/geo-division/ISO3166-2/6/ed3/GB-HLD","GB-HLD")</f>
        <v>GB-HLD</v>
      </c>
    </row>
    <row r="4860" spans="1:8" x14ac:dyDescent="0.2">
      <c r="A4860" s="157"/>
      <c r="B4860" s="31" t="s">
        <v>16371</v>
      </c>
      <c r="C4860" s="31" t="s">
        <v>16372</v>
      </c>
      <c r="D4860" s="31" t="s">
        <v>16103</v>
      </c>
      <c r="E4860" s="61" t="b">
        <v>1</v>
      </c>
      <c r="F4860" s="106" t="s">
        <v>16373</v>
      </c>
      <c r="G4860" s="116" t="str">
        <f>HYPERLINK("http://nsgreg.nga.mil/genc/view?v=113434&amp;gencs=T&amp;end_month=3&amp;end_day=31&amp;end_year=2014","Hillingdon")</f>
        <v>Hillingdon</v>
      </c>
      <c r="H4860" s="87" t="str">
        <f>HYPERLINK("http://api.nsgreg.nga.mil/geo-division/ISO3166-2/6/ed3/GB-HIL","GB-HIL")</f>
        <v>GB-HIL</v>
      </c>
    </row>
    <row r="4861" spans="1:8" x14ac:dyDescent="0.2">
      <c r="A4861" s="157"/>
      <c r="B4861" s="31" t="s">
        <v>16374</v>
      </c>
      <c r="C4861" s="31" t="s">
        <v>16375</v>
      </c>
      <c r="D4861" s="31" t="s">
        <v>16103</v>
      </c>
      <c r="E4861" s="61" t="b">
        <v>1</v>
      </c>
      <c r="F4861" s="106" t="s">
        <v>16376</v>
      </c>
      <c r="G4861" s="116" t="str">
        <f>HYPERLINK("http://nsgreg.nga.mil/genc/view?v=113437&amp;gencs=T&amp;end_month=3&amp;end_day=31&amp;end_year=2014","Hounslow")</f>
        <v>Hounslow</v>
      </c>
      <c r="H4861" s="87" t="str">
        <f>HYPERLINK("http://api.nsgreg.nga.mil/geo-division/ISO3166-2/6/ed3/GB-HNS","GB-HNS")</f>
        <v>GB-HNS</v>
      </c>
    </row>
    <row r="4862" spans="1:8" x14ac:dyDescent="0.2">
      <c r="A4862" s="157"/>
      <c r="B4862" s="31" t="s">
        <v>16377</v>
      </c>
      <c r="C4862" s="31" t="s">
        <v>16378</v>
      </c>
      <c r="D4862" s="31" t="s">
        <v>16072</v>
      </c>
      <c r="E4862" s="61" t="b">
        <v>1</v>
      </c>
      <c r="F4862" s="106" t="s">
        <v>16379</v>
      </c>
      <c r="G4862" s="116" t="str">
        <f>HYPERLINK("http://nsgreg.nga.mil/genc/view?v=113444&amp;gencs=T&amp;end_month=3&amp;end_day=31&amp;end_year=2014","Inverclyde")</f>
        <v>Inverclyde</v>
      </c>
      <c r="H4862" s="87" t="str">
        <f>HYPERLINK("http://api.nsgreg.nga.mil/geo-division/ISO3166-2/6/ed3/GB-IVC","GB-IVC")</f>
        <v>GB-IVC</v>
      </c>
    </row>
    <row r="4863" spans="1:8" x14ac:dyDescent="0.2">
      <c r="A4863" s="157"/>
      <c r="B4863" s="31" t="s">
        <v>16380</v>
      </c>
      <c r="C4863" s="31" t="s">
        <v>16381</v>
      </c>
      <c r="D4863" s="31" t="s">
        <v>16114</v>
      </c>
      <c r="E4863" s="61" t="b">
        <v>1</v>
      </c>
      <c r="F4863" s="107" t="s">
        <v>16382</v>
      </c>
      <c r="G4863" s="116" t="str">
        <f>HYPERLINK("http://nsgreg.nga.mil/genc/view?v=201181&amp;end_month=3&amp;end_day=31&amp;end_year=2014","Isle of Anglesey")</f>
        <v>Isle of Anglesey</v>
      </c>
      <c r="H4863" s="87" t="str">
        <f>HYPERLINK("http://api.nsgreg.nga.mil/geo-division/GENC/6/ed2/GB-AGY","GB-AGY")</f>
        <v>GB-AGY</v>
      </c>
    </row>
    <row r="4864" spans="1:8" x14ac:dyDescent="0.2">
      <c r="A4864" s="157"/>
      <c r="B4864" s="31" t="s">
        <v>16383</v>
      </c>
      <c r="C4864" s="31" t="s">
        <v>16384</v>
      </c>
      <c r="D4864" s="31" t="s">
        <v>16114</v>
      </c>
      <c r="E4864" s="61" t="b">
        <v>1</v>
      </c>
      <c r="F4864" s="107" t="s">
        <v>16385</v>
      </c>
      <c r="G4864" s="116" t="str">
        <f>HYPERLINK("http://nsgreg.nga.mil/genc/view?v=201239&amp;end_month=3&amp;end_day=31&amp;end_year=2014","Isle of Wight")</f>
        <v>Isle of Wight</v>
      </c>
      <c r="H4864" s="87" t="str">
        <f>HYPERLINK("http://api.nsgreg.nga.mil/geo-division/GENC/6/ed2/GB-IOW","GB-IOW")</f>
        <v>GB-IOW</v>
      </c>
    </row>
    <row r="4865" spans="1:8" x14ac:dyDescent="0.2">
      <c r="A4865" s="157"/>
      <c r="B4865" s="31" t="s">
        <v>16386</v>
      </c>
      <c r="C4865" s="31" t="s">
        <v>16387</v>
      </c>
      <c r="D4865" s="31" t="s">
        <v>16114</v>
      </c>
      <c r="E4865" s="61" t="b">
        <v>1</v>
      </c>
      <c r="F4865" s="107" t="s">
        <v>16388</v>
      </c>
      <c r="G4865" s="116" t="str">
        <f>HYPERLINK("http://nsgreg.nga.mil/genc/view?v=201238&amp;end_month=3&amp;end_day=31&amp;end_year=2014","Isles of Scilly")</f>
        <v>Isles of Scilly</v>
      </c>
      <c r="H4865" s="87" t="str">
        <f>HYPERLINK("http://api.nsgreg.nga.mil/geo-division/GENC/6/ed2/GB-IOS","GB-IOS")</f>
        <v>GB-IOS</v>
      </c>
    </row>
    <row r="4866" spans="1:8" x14ac:dyDescent="0.2">
      <c r="A4866" s="157"/>
      <c r="B4866" s="31" t="s">
        <v>16389</v>
      </c>
      <c r="C4866" s="31" t="s">
        <v>16390</v>
      </c>
      <c r="D4866" s="31" t="s">
        <v>16103</v>
      </c>
      <c r="E4866" s="61" t="b">
        <v>1</v>
      </c>
      <c r="F4866" s="106" t="s">
        <v>16391</v>
      </c>
      <c r="G4866" s="116" t="str">
        <f>HYPERLINK("http://nsgreg.nga.mil/genc/view?v=113443&amp;gencs=T&amp;end_month=3&amp;end_day=31&amp;end_year=2014","Islington")</f>
        <v>Islington</v>
      </c>
      <c r="H4866" s="87" t="str">
        <f>HYPERLINK("http://api.nsgreg.nga.mil/geo-division/ISO3166-2/6/ed3/GB-ISL","GB-ISL")</f>
        <v>GB-ISL</v>
      </c>
    </row>
    <row r="4867" spans="1:8" x14ac:dyDescent="0.2">
      <c r="A4867" s="157"/>
      <c r="B4867" s="31" t="s">
        <v>16392</v>
      </c>
      <c r="C4867" s="31" t="s">
        <v>16393</v>
      </c>
      <c r="D4867" s="31" t="s">
        <v>16103</v>
      </c>
      <c r="E4867" s="61" t="b">
        <v>1</v>
      </c>
      <c r="F4867" s="106" t="s">
        <v>16394</v>
      </c>
      <c r="G4867" s="116" t="str">
        <f>HYPERLINK("http://nsgreg.nga.mil/genc/view?v=113445&amp;gencs=T&amp;end_month=3&amp;end_day=31&amp;end_year=2014","Kensington and Chelsea")</f>
        <v>Kensington and Chelsea</v>
      </c>
      <c r="H4867" s="87" t="str">
        <f>HYPERLINK("http://api.nsgreg.nga.mil/geo-division/ISO3166-2/6/ed3/GB-KEC","GB-KEC")</f>
        <v>GB-KEC</v>
      </c>
    </row>
    <row r="4868" spans="1:8" x14ac:dyDescent="0.2">
      <c r="A4868" s="157"/>
      <c r="B4868" s="31" t="s">
        <v>16395</v>
      </c>
      <c r="C4868" s="31" t="s">
        <v>16396</v>
      </c>
      <c r="D4868" s="31" t="s">
        <v>2023</v>
      </c>
      <c r="E4868" s="61" t="b">
        <v>1</v>
      </c>
      <c r="F4868" s="107" t="s">
        <v>16397</v>
      </c>
      <c r="G4868" s="116" t="str">
        <f>HYPERLINK("http://nsgreg.nga.mil/genc/view?v=201240&amp;end_month=3&amp;end_day=31&amp;end_year=2014","Kent")</f>
        <v>Kent</v>
      </c>
      <c r="H4868" s="87" t="str">
        <f>HYPERLINK("http://api.nsgreg.nga.mil/geo-division/GENC/6/ed2/GB-KEN","GB-KEN")</f>
        <v>GB-KEN</v>
      </c>
    </row>
    <row r="4869" spans="1:8" x14ac:dyDescent="0.2">
      <c r="A4869" s="157"/>
      <c r="B4869" s="31" t="s">
        <v>16398</v>
      </c>
      <c r="C4869" s="31" t="s">
        <v>16399</v>
      </c>
      <c r="D4869" s="31" t="s">
        <v>16114</v>
      </c>
      <c r="E4869" s="61" t="b">
        <v>1</v>
      </c>
      <c r="F4869" s="107" t="s">
        <v>16400</v>
      </c>
      <c r="G4869" s="116" t="str">
        <f>HYPERLINK("http://nsgreg.nga.mil/genc/view?v=201241&amp;end_month=3&amp;end_day=31&amp;end_year=2014","Kingston upon Hull, City of")</f>
        <v>Kingston upon Hull, City of</v>
      </c>
      <c r="H4869" s="87" t="str">
        <f>HYPERLINK("http://api.nsgreg.nga.mil/geo-division/GENC/6/ed2/GB-KHL","GB-KHL")</f>
        <v>GB-KHL</v>
      </c>
    </row>
    <row r="4870" spans="1:8" x14ac:dyDescent="0.2">
      <c r="A4870" s="157"/>
      <c r="B4870" s="31" t="s">
        <v>16401</v>
      </c>
      <c r="C4870" s="31" t="s">
        <v>16402</v>
      </c>
      <c r="D4870" s="31" t="s">
        <v>16103</v>
      </c>
      <c r="E4870" s="61" t="b">
        <v>1</v>
      </c>
      <c r="F4870" s="106" t="s">
        <v>16403</v>
      </c>
      <c r="G4870" s="116" t="str">
        <f>HYPERLINK("http://nsgreg.nga.mil/genc/view?v=113449&amp;gencs=T&amp;end_month=3&amp;end_day=31&amp;end_year=2014","Kingston upon Thames")</f>
        <v>Kingston upon Thames</v>
      </c>
      <c r="H4870" s="87" t="str">
        <f>HYPERLINK("http://api.nsgreg.nga.mil/geo-division/ISO3166-2/6/ed3/GB-KTT","GB-KTT")</f>
        <v>GB-KTT</v>
      </c>
    </row>
    <row r="4871" spans="1:8" x14ac:dyDescent="0.2">
      <c r="A4871" s="157"/>
      <c r="B4871" s="31" t="s">
        <v>16404</v>
      </c>
      <c r="C4871" s="31" t="s">
        <v>16405</v>
      </c>
      <c r="D4871" s="31" t="s">
        <v>16110</v>
      </c>
      <c r="E4871" s="61" t="b">
        <v>1</v>
      </c>
      <c r="F4871" s="106" t="s">
        <v>16406</v>
      </c>
      <c r="G4871" s="116" t="str">
        <f>HYPERLINK("http://nsgreg.nga.mil/genc/view?v=113448&amp;gencs=T&amp;end_month=3&amp;end_day=31&amp;end_year=2014","Kirklees")</f>
        <v>Kirklees</v>
      </c>
      <c r="H4871" s="87" t="str">
        <f>HYPERLINK("http://api.nsgreg.nga.mil/geo-division/ISO3166-2/6/ed3/GB-KIR","GB-KIR")</f>
        <v>GB-KIR</v>
      </c>
    </row>
    <row r="4872" spans="1:8" x14ac:dyDescent="0.2">
      <c r="A4872" s="157"/>
      <c r="B4872" s="31" t="s">
        <v>16407</v>
      </c>
      <c r="C4872" s="31" t="s">
        <v>16408</v>
      </c>
      <c r="D4872" s="31" t="s">
        <v>16110</v>
      </c>
      <c r="E4872" s="61" t="b">
        <v>1</v>
      </c>
      <c r="F4872" s="106" t="s">
        <v>16409</v>
      </c>
      <c r="G4872" s="116" t="str">
        <f>HYPERLINK("http://nsgreg.nga.mil/genc/view?v=113450&amp;gencs=T&amp;end_month=3&amp;end_day=31&amp;end_year=2014","Knowsley")</f>
        <v>Knowsley</v>
      </c>
      <c r="H4872" s="87" t="str">
        <f>HYPERLINK("http://api.nsgreg.nga.mil/geo-division/ISO3166-2/6/ed3/GB-KWL","GB-KWL")</f>
        <v>GB-KWL</v>
      </c>
    </row>
    <row r="4873" spans="1:8" x14ac:dyDescent="0.2">
      <c r="A4873" s="157"/>
      <c r="B4873" s="31" t="s">
        <v>16410</v>
      </c>
      <c r="C4873" s="31" t="s">
        <v>16411</v>
      </c>
      <c r="D4873" s="31" t="s">
        <v>16103</v>
      </c>
      <c r="E4873" s="61" t="b">
        <v>1</v>
      </c>
      <c r="F4873" s="106" t="s">
        <v>16412</v>
      </c>
      <c r="G4873" s="116" t="str">
        <f>HYPERLINK("http://nsgreg.nga.mil/genc/view?v=113452&amp;gencs=T&amp;end_month=3&amp;end_day=31&amp;end_year=2014","Lambeth")</f>
        <v>Lambeth</v>
      </c>
      <c r="H4873" s="87" t="str">
        <f>HYPERLINK("http://api.nsgreg.nga.mil/geo-division/ISO3166-2/6/ed3/GB-LBH","GB-LBH")</f>
        <v>GB-LBH</v>
      </c>
    </row>
    <row r="4874" spans="1:8" x14ac:dyDescent="0.2">
      <c r="A4874" s="157"/>
      <c r="B4874" s="31" t="s">
        <v>16413</v>
      </c>
      <c r="C4874" s="31" t="s">
        <v>16414</v>
      </c>
      <c r="D4874" s="31" t="s">
        <v>2023</v>
      </c>
      <c r="E4874" s="61" t="b">
        <v>1</v>
      </c>
      <c r="F4874" s="107" t="s">
        <v>16415</v>
      </c>
      <c r="G4874" s="116" t="str">
        <f>HYPERLINK("http://nsgreg.nga.mil/genc/view?v=201242&amp;end_month=3&amp;end_day=31&amp;end_year=2014","Lancashire")</f>
        <v>Lancashire</v>
      </c>
      <c r="H4874" s="87" t="str">
        <f>HYPERLINK("http://api.nsgreg.nga.mil/geo-division/GENC/6/ed2/GB-LAN","GB-LAN")</f>
        <v>GB-LAN</v>
      </c>
    </row>
    <row r="4875" spans="1:8" x14ac:dyDescent="0.2">
      <c r="A4875" s="157"/>
      <c r="B4875" s="31" t="s">
        <v>16416</v>
      </c>
      <c r="C4875" s="31" t="s">
        <v>16417</v>
      </c>
      <c r="D4875" s="31" t="s">
        <v>2026</v>
      </c>
      <c r="E4875" s="61" t="b">
        <v>1</v>
      </c>
      <c r="F4875" s="107" t="s">
        <v>16418</v>
      </c>
      <c r="G4875" s="116" t="str">
        <f>HYPERLINK("http://nsgreg.nga.mil/genc/view?v=201247&amp;end_month=3&amp;end_day=31&amp;end_year=2014","Larne")</f>
        <v>Larne</v>
      </c>
      <c r="H4875" s="87" t="str">
        <f>HYPERLINK("http://api.nsgreg.nga.mil/geo-division/GENC/6/ed2/GB-LRN","GB-LRN")</f>
        <v>GB-LRN</v>
      </c>
    </row>
    <row r="4876" spans="1:8" x14ac:dyDescent="0.2">
      <c r="A4876" s="157"/>
      <c r="B4876" s="31" t="s">
        <v>16419</v>
      </c>
      <c r="C4876" s="31" t="s">
        <v>16420</v>
      </c>
      <c r="D4876" s="31" t="s">
        <v>16110</v>
      </c>
      <c r="E4876" s="61" t="b">
        <v>1</v>
      </c>
      <c r="F4876" s="106" t="s">
        <v>16421</v>
      </c>
      <c r="G4876" s="116" t="str">
        <f>HYPERLINK("http://nsgreg.nga.mil/genc/view?v=113454&amp;gencs=T&amp;end_month=3&amp;end_day=31&amp;end_year=2014","Leeds")</f>
        <v>Leeds</v>
      </c>
      <c r="H4876" s="87" t="str">
        <f>HYPERLINK("http://api.nsgreg.nga.mil/geo-division/ISO3166-2/6/ed3/GB-LDS","GB-LDS")</f>
        <v>GB-LDS</v>
      </c>
    </row>
    <row r="4877" spans="1:8" x14ac:dyDescent="0.2">
      <c r="A4877" s="157"/>
      <c r="B4877" s="31" t="s">
        <v>16422</v>
      </c>
      <c r="C4877" s="31" t="s">
        <v>16423</v>
      </c>
      <c r="D4877" s="31" t="s">
        <v>16114</v>
      </c>
      <c r="E4877" s="61" t="b">
        <v>1</v>
      </c>
      <c r="F4877" s="107" t="s">
        <v>16424</v>
      </c>
      <c r="G4877" s="116" t="str">
        <f>HYPERLINK("http://nsgreg.nga.mil/genc/view?v=201243&amp;end_month=3&amp;end_day=31&amp;end_year=2014","Leicester")</f>
        <v>Leicester</v>
      </c>
      <c r="H4877" s="87" t="str">
        <f>HYPERLINK("http://api.nsgreg.nga.mil/geo-division/GENC/6/ed2/GB-LCE","GB-LCE")</f>
        <v>GB-LCE</v>
      </c>
    </row>
    <row r="4878" spans="1:8" x14ac:dyDescent="0.2">
      <c r="A4878" s="157"/>
      <c r="B4878" s="31" t="s">
        <v>16425</v>
      </c>
      <c r="C4878" s="31" t="s">
        <v>16426</v>
      </c>
      <c r="D4878" s="31" t="s">
        <v>2023</v>
      </c>
      <c r="E4878" s="61" t="b">
        <v>1</v>
      </c>
      <c r="F4878" s="107" t="s">
        <v>16427</v>
      </c>
      <c r="G4878" s="116" t="str">
        <f>HYPERLINK("http://nsgreg.nga.mil/genc/view?v=201244&amp;end_month=3&amp;end_day=31&amp;end_year=2014","Leicestershire")</f>
        <v>Leicestershire</v>
      </c>
      <c r="H4878" s="87" t="str">
        <f>HYPERLINK("http://api.nsgreg.nga.mil/geo-division/GENC/6/ed2/GB-LEC","GB-LEC")</f>
        <v>GB-LEC</v>
      </c>
    </row>
    <row r="4879" spans="1:8" x14ac:dyDescent="0.2">
      <c r="A4879" s="157"/>
      <c r="B4879" s="31" t="s">
        <v>16428</v>
      </c>
      <c r="C4879" s="31" t="s">
        <v>16429</v>
      </c>
      <c r="D4879" s="31" t="s">
        <v>16103</v>
      </c>
      <c r="E4879" s="61" t="b">
        <v>1</v>
      </c>
      <c r="F4879" s="106" t="s">
        <v>16430</v>
      </c>
      <c r="G4879" s="116" t="str">
        <f>HYPERLINK("http://nsgreg.nga.mil/genc/view?v=113456&amp;gencs=T&amp;end_month=3&amp;end_day=31&amp;end_year=2014","Lewisham")</f>
        <v>Lewisham</v>
      </c>
      <c r="H4879" s="87" t="str">
        <f>HYPERLINK("http://api.nsgreg.nga.mil/geo-division/ISO3166-2/6/ed3/GB-LEW","GB-LEW")</f>
        <v>GB-LEW</v>
      </c>
    </row>
    <row r="4880" spans="1:8" x14ac:dyDescent="0.2">
      <c r="A4880" s="157"/>
      <c r="B4880" s="31" t="s">
        <v>16431</v>
      </c>
      <c r="C4880" s="31" t="s">
        <v>16432</v>
      </c>
      <c r="D4880" s="31" t="s">
        <v>2026</v>
      </c>
      <c r="E4880" s="61" t="b">
        <v>1</v>
      </c>
      <c r="F4880" s="107" t="s">
        <v>16433</v>
      </c>
      <c r="G4880" s="116" t="str">
        <f>HYPERLINK("http://nsgreg.nga.mil/genc/view?v=201246&amp;end_month=3&amp;end_day=31&amp;end_year=2014","Limavady")</f>
        <v>Limavady</v>
      </c>
      <c r="H4880" s="87" t="str">
        <f>HYPERLINK("http://api.nsgreg.nga.mil/geo-division/GENC/6/ed2/GB-LMV","GB-LMV")</f>
        <v>GB-LMV</v>
      </c>
    </row>
    <row r="4881" spans="1:8" x14ac:dyDescent="0.2">
      <c r="A4881" s="157"/>
      <c r="B4881" s="31" t="s">
        <v>16434</v>
      </c>
      <c r="C4881" s="31" t="s">
        <v>16435</v>
      </c>
      <c r="D4881" s="31" t="s">
        <v>2023</v>
      </c>
      <c r="E4881" s="61" t="b">
        <v>1</v>
      </c>
      <c r="F4881" s="107" t="s">
        <v>16436</v>
      </c>
      <c r="G4881" s="116" t="str">
        <f>HYPERLINK("http://nsgreg.nga.mil/genc/view?v=201245&amp;end_month=3&amp;end_day=31&amp;end_year=2014","Lincolnshire")</f>
        <v>Lincolnshire</v>
      </c>
      <c r="H4881" s="87" t="str">
        <f>HYPERLINK("http://api.nsgreg.nga.mil/geo-division/GENC/6/ed2/GB-LIN","GB-LIN")</f>
        <v>GB-LIN</v>
      </c>
    </row>
    <row r="4882" spans="1:8" x14ac:dyDescent="0.2">
      <c r="A4882" s="157"/>
      <c r="B4882" s="31" t="s">
        <v>16437</v>
      </c>
      <c r="C4882" s="31" t="s">
        <v>16438</v>
      </c>
      <c r="D4882" s="31" t="s">
        <v>2026</v>
      </c>
      <c r="E4882" s="61" t="b">
        <v>1</v>
      </c>
      <c r="F4882" s="107" t="s">
        <v>16439</v>
      </c>
      <c r="G4882" s="116" t="str">
        <f>HYPERLINK("http://nsgreg.nga.mil/genc/view?v=201248&amp;end_month=3&amp;end_day=31&amp;end_year=2014","Lisburn")</f>
        <v>Lisburn</v>
      </c>
      <c r="H4882" s="87" t="str">
        <f>HYPERLINK("http://api.nsgreg.nga.mil/geo-division/GENC/6/ed2/GB-LSB","GB-LSB")</f>
        <v>GB-LSB</v>
      </c>
    </row>
    <row r="4883" spans="1:8" x14ac:dyDescent="0.2">
      <c r="A4883" s="157"/>
      <c r="B4883" s="31" t="s">
        <v>16440</v>
      </c>
      <c r="C4883" s="31" t="s">
        <v>16441</v>
      </c>
      <c r="D4883" s="31" t="s">
        <v>16110</v>
      </c>
      <c r="E4883" s="61" t="b">
        <v>1</v>
      </c>
      <c r="F4883" s="106" t="s">
        <v>16442</v>
      </c>
      <c r="G4883" s="116" t="str">
        <f>HYPERLINK("http://nsgreg.nga.mil/genc/view?v=113458&amp;gencs=T&amp;end_month=3&amp;end_day=31&amp;end_year=2014","Liverpool")</f>
        <v>Liverpool</v>
      </c>
      <c r="H4883" s="87" t="str">
        <f>HYPERLINK("http://api.nsgreg.nga.mil/geo-division/ISO3166-2/6/ed3/GB-LIV","GB-LIV")</f>
        <v>GB-LIV</v>
      </c>
    </row>
    <row r="4884" spans="1:8" x14ac:dyDescent="0.2">
      <c r="A4884" s="157"/>
      <c r="B4884" s="31" t="s">
        <v>16443</v>
      </c>
      <c r="C4884" s="31" t="s">
        <v>16444</v>
      </c>
      <c r="D4884" s="31" t="s">
        <v>16445</v>
      </c>
      <c r="E4884" s="61" t="b">
        <v>1</v>
      </c>
      <c r="F4884" s="106" t="s">
        <v>16446</v>
      </c>
      <c r="G4884" s="116" t="str">
        <f>HYPERLINK("http://nsgreg.nga.mil/genc/view?v=113460&amp;gencs=T&amp;end_month=3&amp;end_day=31&amp;end_year=2014","London, City of")</f>
        <v>London, City of</v>
      </c>
      <c r="H4884" s="87" t="str">
        <f>HYPERLINK("http://api.nsgreg.nga.mil/geo-division/ISO3166-2/6/ed3/GB-LND","GB-LND")</f>
        <v>GB-LND</v>
      </c>
    </row>
    <row r="4885" spans="1:8" x14ac:dyDescent="0.2">
      <c r="A4885" s="157"/>
      <c r="B4885" s="31" t="s">
        <v>16447</v>
      </c>
      <c r="C4885" s="31" t="s">
        <v>16448</v>
      </c>
      <c r="D4885" s="31" t="s">
        <v>16114</v>
      </c>
      <c r="E4885" s="61" t="b">
        <v>1</v>
      </c>
      <c r="F4885" s="107" t="s">
        <v>16449</v>
      </c>
      <c r="G4885" s="116" t="str">
        <f>HYPERLINK("http://nsgreg.nga.mil/genc/view?v=201249&amp;end_month=3&amp;end_day=31&amp;end_year=2014","Luton")</f>
        <v>Luton</v>
      </c>
      <c r="H4885" s="87" t="str">
        <f>HYPERLINK("http://api.nsgreg.nga.mil/geo-division/GENC/6/ed2/GB-LUT","GB-LUT")</f>
        <v>GB-LUT</v>
      </c>
    </row>
    <row r="4886" spans="1:8" x14ac:dyDescent="0.2">
      <c r="A4886" s="157"/>
      <c r="B4886" s="31" t="s">
        <v>16450</v>
      </c>
      <c r="C4886" s="31" t="s">
        <v>16451</v>
      </c>
      <c r="D4886" s="31" t="s">
        <v>2026</v>
      </c>
      <c r="E4886" s="61" t="b">
        <v>1</v>
      </c>
      <c r="F4886" s="107" t="s">
        <v>16452</v>
      </c>
      <c r="G4886" s="116" t="str">
        <f>HYPERLINK("http://nsgreg.nga.mil/genc/view?v=201252&amp;end_month=3&amp;end_day=31&amp;end_year=2014","Magherafelt")</f>
        <v>Magherafelt</v>
      </c>
      <c r="H4886" s="87" t="str">
        <f>HYPERLINK("http://api.nsgreg.nga.mil/geo-division/GENC/6/ed2/GB-MFT","GB-MFT")</f>
        <v>GB-MFT</v>
      </c>
    </row>
    <row r="4887" spans="1:8" x14ac:dyDescent="0.2">
      <c r="A4887" s="157"/>
      <c r="B4887" s="31" t="s">
        <v>16453</v>
      </c>
      <c r="C4887" s="31" t="s">
        <v>7848</v>
      </c>
      <c r="D4887" s="31" t="s">
        <v>16110</v>
      </c>
      <c r="E4887" s="61" t="b">
        <v>1</v>
      </c>
      <c r="F4887" s="106" t="s">
        <v>16454</v>
      </c>
      <c r="G4887" s="116" t="str">
        <f>HYPERLINK("http://nsgreg.nga.mil/genc/view?v=113464&amp;gencs=T&amp;end_month=3&amp;end_day=31&amp;end_year=2014","Manchester")</f>
        <v>Manchester</v>
      </c>
      <c r="H4887" s="87" t="str">
        <f>HYPERLINK("http://api.nsgreg.nga.mil/geo-division/ISO3166-2/6/ed3/GB-MAN","GB-MAN")</f>
        <v>GB-MAN</v>
      </c>
    </row>
    <row r="4888" spans="1:8" x14ac:dyDescent="0.2">
      <c r="A4888" s="157"/>
      <c r="B4888" s="31" t="s">
        <v>16455</v>
      </c>
      <c r="C4888" s="31" t="s">
        <v>16456</v>
      </c>
      <c r="D4888" s="31" t="s">
        <v>16114</v>
      </c>
      <c r="E4888" s="61" t="b">
        <v>1</v>
      </c>
      <c r="F4888" s="107" t="s">
        <v>16457</v>
      </c>
      <c r="G4888" s="116" t="str">
        <f>HYPERLINK("http://nsgreg.nga.mil/genc/view?v=201251&amp;end_month=3&amp;end_day=31&amp;end_year=2014","Medway")</f>
        <v>Medway</v>
      </c>
      <c r="H4888" s="87" t="str">
        <f>HYPERLINK("http://api.nsgreg.nga.mil/geo-division/GENC/6/ed2/GB-MDW","GB-MDW")</f>
        <v>GB-MDW</v>
      </c>
    </row>
    <row r="4889" spans="1:8" x14ac:dyDescent="0.2">
      <c r="A4889" s="157"/>
      <c r="B4889" s="31" t="s">
        <v>16458</v>
      </c>
      <c r="C4889" s="31" t="s">
        <v>16459</v>
      </c>
      <c r="D4889" s="31" t="s">
        <v>16114</v>
      </c>
      <c r="E4889" s="61" t="b">
        <v>1</v>
      </c>
      <c r="F4889" s="107" t="s">
        <v>16460</v>
      </c>
      <c r="G4889" s="116" t="str">
        <f>HYPERLINK("http://nsgreg.nga.mil/genc/view?v=201255&amp;end_month=3&amp;end_day=31&amp;end_year=2014","Merthyr Tydfil")</f>
        <v>Merthyr Tydfil</v>
      </c>
      <c r="H4889" s="87" t="str">
        <f>HYPERLINK("http://api.nsgreg.nga.mil/geo-division/GENC/6/ed2/GB-MTY","GB-MTY")</f>
        <v>GB-MTY</v>
      </c>
    </row>
    <row r="4890" spans="1:8" x14ac:dyDescent="0.2">
      <c r="A4890" s="157"/>
      <c r="B4890" s="31" t="s">
        <v>16461</v>
      </c>
      <c r="C4890" s="31" t="s">
        <v>16462</v>
      </c>
      <c r="D4890" s="31" t="s">
        <v>16103</v>
      </c>
      <c r="E4890" s="61" t="b">
        <v>1</v>
      </c>
      <c r="F4890" s="106" t="s">
        <v>16463</v>
      </c>
      <c r="G4890" s="116" t="str">
        <f>HYPERLINK("http://nsgreg.nga.mil/genc/view?v=113471&amp;gencs=T&amp;end_month=3&amp;end_day=31&amp;end_year=2014","Merton")</f>
        <v>Merton</v>
      </c>
      <c r="H4890" s="87" t="str">
        <f>HYPERLINK("http://api.nsgreg.nga.mil/geo-division/ISO3166-2/6/ed3/GB-MRT","GB-MRT")</f>
        <v>GB-MRT</v>
      </c>
    </row>
    <row r="4891" spans="1:8" x14ac:dyDescent="0.2">
      <c r="A4891" s="157"/>
      <c r="B4891" s="31" t="s">
        <v>16464</v>
      </c>
      <c r="C4891" s="31" t="s">
        <v>16465</v>
      </c>
      <c r="D4891" s="31" t="s">
        <v>16114</v>
      </c>
      <c r="E4891" s="61" t="b">
        <v>1</v>
      </c>
      <c r="F4891" s="107" t="s">
        <v>16466</v>
      </c>
      <c r="G4891" s="116" t="str">
        <f>HYPERLINK("http://nsgreg.nga.mil/genc/view?v=201250&amp;end_month=3&amp;end_day=31&amp;end_year=2014","Middlesbrough")</f>
        <v>Middlesbrough</v>
      </c>
      <c r="H4891" s="87" t="str">
        <f>HYPERLINK("http://api.nsgreg.nga.mil/geo-division/GENC/6/ed2/GB-MDB","GB-MDB")</f>
        <v>GB-MDB</v>
      </c>
    </row>
    <row r="4892" spans="1:8" x14ac:dyDescent="0.2">
      <c r="A4892" s="157"/>
      <c r="B4892" s="31" t="s">
        <v>16467</v>
      </c>
      <c r="C4892" s="31" t="s">
        <v>16468</v>
      </c>
      <c r="D4892" s="31" t="s">
        <v>16072</v>
      </c>
      <c r="E4892" s="61" t="b">
        <v>1</v>
      </c>
      <c r="F4892" s="106" t="s">
        <v>16469</v>
      </c>
      <c r="G4892" s="116" t="str">
        <f>HYPERLINK("http://nsgreg.nga.mil/genc/view?v=113469&amp;gencs=T&amp;end_month=3&amp;end_day=31&amp;end_year=2014","Midlothian")</f>
        <v>Midlothian</v>
      </c>
      <c r="H4892" s="87" t="str">
        <f>HYPERLINK("http://api.nsgreg.nga.mil/geo-division/ISO3166-2/6/ed3/GB-MLN","GB-MLN")</f>
        <v>GB-MLN</v>
      </c>
    </row>
    <row r="4893" spans="1:8" x14ac:dyDescent="0.2">
      <c r="A4893" s="157"/>
      <c r="B4893" s="31" t="s">
        <v>16470</v>
      </c>
      <c r="C4893" s="31" t="s">
        <v>16471</v>
      </c>
      <c r="D4893" s="31" t="s">
        <v>16114</v>
      </c>
      <c r="E4893" s="61" t="b">
        <v>1</v>
      </c>
      <c r="F4893" s="107" t="s">
        <v>16472</v>
      </c>
      <c r="G4893" s="116" t="str">
        <f>HYPERLINK("http://nsgreg.nga.mil/genc/view?v=201253&amp;end_month=3&amp;end_day=31&amp;end_year=2014","Milton Keynes")</f>
        <v>Milton Keynes</v>
      </c>
      <c r="H4893" s="87" t="str">
        <f>HYPERLINK("http://api.nsgreg.nga.mil/geo-division/GENC/6/ed2/GB-MIK","GB-MIK")</f>
        <v>GB-MIK</v>
      </c>
    </row>
    <row r="4894" spans="1:8" x14ac:dyDescent="0.2">
      <c r="A4894" s="157"/>
      <c r="B4894" s="31" t="s">
        <v>16473</v>
      </c>
      <c r="C4894" s="31" t="s">
        <v>16474</v>
      </c>
      <c r="D4894" s="31" t="s">
        <v>16114</v>
      </c>
      <c r="E4894" s="61" t="b">
        <v>1</v>
      </c>
      <c r="F4894" s="107" t="s">
        <v>16475</v>
      </c>
      <c r="G4894" s="116" t="str">
        <f>HYPERLINK("http://nsgreg.nga.mil/genc/view?v=201254&amp;end_month=3&amp;end_day=31&amp;end_year=2014","Monmouthshire")</f>
        <v>Monmouthshire</v>
      </c>
      <c r="H4894" s="87" t="str">
        <f>HYPERLINK("http://api.nsgreg.nga.mil/geo-division/GENC/6/ed2/GB-MON","GB-MON")</f>
        <v>GB-MON</v>
      </c>
    </row>
    <row r="4895" spans="1:8" x14ac:dyDescent="0.2">
      <c r="A4895" s="157"/>
      <c r="B4895" s="31" t="s">
        <v>16476</v>
      </c>
      <c r="C4895" s="31" t="s">
        <v>16477</v>
      </c>
      <c r="D4895" s="31" t="s">
        <v>16072</v>
      </c>
      <c r="E4895" s="61" t="b">
        <v>1</v>
      </c>
      <c r="F4895" s="106" t="s">
        <v>16478</v>
      </c>
      <c r="G4895" s="116" t="str">
        <f>HYPERLINK("http://nsgreg.nga.mil/genc/view?v=113472&amp;gencs=T&amp;end_month=3&amp;end_day=31&amp;end_year=2014","Moray")</f>
        <v>Moray</v>
      </c>
      <c r="H4895" s="87" t="str">
        <f>HYPERLINK("http://api.nsgreg.nga.mil/geo-division/ISO3166-2/6/ed3/GB-MRY","GB-MRY")</f>
        <v>GB-MRY</v>
      </c>
    </row>
    <row r="4896" spans="1:8" x14ac:dyDescent="0.2">
      <c r="A4896" s="157"/>
      <c r="B4896" s="31" t="s">
        <v>16479</v>
      </c>
      <c r="C4896" s="31" t="s">
        <v>16480</v>
      </c>
      <c r="D4896" s="31" t="s">
        <v>2026</v>
      </c>
      <c r="E4896" s="61" t="b">
        <v>1</v>
      </c>
      <c r="F4896" s="107" t="s">
        <v>16481</v>
      </c>
      <c r="G4896" s="116" t="str">
        <f>HYPERLINK("http://nsgreg.nga.mil/genc/view?v=201256&amp;end_month=3&amp;end_day=31&amp;end_year=2014","Moyle")</f>
        <v>Moyle</v>
      </c>
      <c r="H4896" s="87" t="str">
        <f>HYPERLINK("http://api.nsgreg.nga.mil/geo-division/GENC/6/ed2/GB-MYL","GB-MYL")</f>
        <v>GB-MYL</v>
      </c>
    </row>
    <row r="4897" spans="1:8" x14ac:dyDescent="0.2">
      <c r="A4897" s="157"/>
      <c r="B4897" s="31" t="s">
        <v>16482</v>
      </c>
      <c r="C4897" s="31" t="s">
        <v>16483</v>
      </c>
      <c r="D4897" s="31" t="s">
        <v>16114</v>
      </c>
      <c r="E4897" s="61" t="b">
        <v>1</v>
      </c>
      <c r="F4897" s="107" t="s">
        <v>16484</v>
      </c>
      <c r="G4897" s="116" t="str">
        <f>HYPERLINK("http://nsgreg.nga.mil/genc/view?v=201266&amp;end_month=3&amp;end_day=31&amp;end_year=2014","Neath Port Talbot")</f>
        <v>Neath Port Talbot</v>
      </c>
      <c r="H4897" s="87" t="str">
        <f>HYPERLINK("http://api.nsgreg.nga.mil/geo-division/GENC/6/ed2/GB-NTL","GB-NTL")</f>
        <v>GB-NTL</v>
      </c>
    </row>
    <row r="4898" spans="1:8" x14ac:dyDescent="0.2">
      <c r="A4898" s="157"/>
      <c r="B4898" s="31" t="s">
        <v>16485</v>
      </c>
      <c r="C4898" s="31" t="s">
        <v>16486</v>
      </c>
      <c r="D4898" s="31" t="s">
        <v>16110</v>
      </c>
      <c r="E4898" s="61" t="b">
        <v>1</v>
      </c>
      <c r="F4898" s="106" t="s">
        <v>16487</v>
      </c>
      <c r="G4898" s="116" t="str">
        <f>HYPERLINK("http://nsgreg.nga.mil/genc/view?v=113479&amp;gencs=T&amp;end_month=3&amp;end_day=31&amp;end_year=2014","Newcastle upon Tyne")</f>
        <v>Newcastle upon Tyne</v>
      </c>
      <c r="H4898" s="87" t="str">
        <f>HYPERLINK("http://api.nsgreg.nga.mil/geo-division/ISO3166-2/6/ed3/GB-NET","GB-NET")</f>
        <v>GB-NET</v>
      </c>
    </row>
    <row r="4899" spans="1:8" x14ac:dyDescent="0.2">
      <c r="A4899" s="157"/>
      <c r="B4899" s="31" t="s">
        <v>16488</v>
      </c>
      <c r="C4899" s="31" t="s">
        <v>16489</v>
      </c>
      <c r="D4899" s="31" t="s">
        <v>16103</v>
      </c>
      <c r="E4899" s="61" t="b">
        <v>1</v>
      </c>
      <c r="F4899" s="106" t="s">
        <v>16490</v>
      </c>
      <c r="G4899" s="116" t="str">
        <f>HYPERLINK("http://nsgreg.nga.mil/genc/view?v=113491&amp;gencs=T&amp;end_month=3&amp;end_day=31&amp;end_year=2014","Newham")</f>
        <v>Newham</v>
      </c>
      <c r="H4899" s="87" t="str">
        <f>HYPERLINK("http://api.nsgreg.nga.mil/geo-division/ISO3166-2/6/ed3/GB-NWM","GB-NWM")</f>
        <v>GB-NWM</v>
      </c>
    </row>
    <row r="4900" spans="1:8" x14ac:dyDescent="0.2">
      <c r="A4900" s="157"/>
      <c r="B4900" s="31" t="s">
        <v>16491</v>
      </c>
      <c r="C4900" s="31" t="s">
        <v>16492</v>
      </c>
      <c r="D4900" s="31" t="s">
        <v>16114</v>
      </c>
      <c r="E4900" s="61" t="b">
        <v>1</v>
      </c>
      <c r="F4900" s="107" t="s">
        <v>16493</v>
      </c>
      <c r="G4900" s="116" t="str">
        <f>HYPERLINK("http://nsgreg.nga.mil/genc/view?v=201268&amp;end_month=3&amp;end_day=31&amp;end_year=2014","Newport")</f>
        <v>Newport</v>
      </c>
      <c r="H4900" s="87" t="str">
        <f>HYPERLINK("http://api.nsgreg.nga.mil/geo-division/GENC/6/ed2/GB-NWP","GB-NWP")</f>
        <v>GB-NWP</v>
      </c>
    </row>
    <row r="4901" spans="1:8" x14ac:dyDescent="0.2">
      <c r="A4901" s="157"/>
      <c r="B4901" s="31" t="s">
        <v>16494</v>
      </c>
      <c r="C4901" s="31" t="s">
        <v>16495</v>
      </c>
      <c r="D4901" s="31" t="s">
        <v>2026</v>
      </c>
      <c r="E4901" s="61" t="b">
        <v>1</v>
      </c>
      <c r="F4901" s="107" t="s">
        <v>16496</v>
      </c>
      <c r="G4901" s="116" t="str">
        <f>HYPERLINK("http://nsgreg.nga.mil/genc/view?v=201270&amp;end_month=3&amp;end_day=31&amp;end_year=2014","Newry and Mourne")</f>
        <v>Newry and Mourne</v>
      </c>
      <c r="H4901" s="87" t="str">
        <f>HYPERLINK("http://api.nsgreg.nga.mil/geo-division/GENC/6/ed2/GB-NYM","GB-NYM")</f>
        <v>GB-NYM</v>
      </c>
    </row>
    <row r="4902" spans="1:8" x14ac:dyDescent="0.2">
      <c r="A4902" s="157"/>
      <c r="B4902" s="31" t="s">
        <v>16497</v>
      </c>
      <c r="C4902" s="31" t="s">
        <v>16498</v>
      </c>
      <c r="D4902" s="31" t="s">
        <v>2026</v>
      </c>
      <c r="E4902" s="61" t="b">
        <v>1</v>
      </c>
      <c r="F4902" s="107" t="s">
        <v>16499</v>
      </c>
      <c r="G4902" s="116" t="str">
        <f>HYPERLINK("http://nsgreg.nga.mil/genc/view?v=201264&amp;end_month=3&amp;end_day=31&amp;end_year=2014","Newtownabbey")</f>
        <v>Newtownabbey</v>
      </c>
      <c r="H4902" s="87" t="str">
        <f>HYPERLINK("http://api.nsgreg.nga.mil/geo-division/GENC/6/ed2/GB-NTA","GB-NTA")</f>
        <v>GB-NTA</v>
      </c>
    </row>
    <row r="4903" spans="1:8" x14ac:dyDescent="0.2">
      <c r="A4903" s="157"/>
      <c r="B4903" s="31" t="s">
        <v>16500</v>
      </c>
      <c r="C4903" s="31" t="s">
        <v>16501</v>
      </c>
      <c r="D4903" s="31" t="s">
        <v>2023</v>
      </c>
      <c r="E4903" s="61" t="b">
        <v>1</v>
      </c>
      <c r="F4903" s="107" t="s">
        <v>16502</v>
      </c>
      <c r="G4903" s="116" t="str">
        <f>HYPERLINK("http://nsgreg.nga.mil/genc/view?v=201260&amp;end_month=3&amp;end_day=31&amp;end_year=2014","Norfolk")</f>
        <v>Norfolk</v>
      </c>
      <c r="H4903" s="87" t="str">
        <f>HYPERLINK("http://api.nsgreg.nga.mil/geo-division/GENC/6/ed2/GB-NFK","GB-NFK")</f>
        <v>GB-NFK</v>
      </c>
    </row>
    <row r="4904" spans="1:8" x14ac:dyDescent="0.2">
      <c r="A4904" s="157"/>
      <c r="B4904" s="31" t="s">
        <v>16503</v>
      </c>
      <c r="C4904" s="31" t="s">
        <v>16504</v>
      </c>
      <c r="D4904" s="31" t="s">
        <v>2023</v>
      </c>
      <c r="E4904" s="61" t="b">
        <v>1</v>
      </c>
      <c r="F4904" s="107" t="s">
        <v>16505</v>
      </c>
      <c r="G4904" s="116" t="str">
        <f>HYPERLINK("http://nsgreg.nga.mil/genc/view?v=201265&amp;end_month=3&amp;end_day=31&amp;end_year=2014","Northamptonshire")</f>
        <v>Northamptonshire</v>
      </c>
      <c r="H4904" s="87" t="str">
        <f>HYPERLINK("http://api.nsgreg.nga.mil/geo-division/GENC/6/ed2/GB-NTH","GB-NTH")</f>
        <v>GB-NTH</v>
      </c>
    </row>
    <row r="4905" spans="1:8" x14ac:dyDescent="0.2">
      <c r="A4905" s="157"/>
      <c r="B4905" s="31" t="s">
        <v>16506</v>
      </c>
      <c r="C4905" s="31" t="s">
        <v>16507</v>
      </c>
      <c r="D4905" s="31" t="s">
        <v>16072</v>
      </c>
      <c r="E4905" s="61" t="b">
        <v>1</v>
      </c>
      <c r="F4905" s="106" t="s">
        <v>16508</v>
      </c>
      <c r="G4905" s="116" t="str">
        <f>HYPERLINK("http://nsgreg.nga.mil/genc/view?v=113475&amp;gencs=T&amp;end_month=3&amp;end_day=31&amp;end_year=2014","North Ayrshire")</f>
        <v>North Ayrshire</v>
      </c>
      <c r="H4905" s="87" t="str">
        <f>HYPERLINK("http://api.nsgreg.nga.mil/geo-division/ISO3166-2/6/ed3/GB-NAY","GB-NAY")</f>
        <v>GB-NAY</v>
      </c>
    </row>
    <row r="4906" spans="1:8" x14ac:dyDescent="0.2">
      <c r="A4906" s="157"/>
      <c r="B4906" s="31" t="s">
        <v>16509</v>
      </c>
      <c r="C4906" s="31" t="s">
        <v>16510</v>
      </c>
      <c r="D4906" s="31" t="s">
        <v>2026</v>
      </c>
      <c r="E4906" s="61" t="b">
        <v>1</v>
      </c>
      <c r="F4906" s="107" t="s">
        <v>16511</v>
      </c>
      <c r="G4906" s="116" t="str">
        <f>HYPERLINK("http://nsgreg.nga.mil/genc/view?v=201258&amp;end_month=3&amp;end_day=31&amp;end_year=2014","North Down")</f>
        <v>North Down</v>
      </c>
      <c r="H4906" s="87" t="str">
        <f>HYPERLINK("http://api.nsgreg.nga.mil/geo-division/GENC/6/ed2/GB-NDN","GB-NDN")</f>
        <v>GB-NDN</v>
      </c>
    </row>
    <row r="4907" spans="1:8" x14ac:dyDescent="0.2">
      <c r="A4907" s="157"/>
      <c r="B4907" s="31" t="s">
        <v>16512</v>
      </c>
      <c r="C4907" s="31" t="s">
        <v>16513</v>
      </c>
      <c r="D4907" s="31" t="s">
        <v>16114</v>
      </c>
      <c r="E4907" s="61" t="b">
        <v>1</v>
      </c>
      <c r="F4907" s="107" t="s">
        <v>16514</v>
      </c>
      <c r="G4907" s="116" t="str">
        <f>HYPERLINK("http://nsgreg.nga.mil/genc/view?v=201259&amp;end_month=3&amp;end_day=31&amp;end_year=2014","North East Lincolnshire")</f>
        <v>North East Lincolnshire</v>
      </c>
      <c r="H4907" s="87" t="str">
        <f>HYPERLINK("http://api.nsgreg.nga.mil/geo-division/GENC/6/ed2/GB-NEL","GB-NEL")</f>
        <v>GB-NEL</v>
      </c>
    </row>
    <row r="4908" spans="1:8" x14ac:dyDescent="0.2">
      <c r="A4908" s="157"/>
      <c r="B4908" s="31" t="s">
        <v>16515</v>
      </c>
      <c r="C4908" s="31" t="s">
        <v>16516</v>
      </c>
      <c r="D4908" s="98" t="s">
        <v>1920</v>
      </c>
      <c r="E4908" s="99" t="b">
        <v>0</v>
      </c>
      <c r="F4908" s="106" t="s">
        <v>16517</v>
      </c>
      <c r="G4908" s="116" t="str">
        <f>HYPERLINK("http://nsgreg.nga.mil/genc/view?v=113482&amp;gencs=T&amp;end_month=3&amp;end_day=31&amp;end_year=2014","Northern Ireland")</f>
        <v>Northern Ireland</v>
      </c>
      <c r="H4908" s="87" t="str">
        <f>HYPERLINK("http://api.nsgreg.nga.mil/geo-division/ISO3166-2/6/ed3/GB-NIR","GB-NIR")</f>
        <v>GB-NIR</v>
      </c>
    </row>
    <row r="4909" spans="1:8" x14ac:dyDescent="0.2">
      <c r="A4909" s="157"/>
      <c r="B4909" s="31" t="s">
        <v>16518</v>
      </c>
      <c r="C4909" s="31" t="s">
        <v>16519</v>
      </c>
      <c r="D4909" s="31" t="s">
        <v>16072</v>
      </c>
      <c r="E4909" s="61" t="b">
        <v>1</v>
      </c>
      <c r="F4909" s="106" t="s">
        <v>16520</v>
      </c>
      <c r="G4909" s="116" t="str">
        <f>HYPERLINK("http://nsgreg.nga.mil/genc/view?v=113483&amp;gencs=T&amp;end_month=3&amp;end_day=31&amp;end_year=2014","North Lanarkshire")</f>
        <v>North Lanarkshire</v>
      </c>
      <c r="H4909" s="87" t="str">
        <f>HYPERLINK("http://api.nsgreg.nga.mil/geo-division/ISO3166-2/6/ed3/GB-NLK","GB-NLK")</f>
        <v>GB-NLK</v>
      </c>
    </row>
    <row r="4910" spans="1:8" x14ac:dyDescent="0.2">
      <c r="A4910" s="157"/>
      <c r="B4910" s="31" t="s">
        <v>16521</v>
      </c>
      <c r="C4910" s="31" t="s">
        <v>16522</v>
      </c>
      <c r="D4910" s="31" t="s">
        <v>16114</v>
      </c>
      <c r="E4910" s="61" t="b">
        <v>1</v>
      </c>
      <c r="F4910" s="107" t="s">
        <v>16523</v>
      </c>
      <c r="G4910" s="116" t="str">
        <f>HYPERLINK("http://nsgreg.nga.mil/genc/view?v=201262&amp;end_month=3&amp;end_day=31&amp;end_year=2014","North Lincolnshire")</f>
        <v>North Lincolnshire</v>
      </c>
      <c r="H4910" s="87" t="str">
        <f>HYPERLINK("http://api.nsgreg.nga.mil/geo-division/GENC/6/ed2/GB-NLN","GB-NLN")</f>
        <v>GB-NLN</v>
      </c>
    </row>
    <row r="4911" spans="1:8" x14ac:dyDescent="0.2">
      <c r="A4911" s="157"/>
      <c r="B4911" s="31" t="s">
        <v>16524</v>
      </c>
      <c r="C4911" s="31" t="s">
        <v>16525</v>
      </c>
      <c r="D4911" s="31" t="s">
        <v>16114</v>
      </c>
      <c r="E4911" s="61" t="b">
        <v>1</v>
      </c>
      <c r="F4911" s="107" t="s">
        <v>16526</v>
      </c>
      <c r="G4911" s="116" t="str">
        <f>HYPERLINK("http://nsgreg.nga.mil/genc/view?v=201263&amp;end_month=3&amp;end_day=31&amp;end_year=2014","North Somerset")</f>
        <v>North Somerset</v>
      </c>
      <c r="H4911" s="87" t="str">
        <f>HYPERLINK("http://api.nsgreg.nga.mil/geo-division/GENC/6/ed2/GB-NSM","GB-NSM")</f>
        <v>GB-NSM</v>
      </c>
    </row>
    <row r="4912" spans="1:8" x14ac:dyDescent="0.2">
      <c r="A4912" s="157"/>
      <c r="B4912" s="31" t="s">
        <v>16527</v>
      </c>
      <c r="C4912" s="31" t="s">
        <v>16528</v>
      </c>
      <c r="D4912" s="31" t="s">
        <v>16110</v>
      </c>
      <c r="E4912" s="61" t="b">
        <v>1</v>
      </c>
      <c r="F4912" s="106" t="s">
        <v>16529</v>
      </c>
      <c r="G4912" s="116" t="str">
        <f>HYPERLINK("http://nsgreg.nga.mil/genc/view?v=113490&amp;gencs=T&amp;end_month=3&amp;end_day=31&amp;end_year=2014","North Tyneside")</f>
        <v>North Tyneside</v>
      </c>
      <c r="H4912" s="87" t="str">
        <f>HYPERLINK("http://api.nsgreg.nga.mil/geo-division/ISO3166-2/6/ed3/GB-NTY","GB-NTY")</f>
        <v>GB-NTY</v>
      </c>
    </row>
    <row r="4913" spans="1:8" x14ac:dyDescent="0.2">
      <c r="A4913" s="157"/>
      <c r="B4913" s="31" t="s">
        <v>16530</v>
      </c>
      <c r="C4913" s="31" t="s">
        <v>16531</v>
      </c>
      <c r="D4913" s="31" t="s">
        <v>16114</v>
      </c>
      <c r="E4913" s="61" t="b">
        <v>1</v>
      </c>
      <c r="F4913" s="107" t="s">
        <v>16532</v>
      </c>
      <c r="G4913" s="116" t="str">
        <f>HYPERLINK("http://nsgreg.nga.mil/genc/view?v=201257&amp;end_month=3&amp;end_day=31&amp;end_year=2014","Northumberland")</f>
        <v>Northumberland</v>
      </c>
      <c r="H4913" s="87" t="str">
        <f>HYPERLINK("http://api.nsgreg.nga.mil/geo-division/GENC/6/ed2/GB-NBL","GB-NBL")</f>
        <v>GB-NBL</v>
      </c>
    </row>
    <row r="4914" spans="1:8" x14ac:dyDescent="0.2">
      <c r="A4914" s="157"/>
      <c r="B4914" s="31" t="s">
        <v>16533</v>
      </c>
      <c r="C4914" s="31" t="s">
        <v>16534</v>
      </c>
      <c r="D4914" s="31" t="s">
        <v>2023</v>
      </c>
      <c r="E4914" s="61" t="b">
        <v>1</v>
      </c>
      <c r="F4914" s="107" t="s">
        <v>16535</v>
      </c>
      <c r="G4914" s="116" t="str">
        <f>HYPERLINK("http://nsgreg.nga.mil/genc/view?v=201269&amp;end_month=3&amp;end_day=31&amp;end_year=2014","North Yorkshire")</f>
        <v>North Yorkshire</v>
      </c>
      <c r="H4914" s="87" t="str">
        <f>HYPERLINK("http://api.nsgreg.nga.mil/geo-division/GENC/6/ed2/GB-NYK","GB-NYK")</f>
        <v>GB-NYK</v>
      </c>
    </row>
    <row r="4915" spans="1:8" x14ac:dyDescent="0.2">
      <c r="A4915" s="157"/>
      <c r="B4915" s="31" t="s">
        <v>16536</v>
      </c>
      <c r="C4915" s="31" t="s">
        <v>16537</v>
      </c>
      <c r="D4915" s="31" t="s">
        <v>16114</v>
      </c>
      <c r="E4915" s="61" t="b">
        <v>1</v>
      </c>
      <c r="F4915" s="107" t="s">
        <v>16538</v>
      </c>
      <c r="G4915" s="116" t="str">
        <f>HYPERLINK("http://nsgreg.nga.mil/genc/view?v=201261&amp;end_month=3&amp;end_day=31&amp;end_year=2014","Nottingham")</f>
        <v>Nottingham</v>
      </c>
      <c r="H4915" s="87" t="str">
        <f>HYPERLINK("http://api.nsgreg.nga.mil/geo-division/GENC/6/ed2/GB-NGM","GB-NGM")</f>
        <v>GB-NGM</v>
      </c>
    </row>
    <row r="4916" spans="1:8" x14ac:dyDescent="0.2">
      <c r="A4916" s="157"/>
      <c r="B4916" s="31" t="s">
        <v>16539</v>
      </c>
      <c r="C4916" s="31" t="s">
        <v>16540</v>
      </c>
      <c r="D4916" s="31" t="s">
        <v>2023</v>
      </c>
      <c r="E4916" s="61" t="b">
        <v>1</v>
      </c>
      <c r="F4916" s="107" t="s">
        <v>16541</v>
      </c>
      <c r="G4916" s="116" t="str">
        <f>HYPERLINK("http://nsgreg.nga.mil/genc/view?v=201267&amp;end_month=3&amp;end_day=31&amp;end_year=2014","Nottinghamshire")</f>
        <v>Nottinghamshire</v>
      </c>
      <c r="H4916" s="87" t="str">
        <f>HYPERLINK("http://api.nsgreg.nga.mil/geo-division/GENC/6/ed2/GB-NTT","GB-NTT")</f>
        <v>GB-NTT</v>
      </c>
    </row>
    <row r="4917" spans="1:8" x14ac:dyDescent="0.2">
      <c r="A4917" s="157"/>
      <c r="B4917" s="31" t="s">
        <v>16542</v>
      </c>
      <c r="C4917" s="31" t="s">
        <v>16543</v>
      </c>
      <c r="D4917" s="31" t="s">
        <v>16110</v>
      </c>
      <c r="E4917" s="61" t="b">
        <v>1</v>
      </c>
      <c r="F4917" s="106" t="s">
        <v>16544</v>
      </c>
      <c r="G4917" s="116" t="str">
        <f>HYPERLINK("http://nsgreg.nga.mil/genc/view?v=113495&amp;gencs=T&amp;end_month=3&amp;end_day=31&amp;end_year=2014","Oldham")</f>
        <v>Oldham</v>
      </c>
      <c r="H4917" s="87" t="str">
        <f>HYPERLINK("http://api.nsgreg.nga.mil/geo-division/ISO3166-2/6/ed3/GB-OLD","GB-OLD")</f>
        <v>GB-OLD</v>
      </c>
    </row>
    <row r="4918" spans="1:8" x14ac:dyDescent="0.2">
      <c r="A4918" s="157"/>
      <c r="B4918" s="31" t="s">
        <v>16545</v>
      </c>
      <c r="C4918" s="31" t="s">
        <v>16546</v>
      </c>
      <c r="D4918" s="31" t="s">
        <v>2026</v>
      </c>
      <c r="E4918" s="61" t="b">
        <v>1</v>
      </c>
      <c r="F4918" s="107" t="s">
        <v>16547</v>
      </c>
      <c r="G4918" s="116" t="str">
        <f>HYPERLINK("http://nsgreg.nga.mil/genc/view?v=201271&amp;end_month=3&amp;end_day=31&amp;end_year=2014","Omagh")</f>
        <v>Omagh</v>
      </c>
      <c r="H4918" s="87" t="str">
        <f>HYPERLINK("http://api.nsgreg.nga.mil/geo-division/GENC/6/ed2/GB-OMH","GB-OMH")</f>
        <v>GB-OMH</v>
      </c>
    </row>
    <row r="4919" spans="1:8" x14ac:dyDescent="0.2">
      <c r="A4919" s="157"/>
      <c r="B4919" s="31" t="s">
        <v>16548</v>
      </c>
      <c r="C4919" s="31" t="s">
        <v>16549</v>
      </c>
      <c r="D4919" s="31" t="s">
        <v>16072</v>
      </c>
      <c r="E4919" s="61" t="b">
        <v>1</v>
      </c>
      <c r="F4919" s="106" t="s">
        <v>16550</v>
      </c>
      <c r="G4919" s="116" t="str">
        <f>HYPERLINK("http://nsgreg.nga.mil/genc/view?v=113497&amp;gencs=T&amp;end_month=3&amp;end_day=31&amp;end_year=2014","Orkney Islands")</f>
        <v>Orkney Islands</v>
      </c>
      <c r="H4919" s="87" t="str">
        <f>HYPERLINK("http://api.nsgreg.nga.mil/geo-division/ISO3166-2/6/ed3/GB-ORK","GB-ORK")</f>
        <v>GB-ORK</v>
      </c>
    </row>
    <row r="4920" spans="1:8" x14ac:dyDescent="0.2">
      <c r="A4920" s="157"/>
      <c r="B4920" s="31" t="s">
        <v>16551</v>
      </c>
      <c r="C4920" s="31" t="s">
        <v>16552</v>
      </c>
      <c r="D4920" s="31" t="s">
        <v>2023</v>
      </c>
      <c r="E4920" s="61" t="b">
        <v>1</v>
      </c>
      <c r="F4920" s="107" t="s">
        <v>16553</v>
      </c>
      <c r="G4920" s="116" t="str">
        <f>HYPERLINK("http://nsgreg.nga.mil/genc/view?v=201272&amp;end_month=3&amp;end_day=31&amp;end_year=2014","Oxfordshire")</f>
        <v>Oxfordshire</v>
      </c>
      <c r="H4920" s="87" t="str">
        <f>HYPERLINK("http://api.nsgreg.nga.mil/geo-division/GENC/6/ed2/GB-OXF","GB-OXF")</f>
        <v>GB-OXF</v>
      </c>
    </row>
    <row r="4921" spans="1:8" x14ac:dyDescent="0.2">
      <c r="A4921" s="157"/>
      <c r="B4921" s="31" t="s">
        <v>16554</v>
      </c>
      <c r="C4921" s="31" t="s">
        <v>16555</v>
      </c>
      <c r="D4921" s="31" t="s">
        <v>16114</v>
      </c>
      <c r="E4921" s="61" t="b">
        <v>1</v>
      </c>
      <c r="F4921" s="107" t="s">
        <v>16556</v>
      </c>
      <c r="G4921" s="116" t="str">
        <f>HYPERLINK("http://nsgreg.nga.mil/genc/view?v=201273&amp;end_month=3&amp;end_day=31&amp;end_year=2014","Pembrokeshire")</f>
        <v>Pembrokeshire</v>
      </c>
      <c r="H4921" s="87" t="str">
        <f>HYPERLINK("http://api.nsgreg.nga.mil/geo-division/GENC/6/ed2/GB-PEM","GB-PEM")</f>
        <v>GB-PEM</v>
      </c>
    </row>
    <row r="4922" spans="1:8" x14ac:dyDescent="0.2">
      <c r="A4922" s="157"/>
      <c r="B4922" s="31" t="s">
        <v>16557</v>
      </c>
      <c r="C4922" s="31" t="s">
        <v>16558</v>
      </c>
      <c r="D4922" s="31" t="s">
        <v>16072</v>
      </c>
      <c r="E4922" s="61" t="b">
        <v>1</v>
      </c>
      <c r="F4922" s="106" t="s">
        <v>16559</v>
      </c>
      <c r="G4922" s="116" t="str">
        <f>HYPERLINK("http://nsgreg.nga.mil/genc/view?v=113500&amp;gencs=T&amp;end_month=3&amp;end_day=31&amp;end_year=2014","Perth and Kinross")</f>
        <v>Perth and Kinross</v>
      </c>
      <c r="H4922" s="87" t="str">
        <f>HYPERLINK("http://api.nsgreg.nga.mil/geo-division/ISO3166-2/6/ed3/GB-PKN","GB-PKN")</f>
        <v>GB-PKN</v>
      </c>
    </row>
    <row r="4923" spans="1:8" x14ac:dyDescent="0.2">
      <c r="A4923" s="157"/>
      <c r="B4923" s="31" t="s">
        <v>16560</v>
      </c>
      <c r="C4923" s="31" t="s">
        <v>16561</v>
      </c>
      <c r="D4923" s="31" t="s">
        <v>16114</v>
      </c>
      <c r="E4923" s="61" t="b">
        <v>1</v>
      </c>
      <c r="F4923" s="107" t="s">
        <v>16562</v>
      </c>
      <c r="G4923" s="116" t="str">
        <f>HYPERLINK("http://nsgreg.nga.mil/genc/view?v=201278&amp;end_month=3&amp;end_day=31&amp;end_year=2014","Peterborough")</f>
        <v>Peterborough</v>
      </c>
      <c r="H4923" s="87" t="str">
        <f>HYPERLINK("http://api.nsgreg.nga.mil/geo-division/GENC/6/ed2/GB-PTE","GB-PTE")</f>
        <v>GB-PTE</v>
      </c>
    </row>
    <row r="4924" spans="1:8" x14ac:dyDescent="0.2">
      <c r="A4924" s="157"/>
      <c r="B4924" s="31" t="s">
        <v>16563</v>
      </c>
      <c r="C4924" s="31" t="s">
        <v>16564</v>
      </c>
      <c r="D4924" s="31" t="s">
        <v>16114</v>
      </c>
      <c r="E4924" s="61" t="b">
        <v>1</v>
      </c>
      <c r="F4924" s="107" t="s">
        <v>16565</v>
      </c>
      <c r="G4924" s="116" t="str">
        <f>HYPERLINK("http://nsgreg.nga.mil/genc/view?v=201274&amp;end_month=3&amp;end_day=31&amp;end_year=2014","Plymouth")</f>
        <v>Plymouth</v>
      </c>
      <c r="H4924" s="87" t="str">
        <f>HYPERLINK("http://api.nsgreg.nga.mil/geo-division/GENC/6/ed2/GB-PLY","GB-PLY")</f>
        <v>GB-PLY</v>
      </c>
    </row>
    <row r="4925" spans="1:8" x14ac:dyDescent="0.2">
      <c r="A4925" s="157"/>
      <c r="B4925" s="31" t="s">
        <v>16566</v>
      </c>
      <c r="C4925" s="31" t="s">
        <v>16567</v>
      </c>
      <c r="D4925" s="31" t="s">
        <v>16114</v>
      </c>
      <c r="E4925" s="61" t="b">
        <v>1</v>
      </c>
      <c r="F4925" s="107" t="s">
        <v>16568</v>
      </c>
      <c r="G4925" s="116" t="str">
        <f>HYPERLINK("http://nsgreg.nga.mil/genc/view?v=201275&amp;end_month=3&amp;end_day=31&amp;end_year=2014","Poole")</f>
        <v>Poole</v>
      </c>
      <c r="H4925" s="87" t="str">
        <f>HYPERLINK("http://api.nsgreg.nga.mil/geo-division/GENC/6/ed2/GB-POL","GB-POL")</f>
        <v>GB-POL</v>
      </c>
    </row>
    <row r="4926" spans="1:8" x14ac:dyDescent="0.2">
      <c r="A4926" s="157"/>
      <c r="B4926" s="31" t="s">
        <v>16569</v>
      </c>
      <c r="C4926" s="31" t="s">
        <v>16570</v>
      </c>
      <c r="D4926" s="31" t="s">
        <v>16114</v>
      </c>
      <c r="E4926" s="61" t="b">
        <v>1</v>
      </c>
      <c r="F4926" s="107" t="s">
        <v>16571</v>
      </c>
      <c r="G4926" s="116" t="str">
        <f>HYPERLINK("http://nsgreg.nga.mil/genc/view?v=201276&amp;end_month=3&amp;end_day=31&amp;end_year=2014","Portsmouth")</f>
        <v>Portsmouth</v>
      </c>
      <c r="H4926" s="87" t="str">
        <f>HYPERLINK("http://api.nsgreg.nga.mil/geo-division/GENC/6/ed2/GB-POR","GB-POR")</f>
        <v>GB-POR</v>
      </c>
    </row>
    <row r="4927" spans="1:8" x14ac:dyDescent="0.2">
      <c r="A4927" s="157"/>
      <c r="B4927" s="31" t="s">
        <v>16572</v>
      </c>
      <c r="C4927" s="31" t="s">
        <v>16573</v>
      </c>
      <c r="D4927" s="31" t="s">
        <v>16114</v>
      </c>
      <c r="E4927" s="61" t="b">
        <v>1</v>
      </c>
      <c r="F4927" s="107" t="s">
        <v>16574</v>
      </c>
      <c r="G4927" s="116" t="str">
        <f>HYPERLINK("http://nsgreg.nga.mil/genc/view?v=201277&amp;end_month=3&amp;end_day=31&amp;end_year=2014","Powys")</f>
        <v>Powys</v>
      </c>
      <c r="H4927" s="87" t="str">
        <f>HYPERLINK("http://api.nsgreg.nga.mil/geo-division/GENC/6/ed2/GB-POW","GB-POW")</f>
        <v>GB-POW</v>
      </c>
    </row>
    <row r="4928" spans="1:8" x14ac:dyDescent="0.2">
      <c r="A4928" s="157"/>
      <c r="B4928" s="31" t="s">
        <v>16575</v>
      </c>
      <c r="C4928" s="31" t="s">
        <v>16576</v>
      </c>
      <c r="D4928" s="31" t="s">
        <v>16114</v>
      </c>
      <c r="E4928" s="61" t="b">
        <v>1</v>
      </c>
      <c r="F4928" s="107" t="s">
        <v>16577</v>
      </c>
      <c r="G4928" s="116" t="str">
        <f>HYPERLINK("http://nsgreg.nga.mil/genc/view?v=201281&amp;end_month=3&amp;end_day=31&amp;end_year=2014","Reading")</f>
        <v>Reading</v>
      </c>
      <c r="H4928" s="87" t="str">
        <f>HYPERLINK("http://api.nsgreg.nga.mil/geo-division/GENC/6/ed2/GB-RDG","GB-RDG")</f>
        <v>GB-RDG</v>
      </c>
    </row>
    <row r="4929" spans="1:8" x14ac:dyDescent="0.2">
      <c r="A4929" s="157"/>
      <c r="B4929" s="31" t="s">
        <v>16578</v>
      </c>
      <c r="C4929" s="31" t="s">
        <v>16579</v>
      </c>
      <c r="D4929" s="31" t="s">
        <v>16103</v>
      </c>
      <c r="E4929" s="61" t="b">
        <v>1</v>
      </c>
      <c r="F4929" s="106" t="s">
        <v>16580</v>
      </c>
      <c r="G4929" s="116" t="str">
        <f>HYPERLINK("http://nsgreg.nga.mil/genc/view?v=113509&amp;gencs=T&amp;end_month=3&amp;end_day=31&amp;end_year=2014","Redbridge")</f>
        <v>Redbridge</v>
      </c>
      <c r="H4929" s="87" t="str">
        <f>HYPERLINK("http://api.nsgreg.nga.mil/geo-division/ISO3166-2/6/ed3/GB-RDB","GB-RDB")</f>
        <v>GB-RDB</v>
      </c>
    </row>
    <row r="4930" spans="1:8" x14ac:dyDescent="0.2">
      <c r="A4930" s="157"/>
      <c r="B4930" s="31" t="s">
        <v>16581</v>
      </c>
      <c r="C4930" s="31" t="s">
        <v>16582</v>
      </c>
      <c r="D4930" s="31" t="s">
        <v>16114</v>
      </c>
      <c r="E4930" s="61" t="b">
        <v>1</v>
      </c>
      <c r="F4930" s="107" t="s">
        <v>16583</v>
      </c>
      <c r="G4930" s="116" t="str">
        <f>HYPERLINK("http://nsgreg.nga.mil/genc/view?v=201279&amp;end_month=3&amp;end_day=31&amp;end_year=2014","Redcar and Cleveland")</f>
        <v>Redcar and Cleveland</v>
      </c>
      <c r="H4930" s="87" t="str">
        <f>HYPERLINK("http://api.nsgreg.nga.mil/geo-division/GENC/6/ed2/GB-RCC","GB-RCC")</f>
        <v>GB-RCC</v>
      </c>
    </row>
    <row r="4931" spans="1:8" x14ac:dyDescent="0.2">
      <c r="A4931" s="157"/>
      <c r="B4931" s="31" t="s">
        <v>16584</v>
      </c>
      <c r="C4931" s="31" t="s">
        <v>16585</v>
      </c>
      <c r="D4931" s="31" t="s">
        <v>16072</v>
      </c>
      <c r="E4931" s="61" t="b">
        <v>1</v>
      </c>
      <c r="F4931" s="106" t="s">
        <v>16586</v>
      </c>
      <c r="G4931" s="116" t="str">
        <f>HYPERLINK("http://nsgreg.nga.mil/genc/view?v=113511&amp;gencs=T&amp;end_month=3&amp;end_day=31&amp;end_year=2014","Renfrewshire")</f>
        <v>Renfrewshire</v>
      </c>
      <c r="H4931" s="87" t="str">
        <f>HYPERLINK("http://api.nsgreg.nga.mil/geo-division/ISO3166-2/6/ed3/GB-RFW","GB-RFW")</f>
        <v>GB-RFW</v>
      </c>
    </row>
    <row r="4932" spans="1:8" x14ac:dyDescent="0.2">
      <c r="A4932" s="157"/>
      <c r="B4932" s="31" t="s">
        <v>16587</v>
      </c>
      <c r="C4932" s="31" t="s">
        <v>16588</v>
      </c>
      <c r="D4932" s="31" t="s">
        <v>16114</v>
      </c>
      <c r="E4932" s="61" t="b">
        <v>1</v>
      </c>
      <c r="F4932" s="107" t="s">
        <v>16589</v>
      </c>
      <c r="G4932" s="116" t="str">
        <f>HYPERLINK("http://nsgreg.nga.mil/genc/view?v=201280&amp;end_month=3&amp;end_day=31&amp;end_year=2014","Rhondda Cynon Taff")</f>
        <v>Rhondda Cynon Taff</v>
      </c>
      <c r="H4932" s="87" t="str">
        <f>HYPERLINK("http://api.nsgreg.nga.mil/geo-division/GENC/6/ed2/GB-RCT","GB-RCT")</f>
        <v>GB-RCT</v>
      </c>
    </row>
    <row r="4933" spans="1:8" x14ac:dyDescent="0.2">
      <c r="A4933" s="157"/>
      <c r="B4933" s="31" t="s">
        <v>16590</v>
      </c>
      <c r="C4933" s="31" t="s">
        <v>16591</v>
      </c>
      <c r="D4933" s="31" t="s">
        <v>16103</v>
      </c>
      <c r="E4933" s="61" t="b">
        <v>1</v>
      </c>
      <c r="F4933" s="106" t="s">
        <v>16592</v>
      </c>
      <c r="G4933" s="116" t="str">
        <f>HYPERLINK("http://nsgreg.nga.mil/genc/view?v=113512&amp;gencs=T&amp;end_month=3&amp;end_day=31&amp;end_year=2014","Richmond upon Thames")</f>
        <v>Richmond upon Thames</v>
      </c>
      <c r="H4933" s="87" t="str">
        <f>HYPERLINK("http://api.nsgreg.nga.mil/geo-division/ISO3166-2/6/ed3/GB-RIC","GB-RIC")</f>
        <v>GB-RIC</v>
      </c>
    </row>
    <row r="4934" spans="1:8" x14ac:dyDescent="0.2">
      <c r="A4934" s="157"/>
      <c r="B4934" s="31" t="s">
        <v>16593</v>
      </c>
      <c r="C4934" s="31" t="s">
        <v>16594</v>
      </c>
      <c r="D4934" s="31" t="s">
        <v>16110</v>
      </c>
      <c r="E4934" s="61" t="b">
        <v>1</v>
      </c>
      <c r="F4934" s="106" t="s">
        <v>16595</v>
      </c>
      <c r="G4934" s="116" t="str">
        <f>HYPERLINK("http://nsgreg.nga.mil/genc/view?v=113507&amp;gencs=T&amp;end_month=3&amp;end_day=31&amp;end_year=2014","Rochdale")</f>
        <v>Rochdale</v>
      </c>
      <c r="H4934" s="87" t="str">
        <f>HYPERLINK("http://api.nsgreg.nga.mil/geo-division/ISO3166-2/6/ed3/GB-RCH","GB-RCH")</f>
        <v>GB-RCH</v>
      </c>
    </row>
    <row r="4935" spans="1:8" x14ac:dyDescent="0.2">
      <c r="A4935" s="157"/>
      <c r="B4935" s="31" t="s">
        <v>16596</v>
      </c>
      <c r="C4935" s="31" t="s">
        <v>16597</v>
      </c>
      <c r="D4935" s="31" t="s">
        <v>16110</v>
      </c>
      <c r="E4935" s="61" t="b">
        <v>1</v>
      </c>
      <c r="F4935" s="106" t="s">
        <v>16598</v>
      </c>
      <c r="G4935" s="116" t="str">
        <f>HYPERLINK("http://nsgreg.nga.mil/genc/view?v=113513&amp;gencs=T&amp;end_month=3&amp;end_day=31&amp;end_year=2014","Rotherham")</f>
        <v>Rotherham</v>
      </c>
      <c r="H4935" s="87" t="str">
        <f>HYPERLINK("http://api.nsgreg.nga.mil/geo-division/ISO3166-2/6/ed3/GB-ROT","GB-ROT")</f>
        <v>GB-ROT</v>
      </c>
    </row>
    <row r="4936" spans="1:8" x14ac:dyDescent="0.2">
      <c r="A4936" s="157"/>
      <c r="B4936" s="31" t="s">
        <v>16599</v>
      </c>
      <c r="C4936" s="31" t="s">
        <v>16600</v>
      </c>
      <c r="D4936" s="31" t="s">
        <v>16114</v>
      </c>
      <c r="E4936" s="61" t="b">
        <v>1</v>
      </c>
      <c r="F4936" s="107" t="s">
        <v>16601</v>
      </c>
      <c r="G4936" s="116" t="str">
        <f>HYPERLINK("http://nsgreg.nga.mil/genc/view?v=201282&amp;end_month=3&amp;end_day=31&amp;end_year=2014","Rutland")</f>
        <v>Rutland</v>
      </c>
      <c r="H4936" s="87" t="str">
        <f>HYPERLINK("http://api.nsgreg.nga.mil/geo-division/GENC/6/ed2/GB-RUT","GB-RUT")</f>
        <v>GB-RUT</v>
      </c>
    </row>
    <row r="4937" spans="1:8" x14ac:dyDescent="0.2">
      <c r="A4937" s="157"/>
      <c r="B4937" s="31" t="s">
        <v>16602</v>
      </c>
      <c r="C4937" s="31" t="s">
        <v>16603</v>
      </c>
      <c r="D4937" s="31" t="s">
        <v>16110</v>
      </c>
      <c r="E4937" s="61" t="b">
        <v>1</v>
      </c>
      <c r="F4937" s="106" t="s">
        <v>16604</v>
      </c>
      <c r="G4937" s="116" t="str">
        <f>HYPERLINK("http://nsgreg.nga.mil/genc/view?v=113526&amp;gencs=T&amp;end_month=3&amp;end_day=31&amp;end_year=2014","Salford")</f>
        <v>Salford</v>
      </c>
      <c r="H4937" s="87" t="str">
        <f>HYPERLINK("http://api.nsgreg.nga.mil/geo-division/ISO3166-2/6/ed3/GB-SLF","GB-SLF")</f>
        <v>GB-SLF</v>
      </c>
    </row>
    <row r="4938" spans="1:8" x14ac:dyDescent="0.2">
      <c r="A4938" s="157"/>
      <c r="B4938" s="31" t="s">
        <v>16605</v>
      </c>
      <c r="C4938" s="31" t="s">
        <v>16606</v>
      </c>
      <c r="D4938" s="31" t="s">
        <v>16110</v>
      </c>
      <c r="E4938" s="61" t="b">
        <v>1</v>
      </c>
      <c r="F4938" s="106" t="s">
        <v>16607</v>
      </c>
      <c r="G4938" s="116" t="str">
        <f>HYPERLINK("http://nsgreg.nga.mil/genc/view?v=113515&amp;gencs=T&amp;end_month=3&amp;end_day=31&amp;end_year=2014","Sandwell")</f>
        <v>Sandwell</v>
      </c>
      <c r="H4938" s="87" t="str">
        <f>HYPERLINK("http://api.nsgreg.nga.mil/geo-division/ISO3166-2/6/ed3/GB-SAW","GB-SAW")</f>
        <v>GB-SAW</v>
      </c>
    </row>
    <row r="4939" spans="1:8" x14ac:dyDescent="0.2">
      <c r="A4939" s="157"/>
      <c r="B4939" s="31" t="s">
        <v>16608</v>
      </c>
      <c r="C4939" s="31" t="s">
        <v>16609</v>
      </c>
      <c r="D4939" s="98" t="s">
        <v>10885</v>
      </c>
      <c r="E4939" s="99" t="b">
        <v>0</v>
      </c>
      <c r="F4939" s="106" t="s">
        <v>16610</v>
      </c>
      <c r="G4939" s="116" t="str">
        <f>HYPERLINK("http://nsgreg.nga.mil/genc/view?v=113518&amp;gencs=T&amp;end_month=3&amp;end_day=31&amp;end_year=2014","Scotland")</f>
        <v>Scotland</v>
      </c>
      <c r="H4939" s="87" t="str">
        <f>HYPERLINK("http://api.nsgreg.nga.mil/geo-division/ISO3166-2/6/ed3/GB-SCT","GB-SCT")</f>
        <v>GB-SCT</v>
      </c>
    </row>
    <row r="4940" spans="1:8" x14ac:dyDescent="0.2">
      <c r="A4940" s="157"/>
      <c r="B4940" s="31" t="s">
        <v>16611</v>
      </c>
      <c r="C4940" s="31" t="s">
        <v>16612</v>
      </c>
      <c r="D4940" s="31" t="s">
        <v>16072</v>
      </c>
      <c r="E4940" s="61" t="b">
        <v>1</v>
      </c>
      <c r="F4940" s="106" t="s">
        <v>16613</v>
      </c>
      <c r="G4940" s="116" t="str">
        <f>HYPERLINK("http://nsgreg.nga.mil/genc/view?v=113517&amp;gencs=T&amp;end_month=3&amp;end_day=31&amp;end_year=2014","Scottish Borders, The")</f>
        <v>Scottish Borders, The</v>
      </c>
      <c r="H4940" s="87" t="str">
        <f>HYPERLINK("http://api.nsgreg.nga.mil/geo-division/ISO3166-2/6/ed3/GB-SCB","GB-SCB")</f>
        <v>GB-SCB</v>
      </c>
    </row>
    <row r="4941" spans="1:8" x14ac:dyDescent="0.2">
      <c r="A4941" s="157"/>
      <c r="B4941" s="31" t="s">
        <v>16614</v>
      </c>
      <c r="C4941" s="31" t="s">
        <v>16615</v>
      </c>
      <c r="D4941" s="31" t="s">
        <v>16110</v>
      </c>
      <c r="E4941" s="61" t="b">
        <v>1</v>
      </c>
      <c r="F4941" s="106" t="s">
        <v>16616</v>
      </c>
      <c r="G4941" s="116" t="str">
        <f>HYPERLINK("http://nsgreg.nga.mil/genc/view?v=113520&amp;gencs=T&amp;end_month=3&amp;end_day=31&amp;end_year=2014","Sefton")</f>
        <v>Sefton</v>
      </c>
      <c r="H4941" s="87" t="str">
        <f>HYPERLINK("http://api.nsgreg.nga.mil/geo-division/ISO3166-2/6/ed3/GB-SFT","GB-SFT")</f>
        <v>GB-SFT</v>
      </c>
    </row>
    <row r="4942" spans="1:8" x14ac:dyDescent="0.2">
      <c r="A4942" s="157"/>
      <c r="B4942" s="31" t="s">
        <v>16617</v>
      </c>
      <c r="C4942" s="31" t="s">
        <v>16618</v>
      </c>
      <c r="D4942" s="31" t="s">
        <v>16110</v>
      </c>
      <c r="E4942" s="61" t="b">
        <v>1</v>
      </c>
      <c r="F4942" s="106" t="s">
        <v>16619</v>
      </c>
      <c r="G4942" s="116" t="str">
        <f>HYPERLINK("http://nsgreg.nga.mil/genc/view?v=113522&amp;gencs=T&amp;end_month=3&amp;end_day=31&amp;end_year=2014","Sheffield")</f>
        <v>Sheffield</v>
      </c>
      <c r="H4942" s="87" t="str">
        <f>HYPERLINK("http://api.nsgreg.nga.mil/geo-division/ISO3166-2/6/ed3/GB-SHF","GB-SHF")</f>
        <v>GB-SHF</v>
      </c>
    </row>
    <row r="4943" spans="1:8" x14ac:dyDescent="0.2">
      <c r="A4943" s="157"/>
      <c r="B4943" s="31" t="s">
        <v>16620</v>
      </c>
      <c r="C4943" s="31" t="s">
        <v>16621</v>
      </c>
      <c r="D4943" s="31" t="s">
        <v>16072</v>
      </c>
      <c r="E4943" s="61" t="b">
        <v>1</v>
      </c>
      <c r="F4943" s="106" t="s">
        <v>16622</v>
      </c>
      <c r="G4943" s="116" t="str">
        <f>HYPERLINK("http://nsgreg.nga.mil/genc/view?v=113574&amp;gencs=T&amp;end_month=3&amp;end_day=31&amp;end_year=2014","Shetland Islands")</f>
        <v>Shetland Islands</v>
      </c>
      <c r="H4943" s="87" t="str">
        <f>HYPERLINK("http://api.nsgreg.nga.mil/geo-division/ISO3166-2/6/ed3/GB-ZET","GB-ZET")</f>
        <v>GB-ZET</v>
      </c>
    </row>
    <row r="4944" spans="1:8" x14ac:dyDescent="0.2">
      <c r="A4944" s="157"/>
      <c r="B4944" s="31" t="s">
        <v>16623</v>
      </c>
      <c r="C4944" s="31" t="s">
        <v>16624</v>
      </c>
      <c r="D4944" s="31" t="s">
        <v>16114</v>
      </c>
      <c r="E4944" s="61" t="b">
        <v>1</v>
      </c>
      <c r="F4944" s="107" t="s">
        <v>16625</v>
      </c>
      <c r="G4944" s="116" t="str">
        <f>HYPERLINK("http://nsgreg.nga.mil/genc/view?v=201285&amp;end_month=3&amp;end_day=31&amp;end_year=2014","Shropshire")</f>
        <v>Shropshire</v>
      </c>
      <c r="H4944" s="87" t="str">
        <f>HYPERLINK("http://api.nsgreg.nga.mil/geo-division/GENC/6/ed2/GB-SHR","GB-SHR")</f>
        <v>GB-SHR</v>
      </c>
    </row>
    <row r="4945" spans="1:8" x14ac:dyDescent="0.2">
      <c r="A4945" s="157"/>
      <c r="B4945" s="31" t="s">
        <v>16626</v>
      </c>
      <c r="C4945" s="31" t="s">
        <v>16627</v>
      </c>
      <c r="D4945" s="31" t="s">
        <v>16114</v>
      </c>
      <c r="E4945" s="61" t="b">
        <v>1</v>
      </c>
      <c r="F4945" s="107" t="s">
        <v>16628</v>
      </c>
      <c r="G4945" s="116" t="str">
        <f>HYPERLINK("http://nsgreg.nga.mil/genc/view?v=201286&amp;end_month=3&amp;end_day=31&amp;end_year=2014","Slough")</f>
        <v>Slough</v>
      </c>
      <c r="H4945" s="87" t="str">
        <f>HYPERLINK("http://api.nsgreg.nga.mil/geo-division/GENC/6/ed2/GB-SLG","GB-SLG")</f>
        <v>GB-SLG</v>
      </c>
    </row>
    <row r="4946" spans="1:8" x14ac:dyDescent="0.2">
      <c r="A4946" s="157"/>
      <c r="B4946" s="31" t="s">
        <v>16629</v>
      </c>
      <c r="C4946" s="31" t="s">
        <v>16630</v>
      </c>
      <c r="D4946" s="31" t="s">
        <v>16110</v>
      </c>
      <c r="E4946" s="61" t="b">
        <v>1</v>
      </c>
      <c r="F4946" s="106" t="s">
        <v>16631</v>
      </c>
      <c r="G4946" s="116" t="str">
        <f>HYPERLINK("http://nsgreg.nga.mil/genc/view?v=113530&amp;gencs=T&amp;end_month=3&amp;end_day=31&amp;end_year=2014","Solihull")</f>
        <v>Solihull</v>
      </c>
      <c r="H4946" s="87" t="str">
        <f>HYPERLINK("http://api.nsgreg.nga.mil/geo-division/ISO3166-2/6/ed3/GB-SOL","GB-SOL")</f>
        <v>GB-SOL</v>
      </c>
    </row>
    <row r="4947" spans="1:8" x14ac:dyDescent="0.2">
      <c r="A4947" s="157"/>
      <c r="B4947" s="31" t="s">
        <v>16632</v>
      </c>
      <c r="C4947" s="31" t="s">
        <v>16633</v>
      </c>
      <c r="D4947" s="31" t="s">
        <v>2023</v>
      </c>
      <c r="E4947" s="61" t="b">
        <v>1</v>
      </c>
      <c r="F4947" s="107" t="s">
        <v>16634</v>
      </c>
      <c r="G4947" s="116" t="str">
        <f>HYPERLINK("http://nsgreg.nga.mil/genc/view?v=201287&amp;end_month=3&amp;end_day=31&amp;end_year=2014","Somerset")</f>
        <v>Somerset</v>
      </c>
      <c r="H4947" s="87" t="str">
        <f>HYPERLINK("http://api.nsgreg.nga.mil/geo-division/GENC/6/ed2/GB-SOM","GB-SOM")</f>
        <v>GB-SOM</v>
      </c>
    </row>
    <row r="4948" spans="1:8" x14ac:dyDescent="0.2">
      <c r="A4948" s="157"/>
      <c r="B4948" s="31" t="s">
        <v>16635</v>
      </c>
      <c r="C4948" s="31" t="s">
        <v>3276</v>
      </c>
      <c r="D4948" s="31" t="s">
        <v>16114</v>
      </c>
      <c r="E4948" s="61" t="b">
        <v>1</v>
      </c>
      <c r="F4948" s="107" t="s">
        <v>16636</v>
      </c>
      <c r="G4948" s="116" t="str">
        <f>HYPERLINK("http://nsgreg.nga.mil/genc/view?v=201292&amp;end_month=3&amp;end_day=31&amp;end_year=2014","Southampton")</f>
        <v>Southampton</v>
      </c>
      <c r="H4948" s="87" t="str">
        <f>HYPERLINK("http://api.nsgreg.nga.mil/geo-division/GENC/6/ed2/GB-STH","GB-STH")</f>
        <v>GB-STH</v>
      </c>
    </row>
    <row r="4949" spans="1:8" x14ac:dyDescent="0.2">
      <c r="A4949" s="157"/>
      <c r="B4949" s="31" t="s">
        <v>16637</v>
      </c>
      <c r="C4949" s="31" t="s">
        <v>16638</v>
      </c>
      <c r="D4949" s="31" t="s">
        <v>16072</v>
      </c>
      <c r="E4949" s="61" t="b">
        <v>1</v>
      </c>
      <c r="F4949" s="106" t="s">
        <v>16639</v>
      </c>
      <c r="G4949" s="116" t="str">
        <f>HYPERLINK("http://nsgreg.nga.mil/genc/view?v=113516&amp;gencs=T&amp;end_month=3&amp;end_day=31&amp;end_year=2014","South Ayrshire")</f>
        <v>South Ayrshire</v>
      </c>
      <c r="H4949" s="87" t="str">
        <f>HYPERLINK("http://api.nsgreg.nga.mil/geo-division/ISO3166-2/6/ed3/GB-SAY","GB-SAY")</f>
        <v>GB-SAY</v>
      </c>
    </row>
    <row r="4950" spans="1:8" x14ac:dyDescent="0.2">
      <c r="A4950" s="157"/>
      <c r="B4950" s="31" t="s">
        <v>16640</v>
      </c>
      <c r="C4950" s="31" t="s">
        <v>16641</v>
      </c>
      <c r="D4950" s="31" t="s">
        <v>16114</v>
      </c>
      <c r="E4950" s="61" t="b">
        <v>1</v>
      </c>
      <c r="F4950" s="107" t="s">
        <v>16642</v>
      </c>
      <c r="G4950" s="116" t="str">
        <f>HYPERLINK("http://nsgreg.nga.mil/genc/view?v=201288&amp;end_month=3&amp;end_day=31&amp;end_year=2014","Southend-on-Sea")</f>
        <v>Southend-on-Sea</v>
      </c>
      <c r="H4950" s="87" t="str">
        <f>HYPERLINK("http://api.nsgreg.nga.mil/geo-division/GENC/6/ed2/GB-SOS","GB-SOS")</f>
        <v>GB-SOS</v>
      </c>
    </row>
    <row r="4951" spans="1:8" x14ac:dyDescent="0.2">
      <c r="A4951" s="157"/>
      <c r="B4951" s="31" t="s">
        <v>16643</v>
      </c>
      <c r="C4951" s="31" t="s">
        <v>16644</v>
      </c>
      <c r="D4951" s="31" t="s">
        <v>16114</v>
      </c>
      <c r="E4951" s="61" t="b">
        <v>1</v>
      </c>
      <c r="F4951" s="107" t="s">
        <v>16645</v>
      </c>
      <c r="G4951" s="116" t="str">
        <f>HYPERLINK("http://nsgreg.nga.mil/genc/view?v=201284&amp;end_month=3&amp;end_day=31&amp;end_year=2014","South Gloucestershire")</f>
        <v>South Gloucestershire</v>
      </c>
      <c r="H4951" s="87" t="str">
        <f>HYPERLINK("http://api.nsgreg.nga.mil/geo-division/GENC/6/ed2/GB-SGC","GB-SGC")</f>
        <v>GB-SGC</v>
      </c>
    </row>
    <row r="4952" spans="1:8" x14ac:dyDescent="0.2">
      <c r="A4952" s="157"/>
      <c r="B4952" s="31" t="s">
        <v>16646</v>
      </c>
      <c r="C4952" s="31" t="s">
        <v>16647</v>
      </c>
      <c r="D4952" s="31" t="s">
        <v>16072</v>
      </c>
      <c r="E4952" s="61" t="b">
        <v>1</v>
      </c>
      <c r="F4952" s="106" t="s">
        <v>16648</v>
      </c>
      <c r="G4952" s="116" t="str">
        <f>HYPERLINK("http://nsgreg.nga.mil/genc/view?v=113528&amp;gencs=T&amp;end_month=3&amp;end_day=31&amp;end_year=2014","South Lanarkshire")</f>
        <v>South Lanarkshire</v>
      </c>
      <c r="H4952" s="87" t="str">
        <f>HYPERLINK("http://api.nsgreg.nga.mil/geo-division/ISO3166-2/6/ed3/GB-SLK","GB-SLK")</f>
        <v>GB-SLK</v>
      </c>
    </row>
    <row r="4953" spans="1:8" x14ac:dyDescent="0.2">
      <c r="A4953" s="157"/>
      <c r="B4953" s="31" t="s">
        <v>16649</v>
      </c>
      <c r="C4953" s="31" t="s">
        <v>16650</v>
      </c>
      <c r="D4953" s="31" t="s">
        <v>16110</v>
      </c>
      <c r="E4953" s="61" t="b">
        <v>1</v>
      </c>
      <c r="F4953" s="106" t="s">
        <v>16651</v>
      </c>
      <c r="G4953" s="116" t="str">
        <f>HYPERLINK("http://nsgreg.nga.mil/genc/view?v=113541&amp;gencs=T&amp;end_month=3&amp;end_day=31&amp;end_year=2014","South Tyneside")</f>
        <v>South Tyneside</v>
      </c>
      <c r="H4953" s="87" t="str">
        <f>HYPERLINK("http://api.nsgreg.nga.mil/geo-division/ISO3166-2/6/ed3/GB-STY","GB-STY")</f>
        <v>GB-STY</v>
      </c>
    </row>
    <row r="4954" spans="1:8" x14ac:dyDescent="0.2">
      <c r="A4954" s="157"/>
      <c r="B4954" s="31" t="s">
        <v>16652</v>
      </c>
      <c r="C4954" s="31" t="s">
        <v>16653</v>
      </c>
      <c r="D4954" s="31" t="s">
        <v>16103</v>
      </c>
      <c r="E4954" s="61" t="b">
        <v>1</v>
      </c>
      <c r="F4954" s="106" t="s">
        <v>16654</v>
      </c>
      <c r="G4954" s="116" t="str">
        <f>HYPERLINK("http://nsgreg.nga.mil/genc/view?v=113544&amp;gencs=T&amp;end_month=3&amp;end_day=31&amp;end_year=2014","Southwark")</f>
        <v>Southwark</v>
      </c>
      <c r="H4954" s="87" t="str">
        <f>HYPERLINK("http://api.nsgreg.nga.mil/geo-division/ISO3166-2/6/ed3/GB-SWK","GB-SWK")</f>
        <v>GB-SWK</v>
      </c>
    </row>
    <row r="4955" spans="1:8" x14ac:dyDescent="0.2">
      <c r="A4955" s="157"/>
      <c r="B4955" s="31" t="s">
        <v>16655</v>
      </c>
      <c r="C4955" s="31" t="s">
        <v>16656</v>
      </c>
      <c r="D4955" s="31" t="s">
        <v>2023</v>
      </c>
      <c r="E4955" s="61" t="b">
        <v>1</v>
      </c>
      <c r="F4955" s="107" t="s">
        <v>16657</v>
      </c>
      <c r="G4955" s="116" t="str">
        <f>HYPERLINK("http://nsgreg.nga.mil/genc/view?v=201293&amp;end_month=3&amp;end_day=31&amp;end_year=2014","Staffordshire")</f>
        <v>Staffordshire</v>
      </c>
      <c r="H4955" s="87" t="str">
        <f>HYPERLINK("http://api.nsgreg.nga.mil/geo-division/GENC/6/ed2/GB-STS","GB-STS")</f>
        <v>GB-STS</v>
      </c>
    </row>
    <row r="4956" spans="1:8" x14ac:dyDescent="0.2">
      <c r="A4956" s="157"/>
      <c r="B4956" s="31" t="s">
        <v>16658</v>
      </c>
      <c r="C4956" s="31" t="s">
        <v>16659</v>
      </c>
      <c r="D4956" s="31" t="s">
        <v>16110</v>
      </c>
      <c r="E4956" s="61" t="b">
        <v>1</v>
      </c>
      <c r="F4956" s="106" t="s">
        <v>16660</v>
      </c>
      <c r="G4956" s="116" t="str">
        <f>HYPERLINK("http://nsgreg.nga.mil/genc/view?v=113523&amp;gencs=T&amp;end_month=3&amp;end_day=31&amp;end_year=2014","St. Helens")</f>
        <v>St. Helens</v>
      </c>
      <c r="H4956" s="87" t="str">
        <f>HYPERLINK("http://api.nsgreg.nga.mil/geo-division/ISO3166-2/6/ed3/GB-SHN","GB-SHN")</f>
        <v>GB-SHN</v>
      </c>
    </row>
    <row r="4957" spans="1:8" x14ac:dyDescent="0.2">
      <c r="A4957" s="157"/>
      <c r="B4957" s="31" t="s">
        <v>16661</v>
      </c>
      <c r="C4957" s="31" t="s">
        <v>16662</v>
      </c>
      <c r="D4957" s="31" t="s">
        <v>16072</v>
      </c>
      <c r="E4957" s="61" t="b">
        <v>1</v>
      </c>
      <c r="F4957" s="106" t="s">
        <v>16663</v>
      </c>
      <c r="G4957" s="116" t="str">
        <f>HYPERLINK("http://nsgreg.nga.mil/genc/view?v=113536&amp;gencs=T&amp;end_month=3&amp;end_day=31&amp;end_year=2014","Stirling")</f>
        <v>Stirling</v>
      </c>
      <c r="H4957" s="87" t="str">
        <f>HYPERLINK("http://api.nsgreg.nga.mil/geo-division/ISO3166-2/6/ed3/GB-STG","GB-STG")</f>
        <v>GB-STG</v>
      </c>
    </row>
    <row r="4958" spans="1:8" x14ac:dyDescent="0.2">
      <c r="A4958" s="157"/>
      <c r="B4958" s="31" t="s">
        <v>16664</v>
      </c>
      <c r="C4958" s="31" t="s">
        <v>16665</v>
      </c>
      <c r="D4958" s="31" t="s">
        <v>16110</v>
      </c>
      <c r="E4958" s="61" t="b">
        <v>1</v>
      </c>
      <c r="F4958" s="106" t="s">
        <v>16666</v>
      </c>
      <c r="G4958" s="116" t="str">
        <f>HYPERLINK("http://nsgreg.nga.mil/genc/view?v=113525&amp;gencs=T&amp;end_month=3&amp;end_day=31&amp;end_year=2014","Stockport")</f>
        <v>Stockport</v>
      </c>
      <c r="H4958" s="87" t="str">
        <f>HYPERLINK("http://api.nsgreg.nga.mil/geo-division/ISO3166-2/6/ed3/GB-SKP","GB-SKP")</f>
        <v>GB-SKP</v>
      </c>
    </row>
    <row r="4959" spans="1:8" x14ac:dyDescent="0.2">
      <c r="A4959" s="157"/>
      <c r="B4959" s="31" t="s">
        <v>16667</v>
      </c>
      <c r="C4959" s="31" t="s">
        <v>16668</v>
      </c>
      <c r="D4959" s="31" t="s">
        <v>16114</v>
      </c>
      <c r="E4959" s="61" t="b">
        <v>1</v>
      </c>
      <c r="F4959" s="107" t="s">
        <v>16669</v>
      </c>
      <c r="G4959" s="116" t="str">
        <f>HYPERLINK("http://nsgreg.nga.mil/genc/view?v=201294&amp;end_month=3&amp;end_day=31&amp;end_year=2014","Stockton-on-Tees")</f>
        <v>Stockton-on-Tees</v>
      </c>
      <c r="H4959" s="87" t="str">
        <f>HYPERLINK("http://api.nsgreg.nga.mil/geo-division/GENC/6/ed2/GB-STT","GB-STT")</f>
        <v>GB-STT</v>
      </c>
    </row>
    <row r="4960" spans="1:8" x14ac:dyDescent="0.2">
      <c r="A4960" s="157"/>
      <c r="B4960" s="31" t="s">
        <v>16670</v>
      </c>
      <c r="C4960" s="31" t="s">
        <v>16671</v>
      </c>
      <c r="D4960" s="31" t="s">
        <v>16114</v>
      </c>
      <c r="E4960" s="61" t="b">
        <v>1</v>
      </c>
      <c r="F4960" s="107" t="s">
        <v>16672</v>
      </c>
      <c r="G4960" s="116" t="str">
        <f>HYPERLINK("http://nsgreg.nga.mil/genc/view?v=201291&amp;end_month=3&amp;end_day=31&amp;end_year=2014","Stoke-on-Trent")</f>
        <v>Stoke-on-Trent</v>
      </c>
      <c r="H4960" s="87" t="str">
        <f>HYPERLINK("http://api.nsgreg.nga.mil/geo-division/GENC/6/ed2/GB-STE","GB-STE")</f>
        <v>GB-STE</v>
      </c>
    </row>
    <row r="4961" spans="1:8" x14ac:dyDescent="0.2">
      <c r="A4961" s="157"/>
      <c r="B4961" s="31" t="s">
        <v>16673</v>
      </c>
      <c r="C4961" s="31" t="s">
        <v>16674</v>
      </c>
      <c r="D4961" s="31" t="s">
        <v>2026</v>
      </c>
      <c r="E4961" s="61" t="b">
        <v>1</v>
      </c>
      <c r="F4961" s="107" t="s">
        <v>16675</v>
      </c>
      <c r="G4961" s="116" t="str">
        <f>HYPERLINK("http://nsgreg.nga.mil/genc/view?v=201290&amp;end_month=3&amp;end_day=31&amp;end_year=2014","Strabane")</f>
        <v>Strabane</v>
      </c>
      <c r="H4961" s="87" t="str">
        <f>HYPERLINK("http://api.nsgreg.nga.mil/geo-division/GENC/6/ed2/GB-STB","GB-STB")</f>
        <v>GB-STB</v>
      </c>
    </row>
    <row r="4962" spans="1:8" x14ac:dyDescent="0.2">
      <c r="A4962" s="157"/>
      <c r="B4962" s="31" t="s">
        <v>16676</v>
      </c>
      <c r="C4962" s="31" t="s">
        <v>16677</v>
      </c>
      <c r="D4962" s="31" t="s">
        <v>2023</v>
      </c>
      <c r="E4962" s="61" t="b">
        <v>1</v>
      </c>
      <c r="F4962" s="107" t="s">
        <v>16678</v>
      </c>
      <c r="G4962" s="116" t="str">
        <f>HYPERLINK("http://nsgreg.nga.mil/genc/view?v=201283&amp;end_month=3&amp;end_day=31&amp;end_year=2014","Suffolk")</f>
        <v>Suffolk</v>
      </c>
      <c r="H4962" s="87" t="str">
        <f>HYPERLINK("http://api.nsgreg.nga.mil/geo-division/GENC/6/ed2/GB-SFK","GB-SFK")</f>
        <v>GB-SFK</v>
      </c>
    </row>
    <row r="4963" spans="1:8" x14ac:dyDescent="0.2">
      <c r="A4963" s="157"/>
      <c r="B4963" s="31" t="s">
        <v>16679</v>
      </c>
      <c r="C4963" s="31" t="s">
        <v>16680</v>
      </c>
      <c r="D4963" s="31" t="s">
        <v>16110</v>
      </c>
      <c r="E4963" s="61" t="b">
        <v>1</v>
      </c>
      <c r="F4963" s="106" t="s">
        <v>16681</v>
      </c>
      <c r="G4963" s="116" t="str">
        <f>HYPERLINK("http://nsgreg.nga.mil/genc/view?v=113529&amp;gencs=T&amp;end_month=3&amp;end_day=31&amp;end_year=2014","Sunderland")</f>
        <v>Sunderland</v>
      </c>
      <c r="H4963" s="87" t="str">
        <f>HYPERLINK("http://api.nsgreg.nga.mil/geo-division/ISO3166-2/6/ed3/GB-SND","GB-SND")</f>
        <v>GB-SND</v>
      </c>
    </row>
    <row r="4964" spans="1:8" x14ac:dyDescent="0.2">
      <c r="A4964" s="157"/>
      <c r="B4964" s="31" t="s">
        <v>16682</v>
      </c>
      <c r="C4964" s="31" t="s">
        <v>16683</v>
      </c>
      <c r="D4964" s="31" t="s">
        <v>2023</v>
      </c>
      <c r="E4964" s="61" t="b">
        <v>1</v>
      </c>
      <c r="F4964" s="107" t="s">
        <v>16684</v>
      </c>
      <c r="G4964" s="116" t="str">
        <f>HYPERLINK("http://nsgreg.nga.mil/genc/view?v=201289&amp;end_month=3&amp;end_day=31&amp;end_year=2014","Surrey")</f>
        <v>Surrey</v>
      </c>
      <c r="H4964" s="87" t="str">
        <f>HYPERLINK("http://api.nsgreg.nga.mil/geo-division/GENC/6/ed2/GB-SRY","GB-SRY")</f>
        <v>GB-SRY</v>
      </c>
    </row>
    <row r="4965" spans="1:8" x14ac:dyDescent="0.2">
      <c r="A4965" s="157"/>
      <c r="B4965" s="31" t="s">
        <v>16685</v>
      </c>
      <c r="C4965" s="31" t="s">
        <v>16686</v>
      </c>
      <c r="D4965" s="31" t="s">
        <v>16103</v>
      </c>
      <c r="E4965" s="61" t="b">
        <v>1</v>
      </c>
      <c r="F4965" s="106" t="s">
        <v>16687</v>
      </c>
      <c r="G4965" s="116" t="str">
        <f>HYPERLINK("http://nsgreg.nga.mil/genc/view?v=113538&amp;gencs=T&amp;end_month=3&amp;end_day=31&amp;end_year=2014","Sutton")</f>
        <v>Sutton</v>
      </c>
      <c r="H4965" s="87" t="str">
        <f>HYPERLINK("http://api.nsgreg.nga.mil/geo-division/ISO3166-2/6/ed3/GB-STN","GB-STN")</f>
        <v>GB-STN</v>
      </c>
    </row>
    <row r="4966" spans="1:8" x14ac:dyDescent="0.2">
      <c r="A4966" s="157"/>
      <c r="B4966" s="31" t="s">
        <v>16688</v>
      </c>
      <c r="C4966" s="31" t="s">
        <v>16689</v>
      </c>
      <c r="D4966" s="31" t="s">
        <v>16114</v>
      </c>
      <c r="E4966" s="61" t="b">
        <v>1</v>
      </c>
      <c r="F4966" s="107" t="s">
        <v>16690</v>
      </c>
      <c r="G4966" s="116" t="str">
        <f>HYPERLINK("http://nsgreg.nga.mil/genc/view?v=201295&amp;end_month=3&amp;end_day=31&amp;end_year=2014","Swansea")</f>
        <v>Swansea</v>
      </c>
      <c r="H4966" s="87" t="str">
        <f>HYPERLINK("http://api.nsgreg.nga.mil/geo-division/GENC/6/ed2/GB-SWA","GB-SWA")</f>
        <v>GB-SWA</v>
      </c>
    </row>
    <row r="4967" spans="1:8" x14ac:dyDescent="0.2">
      <c r="A4967" s="157"/>
      <c r="B4967" s="31" t="s">
        <v>16691</v>
      </c>
      <c r="C4967" s="31" t="s">
        <v>16692</v>
      </c>
      <c r="D4967" s="31" t="s">
        <v>16114</v>
      </c>
      <c r="E4967" s="61" t="b">
        <v>1</v>
      </c>
      <c r="F4967" s="107" t="s">
        <v>16693</v>
      </c>
      <c r="G4967" s="116" t="str">
        <f>HYPERLINK("http://nsgreg.nga.mil/genc/view?v=201296&amp;end_month=3&amp;end_day=31&amp;end_year=2014","Swindon")</f>
        <v>Swindon</v>
      </c>
      <c r="H4967" s="87" t="str">
        <f>HYPERLINK("http://api.nsgreg.nga.mil/geo-division/GENC/6/ed2/GB-SWD","GB-SWD")</f>
        <v>GB-SWD</v>
      </c>
    </row>
    <row r="4968" spans="1:8" x14ac:dyDescent="0.2">
      <c r="A4968" s="157"/>
      <c r="B4968" s="31" t="s">
        <v>16694</v>
      </c>
      <c r="C4968" s="31" t="s">
        <v>16695</v>
      </c>
      <c r="D4968" s="31" t="s">
        <v>16110</v>
      </c>
      <c r="E4968" s="61" t="b">
        <v>1</v>
      </c>
      <c r="F4968" s="106" t="s">
        <v>16696</v>
      </c>
      <c r="G4968" s="116" t="str">
        <f>HYPERLINK("http://nsgreg.nga.mil/genc/view?v=113545&amp;gencs=T&amp;end_month=3&amp;end_day=31&amp;end_year=2014","Tameside")</f>
        <v>Tameside</v>
      </c>
      <c r="H4968" s="87" t="str">
        <f>HYPERLINK("http://api.nsgreg.nga.mil/geo-division/ISO3166-2/6/ed3/GB-TAM","GB-TAM")</f>
        <v>GB-TAM</v>
      </c>
    </row>
    <row r="4969" spans="1:8" x14ac:dyDescent="0.2">
      <c r="A4969" s="157"/>
      <c r="B4969" s="31" t="s">
        <v>16697</v>
      </c>
      <c r="C4969" s="31" t="s">
        <v>16698</v>
      </c>
      <c r="D4969" s="31" t="s">
        <v>16114</v>
      </c>
      <c r="E4969" s="61" t="b">
        <v>1</v>
      </c>
      <c r="F4969" s="107" t="s">
        <v>16699</v>
      </c>
      <c r="G4969" s="116" t="str">
        <f>HYPERLINK("http://nsgreg.nga.mil/genc/view?v=201297&amp;end_month=3&amp;end_day=31&amp;end_year=2014","Telford and Wrekin")</f>
        <v>Telford and Wrekin</v>
      </c>
      <c r="H4969" s="87" t="str">
        <f>HYPERLINK("http://api.nsgreg.nga.mil/geo-division/GENC/6/ed2/GB-TFW","GB-TFW")</f>
        <v>GB-TFW</v>
      </c>
    </row>
    <row r="4970" spans="1:8" x14ac:dyDescent="0.2">
      <c r="A4970" s="157"/>
      <c r="B4970" s="31" t="s">
        <v>16700</v>
      </c>
      <c r="C4970" s="31" t="s">
        <v>16701</v>
      </c>
      <c r="D4970" s="31" t="s">
        <v>16114</v>
      </c>
      <c r="E4970" s="61" t="b">
        <v>1</v>
      </c>
      <c r="F4970" s="107" t="s">
        <v>16702</v>
      </c>
      <c r="G4970" s="116" t="str">
        <f>HYPERLINK("http://nsgreg.nga.mil/genc/view?v=201298&amp;end_month=3&amp;end_day=31&amp;end_year=2014","Thurrock")</f>
        <v>Thurrock</v>
      </c>
      <c r="H4970" s="87" t="str">
        <f>HYPERLINK("http://api.nsgreg.nga.mil/geo-division/GENC/6/ed2/GB-THR","GB-THR")</f>
        <v>GB-THR</v>
      </c>
    </row>
    <row r="4971" spans="1:8" x14ac:dyDescent="0.2">
      <c r="A4971" s="157"/>
      <c r="B4971" s="31" t="s">
        <v>16703</v>
      </c>
      <c r="C4971" s="31" t="s">
        <v>16704</v>
      </c>
      <c r="D4971" s="31" t="s">
        <v>16114</v>
      </c>
      <c r="E4971" s="61" t="b">
        <v>1</v>
      </c>
      <c r="F4971" s="107" t="s">
        <v>16705</v>
      </c>
      <c r="G4971" s="116" t="str">
        <f>HYPERLINK("http://nsgreg.nga.mil/genc/view?v=201299&amp;end_month=3&amp;end_day=31&amp;end_year=2014","Torbay")</f>
        <v>Torbay</v>
      </c>
      <c r="H4971" s="87" t="str">
        <f>HYPERLINK("http://api.nsgreg.nga.mil/geo-division/GENC/6/ed2/GB-TOB","GB-TOB")</f>
        <v>GB-TOB</v>
      </c>
    </row>
    <row r="4972" spans="1:8" x14ac:dyDescent="0.2">
      <c r="A4972" s="157"/>
      <c r="B4972" s="31" t="s">
        <v>16706</v>
      </c>
      <c r="C4972" s="31" t="s">
        <v>16707</v>
      </c>
      <c r="D4972" s="31" t="s">
        <v>16114</v>
      </c>
      <c r="E4972" s="61" t="b">
        <v>1</v>
      </c>
      <c r="F4972" s="107" t="s">
        <v>16708</v>
      </c>
      <c r="G4972" s="116" t="str">
        <f>HYPERLINK("http://nsgreg.nga.mil/genc/view?v=201300&amp;end_month=3&amp;end_day=31&amp;end_year=2014","Torfaen")</f>
        <v>Torfaen</v>
      </c>
      <c r="H4972" s="87" t="str">
        <f>HYPERLINK("http://api.nsgreg.nga.mil/geo-division/GENC/6/ed2/GB-TOF","GB-TOF")</f>
        <v>GB-TOF</v>
      </c>
    </row>
    <row r="4973" spans="1:8" x14ac:dyDescent="0.2">
      <c r="A4973" s="157"/>
      <c r="B4973" s="31" t="s">
        <v>16709</v>
      </c>
      <c r="C4973" s="31" t="s">
        <v>16710</v>
      </c>
      <c r="D4973" s="31" t="s">
        <v>16103</v>
      </c>
      <c r="E4973" s="61" t="b">
        <v>1</v>
      </c>
      <c r="F4973" s="106" t="s">
        <v>16711</v>
      </c>
      <c r="G4973" s="116" t="str">
        <f>HYPERLINK("http://nsgreg.nga.mil/genc/view?v=113551&amp;gencs=T&amp;end_month=3&amp;end_day=31&amp;end_year=2014","Tower Hamlets")</f>
        <v>Tower Hamlets</v>
      </c>
      <c r="H4973" s="87" t="str">
        <f>HYPERLINK("http://api.nsgreg.nga.mil/geo-division/ISO3166-2/6/ed3/GB-TWH","GB-TWH")</f>
        <v>GB-TWH</v>
      </c>
    </row>
    <row r="4974" spans="1:8" x14ac:dyDescent="0.2">
      <c r="A4974" s="157"/>
      <c r="B4974" s="31" t="s">
        <v>16712</v>
      </c>
      <c r="C4974" s="31" t="s">
        <v>16713</v>
      </c>
      <c r="D4974" s="31" t="s">
        <v>16110</v>
      </c>
      <c r="E4974" s="61" t="b">
        <v>1</v>
      </c>
      <c r="F4974" s="106" t="s">
        <v>16714</v>
      </c>
      <c r="G4974" s="116" t="str">
        <f>HYPERLINK("http://nsgreg.nga.mil/genc/view?v=113550&amp;gencs=T&amp;end_month=3&amp;end_day=31&amp;end_year=2014","Trafford")</f>
        <v>Trafford</v>
      </c>
      <c r="H4974" s="87" t="str">
        <f>HYPERLINK("http://api.nsgreg.nga.mil/geo-division/ISO3166-2/6/ed3/GB-TRF","GB-TRF")</f>
        <v>GB-TRF</v>
      </c>
    </row>
    <row r="4975" spans="1:8" x14ac:dyDescent="0.2">
      <c r="A4975" s="157"/>
      <c r="B4975" s="31" t="s">
        <v>16715</v>
      </c>
      <c r="C4975" s="31" t="s">
        <v>16716</v>
      </c>
      <c r="D4975" s="31" t="s">
        <v>16114</v>
      </c>
      <c r="E4975" s="61" t="b">
        <v>1</v>
      </c>
      <c r="F4975" s="107" t="s">
        <v>16717</v>
      </c>
      <c r="G4975" s="116" t="str">
        <f>HYPERLINK("http://nsgreg.nga.mil/genc/view?v=201301&amp;end_month=3&amp;end_day=31&amp;end_year=2014","Vale of Glamorgan, The")</f>
        <v>Vale of Glamorgan, The</v>
      </c>
      <c r="H4975" s="87" t="str">
        <f>HYPERLINK("http://api.nsgreg.nga.mil/geo-division/GENC/6/ed2/GB-VGL","GB-VGL")</f>
        <v>GB-VGL</v>
      </c>
    </row>
    <row r="4976" spans="1:8" x14ac:dyDescent="0.2">
      <c r="A4976" s="157"/>
      <c r="B4976" s="31" t="s">
        <v>16718</v>
      </c>
      <c r="C4976" s="31" t="s">
        <v>16719</v>
      </c>
      <c r="D4976" s="31" t="s">
        <v>16110</v>
      </c>
      <c r="E4976" s="61" t="b">
        <v>1</v>
      </c>
      <c r="F4976" s="106" t="s">
        <v>16720</v>
      </c>
      <c r="G4976" s="116" t="str">
        <f>HYPERLINK("http://nsgreg.nga.mil/genc/view?v=113559&amp;gencs=T&amp;end_month=3&amp;end_day=31&amp;end_year=2014","Wakefield")</f>
        <v>Wakefield</v>
      </c>
      <c r="H4976" s="87" t="str">
        <f>HYPERLINK("http://api.nsgreg.nga.mil/geo-division/ISO3166-2/6/ed3/GB-WKF","GB-WKF")</f>
        <v>GB-WKF</v>
      </c>
    </row>
    <row r="4977" spans="1:8" x14ac:dyDescent="0.2">
      <c r="A4977" s="157"/>
      <c r="B4977" s="31" t="s">
        <v>16721</v>
      </c>
      <c r="C4977" s="31" t="s">
        <v>16722</v>
      </c>
      <c r="D4977" s="98" t="s">
        <v>10885</v>
      </c>
      <c r="E4977" s="99" t="b">
        <v>0</v>
      </c>
      <c r="F4977" s="107" t="s">
        <v>16723</v>
      </c>
      <c r="G4977" s="116" t="str">
        <f>HYPERLINK("http://nsgreg.nga.mil/genc/view?v=201305&amp;end_month=3&amp;end_day=31&amp;end_year=2014","Wales")</f>
        <v>Wales</v>
      </c>
      <c r="H4977" s="87" t="str">
        <f>HYPERLINK("http://api.nsgreg.nga.mil/geo-division/GENC/6/ed2/GB-WLS","GB-WLS")</f>
        <v>GB-WLS</v>
      </c>
    </row>
    <row r="4978" spans="1:8" x14ac:dyDescent="0.2">
      <c r="A4978" s="157"/>
      <c r="B4978" s="31" t="s">
        <v>16724</v>
      </c>
      <c r="C4978" s="31" t="s">
        <v>16725</v>
      </c>
      <c r="D4978" s="31" t="s">
        <v>16110</v>
      </c>
      <c r="E4978" s="61" t="b">
        <v>1</v>
      </c>
      <c r="F4978" s="106" t="s">
        <v>16726</v>
      </c>
      <c r="G4978" s="116" t="str">
        <f>HYPERLINK("http://nsgreg.nga.mil/genc/view?v=113560&amp;gencs=T&amp;end_month=3&amp;end_day=31&amp;end_year=2014","Walsall")</f>
        <v>Walsall</v>
      </c>
      <c r="H4978" s="87" t="str">
        <f>HYPERLINK("http://api.nsgreg.nga.mil/geo-division/ISO3166-2/6/ed3/GB-WLL","GB-WLL")</f>
        <v>GB-WLL</v>
      </c>
    </row>
    <row r="4979" spans="1:8" x14ac:dyDescent="0.2">
      <c r="A4979" s="157"/>
      <c r="B4979" s="31" t="s">
        <v>16727</v>
      </c>
      <c r="C4979" s="31" t="s">
        <v>16728</v>
      </c>
      <c r="D4979" s="31" t="s">
        <v>16103</v>
      </c>
      <c r="E4979" s="61" t="b">
        <v>1</v>
      </c>
      <c r="F4979" s="106" t="s">
        <v>16729</v>
      </c>
      <c r="G4979" s="116" t="str">
        <f>HYPERLINK("http://nsgreg.nga.mil/genc/view?v=113556&amp;gencs=T&amp;end_month=3&amp;end_day=31&amp;end_year=2014","Waltham Forest")</f>
        <v>Waltham Forest</v>
      </c>
      <c r="H4979" s="87" t="str">
        <f>HYPERLINK("http://api.nsgreg.nga.mil/geo-division/ISO3166-2/6/ed3/GB-WFT","GB-WFT")</f>
        <v>GB-WFT</v>
      </c>
    </row>
    <row r="4980" spans="1:8" x14ac:dyDescent="0.2">
      <c r="A4980" s="157"/>
      <c r="B4980" s="31" t="s">
        <v>16730</v>
      </c>
      <c r="C4980" s="31" t="s">
        <v>16731</v>
      </c>
      <c r="D4980" s="31" t="s">
        <v>16103</v>
      </c>
      <c r="E4980" s="61" t="b">
        <v>1</v>
      </c>
      <c r="F4980" s="106" t="s">
        <v>16732</v>
      </c>
      <c r="G4980" s="116" t="str">
        <f>HYPERLINK("http://nsgreg.nga.mil/genc/view?v=113564&amp;gencs=T&amp;end_month=3&amp;end_day=31&amp;end_year=2014","Wandsworth")</f>
        <v>Wandsworth</v>
      </c>
      <c r="H4980" s="87" t="str">
        <f>HYPERLINK("http://api.nsgreg.nga.mil/geo-division/ISO3166-2/6/ed3/GB-WND","GB-WND")</f>
        <v>GB-WND</v>
      </c>
    </row>
    <row r="4981" spans="1:8" x14ac:dyDescent="0.2">
      <c r="A4981" s="157"/>
      <c r="B4981" s="31" t="s">
        <v>16733</v>
      </c>
      <c r="C4981" s="31" t="s">
        <v>16734</v>
      </c>
      <c r="D4981" s="31" t="s">
        <v>16114</v>
      </c>
      <c r="E4981" s="61" t="b">
        <v>1</v>
      </c>
      <c r="F4981" s="107" t="s">
        <v>16735</v>
      </c>
      <c r="G4981" s="116" t="str">
        <f>HYPERLINK("http://nsgreg.nga.mil/genc/view?v=201309&amp;end_month=3&amp;end_day=31&amp;end_year=2014","Warrington")</f>
        <v>Warrington</v>
      </c>
      <c r="H4981" s="87" t="str">
        <f>HYPERLINK("http://api.nsgreg.nga.mil/geo-division/GENC/6/ed2/GB-WRT","GB-WRT")</f>
        <v>GB-WRT</v>
      </c>
    </row>
    <row r="4982" spans="1:8" x14ac:dyDescent="0.2">
      <c r="A4982" s="157"/>
      <c r="B4982" s="31" t="s">
        <v>16736</v>
      </c>
      <c r="C4982" s="31" t="s">
        <v>16737</v>
      </c>
      <c r="D4982" s="31" t="s">
        <v>16738</v>
      </c>
      <c r="E4982" s="61" t="b">
        <v>1</v>
      </c>
      <c r="F4982" s="107" t="s">
        <v>16739</v>
      </c>
      <c r="G4982" s="116" t="str">
        <f>HYPERLINK("http://nsgreg.nga.mil/genc/view?v=201302&amp;end_month=3&amp;end_day=31&amp;end_year=2014","Warwickshire")</f>
        <v>Warwickshire</v>
      </c>
      <c r="H4982" s="87" t="str">
        <f>HYPERLINK("http://api.nsgreg.nga.mil/geo-division/GENC/6/ed2/GB-WAR","GB-WAR")</f>
        <v>GB-WAR</v>
      </c>
    </row>
    <row r="4983" spans="1:8" x14ac:dyDescent="0.2">
      <c r="A4983" s="157"/>
      <c r="B4983" s="31" t="s">
        <v>16740</v>
      </c>
      <c r="C4983" s="31" t="s">
        <v>16741</v>
      </c>
      <c r="D4983" s="31" t="s">
        <v>16114</v>
      </c>
      <c r="E4983" s="61" t="b">
        <v>1</v>
      </c>
      <c r="F4983" s="107" t="s">
        <v>16742</v>
      </c>
      <c r="G4983" s="116" t="str">
        <f>HYPERLINK("http://nsgreg.nga.mil/genc/view?v=201303&amp;end_month=3&amp;end_day=31&amp;end_year=2014","West Berkshire")</f>
        <v>West Berkshire</v>
      </c>
      <c r="H4983" s="87" t="str">
        <f>HYPERLINK("http://api.nsgreg.nga.mil/geo-division/GENC/6/ed2/GB-WBK","GB-WBK")</f>
        <v>GB-WBK</v>
      </c>
    </row>
    <row r="4984" spans="1:8" x14ac:dyDescent="0.2">
      <c r="A4984" s="157"/>
      <c r="B4984" s="31" t="s">
        <v>16743</v>
      </c>
      <c r="C4984" s="31" t="s">
        <v>16744</v>
      </c>
      <c r="D4984" s="31" t="s">
        <v>16072</v>
      </c>
      <c r="E4984" s="61" t="b">
        <v>1</v>
      </c>
      <c r="F4984" s="106" t="s">
        <v>16745</v>
      </c>
      <c r="G4984" s="116" t="str">
        <f>HYPERLINK("http://nsgreg.nga.mil/genc/view?v=113555&amp;gencs=T&amp;end_month=3&amp;end_day=31&amp;end_year=2014","West Dunbartonshire")</f>
        <v>West Dunbartonshire</v>
      </c>
      <c r="H4984" s="87" t="str">
        <f>HYPERLINK("http://api.nsgreg.nga.mil/geo-division/ISO3166-2/6/ed3/GB-WDU","GB-WDU")</f>
        <v>GB-WDU</v>
      </c>
    </row>
    <row r="4985" spans="1:8" x14ac:dyDescent="0.2">
      <c r="A4985" s="157"/>
      <c r="B4985" s="31" t="s">
        <v>16746</v>
      </c>
      <c r="C4985" s="31" t="s">
        <v>16747</v>
      </c>
      <c r="D4985" s="31" t="s">
        <v>16072</v>
      </c>
      <c r="E4985" s="61" t="b">
        <v>1</v>
      </c>
      <c r="F4985" s="106" t="s">
        <v>16748</v>
      </c>
      <c r="G4985" s="116" t="str">
        <f>HYPERLINK("http://nsgreg.nga.mil/genc/view?v=113561&amp;gencs=T&amp;end_month=3&amp;end_day=31&amp;end_year=2014","West Lothian")</f>
        <v>West Lothian</v>
      </c>
      <c r="H4985" s="87" t="str">
        <f>HYPERLINK("http://api.nsgreg.nga.mil/geo-division/ISO3166-2/6/ed3/GB-WLN","GB-WLN")</f>
        <v>GB-WLN</v>
      </c>
    </row>
    <row r="4986" spans="1:8" x14ac:dyDescent="0.2">
      <c r="A4986" s="157"/>
      <c r="B4986" s="31" t="s">
        <v>16749</v>
      </c>
      <c r="C4986" s="31" t="s">
        <v>16750</v>
      </c>
      <c r="D4986" s="31" t="s">
        <v>16103</v>
      </c>
      <c r="E4986" s="61" t="b">
        <v>1</v>
      </c>
      <c r="F4986" s="106" t="s">
        <v>16751</v>
      </c>
      <c r="G4986" s="116" t="str">
        <f>HYPERLINK("http://nsgreg.nga.mil/genc/view?v=113571&amp;gencs=T&amp;end_month=3&amp;end_day=31&amp;end_year=2014","Westminster")</f>
        <v>Westminster</v>
      </c>
      <c r="H4986" s="87" t="str">
        <f>HYPERLINK("http://api.nsgreg.nga.mil/geo-division/ISO3166-2/6/ed3/GB-WSM","GB-WSM")</f>
        <v>GB-WSM</v>
      </c>
    </row>
    <row r="4987" spans="1:8" x14ac:dyDescent="0.2">
      <c r="A4987" s="157"/>
      <c r="B4987" s="31" t="s">
        <v>16752</v>
      </c>
      <c r="C4987" s="31" t="s">
        <v>16753</v>
      </c>
      <c r="D4987" s="31" t="s">
        <v>2023</v>
      </c>
      <c r="E4987" s="61" t="b">
        <v>1</v>
      </c>
      <c r="F4987" s="107" t="s">
        <v>16754</v>
      </c>
      <c r="G4987" s="116" t="str">
        <f>HYPERLINK("http://nsgreg.nga.mil/genc/view?v=201311&amp;end_month=3&amp;end_day=31&amp;end_year=2014","West Sussex")</f>
        <v>West Sussex</v>
      </c>
      <c r="H4987" s="87" t="str">
        <f>HYPERLINK("http://api.nsgreg.nga.mil/geo-division/GENC/6/ed2/GB-WSX","GB-WSX")</f>
        <v>GB-WSX</v>
      </c>
    </row>
    <row r="4988" spans="1:8" x14ac:dyDescent="0.2">
      <c r="A4988" s="157"/>
      <c r="B4988" s="31" t="s">
        <v>16755</v>
      </c>
      <c r="C4988" s="31" t="s">
        <v>16756</v>
      </c>
      <c r="D4988" s="31" t="s">
        <v>16110</v>
      </c>
      <c r="E4988" s="61" t="b">
        <v>1</v>
      </c>
      <c r="F4988" s="106" t="s">
        <v>16757</v>
      </c>
      <c r="G4988" s="116" t="str">
        <f>HYPERLINK("http://nsgreg.nga.mil/genc/view?v=113557&amp;gencs=T&amp;end_month=3&amp;end_day=31&amp;end_year=2014","Wigan")</f>
        <v>Wigan</v>
      </c>
      <c r="H4988" s="87" t="str">
        <f>HYPERLINK("http://api.nsgreg.nga.mil/geo-division/ISO3166-2/6/ed3/GB-WGN","GB-WGN")</f>
        <v>GB-WGN</v>
      </c>
    </row>
    <row r="4989" spans="1:8" x14ac:dyDescent="0.2">
      <c r="A4989" s="157"/>
      <c r="B4989" s="31" t="s">
        <v>16758</v>
      </c>
      <c r="C4989" s="31" t="s">
        <v>16759</v>
      </c>
      <c r="D4989" s="31" t="s">
        <v>16114</v>
      </c>
      <c r="E4989" s="61" t="b">
        <v>1</v>
      </c>
      <c r="F4989" s="107" t="s">
        <v>16760</v>
      </c>
      <c r="G4989" s="116" t="str">
        <f>HYPERLINK("http://nsgreg.nga.mil/genc/view?v=201304&amp;end_month=3&amp;end_day=31&amp;end_year=2014","Wiltshire")</f>
        <v>Wiltshire</v>
      </c>
      <c r="H4989" s="87" t="str">
        <f>HYPERLINK("http://api.nsgreg.nga.mil/geo-division/GENC/6/ed2/GB-WIL","GB-WIL")</f>
        <v>GB-WIL</v>
      </c>
    </row>
    <row r="4990" spans="1:8" x14ac:dyDescent="0.2">
      <c r="A4990" s="157"/>
      <c r="B4990" s="31" t="s">
        <v>16761</v>
      </c>
      <c r="C4990" s="31" t="s">
        <v>16762</v>
      </c>
      <c r="D4990" s="31" t="s">
        <v>16114</v>
      </c>
      <c r="E4990" s="61" t="b">
        <v>1</v>
      </c>
      <c r="F4990" s="107" t="s">
        <v>16763</v>
      </c>
      <c r="G4990" s="116" t="str">
        <f>HYPERLINK("http://nsgreg.nga.mil/genc/view?v=201306&amp;end_month=3&amp;end_day=31&amp;end_year=2014","Windsor and Maidenhead")</f>
        <v>Windsor and Maidenhead</v>
      </c>
      <c r="H4990" s="87" t="str">
        <f>HYPERLINK("http://api.nsgreg.nga.mil/geo-division/GENC/6/ed2/GB-WNM","GB-WNM")</f>
        <v>GB-WNM</v>
      </c>
    </row>
    <row r="4991" spans="1:8" x14ac:dyDescent="0.2">
      <c r="A4991" s="157"/>
      <c r="B4991" s="31" t="s">
        <v>16764</v>
      </c>
      <c r="C4991" s="31" t="s">
        <v>16765</v>
      </c>
      <c r="D4991" s="31" t="s">
        <v>16110</v>
      </c>
      <c r="E4991" s="61" t="b">
        <v>1</v>
      </c>
      <c r="F4991" s="106" t="s">
        <v>16766</v>
      </c>
      <c r="G4991" s="116" t="str">
        <f>HYPERLINK("http://nsgreg.nga.mil/genc/view?v=113568&amp;gencs=T&amp;end_month=3&amp;end_day=31&amp;end_year=2014","Wirral")</f>
        <v>Wirral</v>
      </c>
      <c r="H4991" s="87" t="str">
        <f>HYPERLINK("http://api.nsgreg.nga.mil/geo-division/ISO3166-2/6/ed3/GB-WRL","GB-WRL")</f>
        <v>GB-WRL</v>
      </c>
    </row>
    <row r="4992" spans="1:8" x14ac:dyDescent="0.2">
      <c r="A4992" s="157"/>
      <c r="B4992" s="31" t="s">
        <v>16767</v>
      </c>
      <c r="C4992" s="31" t="s">
        <v>16768</v>
      </c>
      <c r="D4992" s="31" t="s">
        <v>16114</v>
      </c>
      <c r="E4992" s="61" t="b">
        <v>1</v>
      </c>
      <c r="F4992" s="107" t="s">
        <v>16769</v>
      </c>
      <c r="G4992" s="116" t="str">
        <f>HYPERLINK("http://nsgreg.nga.mil/genc/view?v=201307&amp;end_month=3&amp;end_day=31&amp;end_year=2014","Wokingham")</f>
        <v>Wokingham</v>
      </c>
      <c r="H4992" s="87" t="str">
        <f>HYPERLINK("http://api.nsgreg.nga.mil/geo-division/GENC/6/ed2/GB-WOK","GB-WOK")</f>
        <v>GB-WOK</v>
      </c>
    </row>
    <row r="4993" spans="1:8" x14ac:dyDescent="0.2">
      <c r="A4993" s="157"/>
      <c r="B4993" s="31" t="s">
        <v>16770</v>
      </c>
      <c r="C4993" s="31" t="s">
        <v>16771</v>
      </c>
      <c r="D4993" s="31" t="s">
        <v>16110</v>
      </c>
      <c r="E4993" s="61" t="b">
        <v>1</v>
      </c>
      <c r="F4993" s="106" t="s">
        <v>16772</v>
      </c>
      <c r="G4993" s="116" t="str">
        <f>HYPERLINK("http://nsgreg.nga.mil/genc/view?v=113563&amp;gencs=T&amp;end_month=3&amp;end_day=31&amp;end_year=2014","Wolverhampton")</f>
        <v>Wolverhampton</v>
      </c>
      <c r="H4993" s="87" t="str">
        <f>HYPERLINK("http://api.nsgreg.nga.mil/geo-division/ISO3166-2/6/ed3/GB-WLV","GB-WLV")</f>
        <v>GB-WLV</v>
      </c>
    </row>
    <row r="4994" spans="1:8" x14ac:dyDescent="0.2">
      <c r="A4994" s="157"/>
      <c r="B4994" s="31" t="s">
        <v>16773</v>
      </c>
      <c r="C4994" s="31" t="s">
        <v>16774</v>
      </c>
      <c r="D4994" s="31" t="s">
        <v>2023</v>
      </c>
      <c r="E4994" s="61" t="b">
        <v>1</v>
      </c>
      <c r="F4994" s="107" t="s">
        <v>16775</v>
      </c>
      <c r="G4994" s="116" t="str">
        <f>HYPERLINK("http://nsgreg.nga.mil/genc/view?v=201308&amp;end_month=3&amp;end_day=31&amp;end_year=2014","Worcestershire")</f>
        <v>Worcestershire</v>
      </c>
      <c r="H4994" s="87" t="str">
        <f>HYPERLINK("http://api.nsgreg.nga.mil/geo-division/GENC/6/ed2/GB-WOR","GB-WOR")</f>
        <v>GB-WOR</v>
      </c>
    </row>
    <row r="4995" spans="1:8" x14ac:dyDescent="0.2">
      <c r="A4995" s="157"/>
      <c r="B4995" s="31" t="s">
        <v>16776</v>
      </c>
      <c r="C4995" s="31" t="s">
        <v>16777</v>
      </c>
      <c r="D4995" s="31" t="s">
        <v>16114</v>
      </c>
      <c r="E4995" s="61" t="b">
        <v>1</v>
      </c>
      <c r="F4995" s="107" t="s">
        <v>16778</v>
      </c>
      <c r="G4995" s="116" t="str">
        <f>HYPERLINK("http://nsgreg.nga.mil/genc/view?v=201310&amp;end_month=3&amp;end_day=31&amp;end_year=2014","Wrexham")</f>
        <v>Wrexham</v>
      </c>
      <c r="H4995" s="87" t="str">
        <f>HYPERLINK("http://api.nsgreg.nga.mil/geo-division/GENC/6/ed2/GB-WRX","GB-WRX")</f>
        <v>GB-WRX</v>
      </c>
    </row>
    <row r="4996" spans="1:8" x14ac:dyDescent="0.2">
      <c r="A4996" s="158"/>
      <c r="B4996" s="58" t="s">
        <v>16779</v>
      </c>
      <c r="C4996" s="58" t="s">
        <v>16780</v>
      </c>
      <c r="D4996" s="58" t="s">
        <v>16114</v>
      </c>
      <c r="E4996" s="62" t="b">
        <v>1</v>
      </c>
      <c r="F4996" s="111" t="s">
        <v>16781</v>
      </c>
      <c r="G4996" s="117" t="str">
        <f>HYPERLINK("http://nsgreg.nga.mil/genc/view?v=201312&amp;end_month=3&amp;end_day=31&amp;end_year=2014","York")</f>
        <v>York</v>
      </c>
      <c r="H4996" s="89" t="str">
        <f>HYPERLINK("http://api.nsgreg.nga.mil/geo-division/GENC/6/ed2/GB-YOR","GB-YOR")</f>
        <v>GB-YOR</v>
      </c>
    </row>
    <row r="4997" spans="1:8" x14ac:dyDescent="0.2">
      <c r="A4997" s="156" t="str">
        <f>HYPERLINK("[#]Geopolitical_Entities!A267:I267","UNITED STATES")</f>
        <v>UNITED STATES</v>
      </c>
      <c r="B4997" s="52" t="s">
        <v>16782</v>
      </c>
      <c r="C4997" s="52" t="s">
        <v>16783</v>
      </c>
      <c r="D4997" s="52" t="s">
        <v>2512</v>
      </c>
      <c r="E4997" s="60" t="b">
        <v>1</v>
      </c>
      <c r="F4997" s="109" t="s">
        <v>16784</v>
      </c>
      <c r="G4997" s="118" t="str">
        <f>HYPERLINK("http://nsgreg.nga.mil/genc/view?v=116574&amp;gencs=T&amp;end_month=3&amp;end_day=31&amp;end_year=2014","Alabama")</f>
        <v>Alabama</v>
      </c>
      <c r="H4997" s="91" t="str">
        <f>HYPERLINK("http://api.nsgreg.nga.mil/geo-division/ISO3166-2/6/ed3/US-AL","US-AL")</f>
        <v>US-AL</v>
      </c>
    </row>
    <row r="4998" spans="1:8" x14ac:dyDescent="0.2">
      <c r="A4998" s="157"/>
      <c r="B4998" s="31" t="s">
        <v>16785</v>
      </c>
      <c r="C4998" s="31" t="s">
        <v>16786</v>
      </c>
      <c r="D4998" s="31" t="s">
        <v>2512</v>
      </c>
      <c r="E4998" s="61" t="b">
        <v>1</v>
      </c>
      <c r="F4998" s="106" t="s">
        <v>16787</v>
      </c>
      <c r="G4998" s="116" t="str">
        <f>HYPERLINK("http://nsgreg.nga.mil/genc/view?v=116573&amp;gencs=T&amp;end_month=3&amp;end_day=31&amp;end_year=2014","Alaska")</f>
        <v>Alaska</v>
      </c>
      <c r="H4998" s="87" t="str">
        <f>HYPERLINK("http://api.nsgreg.nga.mil/geo-division/ISO3166-2/6/ed3/US-AK","US-AK")</f>
        <v>US-AK</v>
      </c>
    </row>
    <row r="4999" spans="1:8" x14ac:dyDescent="0.2">
      <c r="A4999" s="157"/>
      <c r="B4999" s="31" t="s">
        <v>16788</v>
      </c>
      <c r="C4999" s="31" t="s">
        <v>115</v>
      </c>
      <c r="D4999" s="98" t="s">
        <v>16789</v>
      </c>
      <c r="E4999" s="99" t="b">
        <v>0</v>
      </c>
      <c r="F4999" s="107" t="s">
        <v>16790</v>
      </c>
      <c r="G4999" s="116" t="str">
        <f>HYPERLINK("http://nsgreg.nga.mil/genc/view?v=203247&amp;end_month=3&amp;end_day=31&amp;end_year=2014","American Samoa")</f>
        <v>American Samoa</v>
      </c>
      <c r="H4999" s="87" t="str">
        <f>HYPERLINK("http://api.nsgreg.nga.mil/geo-division/GENC/6/ed2/US-AS","US-AS")</f>
        <v>US-AS</v>
      </c>
    </row>
    <row r="5000" spans="1:8" x14ac:dyDescent="0.2">
      <c r="A5000" s="157"/>
      <c r="B5000" s="31" t="s">
        <v>16791</v>
      </c>
      <c r="C5000" s="31" t="s">
        <v>16792</v>
      </c>
      <c r="D5000" s="31" t="s">
        <v>2512</v>
      </c>
      <c r="E5000" s="61" t="b">
        <v>1</v>
      </c>
      <c r="F5000" s="106" t="s">
        <v>16793</v>
      </c>
      <c r="G5000" s="116" t="str">
        <f>HYPERLINK("http://nsgreg.nga.mil/genc/view?v=116577&amp;gencs=T&amp;end_month=3&amp;end_day=31&amp;end_year=2014","Arizona")</f>
        <v>Arizona</v>
      </c>
      <c r="H5000" s="87" t="str">
        <f>HYPERLINK("http://api.nsgreg.nga.mil/geo-division/ISO3166-2/6/ed3/US-AZ","US-AZ")</f>
        <v>US-AZ</v>
      </c>
    </row>
    <row r="5001" spans="1:8" x14ac:dyDescent="0.2">
      <c r="A5001" s="157"/>
      <c r="B5001" s="31" t="s">
        <v>16794</v>
      </c>
      <c r="C5001" s="31" t="s">
        <v>16795</v>
      </c>
      <c r="D5001" s="31" t="s">
        <v>2512</v>
      </c>
      <c r="E5001" s="61" t="b">
        <v>1</v>
      </c>
      <c r="F5001" s="106" t="s">
        <v>16796</v>
      </c>
      <c r="G5001" s="116" t="str">
        <f>HYPERLINK("http://nsgreg.nga.mil/genc/view?v=116575&amp;gencs=T&amp;end_month=3&amp;end_day=31&amp;end_year=2014","Arkansas")</f>
        <v>Arkansas</v>
      </c>
      <c r="H5001" s="87" t="str">
        <f>HYPERLINK("http://api.nsgreg.nga.mil/geo-division/ISO3166-2/6/ed3/US-AR","US-AR")</f>
        <v>US-AR</v>
      </c>
    </row>
    <row r="5002" spans="1:8" x14ac:dyDescent="0.2">
      <c r="A5002" s="157"/>
      <c r="B5002" s="31" t="s">
        <v>16797</v>
      </c>
      <c r="C5002" s="31" t="s">
        <v>16798</v>
      </c>
      <c r="D5002" s="31" t="s">
        <v>2512</v>
      </c>
      <c r="E5002" s="61" t="b">
        <v>1</v>
      </c>
      <c r="F5002" s="106" t="s">
        <v>16799</v>
      </c>
      <c r="G5002" s="116" t="str">
        <f>HYPERLINK("http://nsgreg.nga.mil/genc/view?v=116578&amp;gencs=T&amp;end_month=3&amp;end_day=31&amp;end_year=2014","California")</f>
        <v>California</v>
      </c>
      <c r="H5002" s="87" t="str">
        <f>HYPERLINK("http://api.nsgreg.nga.mil/geo-division/ISO3166-2/6/ed3/US-CA","US-CA")</f>
        <v>US-CA</v>
      </c>
    </row>
    <row r="5003" spans="1:8" x14ac:dyDescent="0.2">
      <c r="A5003" s="157"/>
      <c r="B5003" s="31" t="s">
        <v>16800</v>
      </c>
      <c r="C5003" s="31" t="s">
        <v>16801</v>
      </c>
      <c r="D5003" s="31" t="s">
        <v>2512</v>
      </c>
      <c r="E5003" s="61" t="b">
        <v>1</v>
      </c>
      <c r="F5003" s="106" t="s">
        <v>16802</v>
      </c>
      <c r="G5003" s="116" t="str">
        <f>HYPERLINK("http://nsgreg.nga.mil/genc/view?v=116579&amp;gencs=T&amp;end_month=3&amp;end_day=31&amp;end_year=2014","Colorado")</f>
        <v>Colorado</v>
      </c>
      <c r="H5003" s="87" t="str">
        <f>HYPERLINK("http://api.nsgreg.nga.mil/geo-division/ISO3166-2/6/ed3/US-CO","US-CO")</f>
        <v>US-CO</v>
      </c>
    </row>
    <row r="5004" spans="1:8" x14ac:dyDescent="0.2">
      <c r="A5004" s="157"/>
      <c r="B5004" s="31" t="s">
        <v>16803</v>
      </c>
      <c r="C5004" s="31" t="s">
        <v>16804</v>
      </c>
      <c r="D5004" s="31" t="s">
        <v>2512</v>
      </c>
      <c r="E5004" s="61" t="b">
        <v>1</v>
      </c>
      <c r="F5004" s="106" t="s">
        <v>16805</v>
      </c>
      <c r="G5004" s="116" t="str">
        <f>HYPERLINK("http://nsgreg.nga.mil/genc/view?v=116580&amp;gencs=T&amp;end_month=3&amp;end_day=31&amp;end_year=2014","Connecticut")</f>
        <v>Connecticut</v>
      </c>
      <c r="H5004" s="87" t="str">
        <f>HYPERLINK("http://api.nsgreg.nga.mil/geo-division/ISO3166-2/6/ed3/US-CT","US-CT")</f>
        <v>US-CT</v>
      </c>
    </row>
    <row r="5005" spans="1:8" x14ac:dyDescent="0.2">
      <c r="A5005" s="157"/>
      <c r="B5005" s="31" t="s">
        <v>16806</v>
      </c>
      <c r="C5005" s="31" t="s">
        <v>16807</v>
      </c>
      <c r="D5005" s="31" t="s">
        <v>2512</v>
      </c>
      <c r="E5005" s="61" t="b">
        <v>1</v>
      </c>
      <c r="F5005" s="106" t="s">
        <v>16808</v>
      </c>
      <c r="G5005" s="116" t="str">
        <f>HYPERLINK("http://nsgreg.nga.mil/genc/view?v=116582&amp;gencs=T&amp;end_month=3&amp;end_day=31&amp;end_year=2014","Delaware")</f>
        <v>Delaware</v>
      </c>
      <c r="H5005" s="87" t="str">
        <f>HYPERLINK("http://api.nsgreg.nga.mil/geo-division/ISO3166-2/6/ed3/US-DE","US-DE")</f>
        <v>US-DE</v>
      </c>
    </row>
    <row r="5006" spans="1:8" x14ac:dyDescent="0.2">
      <c r="A5006" s="157"/>
      <c r="B5006" s="31" t="s">
        <v>16809</v>
      </c>
      <c r="C5006" s="31" t="s">
        <v>16810</v>
      </c>
      <c r="D5006" s="31" t="s">
        <v>2026</v>
      </c>
      <c r="E5006" s="61" t="b">
        <v>1</v>
      </c>
      <c r="F5006" s="106" t="s">
        <v>16811</v>
      </c>
      <c r="G5006" s="116" t="str">
        <f>HYPERLINK("http://nsgreg.nga.mil/genc/view?v=116581&amp;gencs=T&amp;end_month=3&amp;end_day=31&amp;end_year=2014","District of Columbia")</f>
        <v>District of Columbia</v>
      </c>
      <c r="H5006" s="87" t="str">
        <f>HYPERLINK("http://api.nsgreg.nga.mil/geo-division/ISO3166-2/6/ed3/US-DC","US-DC")</f>
        <v>US-DC</v>
      </c>
    </row>
    <row r="5007" spans="1:8" x14ac:dyDescent="0.2">
      <c r="A5007" s="157"/>
      <c r="B5007" s="31" t="s">
        <v>16812</v>
      </c>
      <c r="C5007" s="31" t="s">
        <v>16813</v>
      </c>
      <c r="D5007" s="31" t="s">
        <v>2512</v>
      </c>
      <c r="E5007" s="61" t="b">
        <v>1</v>
      </c>
      <c r="F5007" s="106" t="s">
        <v>16814</v>
      </c>
      <c r="G5007" s="116" t="str">
        <f>HYPERLINK("http://nsgreg.nga.mil/genc/view?v=116583&amp;gencs=T&amp;end_month=3&amp;end_day=31&amp;end_year=2014","Florida")</f>
        <v>Florida</v>
      </c>
      <c r="H5007" s="87" t="str">
        <f>HYPERLINK("http://api.nsgreg.nga.mil/geo-division/ISO3166-2/6/ed3/US-FL","US-FL")</f>
        <v>US-FL</v>
      </c>
    </row>
    <row r="5008" spans="1:8" x14ac:dyDescent="0.2">
      <c r="A5008" s="157"/>
      <c r="B5008" s="31" t="s">
        <v>16815</v>
      </c>
      <c r="C5008" s="31" t="s">
        <v>710</v>
      </c>
      <c r="D5008" s="31" t="s">
        <v>2512</v>
      </c>
      <c r="E5008" s="61" t="b">
        <v>1</v>
      </c>
      <c r="F5008" s="106" t="s">
        <v>16816</v>
      </c>
      <c r="G5008" s="116" t="str">
        <f>HYPERLINK("http://nsgreg.nga.mil/genc/view?v=116584&amp;gencs=T&amp;end_month=3&amp;end_day=31&amp;end_year=2014","Georgia")</f>
        <v>Georgia</v>
      </c>
      <c r="H5008" s="87" t="str">
        <f>HYPERLINK("http://api.nsgreg.nga.mil/geo-division/ISO3166-2/6/ed3/US-GA","US-GA")</f>
        <v>US-GA</v>
      </c>
    </row>
    <row r="5009" spans="1:8" x14ac:dyDescent="0.2">
      <c r="A5009" s="157"/>
      <c r="B5009" s="31" t="s">
        <v>16817</v>
      </c>
      <c r="C5009" s="31" t="s">
        <v>767</v>
      </c>
      <c r="D5009" s="98" t="s">
        <v>16789</v>
      </c>
      <c r="E5009" s="99" t="b">
        <v>0</v>
      </c>
      <c r="F5009" s="107" t="s">
        <v>16818</v>
      </c>
      <c r="G5009" s="116" t="str">
        <f>HYPERLINK("http://nsgreg.nga.mil/genc/view?v=203248&amp;end_month=3&amp;end_day=31&amp;end_year=2014","Guam")</f>
        <v>Guam</v>
      </c>
      <c r="H5009" s="87" t="str">
        <f>HYPERLINK("http://api.nsgreg.nga.mil/geo-division/GENC/6/ed2/US-GU","US-GU")</f>
        <v>US-GU</v>
      </c>
    </row>
    <row r="5010" spans="1:8" x14ac:dyDescent="0.2">
      <c r="A5010" s="157"/>
      <c r="B5010" s="31" t="s">
        <v>16819</v>
      </c>
      <c r="C5010" s="31" t="s">
        <v>16820</v>
      </c>
      <c r="D5010" s="31" t="s">
        <v>2512</v>
      </c>
      <c r="E5010" s="61" t="b">
        <v>1</v>
      </c>
      <c r="F5010" s="106" t="s">
        <v>16821</v>
      </c>
      <c r="G5010" s="116" t="str">
        <f>HYPERLINK("http://nsgreg.nga.mil/genc/view?v=116586&amp;gencs=T&amp;end_month=3&amp;end_day=31&amp;end_year=2014","Hawaii")</f>
        <v>Hawaii</v>
      </c>
      <c r="H5010" s="87" t="str">
        <f>HYPERLINK("http://api.nsgreg.nga.mil/geo-division/ISO3166-2/6/ed3/US-HI","US-HI")</f>
        <v>US-HI</v>
      </c>
    </row>
    <row r="5011" spans="1:8" x14ac:dyDescent="0.2">
      <c r="A5011" s="157"/>
      <c r="B5011" s="31" t="s">
        <v>16822</v>
      </c>
      <c r="C5011" s="31" t="s">
        <v>16823</v>
      </c>
      <c r="D5011" s="31" t="s">
        <v>2512</v>
      </c>
      <c r="E5011" s="61" t="b">
        <v>1</v>
      </c>
      <c r="F5011" s="106" t="s">
        <v>16824</v>
      </c>
      <c r="G5011" s="116" t="str">
        <f>HYPERLINK("http://nsgreg.nga.mil/genc/view?v=116588&amp;gencs=T&amp;end_month=3&amp;end_day=31&amp;end_year=2014","Idaho")</f>
        <v>Idaho</v>
      </c>
      <c r="H5011" s="87" t="str">
        <f>HYPERLINK("http://api.nsgreg.nga.mil/geo-division/ISO3166-2/6/ed3/US-ID","US-ID")</f>
        <v>US-ID</v>
      </c>
    </row>
    <row r="5012" spans="1:8" x14ac:dyDescent="0.2">
      <c r="A5012" s="157"/>
      <c r="B5012" s="31" t="s">
        <v>16825</v>
      </c>
      <c r="C5012" s="31" t="s">
        <v>16826</v>
      </c>
      <c r="D5012" s="31" t="s">
        <v>2512</v>
      </c>
      <c r="E5012" s="61" t="b">
        <v>1</v>
      </c>
      <c r="F5012" s="106" t="s">
        <v>16827</v>
      </c>
      <c r="G5012" s="116" t="str">
        <f>HYPERLINK("http://nsgreg.nga.mil/genc/view?v=116589&amp;gencs=T&amp;end_month=3&amp;end_day=31&amp;end_year=2014","Illinois")</f>
        <v>Illinois</v>
      </c>
      <c r="H5012" s="87" t="str">
        <f>HYPERLINK("http://api.nsgreg.nga.mil/geo-division/ISO3166-2/6/ed3/US-IL","US-IL")</f>
        <v>US-IL</v>
      </c>
    </row>
    <row r="5013" spans="1:8" x14ac:dyDescent="0.2">
      <c r="A5013" s="157"/>
      <c r="B5013" s="31" t="s">
        <v>16828</v>
      </c>
      <c r="C5013" s="31" t="s">
        <v>16829</v>
      </c>
      <c r="D5013" s="31" t="s">
        <v>2512</v>
      </c>
      <c r="E5013" s="61" t="b">
        <v>1</v>
      </c>
      <c r="F5013" s="106" t="s">
        <v>16830</v>
      </c>
      <c r="G5013" s="116" t="str">
        <f>HYPERLINK("http://nsgreg.nga.mil/genc/view?v=116590&amp;gencs=T&amp;end_month=3&amp;end_day=31&amp;end_year=2014","Indiana")</f>
        <v>Indiana</v>
      </c>
      <c r="H5013" s="87" t="str">
        <f>HYPERLINK("http://api.nsgreg.nga.mil/geo-division/ISO3166-2/6/ed3/US-IN","US-IN")</f>
        <v>US-IN</v>
      </c>
    </row>
    <row r="5014" spans="1:8" x14ac:dyDescent="0.2">
      <c r="A5014" s="157"/>
      <c r="B5014" s="31" t="s">
        <v>16831</v>
      </c>
      <c r="C5014" s="31" t="s">
        <v>16832</v>
      </c>
      <c r="D5014" s="31" t="s">
        <v>2512</v>
      </c>
      <c r="E5014" s="61" t="b">
        <v>1</v>
      </c>
      <c r="F5014" s="106" t="s">
        <v>16833</v>
      </c>
      <c r="G5014" s="116" t="str">
        <f>HYPERLINK("http://nsgreg.nga.mil/genc/view?v=116587&amp;gencs=T&amp;end_month=3&amp;end_day=31&amp;end_year=2014","Iowa")</f>
        <v>Iowa</v>
      </c>
      <c r="H5014" s="87" t="str">
        <f>HYPERLINK("http://api.nsgreg.nga.mil/geo-division/ISO3166-2/6/ed3/US-IA","US-IA")</f>
        <v>US-IA</v>
      </c>
    </row>
    <row r="5015" spans="1:8" x14ac:dyDescent="0.2">
      <c r="A5015" s="157"/>
      <c r="B5015" s="31" t="s">
        <v>16834</v>
      </c>
      <c r="C5015" s="31" t="s">
        <v>16835</v>
      </c>
      <c r="D5015" s="31" t="s">
        <v>2512</v>
      </c>
      <c r="E5015" s="61" t="b">
        <v>1</v>
      </c>
      <c r="F5015" s="106" t="s">
        <v>16836</v>
      </c>
      <c r="G5015" s="116" t="str">
        <f>HYPERLINK("http://nsgreg.nga.mil/genc/view?v=116591&amp;gencs=T&amp;end_month=3&amp;end_day=31&amp;end_year=2014","Kansas")</f>
        <v>Kansas</v>
      </c>
      <c r="H5015" s="87" t="str">
        <f>HYPERLINK("http://api.nsgreg.nga.mil/geo-division/ISO3166-2/6/ed3/US-KS","US-KS")</f>
        <v>US-KS</v>
      </c>
    </row>
    <row r="5016" spans="1:8" x14ac:dyDescent="0.2">
      <c r="A5016" s="157"/>
      <c r="B5016" s="31" t="s">
        <v>16837</v>
      </c>
      <c r="C5016" s="31" t="s">
        <v>16838</v>
      </c>
      <c r="D5016" s="31" t="s">
        <v>2512</v>
      </c>
      <c r="E5016" s="61" t="b">
        <v>1</v>
      </c>
      <c r="F5016" s="106" t="s">
        <v>16839</v>
      </c>
      <c r="G5016" s="116" t="str">
        <f>HYPERLINK("http://nsgreg.nga.mil/genc/view?v=116592&amp;gencs=T&amp;end_month=3&amp;end_day=31&amp;end_year=2014","Kentucky")</f>
        <v>Kentucky</v>
      </c>
      <c r="H5016" s="87" t="str">
        <f>HYPERLINK("http://api.nsgreg.nga.mil/geo-division/ISO3166-2/6/ed3/US-KY","US-KY")</f>
        <v>US-KY</v>
      </c>
    </row>
    <row r="5017" spans="1:8" x14ac:dyDescent="0.2">
      <c r="A5017" s="157"/>
      <c r="B5017" s="31" t="s">
        <v>16840</v>
      </c>
      <c r="C5017" s="31" t="s">
        <v>16841</v>
      </c>
      <c r="D5017" s="31" t="s">
        <v>2512</v>
      </c>
      <c r="E5017" s="61" t="b">
        <v>1</v>
      </c>
      <c r="F5017" s="106" t="s">
        <v>16842</v>
      </c>
      <c r="G5017" s="116" t="str">
        <f>HYPERLINK("http://nsgreg.nga.mil/genc/view?v=116593&amp;gencs=T&amp;end_month=3&amp;end_day=31&amp;end_year=2014","Louisiana")</f>
        <v>Louisiana</v>
      </c>
      <c r="H5017" s="87" t="str">
        <f>HYPERLINK("http://api.nsgreg.nga.mil/geo-division/ISO3166-2/6/ed3/US-LA","US-LA")</f>
        <v>US-LA</v>
      </c>
    </row>
    <row r="5018" spans="1:8" x14ac:dyDescent="0.2">
      <c r="A5018" s="157"/>
      <c r="B5018" s="31" t="s">
        <v>16843</v>
      </c>
      <c r="C5018" s="31" t="s">
        <v>16844</v>
      </c>
      <c r="D5018" s="31" t="s">
        <v>2512</v>
      </c>
      <c r="E5018" s="61" t="b">
        <v>1</v>
      </c>
      <c r="F5018" s="106" t="s">
        <v>16845</v>
      </c>
      <c r="G5018" s="116" t="str">
        <f>HYPERLINK("http://nsgreg.nga.mil/genc/view?v=116596&amp;gencs=T&amp;end_month=3&amp;end_day=31&amp;end_year=2014","Maine")</f>
        <v>Maine</v>
      </c>
      <c r="H5018" s="87" t="str">
        <f>HYPERLINK("http://api.nsgreg.nga.mil/geo-division/ISO3166-2/6/ed3/US-ME","US-ME")</f>
        <v>US-ME</v>
      </c>
    </row>
    <row r="5019" spans="1:8" x14ac:dyDescent="0.2">
      <c r="A5019" s="157"/>
      <c r="B5019" s="31" t="s">
        <v>16846</v>
      </c>
      <c r="C5019" s="31" t="s">
        <v>9009</v>
      </c>
      <c r="D5019" s="31" t="s">
        <v>2512</v>
      </c>
      <c r="E5019" s="61" t="b">
        <v>1</v>
      </c>
      <c r="F5019" s="106" t="s">
        <v>16847</v>
      </c>
      <c r="G5019" s="116" t="str">
        <f>HYPERLINK("http://nsgreg.nga.mil/genc/view?v=116595&amp;gencs=T&amp;end_month=3&amp;end_day=31&amp;end_year=2014","Maryland")</f>
        <v>Maryland</v>
      </c>
      <c r="H5019" s="87" t="str">
        <f>HYPERLINK("http://api.nsgreg.nga.mil/geo-division/ISO3166-2/6/ed3/US-MD","US-MD")</f>
        <v>US-MD</v>
      </c>
    </row>
    <row r="5020" spans="1:8" x14ac:dyDescent="0.2">
      <c r="A5020" s="157"/>
      <c r="B5020" s="31" t="s">
        <v>16848</v>
      </c>
      <c r="C5020" s="31" t="s">
        <v>16849</v>
      </c>
      <c r="D5020" s="31" t="s">
        <v>2512</v>
      </c>
      <c r="E5020" s="61" t="b">
        <v>1</v>
      </c>
      <c r="F5020" s="106" t="s">
        <v>16850</v>
      </c>
      <c r="G5020" s="116" t="str">
        <f>HYPERLINK("http://nsgreg.nga.mil/genc/view?v=116594&amp;gencs=T&amp;end_month=3&amp;end_day=31&amp;end_year=2014","Massachusetts")</f>
        <v>Massachusetts</v>
      </c>
      <c r="H5020" s="87" t="str">
        <f>HYPERLINK("http://api.nsgreg.nga.mil/geo-division/ISO3166-2/6/ed3/US-MA","US-MA")</f>
        <v>US-MA</v>
      </c>
    </row>
    <row r="5021" spans="1:8" x14ac:dyDescent="0.2">
      <c r="A5021" s="157"/>
      <c r="B5021" s="31" t="s">
        <v>16851</v>
      </c>
      <c r="C5021" s="31" t="s">
        <v>16852</v>
      </c>
      <c r="D5021" s="31" t="s">
        <v>2512</v>
      </c>
      <c r="E5021" s="61" t="b">
        <v>1</v>
      </c>
      <c r="F5021" s="106" t="s">
        <v>16853</v>
      </c>
      <c r="G5021" s="116" t="str">
        <f>HYPERLINK("http://nsgreg.nga.mil/genc/view?v=116597&amp;gencs=T&amp;end_month=3&amp;end_day=31&amp;end_year=2014","Michigan")</f>
        <v>Michigan</v>
      </c>
      <c r="H5021" s="87" t="str">
        <f>HYPERLINK("http://api.nsgreg.nga.mil/geo-division/ISO3166-2/6/ed3/US-MI","US-MI")</f>
        <v>US-MI</v>
      </c>
    </row>
    <row r="5022" spans="1:8" x14ac:dyDescent="0.2">
      <c r="A5022" s="157"/>
      <c r="B5022" s="31" t="s">
        <v>16854</v>
      </c>
      <c r="C5022" s="31" t="s">
        <v>16855</v>
      </c>
      <c r="D5022" s="31" t="s">
        <v>2512</v>
      </c>
      <c r="E5022" s="61" t="b">
        <v>1</v>
      </c>
      <c r="F5022" s="106" t="s">
        <v>16856</v>
      </c>
      <c r="G5022" s="116" t="str">
        <f>HYPERLINK("http://nsgreg.nga.mil/genc/view?v=116598&amp;gencs=T&amp;end_month=3&amp;end_day=31&amp;end_year=2014","Minnesota")</f>
        <v>Minnesota</v>
      </c>
      <c r="H5022" s="87" t="str">
        <f>HYPERLINK("http://api.nsgreg.nga.mil/geo-division/ISO3166-2/6/ed3/US-MN","US-MN")</f>
        <v>US-MN</v>
      </c>
    </row>
    <row r="5023" spans="1:8" x14ac:dyDescent="0.2">
      <c r="A5023" s="157"/>
      <c r="B5023" s="31" t="s">
        <v>16857</v>
      </c>
      <c r="C5023" s="31" t="s">
        <v>16858</v>
      </c>
      <c r="D5023" s="31" t="s">
        <v>2512</v>
      </c>
      <c r="E5023" s="61" t="b">
        <v>1</v>
      </c>
      <c r="F5023" s="106" t="s">
        <v>16859</v>
      </c>
      <c r="G5023" s="116" t="str">
        <f>HYPERLINK("http://nsgreg.nga.mil/genc/view?v=116601&amp;gencs=T&amp;end_month=3&amp;end_day=31&amp;end_year=2014","Mississippi")</f>
        <v>Mississippi</v>
      </c>
      <c r="H5023" s="87" t="str">
        <f>HYPERLINK("http://api.nsgreg.nga.mil/geo-division/ISO3166-2/6/ed3/US-MS","US-MS")</f>
        <v>US-MS</v>
      </c>
    </row>
    <row r="5024" spans="1:8" x14ac:dyDescent="0.2">
      <c r="A5024" s="157"/>
      <c r="B5024" s="31" t="s">
        <v>16860</v>
      </c>
      <c r="C5024" s="31" t="s">
        <v>16861</v>
      </c>
      <c r="D5024" s="31" t="s">
        <v>2512</v>
      </c>
      <c r="E5024" s="61" t="b">
        <v>1</v>
      </c>
      <c r="F5024" s="106" t="s">
        <v>16862</v>
      </c>
      <c r="G5024" s="116" t="str">
        <f>HYPERLINK("http://nsgreg.nga.mil/genc/view?v=116599&amp;gencs=T&amp;end_month=3&amp;end_day=31&amp;end_year=2014","Missouri")</f>
        <v>Missouri</v>
      </c>
      <c r="H5024" s="87" t="str">
        <f>HYPERLINK("http://api.nsgreg.nga.mil/geo-division/ISO3166-2/6/ed3/US-MO","US-MO")</f>
        <v>US-MO</v>
      </c>
    </row>
    <row r="5025" spans="1:8" x14ac:dyDescent="0.2">
      <c r="A5025" s="157"/>
      <c r="B5025" s="31" t="s">
        <v>16863</v>
      </c>
      <c r="C5025" s="31" t="s">
        <v>3587</v>
      </c>
      <c r="D5025" s="31" t="s">
        <v>2512</v>
      </c>
      <c r="E5025" s="61" t="b">
        <v>1</v>
      </c>
      <c r="F5025" s="106" t="s">
        <v>16864</v>
      </c>
      <c r="G5025" s="116" t="str">
        <f>HYPERLINK("http://nsgreg.nga.mil/genc/view?v=116602&amp;gencs=T&amp;end_month=3&amp;end_day=31&amp;end_year=2014","Montana")</f>
        <v>Montana</v>
      </c>
      <c r="H5025" s="87" t="str">
        <f>HYPERLINK("http://api.nsgreg.nga.mil/geo-division/ISO3166-2/6/ed3/US-MT","US-MT")</f>
        <v>US-MT</v>
      </c>
    </row>
    <row r="5026" spans="1:8" x14ac:dyDescent="0.2">
      <c r="A5026" s="157"/>
      <c r="B5026" s="31" t="s">
        <v>16865</v>
      </c>
      <c r="C5026" s="31" t="s">
        <v>16866</v>
      </c>
      <c r="D5026" s="31" t="s">
        <v>2512</v>
      </c>
      <c r="E5026" s="61" t="b">
        <v>1</v>
      </c>
      <c r="F5026" s="106" t="s">
        <v>16867</v>
      </c>
      <c r="G5026" s="116" t="str">
        <f>HYPERLINK("http://nsgreg.nga.mil/genc/view?v=116605&amp;gencs=T&amp;end_month=3&amp;end_day=31&amp;end_year=2014","Nebraska")</f>
        <v>Nebraska</v>
      </c>
      <c r="H5026" s="87" t="str">
        <f>HYPERLINK("http://api.nsgreg.nga.mil/geo-division/ISO3166-2/6/ed3/US-NE","US-NE")</f>
        <v>US-NE</v>
      </c>
    </row>
    <row r="5027" spans="1:8" x14ac:dyDescent="0.2">
      <c r="A5027" s="157"/>
      <c r="B5027" s="31" t="s">
        <v>16868</v>
      </c>
      <c r="C5027" s="31" t="s">
        <v>16869</v>
      </c>
      <c r="D5027" s="31" t="s">
        <v>2512</v>
      </c>
      <c r="E5027" s="61" t="b">
        <v>1</v>
      </c>
      <c r="F5027" s="106" t="s">
        <v>16870</v>
      </c>
      <c r="G5027" s="116" t="str">
        <f>HYPERLINK("http://nsgreg.nga.mil/genc/view?v=116609&amp;gencs=T&amp;end_month=3&amp;end_day=31&amp;end_year=2014","Nevada")</f>
        <v>Nevada</v>
      </c>
      <c r="H5027" s="87" t="str">
        <f>HYPERLINK("http://api.nsgreg.nga.mil/geo-division/ISO3166-2/6/ed3/US-NV","US-NV")</f>
        <v>US-NV</v>
      </c>
    </row>
    <row r="5028" spans="1:8" x14ac:dyDescent="0.2">
      <c r="A5028" s="157"/>
      <c r="B5028" s="31" t="s">
        <v>16871</v>
      </c>
      <c r="C5028" s="31" t="s">
        <v>16872</v>
      </c>
      <c r="D5028" s="31" t="s">
        <v>2512</v>
      </c>
      <c r="E5028" s="61" t="b">
        <v>1</v>
      </c>
      <c r="F5028" s="106" t="s">
        <v>16873</v>
      </c>
      <c r="G5028" s="116" t="str">
        <f>HYPERLINK("http://nsgreg.nga.mil/genc/view?v=116606&amp;gencs=T&amp;end_month=3&amp;end_day=31&amp;end_year=2014","New Hampshire")</f>
        <v>New Hampshire</v>
      </c>
      <c r="H5028" s="87" t="str">
        <f>HYPERLINK("http://api.nsgreg.nga.mil/geo-division/ISO3166-2/6/ed3/US-NH","US-NH")</f>
        <v>US-NH</v>
      </c>
    </row>
    <row r="5029" spans="1:8" x14ac:dyDescent="0.2">
      <c r="A5029" s="157"/>
      <c r="B5029" s="31" t="s">
        <v>16874</v>
      </c>
      <c r="C5029" s="31" t="s">
        <v>16875</v>
      </c>
      <c r="D5029" s="31" t="s">
        <v>2512</v>
      </c>
      <c r="E5029" s="61" t="b">
        <v>1</v>
      </c>
      <c r="F5029" s="106" t="s">
        <v>16876</v>
      </c>
      <c r="G5029" s="116" t="str">
        <f>HYPERLINK("http://nsgreg.nga.mil/genc/view?v=116607&amp;gencs=T&amp;end_month=3&amp;end_day=31&amp;end_year=2014","New Jersey")</f>
        <v>New Jersey</v>
      </c>
      <c r="H5029" s="87" t="str">
        <f>HYPERLINK("http://api.nsgreg.nga.mil/geo-division/ISO3166-2/6/ed3/US-NJ","US-NJ")</f>
        <v>US-NJ</v>
      </c>
    </row>
    <row r="5030" spans="1:8" x14ac:dyDescent="0.2">
      <c r="A5030" s="157"/>
      <c r="B5030" s="31" t="s">
        <v>16877</v>
      </c>
      <c r="C5030" s="31" t="s">
        <v>16878</v>
      </c>
      <c r="D5030" s="31" t="s">
        <v>2512</v>
      </c>
      <c r="E5030" s="61" t="b">
        <v>1</v>
      </c>
      <c r="F5030" s="106" t="s">
        <v>16879</v>
      </c>
      <c r="G5030" s="116" t="str">
        <f>HYPERLINK("http://nsgreg.nga.mil/genc/view?v=116608&amp;gencs=T&amp;end_month=3&amp;end_day=31&amp;end_year=2014","New Mexico")</f>
        <v>New Mexico</v>
      </c>
      <c r="H5030" s="87" t="str">
        <f>HYPERLINK("http://api.nsgreg.nga.mil/geo-division/ISO3166-2/6/ed3/US-NM","US-NM")</f>
        <v>US-NM</v>
      </c>
    </row>
    <row r="5031" spans="1:8" x14ac:dyDescent="0.2">
      <c r="A5031" s="157"/>
      <c r="B5031" s="31" t="s">
        <v>16880</v>
      </c>
      <c r="C5031" s="31" t="s">
        <v>16881</v>
      </c>
      <c r="D5031" s="31" t="s">
        <v>2512</v>
      </c>
      <c r="E5031" s="61" t="b">
        <v>1</v>
      </c>
      <c r="F5031" s="106" t="s">
        <v>16882</v>
      </c>
      <c r="G5031" s="116" t="str">
        <f>HYPERLINK("http://nsgreg.nga.mil/genc/view?v=116610&amp;gencs=T&amp;end_month=3&amp;end_day=31&amp;end_year=2014","New York")</f>
        <v>New York</v>
      </c>
      <c r="H5031" s="87" t="str">
        <f>HYPERLINK("http://api.nsgreg.nga.mil/geo-division/ISO3166-2/6/ed3/US-NY","US-NY")</f>
        <v>US-NY</v>
      </c>
    </row>
    <row r="5032" spans="1:8" x14ac:dyDescent="0.2">
      <c r="A5032" s="157"/>
      <c r="B5032" s="31" t="s">
        <v>16883</v>
      </c>
      <c r="C5032" s="31" t="s">
        <v>16884</v>
      </c>
      <c r="D5032" s="31" t="s">
        <v>2512</v>
      </c>
      <c r="E5032" s="61" t="b">
        <v>1</v>
      </c>
      <c r="F5032" s="106" t="s">
        <v>16885</v>
      </c>
      <c r="G5032" s="116" t="str">
        <f>HYPERLINK("http://nsgreg.nga.mil/genc/view?v=116603&amp;gencs=T&amp;end_month=3&amp;end_day=31&amp;end_year=2014","North Carolina")</f>
        <v>North Carolina</v>
      </c>
      <c r="H5032" s="87" t="str">
        <f>HYPERLINK("http://api.nsgreg.nga.mil/geo-division/ISO3166-2/6/ed3/US-NC","US-NC")</f>
        <v>US-NC</v>
      </c>
    </row>
    <row r="5033" spans="1:8" x14ac:dyDescent="0.2">
      <c r="A5033" s="157"/>
      <c r="B5033" s="31" t="s">
        <v>16886</v>
      </c>
      <c r="C5033" s="31" t="s">
        <v>16887</v>
      </c>
      <c r="D5033" s="31" t="s">
        <v>2512</v>
      </c>
      <c r="E5033" s="61" t="b">
        <v>1</v>
      </c>
      <c r="F5033" s="106" t="s">
        <v>16888</v>
      </c>
      <c r="G5033" s="116" t="str">
        <f>HYPERLINK("http://nsgreg.nga.mil/genc/view?v=116604&amp;gencs=T&amp;end_month=3&amp;end_day=31&amp;end_year=2014","North Dakota")</f>
        <v>North Dakota</v>
      </c>
      <c r="H5033" s="87" t="str">
        <f>HYPERLINK("http://api.nsgreg.nga.mil/geo-division/ISO3166-2/6/ed3/US-ND","US-ND")</f>
        <v>US-ND</v>
      </c>
    </row>
    <row r="5034" spans="1:8" x14ac:dyDescent="0.2">
      <c r="A5034" s="157"/>
      <c r="B5034" s="31" t="s">
        <v>16889</v>
      </c>
      <c r="C5034" s="31" t="s">
        <v>1316</v>
      </c>
      <c r="D5034" s="98" t="s">
        <v>16789</v>
      </c>
      <c r="E5034" s="99" t="b">
        <v>0</v>
      </c>
      <c r="F5034" s="107" t="s">
        <v>16890</v>
      </c>
      <c r="G5034" s="116" t="str">
        <f>HYPERLINK("http://nsgreg.nga.mil/genc/view?v=203249&amp;end_month=3&amp;end_day=31&amp;end_year=2014","Northern Mariana Islands")</f>
        <v>Northern Mariana Islands</v>
      </c>
      <c r="H5034" s="87" t="str">
        <f>HYPERLINK("http://api.nsgreg.nga.mil/geo-division/GENC/6/ed2/US-MP","US-MP")</f>
        <v>US-MP</v>
      </c>
    </row>
    <row r="5035" spans="1:8" x14ac:dyDescent="0.2">
      <c r="A5035" s="157"/>
      <c r="B5035" s="31" t="s">
        <v>16891</v>
      </c>
      <c r="C5035" s="31" t="s">
        <v>16892</v>
      </c>
      <c r="D5035" s="31" t="s">
        <v>2512</v>
      </c>
      <c r="E5035" s="61" t="b">
        <v>1</v>
      </c>
      <c r="F5035" s="106" t="s">
        <v>16893</v>
      </c>
      <c r="G5035" s="116" t="str">
        <f>HYPERLINK("http://nsgreg.nga.mil/genc/view?v=116611&amp;gencs=T&amp;end_month=3&amp;end_day=31&amp;end_year=2014","Ohio")</f>
        <v>Ohio</v>
      </c>
      <c r="H5035" s="87" t="str">
        <f>HYPERLINK("http://api.nsgreg.nga.mil/geo-division/ISO3166-2/6/ed3/US-OH","US-OH")</f>
        <v>US-OH</v>
      </c>
    </row>
    <row r="5036" spans="1:8" x14ac:dyDescent="0.2">
      <c r="A5036" s="157"/>
      <c r="B5036" s="31" t="s">
        <v>16894</v>
      </c>
      <c r="C5036" s="31" t="s">
        <v>16895</v>
      </c>
      <c r="D5036" s="31" t="s">
        <v>2512</v>
      </c>
      <c r="E5036" s="61" t="b">
        <v>1</v>
      </c>
      <c r="F5036" s="106" t="s">
        <v>16896</v>
      </c>
      <c r="G5036" s="116" t="str">
        <f>HYPERLINK("http://nsgreg.nga.mil/genc/view?v=116612&amp;gencs=T&amp;end_month=3&amp;end_day=31&amp;end_year=2014","Oklahoma")</f>
        <v>Oklahoma</v>
      </c>
      <c r="H5036" s="87" t="str">
        <f>HYPERLINK("http://api.nsgreg.nga.mil/geo-division/ISO3166-2/6/ed3/US-OK","US-OK")</f>
        <v>US-OK</v>
      </c>
    </row>
    <row r="5037" spans="1:8" x14ac:dyDescent="0.2">
      <c r="A5037" s="157"/>
      <c r="B5037" s="31" t="s">
        <v>16897</v>
      </c>
      <c r="C5037" s="31" t="s">
        <v>16898</v>
      </c>
      <c r="D5037" s="31" t="s">
        <v>2512</v>
      </c>
      <c r="E5037" s="61" t="b">
        <v>1</v>
      </c>
      <c r="F5037" s="106" t="s">
        <v>16899</v>
      </c>
      <c r="G5037" s="116" t="str">
        <f>HYPERLINK("http://nsgreg.nga.mil/genc/view?v=116613&amp;gencs=T&amp;end_month=3&amp;end_day=31&amp;end_year=2014","Oregon")</f>
        <v>Oregon</v>
      </c>
      <c r="H5037" s="87" t="str">
        <f>HYPERLINK("http://api.nsgreg.nga.mil/geo-division/ISO3166-2/6/ed3/US-OR","US-OR")</f>
        <v>US-OR</v>
      </c>
    </row>
    <row r="5038" spans="1:8" x14ac:dyDescent="0.2">
      <c r="A5038" s="157"/>
      <c r="B5038" s="31" t="s">
        <v>16900</v>
      </c>
      <c r="C5038" s="31" t="s">
        <v>16901</v>
      </c>
      <c r="D5038" s="31" t="s">
        <v>2512</v>
      </c>
      <c r="E5038" s="61" t="b">
        <v>1</v>
      </c>
      <c r="F5038" s="106" t="s">
        <v>16902</v>
      </c>
      <c r="G5038" s="116" t="str">
        <f>HYPERLINK("http://nsgreg.nga.mil/genc/view?v=116614&amp;gencs=T&amp;end_month=3&amp;end_day=31&amp;end_year=2014","Pennsylvania")</f>
        <v>Pennsylvania</v>
      </c>
      <c r="H5038" s="87" t="str">
        <f>HYPERLINK("http://api.nsgreg.nga.mil/geo-division/ISO3166-2/6/ed3/US-PA","US-PA")</f>
        <v>US-PA</v>
      </c>
    </row>
    <row r="5039" spans="1:8" x14ac:dyDescent="0.2">
      <c r="A5039" s="157"/>
      <c r="B5039" s="31" t="s">
        <v>16903</v>
      </c>
      <c r="C5039" s="31" t="s">
        <v>1417</v>
      </c>
      <c r="D5039" s="98" t="s">
        <v>16789</v>
      </c>
      <c r="E5039" s="99" t="b">
        <v>0</v>
      </c>
      <c r="F5039" s="107" t="s">
        <v>16904</v>
      </c>
      <c r="G5039" s="116" t="str">
        <f>HYPERLINK("http://nsgreg.nga.mil/genc/view?v=203250&amp;end_month=3&amp;end_day=31&amp;end_year=2014","Puerto Rico")</f>
        <v>Puerto Rico</v>
      </c>
      <c r="H5039" s="87" t="str">
        <f>HYPERLINK("http://api.nsgreg.nga.mil/geo-division/GENC/6/ed2/US-PR","US-PR")</f>
        <v>US-PR</v>
      </c>
    </row>
    <row r="5040" spans="1:8" x14ac:dyDescent="0.2">
      <c r="A5040" s="157"/>
      <c r="B5040" s="31" t="s">
        <v>16905</v>
      </c>
      <c r="C5040" s="31" t="s">
        <v>16906</v>
      </c>
      <c r="D5040" s="31" t="s">
        <v>2512</v>
      </c>
      <c r="E5040" s="61" t="b">
        <v>1</v>
      </c>
      <c r="F5040" s="106" t="s">
        <v>16907</v>
      </c>
      <c r="G5040" s="116" t="str">
        <f>HYPERLINK("http://nsgreg.nga.mil/genc/view?v=116616&amp;gencs=T&amp;end_month=3&amp;end_day=31&amp;end_year=2014","Rhode Island")</f>
        <v>Rhode Island</v>
      </c>
      <c r="H5040" s="87" t="str">
        <f>HYPERLINK("http://api.nsgreg.nga.mil/geo-division/ISO3166-2/6/ed3/US-RI","US-RI")</f>
        <v>US-RI</v>
      </c>
    </row>
    <row r="5041" spans="1:8" x14ac:dyDescent="0.2">
      <c r="A5041" s="157"/>
      <c r="B5041" s="31" t="s">
        <v>16908</v>
      </c>
      <c r="C5041" s="31" t="s">
        <v>16909</v>
      </c>
      <c r="D5041" s="31" t="s">
        <v>2512</v>
      </c>
      <c r="E5041" s="61" t="b">
        <v>1</v>
      </c>
      <c r="F5041" s="106" t="s">
        <v>16910</v>
      </c>
      <c r="G5041" s="116" t="str">
        <f>HYPERLINK("http://nsgreg.nga.mil/genc/view?v=116617&amp;gencs=T&amp;end_month=3&amp;end_day=31&amp;end_year=2014","South Carolina")</f>
        <v>South Carolina</v>
      </c>
      <c r="H5041" s="87" t="str">
        <f>HYPERLINK("http://api.nsgreg.nga.mil/geo-division/ISO3166-2/6/ed3/US-SC","US-SC")</f>
        <v>US-SC</v>
      </c>
    </row>
    <row r="5042" spans="1:8" x14ac:dyDescent="0.2">
      <c r="A5042" s="157"/>
      <c r="B5042" s="31" t="s">
        <v>16911</v>
      </c>
      <c r="C5042" s="31" t="s">
        <v>16912</v>
      </c>
      <c r="D5042" s="31" t="s">
        <v>2512</v>
      </c>
      <c r="E5042" s="61" t="b">
        <v>1</v>
      </c>
      <c r="F5042" s="106" t="s">
        <v>16913</v>
      </c>
      <c r="G5042" s="116" t="str">
        <f>HYPERLINK("http://nsgreg.nga.mil/genc/view?v=116618&amp;gencs=T&amp;end_month=3&amp;end_day=31&amp;end_year=2014","South Dakota")</f>
        <v>South Dakota</v>
      </c>
      <c r="H5042" s="87" t="str">
        <f>HYPERLINK("http://api.nsgreg.nga.mil/geo-division/ISO3166-2/6/ed3/US-SD","US-SD")</f>
        <v>US-SD</v>
      </c>
    </row>
    <row r="5043" spans="1:8" x14ac:dyDescent="0.2">
      <c r="A5043" s="157"/>
      <c r="B5043" s="31" t="s">
        <v>16914</v>
      </c>
      <c r="C5043" s="31" t="s">
        <v>16915</v>
      </c>
      <c r="D5043" s="31" t="s">
        <v>2512</v>
      </c>
      <c r="E5043" s="61" t="b">
        <v>1</v>
      </c>
      <c r="F5043" s="106" t="s">
        <v>16916</v>
      </c>
      <c r="G5043" s="116" t="str">
        <f>HYPERLINK("http://nsgreg.nga.mil/genc/view?v=116619&amp;gencs=T&amp;end_month=3&amp;end_day=31&amp;end_year=2014","Tennessee")</f>
        <v>Tennessee</v>
      </c>
      <c r="H5043" s="87" t="str">
        <f>HYPERLINK("http://api.nsgreg.nga.mil/geo-division/ISO3166-2/6/ed3/US-TN","US-TN")</f>
        <v>US-TN</v>
      </c>
    </row>
    <row r="5044" spans="1:8" x14ac:dyDescent="0.2">
      <c r="A5044" s="157"/>
      <c r="B5044" s="31" t="s">
        <v>16917</v>
      </c>
      <c r="C5044" s="31" t="s">
        <v>16918</v>
      </c>
      <c r="D5044" s="31" t="s">
        <v>2512</v>
      </c>
      <c r="E5044" s="61" t="b">
        <v>1</v>
      </c>
      <c r="F5044" s="106" t="s">
        <v>16919</v>
      </c>
      <c r="G5044" s="116" t="str">
        <f>HYPERLINK("http://nsgreg.nga.mil/genc/view?v=116620&amp;gencs=T&amp;end_month=3&amp;end_day=31&amp;end_year=2014","Texas")</f>
        <v>Texas</v>
      </c>
      <c r="H5044" s="87" t="str">
        <f>HYPERLINK("http://api.nsgreg.nga.mil/geo-division/ISO3166-2/6/ed3/US-TX","US-TX")</f>
        <v>US-TX</v>
      </c>
    </row>
    <row r="5045" spans="1:8" x14ac:dyDescent="0.2">
      <c r="A5045" s="157"/>
      <c r="B5045" s="31" t="s">
        <v>16920</v>
      </c>
      <c r="C5045" s="31" t="s">
        <v>16921</v>
      </c>
      <c r="D5045" s="98" t="s">
        <v>16789</v>
      </c>
      <c r="E5045" s="99" t="b">
        <v>0</v>
      </c>
      <c r="F5045" s="107" t="s">
        <v>16922</v>
      </c>
      <c r="G5045" s="116" t="str">
        <f>HYPERLINK("http://nsgreg.nga.mil/genc/view?v=203251&amp;end_month=3&amp;end_day=31&amp;end_year=2014","United States Minor Outlying Islands")</f>
        <v>United States Minor Outlying Islands</v>
      </c>
      <c r="H5045" s="87" t="str">
        <f>HYPERLINK("http://api.nsgreg.nga.mil/geo-division/GENC/6/ed2/US-UM","US-UM")</f>
        <v>US-UM</v>
      </c>
    </row>
    <row r="5046" spans="1:8" x14ac:dyDescent="0.2">
      <c r="A5046" s="157"/>
      <c r="B5046" s="31" t="s">
        <v>16923</v>
      </c>
      <c r="C5046" s="31" t="s">
        <v>16924</v>
      </c>
      <c r="D5046" s="31" t="s">
        <v>2512</v>
      </c>
      <c r="E5046" s="61" t="b">
        <v>1</v>
      </c>
      <c r="F5046" s="106" t="s">
        <v>16925</v>
      </c>
      <c r="G5046" s="116" t="str">
        <f>HYPERLINK("http://nsgreg.nga.mil/genc/view?v=116622&amp;gencs=T&amp;end_month=3&amp;end_day=31&amp;end_year=2014","Utah")</f>
        <v>Utah</v>
      </c>
      <c r="H5046" s="87" t="str">
        <f>HYPERLINK("http://api.nsgreg.nga.mil/geo-division/ISO3166-2/6/ed3/US-UT","US-UT")</f>
        <v>US-UT</v>
      </c>
    </row>
    <row r="5047" spans="1:8" x14ac:dyDescent="0.2">
      <c r="A5047" s="157"/>
      <c r="B5047" s="31" t="s">
        <v>16926</v>
      </c>
      <c r="C5047" s="31" t="s">
        <v>16927</v>
      </c>
      <c r="D5047" s="31" t="s">
        <v>2512</v>
      </c>
      <c r="E5047" s="61" t="b">
        <v>1</v>
      </c>
      <c r="F5047" s="106" t="s">
        <v>16928</v>
      </c>
      <c r="G5047" s="116" t="str">
        <f>HYPERLINK("http://nsgreg.nga.mil/genc/view?v=116625&amp;gencs=T&amp;end_month=3&amp;end_day=31&amp;end_year=2014","Vermont")</f>
        <v>Vermont</v>
      </c>
      <c r="H5047" s="87" t="str">
        <f>HYPERLINK("http://api.nsgreg.nga.mil/geo-division/ISO3166-2/6/ed3/US-VT","US-VT")</f>
        <v>US-VT</v>
      </c>
    </row>
    <row r="5048" spans="1:8" x14ac:dyDescent="0.2">
      <c r="A5048" s="157"/>
      <c r="B5048" s="31" t="s">
        <v>16929</v>
      </c>
      <c r="C5048" s="31" t="s">
        <v>16930</v>
      </c>
      <c r="D5048" s="31" t="s">
        <v>2512</v>
      </c>
      <c r="E5048" s="61" t="b">
        <v>1</v>
      </c>
      <c r="F5048" s="106" t="s">
        <v>16931</v>
      </c>
      <c r="G5048" s="116" t="str">
        <f>HYPERLINK("http://nsgreg.nga.mil/genc/view?v=116623&amp;gencs=T&amp;end_month=3&amp;end_day=31&amp;end_year=2014","Virginia")</f>
        <v>Virginia</v>
      </c>
      <c r="H5048" s="87" t="str">
        <f>HYPERLINK("http://api.nsgreg.nga.mil/geo-division/ISO3166-2/6/ed3/US-VA","US-VA")</f>
        <v>US-VA</v>
      </c>
    </row>
    <row r="5049" spans="1:8" x14ac:dyDescent="0.2">
      <c r="A5049" s="157"/>
      <c r="B5049" s="31" t="s">
        <v>16932</v>
      </c>
      <c r="C5049" s="31" t="s">
        <v>1869</v>
      </c>
      <c r="D5049" s="98" t="s">
        <v>16789</v>
      </c>
      <c r="E5049" s="99" t="b">
        <v>0</v>
      </c>
      <c r="F5049" s="107" t="s">
        <v>16933</v>
      </c>
      <c r="G5049" s="116" t="str">
        <f>HYPERLINK("http://nsgreg.nga.mil/genc/view?v=203252&amp;end_month=3&amp;end_day=31&amp;end_year=2014","Virgin Islands, U.S.")</f>
        <v>Virgin Islands, U.S.</v>
      </c>
      <c r="H5049" s="87" t="str">
        <f>HYPERLINK("http://api.nsgreg.nga.mil/geo-division/GENC/6/ed2/US-VI","US-VI")</f>
        <v>US-VI</v>
      </c>
    </row>
    <row r="5050" spans="1:8" x14ac:dyDescent="0.2">
      <c r="A5050" s="157"/>
      <c r="B5050" s="31" t="s">
        <v>16934</v>
      </c>
      <c r="C5050" s="31" t="s">
        <v>16935</v>
      </c>
      <c r="D5050" s="31" t="s">
        <v>2512</v>
      </c>
      <c r="E5050" s="61" t="b">
        <v>1</v>
      </c>
      <c r="F5050" s="106" t="s">
        <v>16936</v>
      </c>
      <c r="G5050" s="116" t="str">
        <f>HYPERLINK("http://nsgreg.nga.mil/genc/view?v=116626&amp;gencs=T&amp;end_month=3&amp;end_day=31&amp;end_year=2014","Washington")</f>
        <v>Washington</v>
      </c>
      <c r="H5050" s="87" t="str">
        <f>HYPERLINK("http://api.nsgreg.nga.mil/geo-division/ISO3166-2/6/ed3/US-WA","US-WA")</f>
        <v>US-WA</v>
      </c>
    </row>
    <row r="5051" spans="1:8" x14ac:dyDescent="0.2">
      <c r="A5051" s="157"/>
      <c r="B5051" s="31" t="s">
        <v>16937</v>
      </c>
      <c r="C5051" s="31" t="s">
        <v>16938</v>
      </c>
      <c r="D5051" s="31" t="s">
        <v>2512</v>
      </c>
      <c r="E5051" s="61" t="b">
        <v>1</v>
      </c>
      <c r="F5051" s="106" t="s">
        <v>16939</v>
      </c>
      <c r="G5051" s="116" t="str">
        <f>HYPERLINK("http://nsgreg.nga.mil/genc/view?v=116628&amp;gencs=T&amp;end_month=3&amp;end_day=31&amp;end_year=2014","West Virginia")</f>
        <v>West Virginia</v>
      </c>
      <c r="H5051" s="87" t="str">
        <f>HYPERLINK("http://api.nsgreg.nga.mil/geo-division/ISO3166-2/6/ed3/US-WV","US-WV")</f>
        <v>US-WV</v>
      </c>
    </row>
    <row r="5052" spans="1:8" x14ac:dyDescent="0.2">
      <c r="A5052" s="157"/>
      <c r="B5052" s="31" t="s">
        <v>16940</v>
      </c>
      <c r="C5052" s="31" t="s">
        <v>16941</v>
      </c>
      <c r="D5052" s="31" t="s">
        <v>2512</v>
      </c>
      <c r="E5052" s="61" t="b">
        <v>1</v>
      </c>
      <c r="F5052" s="106" t="s">
        <v>16942</v>
      </c>
      <c r="G5052" s="116" t="str">
        <f>HYPERLINK("http://nsgreg.nga.mil/genc/view?v=116627&amp;gencs=T&amp;end_month=3&amp;end_day=31&amp;end_year=2014","Wisconsin")</f>
        <v>Wisconsin</v>
      </c>
      <c r="H5052" s="87" t="str">
        <f>HYPERLINK("http://api.nsgreg.nga.mil/geo-division/ISO3166-2/6/ed3/US-WI","US-WI")</f>
        <v>US-WI</v>
      </c>
    </row>
    <row r="5053" spans="1:8" x14ac:dyDescent="0.2">
      <c r="A5053" s="158"/>
      <c r="B5053" s="58" t="s">
        <v>16943</v>
      </c>
      <c r="C5053" s="58" t="s">
        <v>16944</v>
      </c>
      <c r="D5053" s="58" t="s">
        <v>2512</v>
      </c>
      <c r="E5053" s="62" t="b">
        <v>1</v>
      </c>
      <c r="F5053" s="108" t="s">
        <v>16945</v>
      </c>
      <c r="G5053" s="117" t="str">
        <f>HYPERLINK("http://nsgreg.nga.mil/genc/view?v=116629&amp;gencs=T&amp;end_month=3&amp;end_day=31&amp;end_year=2014","Wyoming")</f>
        <v>Wyoming</v>
      </c>
      <c r="H5053" s="89" t="str">
        <f>HYPERLINK("http://api.nsgreg.nga.mil/geo-division/ISO3166-2/6/ed3/US-WY","US-WY")</f>
        <v>US-WY</v>
      </c>
    </row>
    <row r="5054" spans="1:8" x14ac:dyDescent="0.2">
      <c r="A5054" s="156" t="str">
        <f>HYPERLINK("[#]Geopolitical_Entities!A269:I269","URUGUAY")</f>
        <v>URUGUAY</v>
      </c>
      <c r="B5054" s="52" t="s">
        <v>16946</v>
      </c>
      <c r="C5054" s="52" t="s">
        <v>16947</v>
      </c>
      <c r="D5054" s="52" t="s">
        <v>3214</v>
      </c>
      <c r="E5054" s="60" t="b">
        <v>1</v>
      </c>
      <c r="F5054" s="109" t="s">
        <v>16948</v>
      </c>
      <c r="G5054" s="118" t="str">
        <f>HYPERLINK("http://nsgreg.nga.mil/genc/view?v=116630&amp;gencs=T&amp;end_month=3&amp;end_day=31&amp;end_year=2014","Artigas")</f>
        <v>Artigas</v>
      </c>
      <c r="H5054" s="91" t="str">
        <f>HYPERLINK("http://api.nsgreg.nga.mil/geo-division/ISO3166-2/6/ed3/UY-AR","UY-AR")</f>
        <v>UY-AR</v>
      </c>
    </row>
    <row r="5055" spans="1:8" x14ac:dyDescent="0.2">
      <c r="A5055" s="157"/>
      <c r="B5055" s="31" t="s">
        <v>16949</v>
      </c>
      <c r="C5055" s="31" t="s">
        <v>16950</v>
      </c>
      <c r="D5055" s="31" t="s">
        <v>3214</v>
      </c>
      <c r="E5055" s="61" t="b">
        <v>1</v>
      </c>
      <c r="F5055" s="106" t="s">
        <v>16951</v>
      </c>
      <c r="G5055" s="116" t="str">
        <f>HYPERLINK("http://nsgreg.nga.mil/genc/view?v=116631&amp;gencs=T&amp;end_month=3&amp;end_day=31&amp;end_year=2014","Canelones")</f>
        <v>Canelones</v>
      </c>
      <c r="H5055" s="87" t="str">
        <f>HYPERLINK("http://api.nsgreg.nga.mil/geo-division/ISO3166-2/6/ed3/UY-CA","UY-CA")</f>
        <v>UY-CA</v>
      </c>
    </row>
    <row r="5056" spans="1:8" x14ac:dyDescent="0.2">
      <c r="A5056" s="157"/>
      <c r="B5056" s="31" t="s">
        <v>16952</v>
      </c>
      <c r="C5056" s="31" t="s">
        <v>16953</v>
      </c>
      <c r="D5056" s="31" t="s">
        <v>3214</v>
      </c>
      <c r="E5056" s="61" t="b">
        <v>1</v>
      </c>
      <c r="F5056" s="106" t="s">
        <v>16954</v>
      </c>
      <c r="G5056" s="116" t="str">
        <f>HYPERLINK("http://nsgreg.nga.mil/genc/view?v=116632&amp;gencs=T&amp;end_month=3&amp;end_day=31&amp;end_year=2014","Cerro Largo")</f>
        <v>Cerro Largo</v>
      </c>
      <c r="H5056" s="87" t="str">
        <f>HYPERLINK("http://api.nsgreg.nga.mil/geo-division/ISO3166-2/6/ed3/UY-CL","UY-CL")</f>
        <v>UY-CL</v>
      </c>
    </row>
    <row r="5057" spans="1:8" x14ac:dyDescent="0.2">
      <c r="A5057" s="157"/>
      <c r="B5057" s="31" t="s">
        <v>16955</v>
      </c>
      <c r="C5057" s="31" t="s">
        <v>16956</v>
      </c>
      <c r="D5057" s="31" t="s">
        <v>3214</v>
      </c>
      <c r="E5057" s="61" t="b">
        <v>1</v>
      </c>
      <c r="F5057" s="106" t="s">
        <v>16957</v>
      </c>
      <c r="G5057" s="116" t="str">
        <f>HYPERLINK("http://nsgreg.nga.mil/genc/view?v=116633&amp;gencs=T&amp;end_month=3&amp;end_day=31&amp;end_year=2014","Colonia")</f>
        <v>Colonia</v>
      </c>
      <c r="H5057" s="87" t="str">
        <f>HYPERLINK("http://api.nsgreg.nga.mil/geo-division/ISO3166-2/6/ed3/UY-CO","UY-CO")</f>
        <v>UY-CO</v>
      </c>
    </row>
    <row r="5058" spans="1:8" x14ac:dyDescent="0.2">
      <c r="A5058" s="157"/>
      <c r="B5058" s="31" t="s">
        <v>16958</v>
      </c>
      <c r="C5058" s="31" t="s">
        <v>16959</v>
      </c>
      <c r="D5058" s="31" t="s">
        <v>3214</v>
      </c>
      <c r="E5058" s="61" t="b">
        <v>1</v>
      </c>
      <c r="F5058" s="106" t="s">
        <v>16960</v>
      </c>
      <c r="G5058" s="116" t="str">
        <f>HYPERLINK("http://nsgreg.nga.mil/genc/view?v=116634&amp;gencs=T&amp;end_month=3&amp;end_day=31&amp;end_year=2014","Durazno")</f>
        <v>Durazno</v>
      </c>
      <c r="H5058" s="87" t="str">
        <f>HYPERLINK("http://api.nsgreg.nga.mil/geo-division/ISO3166-2/6/ed3/UY-DU","UY-DU")</f>
        <v>UY-DU</v>
      </c>
    </row>
    <row r="5059" spans="1:8" x14ac:dyDescent="0.2">
      <c r="A5059" s="157"/>
      <c r="B5059" s="31" t="s">
        <v>16961</v>
      </c>
      <c r="C5059" s="31" t="s">
        <v>16962</v>
      </c>
      <c r="D5059" s="31" t="s">
        <v>3214</v>
      </c>
      <c r="E5059" s="61" t="b">
        <v>1</v>
      </c>
      <c r="F5059" s="106" t="s">
        <v>16963</v>
      </c>
      <c r="G5059" s="116" t="str">
        <f>HYPERLINK("http://nsgreg.nga.mil/genc/view?v=116636&amp;gencs=T&amp;end_month=3&amp;end_day=31&amp;end_year=2014","Flores")</f>
        <v>Flores</v>
      </c>
      <c r="H5059" s="87" t="str">
        <f>HYPERLINK("http://api.nsgreg.nga.mil/geo-division/ISO3166-2/6/ed3/UY-FS","UY-FS")</f>
        <v>UY-FS</v>
      </c>
    </row>
    <row r="5060" spans="1:8" x14ac:dyDescent="0.2">
      <c r="A5060" s="157"/>
      <c r="B5060" s="31" t="s">
        <v>16964</v>
      </c>
      <c r="C5060" s="31" t="s">
        <v>16813</v>
      </c>
      <c r="D5060" s="31" t="s">
        <v>3214</v>
      </c>
      <c r="E5060" s="61" t="b">
        <v>1</v>
      </c>
      <c r="F5060" s="106" t="s">
        <v>16965</v>
      </c>
      <c r="G5060" s="116" t="str">
        <f>HYPERLINK("http://nsgreg.nga.mil/genc/view?v=116635&amp;gencs=T&amp;end_month=3&amp;end_day=31&amp;end_year=2014","Florida")</f>
        <v>Florida</v>
      </c>
      <c r="H5060" s="87" t="str">
        <f>HYPERLINK("http://api.nsgreg.nga.mil/geo-division/ISO3166-2/6/ed3/UY-FD","UY-FD")</f>
        <v>UY-FD</v>
      </c>
    </row>
    <row r="5061" spans="1:8" x14ac:dyDescent="0.2">
      <c r="A5061" s="157"/>
      <c r="B5061" s="31" t="s">
        <v>16966</v>
      </c>
      <c r="C5061" s="31" t="s">
        <v>16967</v>
      </c>
      <c r="D5061" s="31" t="s">
        <v>3214</v>
      </c>
      <c r="E5061" s="61" t="b">
        <v>1</v>
      </c>
      <c r="F5061" s="106" t="s">
        <v>16968</v>
      </c>
      <c r="G5061" s="116" t="str">
        <f>HYPERLINK("http://nsgreg.nga.mil/genc/view?v=116637&amp;gencs=T&amp;end_month=3&amp;end_day=31&amp;end_year=2014","Lavalleja")</f>
        <v>Lavalleja</v>
      </c>
      <c r="H5061" s="87" t="str">
        <f>HYPERLINK("http://api.nsgreg.nga.mil/geo-division/ISO3166-2/6/ed3/UY-LA","UY-LA")</f>
        <v>UY-LA</v>
      </c>
    </row>
    <row r="5062" spans="1:8" x14ac:dyDescent="0.2">
      <c r="A5062" s="157"/>
      <c r="B5062" s="31" t="s">
        <v>16969</v>
      </c>
      <c r="C5062" s="31" t="s">
        <v>16970</v>
      </c>
      <c r="D5062" s="31" t="s">
        <v>3214</v>
      </c>
      <c r="E5062" s="61" t="b">
        <v>1</v>
      </c>
      <c r="F5062" s="106" t="s">
        <v>16971</v>
      </c>
      <c r="G5062" s="116" t="str">
        <f>HYPERLINK("http://nsgreg.nga.mil/genc/view?v=116638&amp;gencs=T&amp;end_month=3&amp;end_day=31&amp;end_year=2014","Maldonado")</f>
        <v>Maldonado</v>
      </c>
      <c r="H5062" s="87" t="str">
        <f>HYPERLINK("http://api.nsgreg.nga.mil/geo-division/ISO3166-2/6/ed3/UY-MA","UY-MA")</f>
        <v>UY-MA</v>
      </c>
    </row>
    <row r="5063" spans="1:8" x14ac:dyDescent="0.2">
      <c r="A5063" s="157"/>
      <c r="B5063" s="31" t="s">
        <v>16972</v>
      </c>
      <c r="C5063" s="31" t="s">
        <v>16973</v>
      </c>
      <c r="D5063" s="31" t="s">
        <v>3214</v>
      </c>
      <c r="E5063" s="61" t="b">
        <v>1</v>
      </c>
      <c r="F5063" s="106" t="s">
        <v>16974</v>
      </c>
      <c r="G5063" s="116" t="str">
        <f>HYPERLINK("http://nsgreg.nga.mil/genc/view?v=116639&amp;gencs=T&amp;end_month=3&amp;end_day=31&amp;end_year=2014","Montevideo")</f>
        <v>Montevideo</v>
      </c>
      <c r="H5063" s="87" t="str">
        <f>HYPERLINK("http://api.nsgreg.nga.mil/geo-division/ISO3166-2/6/ed3/UY-MO","UY-MO")</f>
        <v>UY-MO</v>
      </c>
    </row>
    <row r="5064" spans="1:8" x14ac:dyDescent="0.2">
      <c r="A5064" s="157"/>
      <c r="B5064" s="31" t="s">
        <v>16975</v>
      </c>
      <c r="C5064" s="31" t="s">
        <v>16976</v>
      </c>
      <c r="D5064" s="31" t="s">
        <v>3214</v>
      </c>
      <c r="E5064" s="61" t="b">
        <v>1</v>
      </c>
      <c r="F5064" s="106" t="s">
        <v>16977</v>
      </c>
      <c r="G5064" s="116" t="str">
        <f>HYPERLINK("http://nsgreg.nga.mil/genc/view?v=116640&amp;gencs=T&amp;end_month=3&amp;end_day=31&amp;end_year=2014","Paysandú")</f>
        <v>Paysandú</v>
      </c>
      <c r="H5064" s="87" t="str">
        <f>HYPERLINK("http://api.nsgreg.nga.mil/geo-division/ISO3166-2/6/ed3/UY-PA","UY-PA")</f>
        <v>UY-PA</v>
      </c>
    </row>
    <row r="5065" spans="1:8" x14ac:dyDescent="0.2">
      <c r="A5065" s="157"/>
      <c r="B5065" s="31" t="s">
        <v>16978</v>
      </c>
      <c r="C5065" s="31" t="s">
        <v>2447</v>
      </c>
      <c r="D5065" s="31" t="s">
        <v>3214</v>
      </c>
      <c r="E5065" s="61" t="b">
        <v>1</v>
      </c>
      <c r="F5065" s="106" t="s">
        <v>16979</v>
      </c>
      <c r="G5065" s="116" t="str">
        <f>HYPERLINK("http://nsgreg.nga.mil/genc/view?v=116641&amp;gencs=T&amp;end_month=3&amp;end_day=31&amp;end_year=2014","Río Negro")</f>
        <v>Río Negro</v>
      </c>
      <c r="H5065" s="87" t="str">
        <f>HYPERLINK("http://api.nsgreg.nga.mil/geo-division/ISO3166-2/6/ed3/UY-RN","UY-RN")</f>
        <v>UY-RN</v>
      </c>
    </row>
    <row r="5066" spans="1:8" x14ac:dyDescent="0.2">
      <c r="A5066" s="157"/>
      <c r="B5066" s="31" t="s">
        <v>16980</v>
      </c>
      <c r="C5066" s="31" t="s">
        <v>16981</v>
      </c>
      <c r="D5066" s="31" t="s">
        <v>3214</v>
      </c>
      <c r="E5066" s="61" t="b">
        <v>1</v>
      </c>
      <c r="F5066" s="106" t="s">
        <v>16982</v>
      </c>
      <c r="G5066" s="116" t="str">
        <f>HYPERLINK("http://nsgreg.nga.mil/genc/view?v=116643&amp;gencs=T&amp;end_month=3&amp;end_day=31&amp;end_year=2014","Rivera")</f>
        <v>Rivera</v>
      </c>
      <c r="H5066" s="87" t="str">
        <f>HYPERLINK("http://api.nsgreg.nga.mil/geo-division/ISO3166-2/6/ed3/UY-RV","UY-RV")</f>
        <v>UY-RV</v>
      </c>
    </row>
    <row r="5067" spans="1:8" x14ac:dyDescent="0.2">
      <c r="A5067" s="157"/>
      <c r="B5067" s="31" t="s">
        <v>16983</v>
      </c>
      <c r="C5067" s="31" t="s">
        <v>16984</v>
      </c>
      <c r="D5067" s="31" t="s">
        <v>3214</v>
      </c>
      <c r="E5067" s="61" t="b">
        <v>1</v>
      </c>
      <c r="F5067" s="106" t="s">
        <v>16985</v>
      </c>
      <c r="G5067" s="116" t="str">
        <f>HYPERLINK("http://nsgreg.nga.mil/genc/view?v=116642&amp;gencs=T&amp;end_month=3&amp;end_day=31&amp;end_year=2014","Rocha")</f>
        <v>Rocha</v>
      </c>
      <c r="H5067" s="87" t="str">
        <f>HYPERLINK("http://api.nsgreg.nga.mil/geo-division/ISO3166-2/6/ed3/UY-RO","UY-RO")</f>
        <v>UY-RO</v>
      </c>
    </row>
    <row r="5068" spans="1:8" x14ac:dyDescent="0.2">
      <c r="A5068" s="157"/>
      <c r="B5068" s="31" t="s">
        <v>16986</v>
      </c>
      <c r="C5068" s="31" t="s">
        <v>16987</v>
      </c>
      <c r="D5068" s="31" t="s">
        <v>3214</v>
      </c>
      <c r="E5068" s="61" t="b">
        <v>1</v>
      </c>
      <c r="F5068" s="106" t="s">
        <v>16988</v>
      </c>
      <c r="G5068" s="116" t="str">
        <f>HYPERLINK("http://nsgreg.nga.mil/genc/view?v=116644&amp;gencs=T&amp;end_month=3&amp;end_day=31&amp;end_year=2014","Salto")</f>
        <v>Salto</v>
      </c>
      <c r="H5068" s="87" t="str">
        <f>HYPERLINK("http://api.nsgreg.nga.mil/geo-division/ISO3166-2/6/ed3/UY-SA","UY-SA")</f>
        <v>UY-SA</v>
      </c>
    </row>
    <row r="5069" spans="1:8" x14ac:dyDescent="0.2">
      <c r="A5069" s="157"/>
      <c r="B5069" s="31" t="s">
        <v>16989</v>
      </c>
      <c r="C5069" s="31" t="s">
        <v>4594</v>
      </c>
      <c r="D5069" s="31" t="s">
        <v>3214</v>
      </c>
      <c r="E5069" s="61" t="b">
        <v>1</v>
      </c>
      <c r="F5069" s="106" t="s">
        <v>16990</v>
      </c>
      <c r="G5069" s="116" t="str">
        <f>HYPERLINK("http://nsgreg.nga.mil/genc/view?v=116645&amp;gencs=T&amp;end_month=3&amp;end_day=31&amp;end_year=2014","San José")</f>
        <v>San José</v>
      </c>
      <c r="H5069" s="87" t="str">
        <f>HYPERLINK("http://api.nsgreg.nga.mil/geo-division/ISO3166-2/6/ed3/UY-SJ","UY-SJ")</f>
        <v>UY-SJ</v>
      </c>
    </row>
    <row r="5070" spans="1:8" x14ac:dyDescent="0.2">
      <c r="A5070" s="157"/>
      <c r="B5070" s="31" t="s">
        <v>16991</v>
      </c>
      <c r="C5070" s="31" t="s">
        <v>16992</v>
      </c>
      <c r="D5070" s="31" t="s">
        <v>3214</v>
      </c>
      <c r="E5070" s="61" t="b">
        <v>1</v>
      </c>
      <c r="F5070" s="106" t="s">
        <v>16993</v>
      </c>
      <c r="G5070" s="116" t="str">
        <f>HYPERLINK("http://nsgreg.nga.mil/genc/view?v=116646&amp;gencs=T&amp;end_month=3&amp;end_day=31&amp;end_year=2014","Soriano")</f>
        <v>Soriano</v>
      </c>
      <c r="H5070" s="87" t="str">
        <f>HYPERLINK("http://api.nsgreg.nga.mil/geo-division/ISO3166-2/6/ed3/UY-SO","UY-SO")</f>
        <v>UY-SO</v>
      </c>
    </row>
    <row r="5071" spans="1:8" x14ac:dyDescent="0.2">
      <c r="A5071" s="157"/>
      <c r="B5071" s="31" t="s">
        <v>16994</v>
      </c>
      <c r="C5071" s="31" t="s">
        <v>16995</v>
      </c>
      <c r="D5071" s="31" t="s">
        <v>3214</v>
      </c>
      <c r="E5071" s="61" t="b">
        <v>1</v>
      </c>
      <c r="F5071" s="106" t="s">
        <v>16996</v>
      </c>
      <c r="G5071" s="116" t="str">
        <f>HYPERLINK("http://nsgreg.nga.mil/genc/view?v=116647&amp;gencs=T&amp;end_month=3&amp;end_day=31&amp;end_year=2014","Tacuarembó")</f>
        <v>Tacuarembó</v>
      </c>
      <c r="H5071" s="87" t="str">
        <f>HYPERLINK("http://api.nsgreg.nga.mil/geo-division/ISO3166-2/6/ed3/UY-TA","UY-TA")</f>
        <v>UY-TA</v>
      </c>
    </row>
    <row r="5072" spans="1:8" x14ac:dyDescent="0.2">
      <c r="A5072" s="158"/>
      <c r="B5072" s="58" t="s">
        <v>16997</v>
      </c>
      <c r="C5072" s="58" t="s">
        <v>16998</v>
      </c>
      <c r="D5072" s="58" t="s">
        <v>3214</v>
      </c>
      <c r="E5072" s="62" t="b">
        <v>1</v>
      </c>
      <c r="F5072" s="108" t="s">
        <v>16999</v>
      </c>
      <c r="G5072" s="117" t="str">
        <f>HYPERLINK("http://nsgreg.nga.mil/genc/view?v=116648&amp;gencs=T&amp;end_month=3&amp;end_day=31&amp;end_year=2014","Treinta y Tres")</f>
        <v>Treinta y Tres</v>
      </c>
      <c r="H5072" s="89" t="str">
        <f>HYPERLINK("http://api.nsgreg.nga.mil/geo-division/ISO3166-2/6/ed3/UY-TT","UY-TT")</f>
        <v>UY-TT</v>
      </c>
    </row>
    <row r="5073" spans="1:8" x14ac:dyDescent="0.2">
      <c r="A5073" s="156" t="str">
        <f>HYPERLINK("[#]Geopolitical_Entities!A270:I270","UZBEKISTAN")</f>
        <v>UZBEKISTAN</v>
      </c>
      <c r="B5073" s="52" t="s">
        <v>17000</v>
      </c>
      <c r="C5073" s="52" t="s">
        <v>17001</v>
      </c>
      <c r="D5073" s="52" t="s">
        <v>3137</v>
      </c>
      <c r="E5073" s="60" t="b">
        <v>1</v>
      </c>
      <c r="F5073" s="109" t="s">
        <v>17002</v>
      </c>
      <c r="G5073" s="118" t="str">
        <f>HYPERLINK("http://nsgreg.nga.mil/genc/view?v=116649&amp;gencs=T&amp;end_month=3&amp;end_day=31&amp;end_year=2014","Andijon")</f>
        <v>Andijon</v>
      </c>
      <c r="H5073" s="91" t="str">
        <f>HYPERLINK("http://api.nsgreg.nga.mil/geo-division/ISO3166-2/6/ed3/UZ-AN","UZ-AN")</f>
        <v>UZ-AN</v>
      </c>
    </row>
    <row r="5074" spans="1:8" x14ac:dyDescent="0.2">
      <c r="A5074" s="157"/>
      <c r="B5074" s="31" t="s">
        <v>17003</v>
      </c>
      <c r="C5074" s="31" t="s">
        <v>17004</v>
      </c>
      <c r="D5074" s="31" t="s">
        <v>3137</v>
      </c>
      <c r="E5074" s="61" t="b">
        <v>1</v>
      </c>
      <c r="F5074" s="106" t="s">
        <v>17005</v>
      </c>
      <c r="G5074" s="116" t="str">
        <f>HYPERLINK("http://nsgreg.nga.mil/genc/view?v=116650&amp;gencs=T&amp;end_month=3&amp;end_day=31&amp;end_year=2014","Buxoro")</f>
        <v>Buxoro</v>
      </c>
      <c r="H5074" s="87" t="str">
        <f>HYPERLINK("http://api.nsgreg.nga.mil/geo-division/ISO3166-2/6/ed3/UZ-BU","UZ-BU")</f>
        <v>UZ-BU</v>
      </c>
    </row>
    <row r="5075" spans="1:8" x14ac:dyDescent="0.2">
      <c r="A5075" s="157"/>
      <c r="B5075" s="31" t="s">
        <v>17006</v>
      </c>
      <c r="C5075" s="31" t="s">
        <v>17007</v>
      </c>
      <c r="D5075" s="31" t="s">
        <v>3137</v>
      </c>
      <c r="E5075" s="61" t="b">
        <v>1</v>
      </c>
      <c r="F5075" s="106" t="s">
        <v>17008</v>
      </c>
      <c r="G5075" s="116" t="str">
        <f>HYPERLINK("http://nsgreg.nga.mil/genc/view?v=116651&amp;gencs=T&amp;end_month=3&amp;end_day=31&amp;end_year=2014","Farg‘ona")</f>
        <v>Farg‘ona</v>
      </c>
      <c r="H5075" s="87" t="str">
        <f>HYPERLINK("http://api.nsgreg.nga.mil/geo-division/ISO3166-2/6/ed3/UZ-FA","UZ-FA")</f>
        <v>UZ-FA</v>
      </c>
    </row>
    <row r="5076" spans="1:8" x14ac:dyDescent="0.2">
      <c r="A5076" s="157"/>
      <c r="B5076" s="31" t="s">
        <v>17009</v>
      </c>
      <c r="C5076" s="31" t="s">
        <v>17010</v>
      </c>
      <c r="D5076" s="31" t="s">
        <v>3137</v>
      </c>
      <c r="E5076" s="61" t="b">
        <v>1</v>
      </c>
      <c r="F5076" s="106" t="s">
        <v>17011</v>
      </c>
      <c r="G5076" s="116" t="str">
        <f>HYPERLINK("http://nsgreg.nga.mil/genc/view?v=116652&amp;gencs=T&amp;end_month=3&amp;end_day=31&amp;end_year=2014","Jizzax")</f>
        <v>Jizzax</v>
      </c>
      <c r="H5076" s="87" t="str">
        <f>HYPERLINK("http://api.nsgreg.nga.mil/geo-division/ISO3166-2/6/ed3/UZ-JI","UZ-JI")</f>
        <v>UZ-JI</v>
      </c>
    </row>
    <row r="5077" spans="1:8" x14ac:dyDescent="0.2">
      <c r="A5077" s="157"/>
      <c r="B5077" s="31" t="s">
        <v>17012</v>
      </c>
      <c r="C5077" s="31" t="s">
        <v>17013</v>
      </c>
      <c r="D5077" s="31" t="s">
        <v>3137</v>
      </c>
      <c r="E5077" s="61" t="b">
        <v>1</v>
      </c>
      <c r="F5077" s="106" t="s">
        <v>17014</v>
      </c>
      <c r="G5077" s="116" t="str">
        <f>HYPERLINK("http://nsgreg.nga.mil/genc/view?v=116653&amp;gencs=T&amp;end_month=3&amp;end_day=31&amp;end_year=2014","Namangan")</f>
        <v>Namangan</v>
      </c>
      <c r="H5077" s="87" t="str">
        <f>HYPERLINK("http://api.nsgreg.nga.mil/geo-division/ISO3166-2/6/ed3/UZ-NG","UZ-NG")</f>
        <v>UZ-NG</v>
      </c>
    </row>
    <row r="5078" spans="1:8" x14ac:dyDescent="0.2">
      <c r="A5078" s="157"/>
      <c r="B5078" s="31" t="s">
        <v>17015</v>
      </c>
      <c r="C5078" s="31" t="s">
        <v>17016</v>
      </c>
      <c r="D5078" s="31" t="s">
        <v>3137</v>
      </c>
      <c r="E5078" s="61" t="b">
        <v>1</v>
      </c>
      <c r="F5078" s="106" t="s">
        <v>17017</v>
      </c>
      <c r="G5078" s="116" t="str">
        <f>HYPERLINK("http://nsgreg.nga.mil/genc/view?v=116654&amp;gencs=T&amp;end_month=3&amp;end_day=31&amp;end_year=2014","Navoiy")</f>
        <v>Navoiy</v>
      </c>
      <c r="H5078" s="87" t="str">
        <f>HYPERLINK("http://api.nsgreg.nga.mil/geo-division/ISO3166-2/6/ed3/UZ-NW","UZ-NW")</f>
        <v>UZ-NW</v>
      </c>
    </row>
    <row r="5079" spans="1:8" x14ac:dyDescent="0.2">
      <c r="A5079" s="157"/>
      <c r="B5079" s="31" t="s">
        <v>17018</v>
      </c>
      <c r="C5079" s="31" t="s">
        <v>17019</v>
      </c>
      <c r="D5079" s="31" t="s">
        <v>3137</v>
      </c>
      <c r="E5079" s="61" t="b">
        <v>1</v>
      </c>
      <c r="F5079" s="106" t="s">
        <v>17020</v>
      </c>
      <c r="G5079" s="116" t="str">
        <f>HYPERLINK("http://nsgreg.nga.mil/genc/view?v=116655&amp;gencs=T&amp;end_month=3&amp;end_day=31&amp;end_year=2014","Qashqadaryo")</f>
        <v>Qashqadaryo</v>
      </c>
      <c r="H5079" s="87" t="str">
        <f>HYPERLINK("http://api.nsgreg.nga.mil/geo-division/ISO3166-2/6/ed3/UZ-QA","UZ-QA")</f>
        <v>UZ-QA</v>
      </c>
    </row>
    <row r="5080" spans="1:8" x14ac:dyDescent="0.2">
      <c r="A5080" s="157"/>
      <c r="B5080" s="31" t="s">
        <v>17021</v>
      </c>
      <c r="C5080" s="31" t="s">
        <v>17022</v>
      </c>
      <c r="D5080" s="31" t="s">
        <v>3405</v>
      </c>
      <c r="E5080" s="61" t="b">
        <v>1</v>
      </c>
      <c r="F5080" s="107" t="s">
        <v>17023</v>
      </c>
      <c r="G5080" s="116" t="str">
        <f>HYPERLINK("http://nsgreg.nga.mil/genc/view?v=203253&amp;end_month=3&amp;end_day=31&amp;end_year=2014","Qoraqalpog‘iston")</f>
        <v>Qoraqalpog‘iston</v>
      </c>
      <c r="H5080" s="87" t="str">
        <f>HYPERLINK("http://api.nsgreg.nga.mil/geo-division/GENC/6/ed2/UZ-QR","UZ-QR")</f>
        <v>UZ-QR</v>
      </c>
    </row>
    <row r="5081" spans="1:8" x14ac:dyDescent="0.2">
      <c r="A5081" s="157"/>
      <c r="B5081" s="31" t="s">
        <v>17024</v>
      </c>
      <c r="C5081" s="31" t="s">
        <v>17025</v>
      </c>
      <c r="D5081" s="31" t="s">
        <v>3137</v>
      </c>
      <c r="E5081" s="61" t="b">
        <v>1</v>
      </c>
      <c r="F5081" s="106" t="s">
        <v>17026</v>
      </c>
      <c r="G5081" s="116" t="str">
        <f>HYPERLINK("http://nsgreg.nga.mil/genc/view?v=116657&amp;gencs=T&amp;end_month=3&amp;end_day=31&amp;end_year=2014","Samarqand")</f>
        <v>Samarqand</v>
      </c>
      <c r="H5081" s="87" t="str">
        <f>HYPERLINK("http://api.nsgreg.nga.mil/geo-division/ISO3166-2/6/ed3/UZ-SA","UZ-SA")</f>
        <v>UZ-SA</v>
      </c>
    </row>
    <row r="5082" spans="1:8" x14ac:dyDescent="0.2">
      <c r="A5082" s="157"/>
      <c r="B5082" s="31" t="s">
        <v>17027</v>
      </c>
      <c r="C5082" s="31" t="s">
        <v>17028</v>
      </c>
      <c r="D5082" s="31" t="s">
        <v>3137</v>
      </c>
      <c r="E5082" s="61" t="b">
        <v>1</v>
      </c>
      <c r="F5082" s="106" t="s">
        <v>17029</v>
      </c>
      <c r="G5082" s="116" t="str">
        <f>HYPERLINK("http://nsgreg.nga.mil/genc/view?v=116658&amp;gencs=T&amp;end_month=3&amp;end_day=31&amp;end_year=2014","Sirdaryo")</f>
        <v>Sirdaryo</v>
      </c>
      <c r="H5082" s="87" t="str">
        <f>HYPERLINK("http://api.nsgreg.nga.mil/geo-division/ISO3166-2/6/ed3/UZ-SI","UZ-SI")</f>
        <v>UZ-SI</v>
      </c>
    </row>
    <row r="5083" spans="1:8" x14ac:dyDescent="0.2">
      <c r="A5083" s="157"/>
      <c r="B5083" s="31" t="s">
        <v>17030</v>
      </c>
      <c r="C5083" s="31" t="s">
        <v>17031</v>
      </c>
      <c r="D5083" s="31" t="s">
        <v>3137</v>
      </c>
      <c r="E5083" s="61" t="b">
        <v>1</v>
      </c>
      <c r="F5083" s="106" t="s">
        <v>17032</v>
      </c>
      <c r="G5083" s="116" t="str">
        <f>HYPERLINK("http://nsgreg.nga.mil/genc/view?v=116659&amp;gencs=T&amp;end_month=3&amp;end_day=31&amp;end_year=2014","Surxondaryo")</f>
        <v>Surxondaryo</v>
      </c>
      <c r="H5083" s="87" t="str">
        <f>HYPERLINK("http://api.nsgreg.nga.mil/geo-division/ISO3166-2/6/ed3/UZ-SU","UZ-SU")</f>
        <v>UZ-SU</v>
      </c>
    </row>
    <row r="5084" spans="1:8" x14ac:dyDescent="0.2">
      <c r="A5084" s="157"/>
      <c r="B5084" s="31" t="s">
        <v>17033</v>
      </c>
      <c r="C5084" s="31" t="s">
        <v>17034</v>
      </c>
      <c r="D5084" s="31" t="s">
        <v>2405</v>
      </c>
      <c r="E5084" s="61" t="b">
        <v>1</v>
      </c>
      <c r="F5084" s="106" t="s">
        <v>17035</v>
      </c>
      <c r="G5084" s="116" t="str">
        <f>HYPERLINK("http://nsgreg.nga.mil/genc/view?v=116660&amp;gencs=T&amp;end_month=3&amp;end_day=31&amp;end_year=2014","Toshkent")</f>
        <v>Toshkent</v>
      </c>
      <c r="H5084" s="87" t="str">
        <f>HYPERLINK("http://api.nsgreg.nga.mil/geo-division/ISO3166-2/6/ed3/UZ-TK","UZ-TK")</f>
        <v>UZ-TK</v>
      </c>
    </row>
    <row r="5085" spans="1:8" x14ac:dyDescent="0.2">
      <c r="A5085" s="157"/>
      <c r="B5085" s="31" t="s">
        <v>17036</v>
      </c>
      <c r="C5085" s="31" t="s">
        <v>17034</v>
      </c>
      <c r="D5085" s="31" t="s">
        <v>3137</v>
      </c>
      <c r="E5085" s="61" t="b">
        <v>1</v>
      </c>
      <c r="F5085" s="106" t="s">
        <v>17037</v>
      </c>
      <c r="G5085" s="116" t="str">
        <f>HYPERLINK("http://nsgreg.nga.mil/genc/view?v=116661&amp;gencs=T&amp;end_month=3&amp;end_day=31&amp;end_year=2014","Toshkent")</f>
        <v>Toshkent</v>
      </c>
      <c r="H5085" s="87" t="str">
        <f>HYPERLINK("http://api.nsgreg.nga.mil/geo-division/ISO3166-2/6/ed3/UZ-TO","UZ-TO")</f>
        <v>UZ-TO</v>
      </c>
    </row>
    <row r="5086" spans="1:8" x14ac:dyDescent="0.2">
      <c r="A5086" s="158"/>
      <c r="B5086" s="58" t="s">
        <v>17038</v>
      </c>
      <c r="C5086" s="58" t="s">
        <v>17039</v>
      </c>
      <c r="D5086" s="58" t="s">
        <v>3137</v>
      </c>
      <c r="E5086" s="62" t="b">
        <v>1</v>
      </c>
      <c r="F5086" s="108" t="s">
        <v>17040</v>
      </c>
      <c r="G5086" s="117" t="str">
        <f>HYPERLINK("http://nsgreg.nga.mil/genc/view?v=116662&amp;gencs=T&amp;end_month=3&amp;end_day=31&amp;end_year=2014","Xorazm")</f>
        <v>Xorazm</v>
      </c>
      <c r="H5086" s="89" t="str">
        <f>HYPERLINK("http://api.nsgreg.nga.mil/geo-division/ISO3166-2/6/ed3/UZ-XO","UZ-XO")</f>
        <v>UZ-XO</v>
      </c>
    </row>
    <row r="5087" spans="1:8" x14ac:dyDescent="0.2">
      <c r="A5087" s="156" t="str">
        <f>HYPERLINK("[#]Geopolitical_Entities!A271:I271","VANUATU")</f>
        <v>VANUATU</v>
      </c>
      <c r="B5087" s="52" t="s">
        <v>17041</v>
      </c>
      <c r="C5087" s="52" t="s">
        <v>17042</v>
      </c>
      <c r="D5087" s="52" t="s">
        <v>1920</v>
      </c>
      <c r="E5087" s="60" t="b">
        <v>1</v>
      </c>
      <c r="F5087" s="110" t="s">
        <v>17043</v>
      </c>
      <c r="G5087" s="118" t="str">
        <f>HYPERLINK("http://nsgreg.nga.mil/genc/view?v=203321&amp;end_month=3&amp;end_day=31&amp;end_year=2014","Malampa")</f>
        <v>Malampa</v>
      </c>
      <c r="H5087" s="91" t="str">
        <f>HYPERLINK("http://api.nsgreg.nga.mil/geo-division/GENC/6/ed2/VU-MAP","VU-MAP")</f>
        <v>VU-MAP</v>
      </c>
    </row>
    <row r="5088" spans="1:8" x14ac:dyDescent="0.2">
      <c r="A5088" s="157"/>
      <c r="B5088" s="31" t="s">
        <v>17044</v>
      </c>
      <c r="C5088" s="31" t="s">
        <v>17045</v>
      </c>
      <c r="D5088" s="31" t="s">
        <v>1920</v>
      </c>
      <c r="E5088" s="61" t="b">
        <v>1</v>
      </c>
      <c r="F5088" s="107" t="s">
        <v>17046</v>
      </c>
      <c r="G5088" s="116" t="str">
        <f>HYPERLINK("http://nsgreg.nga.mil/genc/view?v=203322&amp;end_month=3&amp;end_day=31&amp;end_year=2014","Penama")</f>
        <v>Penama</v>
      </c>
      <c r="H5088" s="87" t="str">
        <f>HYPERLINK("http://api.nsgreg.nga.mil/geo-division/GENC/6/ed2/VU-PAM","VU-PAM")</f>
        <v>VU-PAM</v>
      </c>
    </row>
    <row r="5089" spans="1:8" x14ac:dyDescent="0.2">
      <c r="A5089" s="157"/>
      <c r="B5089" s="31" t="s">
        <v>17047</v>
      </c>
      <c r="C5089" s="31" t="s">
        <v>17048</v>
      </c>
      <c r="D5089" s="31" t="s">
        <v>1920</v>
      </c>
      <c r="E5089" s="61" t="b">
        <v>1</v>
      </c>
      <c r="F5089" s="107" t="s">
        <v>17049</v>
      </c>
      <c r="G5089" s="116" t="str">
        <f>HYPERLINK("http://nsgreg.nga.mil/genc/view?v=203323&amp;end_month=3&amp;end_day=31&amp;end_year=2014","Sanma")</f>
        <v>Sanma</v>
      </c>
      <c r="H5089" s="87" t="str">
        <f>HYPERLINK("http://api.nsgreg.nga.mil/geo-division/GENC/6/ed2/VU-SAM","VU-SAM")</f>
        <v>VU-SAM</v>
      </c>
    </row>
    <row r="5090" spans="1:8" x14ac:dyDescent="0.2">
      <c r="A5090" s="157"/>
      <c r="B5090" s="31" t="s">
        <v>17050</v>
      </c>
      <c r="C5090" s="31" t="s">
        <v>17051</v>
      </c>
      <c r="D5090" s="31" t="s">
        <v>1920</v>
      </c>
      <c r="E5090" s="61" t="b">
        <v>1</v>
      </c>
      <c r="F5090" s="107" t="s">
        <v>17052</v>
      </c>
      <c r="G5090" s="116" t="str">
        <f>HYPERLINK("http://nsgreg.nga.mil/genc/view?v=203324&amp;end_month=3&amp;end_day=31&amp;end_year=2014","Shefa")</f>
        <v>Shefa</v>
      </c>
      <c r="H5090" s="87" t="str">
        <f>HYPERLINK("http://api.nsgreg.nga.mil/geo-division/GENC/6/ed2/VU-SEE","VU-SEE")</f>
        <v>VU-SEE</v>
      </c>
    </row>
    <row r="5091" spans="1:8" x14ac:dyDescent="0.2">
      <c r="A5091" s="157"/>
      <c r="B5091" s="31" t="s">
        <v>17053</v>
      </c>
      <c r="C5091" s="31" t="s">
        <v>17054</v>
      </c>
      <c r="D5091" s="31" t="s">
        <v>1920</v>
      </c>
      <c r="E5091" s="61" t="b">
        <v>1</v>
      </c>
      <c r="F5091" s="107" t="s">
        <v>17055</v>
      </c>
      <c r="G5091" s="116" t="str">
        <f>HYPERLINK("http://nsgreg.nga.mil/genc/view?v=203325&amp;end_month=3&amp;end_day=31&amp;end_year=2014","Tafea")</f>
        <v>Tafea</v>
      </c>
      <c r="H5091" s="87" t="str">
        <f>HYPERLINK("http://api.nsgreg.nga.mil/geo-division/GENC/6/ed2/VU-TAE","VU-TAE")</f>
        <v>VU-TAE</v>
      </c>
    </row>
    <row r="5092" spans="1:8" x14ac:dyDescent="0.2">
      <c r="A5092" s="158"/>
      <c r="B5092" s="58" t="s">
        <v>17056</v>
      </c>
      <c r="C5092" s="58" t="s">
        <v>17057</v>
      </c>
      <c r="D5092" s="58" t="s">
        <v>1920</v>
      </c>
      <c r="E5092" s="62" t="b">
        <v>1</v>
      </c>
      <c r="F5092" s="111" t="s">
        <v>17058</v>
      </c>
      <c r="G5092" s="117" t="str">
        <f>HYPERLINK("http://nsgreg.nga.mil/genc/view?v=203326&amp;end_month=3&amp;end_day=31&amp;end_year=2014","Torba")</f>
        <v>Torba</v>
      </c>
      <c r="H5092" s="89" t="str">
        <f>HYPERLINK("http://api.nsgreg.nga.mil/geo-division/GENC/6/ed2/VU-TOB","VU-TOB")</f>
        <v>VU-TOB</v>
      </c>
    </row>
    <row r="5093" spans="1:8" x14ac:dyDescent="0.2">
      <c r="A5093" s="156" t="str">
        <f>HYPERLINK("[#]Geopolitical_Entities!A273:I273","VENEZUELA")</f>
        <v>VENEZUELA</v>
      </c>
      <c r="B5093" s="52" t="s">
        <v>17059</v>
      </c>
      <c r="C5093" s="52" t="s">
        <v>3478</v>
      </c>
      <c r="D5093" s="52" t="s">
        <v>2512</v>
      </c>
      <c r="E5093" s="60" t="b">
        <v>1</v>
      </c>
      <c r="F5093" s="109" t="s">
        <v>17060</v>
      </c>
      <c r="G5093" s="118" t="str">
        <f>HYPERLINK("http://nsgreg.nga.mil/genc/view?v=116693&amp;gencs=T&amp;end_month=3&amp;end_day=31&amp;end_year=2014","Amazonas")</f>
        <v>Amazonas</v>
      </c>
      <c r="H5093" s="91" t="str">
        <f>HYPERLINK("http://api.nsgreg.nga.mil/geo-division/ISO3166-2/6/ed3/VE-Z","VE-Z")</f>
        <v>VE-Z</v>
      </c>
    </row>
    <row r="5094" spans="1:8" x14ac:dyDescent="0.2">
      <c r="A5094" s="157"/>
      <c r="B5094" s="31" t="s">
        <v>17061</v>
      </c>
      <c r="C5094" s="31" t="s">
        <v>17062</v>
      </c>
      <c r="D5094" s="31" t="s">
        <v>2512</v>
      </c>
      <c r="E5094" s="61" t="b">
        <v>1</v>
      </c>
      <c r="F5094" s="106" t="s">
        <v>17063</v>
      </c>
      <c r="G5094" s="116" t="str">
        <f>HYPERLINK("http://nsgreg.nga.mil/genc/view?v=116670&amp;gencs=T&amp;end_month=3&amp;end_day=31&amp;end_year=2014","Anzoátegui")</f>
        <v>Anzoátegui</v>
      </c>
      <c r="H5094" s="87" t="str">
        <f>HYPERLINK("http://api.nsgreg.nga.mil/geo-division/ISO3166-2/6/ed3/VE-B","VE-B")</f>
        <v>VE-B</v>
      </c>
    </row>
    <row r="5095" spans="1:8" x14ac:dyDescent="0.2">
      <c r="A5095" s="157"/>
      <c r="B5095" s="31" t="s">
        <v>17064</v>
      </c>
      <c r="C5095" s="31" t="s">
        <v>17065</v>
      </c>
      <c r="D5095" s="31" t="s">
        <v>2512</v>
      </c>
      <c r="E5095" s="61" t="b">
        <v>1</v>
      </c>
      <c r="F5095" s="106" t="s">
        <v>17066</v>
      </c>
      <c r="G5095" s="116" t="str">
        <f>HYPERLINK("http://nsgreg.nga.mil/genc/view?v=116671&amp;gencs=T&amp;end_month=3&amp;end_day=31&amp;end_year=2014","Apure")</f>
        <v>Apure</v>
      </c>
      <c r="H5095" s="87" t="str">
        <f>HYPERLINK("http://api.nsgreg.nga.mil/geo-division/ISO3166-2/6/ed3/VE-C","VE-C")</f>
        <v>VE-C</v>
      </c>
    </row>
    <row r="5096" spans="1:8" x14ac:dyDescent="0.2">
      <c r="A5096" s="157"/>
      <c r="B5096" s="31" t="s">
        <v>17067</v>
      </c>
      <c r="C5096" s="31" t="s">
        <v>17068</v>
      </c>
      <c r="D5096" s="31" t="s">
        <v>2512</v>
      </c>
      <c r="E5096" s="61" t="b">
        <v>1</v>
      </c>
      <c r="F5096" s="106" t="s">
        <v>17069</v>
      </c>
      <c r="G5096" s="116" t="str">
        <f>HYPERLINK("http://nsgreg.nga.mil/genc/view?v=116672&amp;gencs=T&amp;end_month=3&amp;end_day=31&amp;end_year=2014","Aragua")</f>
        <v>Aragua</v>
      </c>
      <c r="H5096" s="87" t="str">
        <f>HYPERLINK("http://api.nsgreg.nga.mil/geo-division/ISO3166-2/6/ed3/VE-D","VE-D")</f>
        <v>VE-D</v>
      </c>
    </row>
    <row r="5097" spans="1:8" x14ac:dyDescent="0.2">
      <c r="A5097" s="157"/>
      <c r="B5097" s="31" t="s">
        <v>17070</v>
      </c>
      <c r="C5097" s="31" t="s">
        <v>17071</v>
      </c>
      <c r="D5097" s="31" t="s">
        <v>2512</v>
      </c>
      <c r="E5097" s="61" t="b">
        <v>1</v>
      </c>
      <c r="F5097" s="106" t="s">
        <v>17072</v>
      </c>
      <c r="G5097" s="116" t="str">
        <f>HYPERLINK("http://nsgreg.nga.mil/genc/view?v=116673&amp;gencs=T&amp;end_month=3&amp;end_day=31&amp;end_year=2014","Barinas")</f>
        <v>Barinas</v>
      </c>
      <c r="H5097" s="87" t="str">
        <f>HYPERLINK("http://api.nsgreg.nga.mil/geo-division/ISO3166-2/6/ed3/VE-E","VE-E")</f>
        <v>VE-E</v>
      </c>
    </row>
    <row r="5098" spans="1:8" x14ac:dyDescent="0.2">
      <c r="A5098" s="157"/>
      <c r="B5098" s="31" t="s">
        <v>17073</v>
      </c>
      <c r="C5098" s="31" t="s">
        <v>4414</v>
      </c>
      <c r="D5098" s="31" t="s">
        <v>2512</v>
      </c>
      <c r="E5098" s="61" t="b">
        <v>1</v>
      </c>
      <c r="F5098" s="106" t="s">
        <v>17074</v>
      </c>
      <c r="G5098" s="116" t="str">
        <f>HYPERLINK("http://nsgreg.nga.mil/genc/view?v=116674&amp;gencs=T&amp;end_month=3&amp;end_day=31&amp;end_year=2014","Bolívar")</f>
        <v>Bolívar</v>
      </c>
      <c r="H5098" s="87" t="str">
        <f>HYPERLINK("http://api.nsgreg.nga.mil/geo-division/ISO3166-2/6/ed3/VE-F","VE-F")</f>
        <v>VE-F</v>
      </c>
    </row>
    <row r="5099" spans="1:8" x14ac:dyDescent="0.2">
      <c r="A5099" s="157"/>
      <c r="B5099" s="31" t="s">
        <v>17075</v>
      </c>
      <c r="C5099" s="31" t="s">
        <v>17076</v>
      </c>
      <c r="D5099" s="31" t="s">
        <v>2512</v>
      </c>
      <c r="E5099" s="61" t="b">
        <v>1</v>
      </c>
      <c r="F5099" s="106" t="s">
        <v>17077</v>
      </c>
      <c r="G5099" s="116" t="str">
        <f>HYPERLINK("http://nsgreg.nga.mil/genc/view?v=116675&amp;gencs=T&amp;end_month=3&amp;end_day=31&amp;end_year=2014","Carabobo")</f>
        <v>Carabobo</v>
      </c>
      <c r="H5099" s="87" t="str">
        <f>HYPERLINK("http://api.nsgreg.nga.mil/geo-division/ISO3166-2/6/ed3/VE-G","VE-G")</f>
        <v>VE-G</v>
      </c>
    </row>
    <row r="5100" spans="1:8" x14ac:dyDescent="0.2">
      <c r="A5100" s="157"/>
      <c r="B5100" s="31" t="s">
        <v>17078</v>
      </c>
      <c r="C5100" s="31" t="s">
        <v>17079</v>
      </c>
      <c r="D5100" s="31" t="s">
        <v>2512</v>
      </c>
      <c r="E5100" s="61" t="b">
        <v>1</v>
      </c>
      <c r="F5100" s="106" t="s">
        <v>17080</v>
      </c>
      <c r="G5100" s="116" t="str">
        <f>HYPERLINK("http://nsgreg.nga.mil/genc/view?v=116676&amp;gencs=T&amp;end_month=3&amp;end_day=31&amp;end_year=2014","Cojedes")</f>
        <v>Cojedes</v>
      </c>
      <c r="H5100" s="87" t="str">
        <f>HYPERLINK("http://api.nsgreg.nga.mil/geo-division/ISO3166-2/6/ed3/VE-H","VE-H")</f>
        <v>VE-H</v>
      </c>
    </row>
    <row r="5101" spans="1:8" x14ac:dyDescent="0.2">
      <c r="A5101" s="157"/>
      <c r="B5101" s="31" t="s">
        <v>17081</v>
      </c>
      <c r="C5101" s="31" t="s">
        <v>17082</v>
      </c>
      <c r="D5101" s="31" t="s">
        <v>2512</v>
      </c>
      <c r="E5101" s="61" t="b">
        <v>1</v>
      </c>
      <c r="F5101" s="106" t="s">
        <v>17083</v>
      </c>
      <c r="G5101" s="116" t="str">
        <f>HYPERLINK("http://nsgreg.nga.mil/genc/view?v=116692&amp;gencs=T&amp;end_month=3&amp;end_day=31&amp;end_year=2014","Delta Amacuro")</f>
        <v>Delta Amacuro</v>
      </c>
      <c r="H5101" s="87" t="str">
        <f>HYPERLINK("http://api.nsgreg.nga.mil/geo-division/ISO3166-2/6/ed3/VE-Y","VE-Y")</f>
        <v>VE-Y</v>
      </c>
    </row>
    <row r="5102" spans="1:8" x14ac:dyDescent="0.2">
      <c r="A5102" s="157"/>
      <c r="B5102" s="31" t="s">
        <v>17084</v>
      </c>
      <c r="C5102" s="31" t="s">
        <v>17085</v>
      </c>
      <c r="D5102" s="31" t="s">
        <v>17086</v>
      </c>
      <c r="E5102" s="61" t="b">
        <v>1</v>
      </c>
      <c r="F5102" s="107" t="s">
        <v>17087</v>
      </c>
      <c r="G5102" s="116" t="str">
        <f>HYPERLINK("http://nsgreg.nga.mil/genc/view?v=203255&amp;end_month=3&amp;end_day=31&amp;end_year=2014","Dependencias Federales")</f>
        <v>Dependencias Federales</v>
      </c>
      <c r="H5102" s="87" t="str">
        <f>HYPERLINK("http://api.nsgreg.nga.mil/geo-division/GENC/6/ed2/VE-W","VE-W")</f>
        <v>VE-W</v>
      </c>
    </row>
    <row r="5103" spans="1:8" x14ac:dyDescent="0.2">
      <c r="A5103" s="157"/>
      <c r="B5103" s="31" t="s">
        <v>17088</v>
      </c>
      <c r="C5103" s="31" t="s">
        <v>17089</v>
      </c>
      <c r="D5103" s="31" t="s">
        <v>4411</v>
      </c>
      <c r="E5103" s="61" t="b">
        <v>1</v>
      </c>
      <c r="F5103" s="107" t="s">
        <v>17090</v>
      </c>
      <c r="G5103" s="116" t="str">
        <f>HYPERLINK("http://nsgreg.nga.mil/genc/view?v=203254&amp;end_month=3&amp;end_day=31&amp;end_year=2014","Distrito Capital")</f>
        <v>Distrito Capital</v>
      </c>
      <c r="H5103" s="87" t="str">
        <f>HYPERLINK("http://api.nsgreg.nga.mil/geo-division/GENC/6/ed2/VE-A","VE-A")</f>
        <v>VE-A</v>
      </c>
    </row>
    <row r="5104" spans="1:8" x14ac:dyDescent="0.2">
      <c r="A5104" s="157"/>
      <c r="B5104" s="31" t="s">
        <v>17091</v>
      </c>
      <c r="C5104" s="31" t="s">
        <v>17092</v>
      </c>
      <c r="D5104" s="31" t="s">
        <v>2512</v>
      </c>
      <c r="E5104" s="61" t="b">
        <v>1</v>
      </c>
      <c r="F5104" s="106" t="s">
        <v>17093</v>
      </c>
      <c r="G5104" s="116" t="str">
        <f>HYPERLINK("http://nsgreg.nga.mil/genc/view?v=116677&amp;gencs=T&amp;end_month=3&amp;end_day=31&amp;end_year=2014","Falcón")</f>
        <v>Falcón</v>
      </c>
      <c r="H5104" s="87" t="str">
        <f>HYPERLINK("http://api.nsgreg.nga.mil/geo-division/ISO3166-2/6/ed3/VE-I","VE-I")</f>
        <v>VE-I</v>
      </c>
    </row>
    <row r="5105" spans="1:8" x14ac:dyDescent="0.2">
      <c r="A5105" s="157"/>
      <c r="B5105" s="31" t="s">
        <v>17094</v>
      </c>
      <c r="C5105" s="31" t="s">
        <v>17095</v>
      </c>
      <c r="D5105" s="31" t="s">
        <v>2512</v>
      </c>
      <c r="E5105" s="61" t="b">
        <v>1</v>
      </c>
      <c r="F5105" s="106" t="s">
        <v>17096</v>
      </c>
      <c r="G5105" s="116" t="str">
        <f>HYPERLINK("http://nsgreg.nga.mil/genc/view?v=116678&amp;gencs=T&amp;end_month=3&amp;end_day=31&amp;end_year=2014","Guárico")</f>
        <v>Guárico</v>
      </c>
      <c r="H5105" s="87" t="str">
        <f>HYPERLINK("http://api.nsgreg.nga.mil/geo-division/ISO3166-2/6/ed3/VE-J","VE-J")</f>
        <v>VE-J</v>
      </c>
    </row>
    <row r="5106" spans="1:8" x14ac:dyDescent="0.2">
      <c r="A5106" s="157"/>
      <c r="B5106" s="31" t="s">
        <v>17097</v>
      </c>
      <c r="C5106" s="31" t="s">
        <v>17098</v>
      </c>
      <c r="D5106" s="31" t="s">
        <v>2512</v>
      </c>
      <c r="E5106" s="61" t="b">
        <v>1</v>
      </c>
      <c r="F5106" s="106" t="s">
        <v>17099</v>
      </c>
      <c r="G5106" s="116" t="str">
        <f>HYPERLINK("http://nsgreg.nga.mil/genc/view?v=116679&amp;gencs=T&amp;end_month=3&amp;end_day=31&amp;end_year=2014","Lara")</f>
        <v>Lara</v>
      </c>
      <c r="H5106" s="87" t="str">
        <f>HYPERLINK("http://api.nsgreg.nga.mil/geo-division/ISO3166-2/6/ed3/VE-K","VE-K")</f>
        <v>VE-K</v>
      </c>
    </row>
    <row r="5107" spans="1:8" x14ac:dyDescent="0.2">
      <c r="A5107" s="157"/>
      <c r="B5107" s="31" t="s">
        <v>17100</v>
      </c>
      <c r="C5107" s="31" t="s">
        <v>17101</v>
      </c>
      <c r="D5107" s="31" t="s">
        <v>2512</v>
      </c>
      <c r="E5107" s="61" t="b">
        <v>1</v>
      </c>
      <c r="F5107" s="106" t="s">
        <v>17102</v>
      </c>
      <c r="G5107" s="116" t="str">
        <f>HYPERLINK("http://nsgreg.nga.mil/genc/view?v=116680&amp;gencs=T&amp;end_month=3&amp;end_day=31&amp;end_year=2014","Mérida")</f>
        <v>Mérida</v>
      </c>
      <c r="H5107" s="87" t="str">
        <f>HYPERLINK("http://api.nsgreg.nga.mil/geo-division/ISO3166-2/6/ed3/VE-L","VE-L")</f>
        <v>VE-L</v>
      </c>
    </row>
    <row r="5108" spans="1:8" x14ac:dyDescent="0.2">
      <c r="A5108" s="157"/>
      <c r="B5108" s="31" t="s">
        <v>17103</v>
      </c>
      <c r="C5108" s="31" t="s">
        <v>17104</v>
      </c>
      <c r="D5108" s="31" t="s">
        <v>2512</v>
      </c>
      <c r="E5108" s="61" t="b">
        <v>1</v>
      </c>
      <c r="F5108" s="106" t="s">
        <v>17105</v>
      </c>
      <c r="G5108" s="116" t="str">
        <f>HYPERLINK("http://nsgreg.nga.mil/genc/view?v=116681&amp;gencs=T&amp;end_month=3&amp;end_day=31&amp;end_year=2014","Miranda")</f>
        <v>Miranda</v>
      </c>
      <c r="H5108" s="87" t="str">
        <f>HYPERLINK("http://api.nsgreg.nga.mil/geo-division/ISO3166-2/6/ed3/VE-M","VE-M")</f>
        <v>VE-M</v>
      </c>
    </row>
    <row r="5109" spans="1:8" x14ac:dyDescent="0.2">
      <c r="A5109" s="157"/>
      <c r="B5109" s="31" t="s">
        <v>17106</v>
      </c>
      <c r="C5109" s="31" t="s">
        <v>17107</v>
      </c>
      <c r="D5109" s="31" t="s">
        <v>2512</v>
      </c>
      <c r="E5109" s="61" t="b">
        <v>1</v>
      </c>
      <c r="F5109" s="106" t="s">
        <v>17108</v>
      </c>
      <c r="G5109" s="116" t="str">
        <f>HYPERLINK("http://nsgreg.nga.mil/genc/view?v=116682&amp;gencs=T&amp;end_month=3&amp;end_day=31&amp;end_year=2014","Monagas")</f>
        <v>Monagas</v>
      </c>
      <c r="H5109" s="87" t="str">
        <f>HYPERLINK("http://api.nsgreg.nga.mil/geo-division/ISO3166-2/6/ed3/VE-N","VE-N")</f>
        <v>VE-N</v>
      </c>
    </row>
    <row r="5110" spans="1:8" x14ac:dyDescent="0.2">
      <c r="A5110" s="157"/>
      <c r="B5110" s="31" t="s">
        <v>17109</v>
      </c>
      <c r="C5110" s="31" t="s">
        <v>17110</v>
      </c>
      <c r="D5110" s="31" t="s">
        <v>2512</v>
      </c>
      <c r="E5110" s="61" t="b">
        <v>1</v>
      </c>
      <c r="F5110" s="106" t="s">
        <v>17111</v>
      </c>
      <c r="G5110" s="116" t="str">
        <f>HYPERLINK("http://nsgreg.nga.mil/genc/view?v=116683&amp;gencs=T&amp;end_month=3&amp;end_day=31&amp;end_year=2014","Nueva Esparta")</f>
        <v>Nueva Esparta</v>
      </c>
      <c r="H5110" s="87" t="str">
        <f>HYPERLINK("http://api.nsgreg.nga.mil/geo-division/ISO3166-2/6/ed3/VE-O","VE-O")</f>
        <v>VE-O</v>
      </c>
    </row>
    <row r="5111" spans="1:8" x14ac:dyDescent="0.2">
      <c r="A5111" s="157"/>
      <c r="B5111" s="31" t="s">
        <v>17112</v>
      </c>
      <c r="C5111" s="31" t="s">
        <v>17113</v>
      </c>
      <c r="D5111" s="31" t="s">
        <v>2512</v>
      </c>
      <c r="E5111" s="61" t="b">
        <v>1</v>
      </c>
      <c r="F5111" s="106" t="s">
        <v>17114</v>
      </c>
      <c r="G5111" s="116" t="str">
        <f>HYPERLINK("http://nsgreg.nga.mil/genc/view?v=116684&amp;gencs=T&amp;end_month=3&amp;end_day=31&amp;end_year=2014","Portuguesa")</f>
        <v>Portuguesa</v>
      </c>
      <c r="H5111" s="87" t="str">
        <f>HYPERLINK("http://api.nsgreg.nga.mil/geo-division/ISO3166-2/6/ed3/VE-P","VE-P")</f>
        <v>VE-P</v>
      </c>
    </row>
    <row r="5112" spans="1:8" x14ac:dyDescent="0.2">
      <c r="A5112" s="157"/>
      <c r="B5112" s="31" t="s">
        <v>17115</v>
      </c>
      <c r="C5112" s="31" t="s">
        <v>4482</v>
      </c>
      <c r="D5112" s="31" t="s">
        <v>2512</v>
      </c>
      <c r="E5112" s="61" t="b">
        <v>1</v>
      </c>
      <c r="F5112" s="106" t="s">
        <v>17116</v>
      </c>
      <c r="G5112" s="116" t="str">
        <f>HYPERLINK("http://nsgreg.nga.mil/genc/view?v=116685&amp;gencs=T&amp;end_month=3&amp;end_day=31&amp;end_year=2014","Sucre")</f>
        <v>Sucre</v>
      </c>
      <c r="H5112" s="87" t="str">
        <f>HYPERLINK("http://api.nsgreg.nga.mil/geo-division/ISO3166-2/6/ed3/VE-R","VE-R")</f>
        <v>VE-R</v>
      </c>
    </row>
    <row r="5113" spans="1:8" x14ac:dyDescent="0.2">
      <c r="A5113" s="157"/>
      <c r="B5113" s="31" t="s">
        <v>17117</v>
      </c>
      <c r="C5113" s="31" t="s">
        <v>17118</v>
      </c>
      <c r="D5113" s="31" t="s">
        <v>2512</v>
      </c>
      <c r="E5113" s="61" t="b">
        <v>1</v>
      </c>
      <c r="F5113" s="106" t="s">
        <v>17119</v>
      </c>
      <c r="G5113" s="116" t="str">
        <f>HYPERLINK("http://nsgreg.nga.mil/genc/view?v=116686&amp;gencs=T&amp;end_month=3&amp;end_day=31&amp;end_year=2014","Táchira")</f>
        <v>Táchira</v>
      </c>
      <c r="H5113" s="87" t="str">
        <f>HYPERLINK("http://api.nsgreg.nga.mil/geo-division/ISO3166-2/6/ed3/VE-S","VE-S")</f>
        <v>VE-S</v>
      </c>
    </row>
    <row r="5114" spans="1:8" x14ac:dyDescent="0.2">
      <c r="A5114" s="157"/>
      <c r="B5114" s="31" t="s">
        <v>17120</v>
      </c>
      <c r="C5114" s="31" t="s">
        <v>17121</v>
      </c>
      <c r="D5114" s="31" t="s">
        <v>2512</v>
      </c>
      <c r="E5114" s="61" t="b">
        <v>1</v>
      </c>
      <c r="F5114" s="106" t="s">
        <v>17122</v>
      </c>
      <c r="G5114" s="116" t="str">
        <f>HYPERLINK("http://nsgreg.nga.mil/genc/view?v=116687&amp;gencs=T&amp;end_month=3&amp;end_day=31&amp;end_year=2014","Trujillo")</f>
        <v>Trujillo</v>
      </c>
      <c r="H5114" s="87" t="str">
        <f>HYPERLINK("http://api.nsgreg.nga.mil/geo-division/ISO3166-2/6/ed3/VE-T","VE-T")</f>
        <v>VE-T</v>
      </c>
    </row>
    <row r="5115" spans="1:8" x14ac:dyDescent="0.2">
      <c r="A5115" s="157"/>
      <c r="B5115" s="31" t="s">
        <v>17123</v>
      </c>
      <c r="C5115" s="31" t="s">
        <v>17124</v>
      </c>
      <c r="D5115" s="31" t="s">
        <v>2512</v>
      </c>
      <c r="E5115" s="61" t="b">
        <v>1</v>
      </c>
      <c r="F5115" s="106" t="s">
        <v>17125</v>
      </c>
      <c r="G5115" s="116" t="str">
        <f>HYPERLINK("http://nsgreg.nga.mil/genc/view?v=116691&amp;gencs=T&amp;end_month=3&amp;end_day=31&amp;end_year=2014","Vargas")</f>
        <v>Vargas</v>
      </c>
      <c r="H5115" s="87" t="str">
        <f>HYPERLINK("http://api.nsgreg.nga.mil/geo-division/ISO3166-2/6/ed3/VE-X","VE-X")</f>
        <v>VE-X</v>
      </c>
    </row>
    <row r="5116" spans="1:8" x14ac:dyDescent="0.2">
      <c r="A5116" s="157"/>
      <c r="B5116" s="31" t="s">
        <v>17126</v>
      </c>
      <c r="C5116" s="31" t="s">
        <v>17127</v>
      </c>
      <c r="D5116" s="31" t="s">
        <v>2512</v>
      </c>
      <c r="E5116" s="61" t="b">
        <v>1</v>
      </c>
      <c r="F5116" s="106" t="s">
        <v>17128</v>
      </c>
      <c r="G5116" s="116" t="str">
        <f>HYPERLINK("http://nsgreg.nga.mil/genc/view?v=116688&amp;gencs=T&amp;end_month=3&amp;end_day=31&amp;end_year=2014","Yaracuy")</f>
        <v>Yaracuy</v>
      </c>
      <c r="H5116" s="87" t="str">
        <f>HYPERLINK("http://api.nsgreg.nga.mil/geo-division/ISO3166-2/6/ed3/VE-U","VE-U")</f>
        <v>VE-U</v>
      </c>
    </row>
    <row r="5117" spans="1:8" x14ac:dyDescent="0.2">
      <c r="A5117" s="158"/>
      <c r="B5117" s="58" t="s">
        <v>17129</v>
      </c>
      <c r="C5117" s="58" t="s">
        <v>17130</v>
      </c>
      <c r="D5117" s="58" t="s">
        <v>2512</v>
      </c>
      <c r="E5117" s="62" t="b">
        <v>1</v>
      </c>
      <c r="F5117" s="108" t="s">
        <v>17131</v>
      </c>
      <c r="G5117" s="117" t="str">
        <f>HYPERLINK("http://nsgreg.nga.mil/genc/view?v=116689&amp;gencs=T&amp;end_month=3&amp;end_day=31&amp;end_year=2014","Zulia")</f>
        <v>Zulia</v>
      </c>
      <c r="H5117" s="89" t="str">
        <f>HYPERLINK("http://api.nsgreg.nga.mil/geo-division/ISO3166-2/6/ed3/VE-V","VE-V")</f>
        <v>VE-V</v>
      </c>
    </row>
    <row r="5118" spans="1:8" x14ac:dyDescent="0.2">
      <c r="A5118" s="156" t="str">
        <f>HYPERLINK("[#]Geopolitical_Entities!A274:I274","VIETNAM")</f>
        <v>VIETNAM</v>
      </c>
      <c r="B5118" s="52" t="s">
        <v>17132</v>
      </c>
      <c r="C5118" s="52" t="s">
        <v>17133</v>
      </c>
      <c r="D5118" s="52" t="s">
        <v>1920</v>
      </c>
      <c r="E5118" s="60" t="b">
        <v>1</v>
      </c>
      <c r="F5118" s="110" t="s">
        <v>17134</v>
      </c>
      <c r="G5118" s="118" t="str">
        <f>HYPERLINK("http://nsgreg.nga.mil/genc/view?v=203291&amp;end_month=3&amp;end_day=31&amp;end_year=2014","An Giang")</f>
        <v>An Giang</v>
      </c>
      <c r="H5118" s="91" t="str">
        <f>HYPERLINK("http://api.nsgreg.nga.mil/geo-division/GENC/6/ed2/VN-44","VN-44")</f>
        <v>VN-44</v>
      </c>
    </row>
    <row r="5119" spans="1:8" x14ac:dyDescent="0.2">
      <c r="A5119" s="157"/>
      <c r="B5119" s="31" t="s">
        <v>17135</v>
      </c>
      <c r="C5119" s="31" t="s">
        <v>17136</v>
      </c>
      <c r="D5119" s="31" t="s">
        <v>1920</v>
      </c>
      <c r="E5119" s="61" t="b">
        <v>1</v>
      </c>
      <c r="F5119" s="107" t="s">
        <v>17137</v>
      </c>
      <c r="G5119" s="116" t="str">
        <f>HYPERLINK("http://nsgreg.nga.mil/genc/view?v=203300&amp;end_month=3&amp;end_day=31&amp;end_year=2014","Bắc Giang")</f>
        <v>Bắc Giang</v>
      </c>
      <c r="H5119" s="87" t="str">
        <f>HYPERLINK("http://api.nsgreg.nga.mil/geo-division/GENC/6/ed2/VN-54","VN-54")</f>
        <v>VN-54</v>
      </c>
    </row>
    <row r="5120" spans="1:8" x14ac:dyDescent="0.2">
      <c r="A5120" s="157"/>
      <c r="B5120" s="31" t="s">
        <v>17138</v>
      </c>
      <c r="C5120" s="31" t="s">
        <v>17139</v>
      </c>
      <c r="D5120" s="31" t="s">
        <v>1920</v>
      </c>
      <c r="E5120" s="61" t="b">
        <v>1</v>
      </c>
      <c r="F5120" s="107" t="s">
        <v>17140</v>
      </c>
      <c r="G5120" s="116" t="str">
        <f>HYPERLINK("http://nsgreg.nga.mil/genc/view?v=203299&amp;end_month=3&amp;end_day=31&amp;end_year=2014","Bắc Kạn")</f>
        <v>Bắc Kạn</v>
      </c>
      <c r="H5120" s="87" t="str">
        <f>HYPERLINK("http://api.nsgreg.nga.mil/geo-division/GENC/6/ed2/VN-53","VN-53")</f>
        <v>VN-53</v>
      </c>
    </row>
    <row r="5121" spans="1:8" x14ac:dyDescent="0.2">
      <c r="A5121" s="157"/>
      <c r="B5121" s="31" t="s">
        <v>17141</v>
      </c>
      <c r="C5121" s="31" t="s">
        <v>17142</v>
      </c>
      <c r="D5121" s="31" t="s">
        <v>1920</v>
      </c>
      <c r="E5121" s="61" t="b">
        <v>1</v>
      </c>
      <c r="F5121" s="107" t="s">
        <v>17143</v>
      </c>
      <c r="G5121" s="116" t="str">
        <f>HYPERLINK("http://nsgreg.nga.mil/genc/view?v=203301&amp;end_month=3&amp;end_day=31&amp;end_year=2014","Bạc Liêu")</f>
        <v>Bạc Liêu</v>
      </c>
      <c r="H5121" s="87" t="str">
        <f>HYPERLINK("http://api.nsgreg.nga.mil/geo-division/GENC/6/ed2/VN-55","VN-55")</f>
        <v>VN-55</v>
      </c>
    </row>
    <row r="5122" spans="1:8" x14ac:dyDescent="0.2">
      <c r="A5122" s="157"/>
      <c r="B5122" s="31" t="s">
        <v>17144</v>
      </c>
      <c r="C5122" s="31" t="s">
        <v>17145</v>
      </c>
      <c r="D5122" s="31" t="s">
        <v>1920</v>
      </c>
      <c r="E5122" s="61" t="b">
        <v>1</v>
      </c>
      <c r="F5122" s="107" t="s">
        <v>17146</v>
      </c>
      <c r="G5122" s="116" t="str">
        <f>HYPERLINK("http://nsgreg.nga.mil/genc/view?v=203302&amp;end_month=3&amp;end_day=31&amp;end_year=2014","Bắc Ninh")</f>
        <v>Bắc Ninh</v>
      </c>
      <c r="H5122" s="87" t="str">
        <f>HYPERLINK("http://api.nsgreg.nga.mil/geo-division/GENC/6/ed2/VN-56","VN-56")</f>
        <v>VN-56</v>
      </c>
    </row>
    <row r="5123" spans="1:8" x14ac:dyDescent="0.2">
      <c r="A5123" s="157"/>
      <c r="B5123" s="31" t="s">
        <v>17147</v>
      </c>
      <c r="C5123" s="31" t="s">
        <v>17148</v>
      </c>
      <c r="D5123" s="31" t="s">
        <v>1920</v>
      </c>
      <c r="E5123" s="61" t="b">
        <v>1</v>
      </c>
      <c r="F5123" s="107" t="s">
        <v>17149</v>
      </c>
      <c r="G5123" s="116" t="str">
        <f>HYPERLINK("http://nsgreg.nga.mil/genc/view?v=203290&amp;end_month=3&amp;end_day=31&amp;end_year=2014","Bà Rịa-Vũng Tàu")</f>
        <v>Bà Rịa-Vũng Tàu</v>
      </c>
      <c r="H5123" s="87" t="str">
        <f>HYPERLINK("http://api.nsgreg.nga.mil/geo-division/GENC/6/ed2/VN-43","VN-43")</f>
        <v>VN-43</v>
      </c>
    </row>
    <row r="5124" spans="1:8" x14ac:dyDescent="0.2">
      <c r="A5124" s="157"/>
      <c r="B5124" s="31" t="s">
        <v>17150</v>
      </c>
      <c r="C5124" s="31" t="s">
        <v>17151</v>
      </c>
      <c r="D5124" s="31" t="s">
        <v>1920</v>
      </c>
      <c r="E5124" s="61" t="b">
        <v>1</v>
      </c>
      <c r="F5124" s="107" t="s">
        <v>17152</v>
      </c>
      <c r="G5124" s="116" t="str">
        <f>HYPERLINK("http://nsgreg.nga.mil/genc/view?v=203296&amp;end_month=3&amp;end_day=31&amp;end_year=2014","Bến Tre")</f>
        <v>Bến Tre</v>
      </c>
      <c r="H5124" s="87" t="str">
        <f>HYPERLINK("http://api.nsgreg.nga.mil/geo-division/GENC/6/ed2/VN-50","VN-50")</f>
        <v>VN-50</v>
      </c>
    </row>
    <row r="5125" spans="1:8" x14ac:dyDescent="0.2">
      <c r="A5125" s="157"/>
      <c r="B5125" s="31" t="s">
        <v>17153</v>
      </c>
      <c r="C5125" s="31" t="s">
        <v>17154</v>
      </c>
      <c r="D5125" s="31" t="s">
        <v>1920</v>
      </c>
      <c r="E5125" s="61" t="b">
        <v>1</v>
      </c>
      <c r="F5125" s="107" t="s">
        <v>17155</v>
      </c>
      <c r="G5125" s="116" t="str">
        <f>HYPERLINK("http://nsgreg.nga.mil/genc/view?v=203280&amp;end_month=3&amp;end_day=31&amp;end_year=2014","Bình Ðịnh")</f>
        <v>Bình Ðịnh</v>
      </c>
      <c r="H5125" s="87" t="str">
        <f>HYPERLINK("http://api.nsgreg.nga.mil/geo-division/GENC/6/ed2/VN-31","VN-31")</f>
        <v>VN-31</v>
      </c>
    </row>
    <row r="5126" spans="1:8" x14ac:dyDescent="0.2">
      <c r="A5126" s="157"/>
      <c r="B5126" s="31" t="s">
        <v>17156</v>
      </c>
      <c r="C5126" s="31" t="s">
        <v>17157</v>
      </c>
      <c r="D5126" s="31" t="s">
        <v>1920</v>
      </c>
      <c r="E5126" s="61" t="b">
        <v>1</v>
      </c>
      <c r="F5126" s="107" t="s">
        <v>17158</v>
      </c>
      <c r="G5126" s="116" t="str">
        <f>HYPERLINK("http://nsgreg.nga.mil/genc/view?v=203303&amp;end_month=3&amp;end_day=31&amp;end_year=2014","Bình Dương")</f>
        <v>Bình Dương</v>
      </c>
      <c r="H5126" s="87" t="str">
        <f>HYPERLINK("http://api.nsgreg.nga.mil/geo-division/GENC/6/ed2/VN-57","VN-57")</f>
        <v>VN-57</v>
      </c>
    </row>
    <row r="5127" spans="1:8" x14ac:dyDescent="0.2">
      <c r="A5127" s="157"/>
      <c r="B5127" s="31" t="s">
        <v>17159</v>
      </c>
      <c r="C5127" s="31" t="s">
        <v>17160</v>
      </c>
      <c r="D5127" s="31" t="s">
        <v>1920</v>
      </c>
      <c r="E5127" s="61" t="b">
        <v>1</v>
      </c>
      <c r="F5127" s="107" t="s">
        <v>17161</v>
      </c>
      <c r="G5127" s="116" t="str">
        <f>HYPERLINK("http://nsgreg.nga.mil/genc/view?v=203304&amp;end_month=3&amp;end_day=31&amp;end_year=2014","Bình Phước")</f>
        <v>Bình Phước</v>
      </c>
      <c r="H5127" s="87" t="str">
        <f>HYPERLINK("http://api.nsgreg.nga.mil/geo-division/GENC/6/ed2/VN-58","VN-58")</f>
        <v>VN-58</v>
      </c>
    </row>
    <row r="5128" spans="1:8" x14ac:dyDescent="0.2">
      <c r="A5128" s="157"/>
      <c r="B5128" s="31" t="s">
        <v>17162</v>
      </c>
      <c r="C5128" s="31" t="s">
        <v>17163</v>
      </c>
      <c r="D5128" s="31" t="s">
        <v>1920</v>
      </c>
      <c r="E5128" s="61" t="b">
        <v>1</v>
      </c>
      <c r="F5128" s="107" t="s">
        <v>17164</v>
      </c>
      <c r="G5128" s="116" t="str">
        <f>HYPERLINK("http://nsgreg.nga.mil/genc/view?v=203288&amp;end_month=3&amp;end_day=31&amp;end_year=2014","Bình Thuận")</f>
        <v>Bình Thuận</v>
      </c>
      <c r="H5128" s="87" t="str">
        <f>HYPERLINK("http://api.nsgreg.nga.mil/geo-division/GENC/6/ed2/VN-40","VN-40")</f>
        <v>VN-40</v>
      </c>
    </row>
    <row r="5129" spans="1:8" x14ac:dyDescent="0.2">
      <c r="A5129" s="157"/>
      <c r="B5129" s="31" t="s">
        <v>17165</v>
      </c>
      <c r="C5129" s="31" t="s">
        <v>17166</v>
      </c>
      <c r="D5129" s="31" t="s">
        <v>1920</v>
      </c>
      <c r="E5129" s="61" t="b">
        <v>1</v>
      </c>
      <c r="F5129" s="107" t="s">
        <v>17167</v>
      </c>
      <c r="G5129" s="116" t="str">
        <f>HYPERLINK("http://nsgreg.nga.mil/genc/view?v=203305&amp;end_month=3&amp;end_day=31&amp;end_year=2014","Cà Mau")</f>
        <v>Cà Mau</v>
      </c>
      <c r="H5129" s="87" t="str">
        <f>HYPERLINK("http://api.nsgreg.nga.mil/geo-division/GENC/6/ed2/VN-59","VN-59")</f>
        <v>VN-59</v>
      </c>
    </row>
    <row r="5130" spans="1:8" x14ac:dyDescent="0.2">
      <c r="A5130" s="157"/>
      <c r="B5130" s="31" t="s">
        <v>17168</v>
      </c>
      <c r="C5130" s="31" t="s">
        <v>17169</v>
      </c>
      <c r="D5130" s="31" t="s">
        <v>3254</v>
      </c>
      <c r="E5130" s="61" t="b">
        <v>1</v>
      </c>
      <c r="F5130" s="107" t="s">
        <v>17170</v>
      </c>
      <c r="G5130" s="116" t="str">
        <f>HYPERLINK("http://nsgreg.nga.mil/genc/view?v=203316&amp;end_month=3&amp;end_day=31&amp;end_year=2014","Cần Thơ")</f>
        <v>Cần Thơ</v>
      </c>
      <c r="H5130" s="87" t="str">
        <f>HYPERLINK("http://api.nsgreg.nga.mil/geo-division/GENC/6/ed2/VN-CT","VN-CT")</f>
        <v>VN-CT</v>
      </c>
    </row>
    <row r="5131" spans="1:8" x14ac:dyDescent="0.2">
      <c r="A5131" s="157"/>
      <c r="B5131" s="31" t="s">
        <v>17171</v>
      </c>
      <c r="C5131" s="31" t="s">
        <v>17172</v>
      </c>
      <c r="D5131" s="31" t="s">
        <v>1920</v>
      </c>
      <c r="E5131" s="61" t="b">
        <v>1</v>
      </c>
      <c r="F5131" s="107" t="s">
        <v>17173</v>
      </c>
      <c r="G5131" s="116" t="str">
        <f>HYPERLINK("http://nsgreg.nga.mil/genc/view?v=203260&amp;end_month=3&amp;end_day=31&amp;end_year=2014","Cao Bằng")</f>
        <v>Cao Bằng</v>
      </c>
      <c r="H5131" s="87" t="str">
        <f>HYPERLINK("http://api.nsgreg.nga.mil/geo-division/GENC/6/ed2/VN-04","VN-04")</f>
        <v>VN-04</v>
      </c>
    </row>
    <row r="5132" spans="1:8" x14ac:dyDescent="0.2">
      <c r="A5132" s="157"/>
      <c r="B5132" s="31" t="s">
        <v>17174</v>
      </c>
      <c r="C5132" s="31" t="s">
        <v>17175</v>
      </c>
      <c r="D5132" s="31" t="s">
        <v>1920</v>
      </c>
      <c r="E5132" s="61" t="b">
        <v>1</v>
      </c>
      <c r="F5132" s="107" t="s">
        <v>17176</v>
      </c>
      <c r="G5132" s="116" t="str">
        <f>HYPERLINK("http://nsgreg.nga.mil/genc/view?v=203282&amp;end_month=3&amp;end_day=31&amp;end_year=2014","Đắk Lắk")</f>
        <v>Đắk Lắk</v>
      </c>
      <c r="H5132" s="87" t="str">
        <f>HYPERLINK("http://api.nsgreg.nga.mil/geo-division/GENC/6/ed2/VN-33","VN-33")</f>
        <v>VN-33</v>
      </c>
    </row>
    <row r="5133" spans="1:8" x14ac:dyDescent="0.2">
      <c r="A5133" s="157"/>
      <c r="B5133" s="31" t="s">
        <v>17177</v>
      </c>
      <c r="C5133" s="31" t="s">
        <v>17178</v>
      </c>
      <c r="D5133" s="31" t="s">
        <v>1920</v>
      </c>
      <c r="E5133" s="61" t="b">
        <v>1</v>
      </c>
      <c r="F5133" s="107" t="s">
        <v>17179</v>
      </c>
      <c r="G5133" s="116" t="str">
        <f>HYPERLINK("http://nsgreg.nga.mil/genc/view?v=203314&amp;end_month=3&amp;end_day=31&amp;end_year=2014","Ðắk Nông")</f>
        <v>Ðắk Nông</v>
      </c>
      <c r="H5133" s="87" t="str">
        <f>HYPERLINK("http://api.nsgreg.nga.mil/geo-division/GENC/6/ed2/VN-72","VN-72")</f>
        <v>VN-72</v>
      </c>
    </row>
    <row r="5134" spans="1:8" x14ac:dyDescent="0.2">
      <c r="A5134" s="157"/>
      <c r="B5134" s="31" t="s">
        <v>17180</v>
      </c>
      <c r="C5134" s="31" t="s">
        <v>17181</v>
      </c>
      <c r="D5134" s="31" t="s">
        <v>3254</v>
      </c>
      <c r="E5134" s="61" t="b">
        <v>1</v>
      </c>
      <c r="F5134" s="107" t="s">
        <v>17182</v>
      </c>
      <c r="G5134" s="116" t="str">
        <f>HYPERLINK("http://nsgreg.nga.mil/genc/view?v=203317&amp;end_month=3&amp;end_day=31&amp;end_year=2014","Ðà Nẵng")</f>
        <v>Ðà Nẵng</v>
      </c>
      <c r="H5134" s="87" t="str">
        <f>HYPERLINK("http://api.nsgreg.nga.mil/geo-division/GENC/6/ed2/VN-DN","VN-DN")</f>
        <v>VN-DN</v>
      </c>
    </row>
    <row r="5135" spans="1:8" x14ac:dyDescent="0.2">
      <c r="A5135" s="157"/>
      <c r="B5135" s="31" t="s">
        <v>17183</v>
      </c>
      <c r="C5135" s="31" t="s">
        <v>17184</v>
      </c>
      <c r="D5135" s="31" t="s">
        <v>1920</v>
      </c>
      <c r="E5135" s="61" t="b">
        <v>1</v>
      </c>
      <c r="F5135" s="107" t="s">
        <v>17185</v>
      </c>
      <c r="G5135" s="116" t="str">
        <f>HYPERLINK("http://nsgreg.nga.mil/genc/view?v=203313&amp;end_month=3&amp;end_day=31&amp;end_year=2014","Ðiện Biên")</f>
        <v>Ðiện Biên</v>
      </c>
      <c r="H5135" s="87" t="str">
        <f>HYPERLINK("http://api.nsgreg.nga.mil/geo-division/GENC/6/ed2/VN-71","VN-71")</f>
        <v>VN-71</v>
      </c>
    </row>
    <row r="5136" spans="1:8" x14ac:dyDescent="0.2">
      <c r="A5136" s="157"/>
      <c r="B5136" s="31" t="s">
        <v>17186</v>
      </c>
      <c r="C5136" s="31" t="s">
        <v>17187</v>
      </c>
      <c r="D5136" s="31" t="s">
        <v>1920</v>
      </c>
      <c r="E5136" s="61" t="b">
        <v>1</v>
      </c>
      <c r="F5136" s="107" t="s">
        <v>17188</v>
      </c>
      <c r="G5136" s="116" t="str">
        <f>HYPERLINK("http://nsgreg.nga.mil/genc/view?v=203287&amp;end_month=3&amp;end_day=31&amp;end_year=2014","Ðồng Nai")</f>
        <v>Ðồng Nai</v>
      </c>
      <c r="H5136" s="87" t="str">
        <f>HYPERLINK("http://api.nsgreg.nga.mil/geo-division/GENC/6/ed2/VN-39","VN-39")</f>
        <v>VN-39</v>
      </c>
    </row>
    <row r="5137" spans="1:8" x14ac:dyDescent="0.2">
      <c r="A5137" s="157"/>
      <c r="B5137" s="31" t="s">
        <v>17189</v>
      </c>
      <c r="C5137" s="31" t="s">
        <v>17190</v>
      </c>
      <c r="D5137" s="31" t="s">
        <v>1920</v>
      </c>
      <c r="E5137" s="61" t="b">
        <v>1</v>
      </c>
      <c r="F5137" s="107" t="s">
        <v>17191</v>
      </c>
      <c r="G5137" s="116" t="str">
        <f>HYPERLINK("http://nsgreg.nga.mil/genc/view?v=203292&amp;end_month=3&amp;end_day=31&amp;end_year=2014","Ðồng Tháp")</f>
        <v>Ðồng Tháp</v>
      </c>
      <c r="H5137" s="87" t="str">
        <f>HYPERLINK("http://api.nsgreg.nga.mil/geo-division/GENC/6/ed2/VN-45","VN-45")</f>
        <v>VN-45</v>
      </c>
    </row>
    <row r="5138" spans="1:8" x14ac:dyDescent="0.2">
      <c r="A5138" s="157"/>
      <c r="B5138" s="31" t="s">
        <v>17192</v>
      </c>
      <c r="C5138" s="31" t="s">
        <v>17193</v>
      </c>
      <c r="D5138" s="31" t="s">
        <v>1920</v>
      </c>
      <c r="E5138" s="61" t="b">
        <v>1</v>
      </c>
      <c r="F5138" s="107" t="s">
        <v>17194</v>
      </c>
      <c r="G5138" s="116" t="str">
        <f>HYPERLINK("http://nsgreg.nga.mil/genc/view?v=203279&amp;end_month=3&amp;end_day=31&amp;end_year=2014","Gia Lai")</f>
        <v>Gia Lai</v>
      </c>
      <c r="H5138" s="87" t="str">
        <f>HYPERLINK("http://api.nsgreg.nga.mil/geo-division/GENC/6/ed2/VN-30","VN-30")</f>
        <v>VN-30</v>
      </c>
    </row>
    <row r="5139" spans="1:8" x14ac:dyDescent="0.2">
      <c r="A5139" s="157"/>
      <c r="B5139" s="31" t="s">
        <v>17195</v>
      </c>
      <c r="C5139" s="31" t="s">
        <v>17196</v>
      </c>
      <c r="D5139" s="31" t="s">
        <v>1920</v>
      </c>
      <c r="E5139" s="61" t="b">
        <v>1</v>
      </c>
      <c r="F5139" s="107" t="s">
        <v>17197</v>
      </c>
      <c r="G5139" s="116" t="str">
        <f>HYPERLINK("http://nsgreg.nga.mil/genc/view?v=203259&amp;end_month=3&amp;end_day=31&amp;end_year=2014","Hà Giang")</f>
        <v>Hà Giang</v>
      </c>
      <c r="H5139" s="87" t="str">
        <f>HYPERLINK("http://api.nsgreg.nga.mil/geo-division/GENC/6/ed2/VN-03","VN-03")</f>
        <v>VN-03</v>
      </c>
    </row>
    <row r="5140" spans="1:8" x14ac:dyDescent="0.2">
      <c r="A5140" s="157"/>
      <c r="B5140" s="31" t="s">
        <v>17198</v>
      </c>
      <c r="C5140" s="31" t="s">
        <v>17199</v>
      </c>
      <c r="D5140" s="31" t="s">
        <v>1920</v>
      </c>
      <c r="E5140" s="61" t="b">
        <v>1</v>
      </c>
      <c r="F5140" s="107" t="s">
        <v>17200</v>
      </c>
      <c r="G5140" s="116" t="str">
        <f>HYPERLINK("http://nsgreg.nga.mil/genc/view?v=203306&amp;end_month=3&amp;end_day=31&amp;end_year=2014","Hải Dương")</f>
        <v>Hải Dương</v>
      </c>
      <c r="H5140" s="87" t="str">
        <f>HYPERLINK("http://api.nsgreg.nga.mil/geo-division/GENC/6/ed2/VN-61","VN-61")</f>
        <v>VN-61</v>
      </c>
    </row>
    <row r="5141" spans="1:8" x14ac:dyDescent="0.2">
      <c r="A5141" s="157"/>
      <c r="B5141" s="31" t="s">
        <v>17201</v>
      </c>
      <c r="C5141" s="31" t="s">
        <v>17202</v>
      </c>
      <c r="D5141" s="31" t="s">
        <v>3254</v>
      </c>
      <c r="E5141" s="61" t="b">
        <v>1</v>
      </c>
      <c r="F5141" s="107" t="s">
        <v>17203</v>
      </c>
      <c r="G5141" s="116" t="str">
        <f>HYPERLINK("http://nsgreg.nga.mil/genc/view?v=203319&amp;end_month=3&amp;end_day=31&amp;end_year=2014","Hải Phòng")</f>
        <v>Hải Phòng</v>
      </c>
      <c r="H5141" s="87" t="str">
        <f>HYPERLINK("http://api.nsgreg.nga.mil/geo-division/GENC/6/ed2/VN-HP","VN-HP")</f>
        <v>VN-HP</v>
      </c>
    </row>
    <row r="5142" spans="1:8" x14ac:dyDescent="0.2">
      <c r="A5142" s="157"/>
      <c r="B5142" s="31" t="s">
        <v>17204</v>
      </c>
      <c r="C5142" s="31" t="s">
        <v>17205</v>
      </c>
      <c r="D5142" s="31" t="s">
        <v>1920</v>
      </c>
      <c r="E5142" s="61" t="b">
        <v>1</v>
      </c>
      <c r="F5142" s="107" t="s">
        <v>17206</v>
      </c>
      <c r="G5142" s="116" t="str">
        <f>HYPERLINK("http://nsgreg.nga.mil/genc/view?v=203307&amp;end_month=3&amp;end_day=31&amp;end_year=2014","Hà Nam")</f>
        <v>Hà Nam</v>
      </c>
      <c r="H5142" s="87" t="str">
        <f>HYPERLINK("http://api.nsgreg.nga.mil/geo-division/GENC/6/ed2/VN-63","VN-63")</f>
        <v>VN-63</v>
      </c>
    </row>
    <row r="5143" spans="1:8" x14ac:dyDescent="0.2">
      <c r="A5143" s="157"/>
      <c r="B5143" s="31" t="s">
        <v>17207</v>
      </c>
      <c r="C5143" s="31" t="s">
        <v>17208</v>
      </c>
      <c r="D5143" s="31" t="s">
        <v>3254</v>
      </c>
      <c r="E5143" s="61" t="b">
        <v>1</v>
      </c>
      <c r="F5143" s="107" t="s">
        <v>17209</v>
      </c>
      <c r="G5143" s="116" t="str">
        <f>HYPERLINK("http://nsgreg.nga.mil/genc/view?v=203318&amp;end_month=3&amp;end_day=31&amp;end_year=2014","Hà Nội")</f>
        <v>Hà Nội</v>
      </c>
      <c r="H5143" s="87" t="str">
        <f>HYPERLINK("http://api.nsgreg.nga.mil/geo-division/GENC/6/ed2/VN-HN","VN-HN")</f>
        <v>VN-HN</v>
      </c>
    </row>
    <row r="5144" spans="1:8" x14ac:dyDescent="0.2">
      <c r="A5144" s="157"/>
      <c r="B5144" s="31" t="s">
        <v>17210</v>
      </c>
      <c r="C5144" s="31" t="s">
        <v>17211</v>
      </c>
      <c r="D5144" s="98" t="s">
        <v>1920</v>
      </c>
      <c r="E5144" s="99" t="b">
        <v>0</v>
      </c>
      <c r="F5144" s="107" t="s">
        <v>17212</v>
      </c>
      <c r="G5144" s="116" t="str">
        <f>HYPERLINK("http://nsgreg.nga.mil/genc/view?v=203267&amp;end_month=3&amp;end_day=31&amp;end_year=2014","Ha Tay")</f>
        <v>Ha Tay</v>
      </c>
      <c r="H5144" s="87" t="str">
        <f>HYPERLINK("http://api.nsgreg.nga.mil/geo-division/GENC/6/ed2/VN-15","VN-15")</f>
        <v>VN-15</v>
      </c>
    </row>
    <row r="5145" spans="1:8" x14ac:dyDescent="0.2">
      <c r="A5145" s="157"/>
      <c r="B5145" s="31" t="s">
        <v>17213</v>
      </c>
      <c r="C5145" s="31" t="s">
        <v>17214</v>
      </c>
      <c r="D5145" s="31" t="s">
        <v>1920</v>
      </c>
      <c r="E5145" s="61" t="b">
        <v>1</v>
      </c>
      <c r="F5145" s="107" t="s">
        <v>17215</v>
      </c>
      <c r="G5145" s="116" t="str">
        <f>HYPERLINK("http://nsgreg.nga.mil/genc/view?v=203272&amp;end_month=3&amp;end_day=31&amp;end_year=2014","Hà Tĩnh")</f>
        <v>Hà Tĩnh</v>
      </c>
      <c r="H5145" s="87" t="str">
        <f>HYPERLINK("http://api.nsgreg.nga.mil/geo-division/GENC/6/ed2/VN-23","VN-23")</f>
        <v>VN-23</v>
      </c>
    </row>
    <row r="5146" spans="1:8" x14ac:dyDescent="0.2">
      <c r="A5146" s="157"/>
      <c r="B5146" s="31" t="s">
        <v>17216</v>
      </c>
      <c r="C5146" s="31" t="s">
        <v>17217</v>
      </c>
      <c r="D5146" s="31" t="s">
        <v>1920</v>
      </c>
      <c r="E5146" s="61" t="b">
        <v>1</v>
      </c>
      <c r="F5146" s="107" t="s">
        <v>17218</v>
      </c>
      <c r="G5146" s="116" t="str">
        <f>HYPERLINK("http://nsgreg.nga.mil/genc/view?v=203315&amp;end_month=3&amp;end_day=31&amp;end_year=2014","Hậu Giang")</f>
        <v>Hậu Giang</v>
      </c>
      <c r="H5146" s="87" t="str">
        <f>HYPERLINK("http://api.nsgreg.nga.mil/geo-division/GENC/6/ed2/VN-73","VN-73")</f>
        <v>VN-73</v>
      </c>
    </row>
    <row r="5147" spans="1:8" x14ac:dyDescent="0.2">
      <c r="A5147" s="157"/>
      <c r="B5147" s="31" t="s">
        <v>17219</v>
      </c>
      <c r="C5147" s="31" t="s">
        <v>17220</v>
      </c>
      <c r="D5147" s="31" t="s">
        <v>1920</v>
      </c>
      <c r="E5147" s="61" t="b">
        <v>1</v>
      </c>
      <c r="F5147" s="107" t="s">
        <v>17221</v>
      </c>
      <c r="G5147" s="116" t="str">
        <f>HYPERLINK("http://nsgreg.nga.mil/genc/view?v=203266&amp;end_month=3&amp;end_day=31&amp;end_year=2014","Hòa Bình")</f>
        <v>Hòa Bình</v>
      </c>
      <c r="H5147" s="87" t="str">
        <f>HYPERLINK("http://api.nsgreg.nga.mil/geo-division/GENC/6/ed2/VN-14","VN-14")</f>
        <v>VN-14</v>
      </c>
    </row>
    <row r="5148" spans="1:8" x14ac:dyDescent="0.2">
      <c r="A5148" s="157"/>
      <c r="B5148" s="31" t="s">
        <v>17222</v>
      </c>
      <c r="C5148" s="31" t="s">
        <v>17223</v>
      </c>
      <c r="D5148" s="31" t="s">
        <v>3254</v>
      </c>
      <c r="E5148" s="61" t="b">
        <v>1</v>
      </c>
      <c r="F5148" s="107" t="s">
        <v>17224</v>
      </c>
      <c r="G5148" s="116" t="str">
        <f>HYPERLINK("http://nsgreg.nga.mil/genc/view?v=203320&amp;end_month=3&amp;end_day=31&amp;end_year=2014","Hồ Chí Minh")</f>
        <v>Hồ Chí Minh</v>
      </c>
      <c r="H5148" s="87" t="str">
        <f>HYPERLINK("http://api.nsgreg.nga.mil/geo-division/GENC/6/ed2/VN-SG","VN-SG")</f>
        <v>VN-SG</v>
      </c>
    </row>
    <row r="5149" spans="1:8" x14ac:dyDescent="0.2">
      <c r="A5149" s="157"/>
      <c r="B5149" s="31" t="s">
        <v>17225</v>
      </c>
      <c r="C5149" s="31" t="s">
        <v>17226</v>
      </c>
      <c r="D5149" s="31" t="s">
        <v>1920</v>
      </c>
      <c r="E5149" s="61" t="b">
        <v>1</v>
      </c>
      <c r="F5149" s="107" t="s">
        <v>17227</v>
      </c>
      <c r="G5149" s="116" t="str">
        <f>HYPERLINK("http://nsgreg.nga.mil/genc/view?v=203308&amp;end_month=3&amp;end_day=31&amp;end_year=2014","Hưng Yên")</f>
        <v>Hưng Yên</v>
      </c>
      <c r="H5149" s="87" t="str">
        <f>HYPERLINK("http://api.nsgreg.nga.mil/geo-division/GENC/6/ed2/VN-66","VN-66")</f>
        <v>VN-66</v>
      </c>
    </row>
    <row r="5150" spans="1:8" x14ac:dyDescent="0.2">
      <c r="A5150" s="157"/>
      <c r="B5150" s="31" t="s">
        <v>17228</v>
      </c>
      <c r="C5150" s="31" t="s">
        <v>17229</v>
      </c>
      <c r="D5150" s="31" t="s">
        <v>1920</v>
      </c>
      <c r="E5150" s="61" t="b">
        <v>1</v>
      </c>
      <c r="F5150" s="107" t="s">
        <v>17230</v>
      </c>
      <c r="G5150" s="116" t="str">
        <f>HYPERLINK("http://nsgreg.nga.mil/genc/view?v=203283&amp;end_month=3&amp;end_day=31&amp;end_year=2014","Khánh Hòa")</f>
        <v>Khánh Hòa</v>
      </c>
      <c r="H5150" s="87" t="str">
        <f>HYPERLINK("http://api.nsgreg.nga.mil/geo-division/GENC/6/ed2/VN-34","VN-34")</f>
        <v>VN-34</v>
      </c>
    </row>
    <row r="5151" spans="1:8" x14ac:dyDescent="0.2">
      <c r="A5151" s="157"/>
      <c r="B5151" s="31" t="s">
        <v>17231</v>
      </c>
      <c r="C5151" s="31" t="s">
        <v>17232</v>
      </c>
      <c r="D5151" s="31" t="s">
        <v>1920</v>
      </c>
      <c r="E5151" s="61" t="b">
        <v>1</v>
      </c>
      <c r="F5151" s="107" t="s">
        <v>17233</v>
      </c>
      <c r="G5151" s="116" t="str">
        <f>HYPERLINK("http://nsgreg.nga.mil/genc/view?v=203294&amp;end_month=3&amp;end_day=31&amp;end_year=2014","Kiến Giang")</f>
        <v>Kiến Giang</v>
      </c>
      <c r="H5151" s="87" t="str">
        <f>HYPERLINK("http://api.nsgreg.nga.mil/geo-division/GENC/6/ed2/VN-47","VN-47")</f>
        <v>VN-47</v>
      </c>
    </row>
    <row r="5152" spans="1:8" x14ac:dyDescent="0.2">
      <c r="A5152" s="157"/>
      <c r="B5152" s="31" t="s">
        <v>17234</v>
      </c>
      <c r="C5152" s="31" t="s">
        <v>17235</v>
      </c>
      <c r="D5152" s="31" t="s">
        <v>1920</v>
      </c>
      <c r="E5152" s="61" t="b">
        <v>1</v>
      </c>
      <c r="F5152" s="107" t="s">
        <v>17236</v>
      </c>
      <c r="G5152" s="116" t="str">
        <f>HYPERLINK("http://nsgreg.nga.mil/genc/view?v=203277&amp;end_month=3&amp;end_day=31&amp;end_year=2014","Kon Tum")</f>
        <v>Kon Tum</v>
      </c>
      <c r="H5152" s="87" t="str">
        <f>HYPERLINK("http://api.nsgreg.nga.mil/geo-division/GENC/6/ed2/VN-28","VN-28")</f>
        <v>VN-28</v>
      </c>
    </row>
    <row r="5153" spans="1:8" x14ac:dyDescent="0.2">
      <c r="A5153" s="157"/>
      <c r="B5153" s="31" t="s">
        <v>17237</v>
      </c>
      <c r="C5153" s="31" t="s">
        <v>17238</v>
      </c>
      <c r="D5153" s="31" t="s">
        <v>1920</v>
      </c>
      <c r="E5153" s="61" t="b">
        <v>1</v>
      </c>
      <c r="F5153" s="107" t="s">
        <v>17239</v>
      </c>
      <c r="G5153" s="116" t="str">
        <f>HYPERLINK("http://nsgreg.nga.mil/genc/view?v=203257&amp;end_month=3&amp;end_day=31&amp;end_year=2014","Lai Châu")</f>
        <v>Lai Châu</v>
      </c>
      <c r="H5153" s="87" t="str">
        <f>HYPERLINK("http://api.nsgreg.nga.mil/geo-division/GENC/6/ed2/VN-01","VN-01")</f>
        <v>VN-01</v>
      </c>
    </row>
    <row r="5154" spans="1:8" x14ac:dyDescent="0.2">
      <c r="A5154" s="157"/>
      <c r="B5154" s="31" t="s">
        <v>17240</v>
      </c>
      <c r="C5154" s="31" t="s">
        <v>17241</v>
      </c>
      <c r="D5154" s="31" t="s">
        <v>1920</v>
      </c>
      <c r="E5154" s="61" t="b">
        <v>1</v>
      </c>
      <c r="F5154" s="107" t="s">
        <v>17242</v>
      </c>
      <c r="G5154" s="116" t="str">
        <f>HYPERLINK("http://nsgreg.nga.mil/genc/view?v=203284&amp;end_month=3&amp;end_day=31&amp;end_year=2014","Lâm Ðồng")</f>
        <v>Lâm Ðồng</v>
      </c>
      <c r="H5154" s="87" t="str">
        <f>HYPERLINK("http://api.nsgreg.nga.mil/geo-division/GENC/6/ed2/VN-35","VN-35")</f>
        <v>VN-35</v>
      </c>
    </row>
    <row r="5155" spans="1:8" x14ac:dyDescent="0.2">
      <c r="A5155" s="157"/>
      <c r="B5155" s="31" t="s">
        <v>17243</v>
      </c>
      <c r="C5155" s="31" t="s">
        <v>17244</v>
      </c>
      <c r="D5155" s="31" t="s">
        <v>1920</v>
      </c>
      <c r="E5155" s="61" t="b">
        <v>1</v>
      </c>
      <c r="F5155" s="107" t="s">
        <v>17245</v>
      </c>
      <c r="G5155" s="116" t="str">
        <f>HYPERLINK("http://nsgreg.nga.mil/genc/view?v=203264&amp;end_month=3&amp;end_day=31&amp;end_year=2014","Lạng Sơn")</f>
        <v>Lạng Sơn</v>
      </c>
      <c r="H5155" s="87" t="str">
        <f>HYPERLINK("http://api.nsgreg.nga.mil/geo-division/GENC/6/ed2/VN-09","VN-09")</f>
        <v>VN-09</v>
      </c>
    </row>
    <row r="5156" spans="1:8" x14ac:dyDescent="0.2">
      <c r="A5156" s="157"/>
      <c r="B5156" s="31" t="s">
        <v>17246</v>
      </c>
      <c r="C5156" s="31" t="s">
        <v>17247</v>
      </c>
      <c r="D5156" s="31" t="s">
        <v>1920</v>
      </c>
      <c r="E5156" s="61" t="b">
        <v>1</v>
      </c>
      <c r="F5156" s="107" t="s">
        <v>17248</v>
      </c>
      <c r="G5156" s="116" t="str">
        <f>HYPERLINK("http://nsgreg.nga.mil/genc/view?v=203258&amp;end_month=3&amp;end_day=31&amp;end_year=2014","Lào Cai")</f>
        <v>Lào Cai</v>
      </c>
      <c r="H5156" s="87" t="str">
        <f>HYPERLINK("http://api.nsgreg.nga.mil/geo-division/GENC/6/ed2/VN-02","VN-02")</f>
        <v>VN-02</v>
      </c>
    </row>
    <row r="5157" spans="1:8" x14ac:dyDescent="0.2">
      <c r="A5157" s="157"/>
      <c r="B5157" s="31" t="s">
        <v>17249</v>
      </c>
      <c r="C5157" s="31" t="s">
        <v>17250</v>
      </c>
      <c r="D5157" s="31" t="s">
        <v>1920</v>
      </c>
      <c r="E5157" s="61" t="b">
        <v>1</v>
      </c>
      <c r="F5157" s="107" t="s">
        <v>17251</v>
      </c>
      <c r="G5157" s="116" t="str">
        <f>HYPERLINK("http://nsgreg.nga.mil/genc/view?v=203289&amp;end_month=3&amp;end_day=31&amp;end_year=2014","Long An")</f>
        <v>Long An</v>
      </c>
      <c r="H5157" s="87" t="str">
        <f>HYPERLINK("http://api.nsgreg.nga.mil/geo-division/GENC/6/ed2/VN-41","VN-41")</f>
        <v>VN-41</v>
      </c>
    </row>
    <row r="5158" spans="1:8" x14ac:dyDescent="0.2">
      <c r="A5158" s="157"/>
      <c r="B5158" s="31" t="s">
        <v>17252</v>
      </c>
      <c r="C5158" s="31" t="s">
        <v>17253</v>
      </c>
      <c r="D5158" s="31" t="s">
        <v>1920</v>
      </c>
      <c r="E5158" s="61" t="b">
        <v>1</v>
      </c>
      <c r="F5158" s="107" t="s">
        <v>17254</v>
      </c>
      <c r="G5158" s="116" t="str">
        <f>HYPERLINK("http://nsgreg.nga.mil/genc/view?v=203309&amp;end_month=3&amp;end_day=31&amp;end_year=2014","Nam Ðịnh")</f>
        <v>Nam Ðịnh</v>
      </c>
      <c r="H5158" s="87" t="str">
        <f>HYPERLINK("http://api.nsgreg.nga.mil/geo-division/GENC/6/ed2/VN-67","VN-67")</f>
        <v>VN-67</v>
      </c>
    </row>
    <row r="5159" spans="1:8" x14ac:dyDescent="0.2">
      <c r="A5159" s="157"/>
      <c r="B5159" s="31" t="s">
        <v>17255</v>
      </c>
      <c r="C5159" s="31" t="s">
        <v>17256</v>
      </c>
      <c r="D5159" s="31" t="s">
        <v>1920</v>
      </c>
      <c r="E5159" s="61" t="b">
        <v>1</v>
      </c>
      <c r="F5159" s="107" t="s">
        <v>17257</v>
      </c>
      <c r="G5159" s="116" t="str">
        <f>HYPERLINK("http://nsgreg.nga.mil/genc/view?v=203271&amp;end_month=3&amp;end_day=31&amp;end_year=2014","Nghệ An")</f>
        <v>Nghệ An</v>
      </c>
      <c r="H5159" s="87" t="str">
        <f>HYPERLINK("http://api.nsgreg.nga.mil/geo-division/GENC/6/ed2/VN-22","VN-22")</f>
        <v>VN-22</v>
      </c>
    </row>
    <row r="5160" spans="1:8" x14ac:dyDescent="0.2">
      <c r="A5160" s="157"/>
      <c r="B5160" s="31" t="s">
        <v>17258</v>
      </c>
      <c r="C5160" s="31" t="s">
        <v>17259</v>
      </c>
      <c r="D5160" s="31" t="s">
        <v>1920</v>
      </c>
      <c r="E5160" s="61" t="b">
        <v>1</v>
      </c>
      <c r="F5160" s="107" t="s">
        <v>17260</v>
      </c>
      <c r="G5160" s="116" t="str">
        <f>HYPERLINK("http://nsgreg.nga.mil/genc/view?v=203268&amp;end_month=3&amp;end_day=31&amp;end_year=2014","Ninh Bình")</f>
        <v>Ninh Bình</v>
      </c>
      <c r="H5160" s="87" t="str">
        <f>HYPERLINK("http://api.nsgreg.nga.mil/geo-division/GENC/6/ed2/VN-18","VN-18")</f>
        <v>VN-18</v>
      </c>
    </row>
    <row r="5161" spans="1:8" x14ac:dyDescent="0.2">
      <c r="A5161" s="157"/>
      <c r="B5161" s="31" t="s">
        <v>17261</v>
      </c>
      <c r="C5161" s="31" t="s">
        <v>17262</v>
      </c>
      <c r="D5161" s="31" t="s">
        <v>1920</v>
      </c>
      <c r="E5161" s="61" t="b">
        <v>1</v>
      </c>
      <c r="F5161" s="107" t="s">
        <v>17263</v>
      </c>
      <c r="G5161" s="116" t="str">
        <f>HYPERLINK("http://nsgreg.nga.mil/genc/view?v=203285&amp;end_month=3&amp;end_day=31&amp;end_year=2014","Ninh Thuận")</f>
        <v>Ninh Thuận</v>
      </c>
      <c r="H5161" s="87" t="str">
        <f>HYPERLINK("http://api.nsgreg.nga.mil/geo-division/GENC/6/ed2/VN-36","VN-36")</f>
        <v>VN-36</v>
      </c>
    </row>
    <row r="5162" spans="1:8" x14ac:dyDescent="0.2">
      <c r="A5162" s="157"/>
      <c r="B5162" s="31" t="s">
        <v>17264</v>
      </c>
      <c r="C5162" s="31" t="s">
        <v>17265</v>
      </c>
      <c r="D5162" s="31" t="s">
        <v>1920</v>
      </c>
      <c r="E5162" s="61" t="b">
        <v>1</v>
      </c>
      <c r="F5162" s="107" t="s">
        <v>17266</v>
      </c>
      <c r="G5162" s="116" t="str">
        <f>HYPERLINK("http://nsgreg.nga.mil/genc/view?v=203310&amp;end_month=3&amp;end_day=31&amp;end_year=2014","Phú Thọ")</f>
        <v>Phú Thọ</v>
      </c>
      <c r="H5162" s="87" t="str">
        <f>HYPERLINK("http://api.nsgreg.nga.mil/geo-division/GENC/6/ed2/VN-68","VN-68")</f>
        <v>VN-68</v>
      </c>
    </row>
    <row r="5163" spans="1:8" x14ac:dyDescent="0.2">
      <c r="A5163" s="157"/>
      <c r="B5163" s="31" t="s">
        <v>17267</v>
      </c>
      <c r="C5163" s="31" t="s">
        <v>17268</v>
      </c>
      <c r="D5163" s="31" t="s">
        <v>1920</v>
      </c>
      <c r="E5163" s="61" t="b">
        <v>1</v>
      </c>
      <c r="F5163" s="107" t="s">
        <v>17269</v>
      </c>
      <c r="G5163" s="116" t="str">
        <f>HYPERLINK("http://nsgreg.nga.mil/genc/view?v=203281&amp;end_month=3&amp;end_day=31&amp;end_year=2014","Phú Yên")</f>
        <v>Phú Yên</v>
      </c>
      <c r="H5163" s="87" t="str">
        <f>HYPERLINK("http://api.nsgreg.nga.mil/geo-division/GENC/6/ed2/VN-32","VN-32")</f>
        <v>VN-32</v>
      </c>
    </row>
    <row r="5164" spans="1:8" x14ac:dyDescent="0.2">
      <c r="A5164" s="157"/>
      <c r="B5164" s="31" t="s">
        <v>17270</v>
      </c>
      <c r="C5164" s="31" t="s">
        <v>17271</v>
      </c>
      <c r="D5164" s="31" t="s">
        <v>1920</v>
      </c>
      <c r="E5164" s="61" t="b">
        <v>1</v>
      </c>
      <c r="F5164" s="107" t="s">
        <v>17272</v>
      </c>
      <c r="G5164" s="116" t="str">
        <f>HYPERLINK("http://nsgreg.nga.mil/genc/view?v=203273&amp;end_month=3&amp;end_day=31&amp;end_year=2014","Quảng Bình")</f>
        <v>Quảng Bình</v>
      </c>
      <c r="H5164" s="87" t="str">
        <f>HYPERLINK("http://api.nsgreg.nga.mil/geo-division/GENC/6/ed2/VN-24","VN-24")</f>
        <v>VN-24</v>
      </c>
    </row>
    <row r="5165" spans="1:8" x14ac:dyDescent="0.2">
      <c r="A5165" s="157"/>
      <c r="B5165" s="31" t="s">
        <v>17273</v>
      </c>
      <c r="C5165" s="31" t="s">
        <v>17274</v>
      </c>
      <c r="D5165" s="31" t="s">
        <v>1920</v>
      </c>
      <c r="E5165" s="61" t="b">
        <v>1</v>
      </c>
      <c r="F5165" s="107" t="s">
        <v>17275</v>
      </c>
      <c r="G5165" s="116" t="str">
        <f>HYPERLINK("http://nsgreg.nga.mil/genc/view?v=203276&amp;end_month=3&amp;end_day=31&amp;end_year=2014","Quảng Nam")</f>
        <v>Quảng Nam</v>
      </c>
      <c r="H5165" s="87" t="str">
        <f>HYPERLINK("http://api.nsgreg.nga.mil/geo-division/GENC/6/ed2/VN-27","VN-27")</f>
        <v>VN-27</v>
      </c>
    </row>
    <row r="5166" spans="1:8" x14ac:dyDescent="0.2">
      <c r="A5166" s="157"/>
      <c r="B5166" s="31" t="s">
        <v>17276</v>
      </c>
      <c r="C5166" s="31" t="s">
        <v>17277</v>
      </c>
      <c r="D5166" s="31" t="s">
        <v>1920</v>
      </c>
      <c r="E5166" s="61" t="b">
        <v>1</v>
      </c>
      <c r="F5166" s="107" t="s">
        <v>17278</v>
      </c>
      <c r="G5166" s="116" t="str">
        <f>HYPERLINK("http://nsgreg.nga.mil/genc/view?v=203278&amp;end_month=3&amp;end_day=31&amp;end_year=2014","Quảng Ngãi")</f>
        <v>Quảng Ngãi</v>
      </c>
      <c r="H5166" s="87" t="str">
        <f>HYPERLINK("http://api.nsgreg.nga.mil/geo-division/GENC/6/ed2/VN-29","VN-29")</f>
        <v>VN-29</v>
      </c>
    </row>
    <row r="5167" spans="1:8" x14ac:dyDescent="0.2">
      <c r="A5167" s="157"/>
      <c r="B5167" s="31" t="s">
        <v>17279</v>
      </c>
      <c r="C5167" s="31" t="s">
        <v>17280</v>
      </c>
      <c r="D5167" s="31" t="s">
        <v>1920</v>
      </c>
      <c r="E5167" s="61" t="b">
        <v>1</v>
      </c>
      <c r="F5167" s="107" t="s">
        <v>17281</v>
      </c>
      <c r="G5167" s="116" t="str">
        <f>HYPERLINK("http://nsgreg.nga.mil/genc/view?v=203265&amp;end_month=3&amp;end_day=31&amp;end_year=2014","Quảng Ninh")</f>
        <v>Quảng Ninh</v>
      </c>
      <c r="H5167" s="87" t="str">
        <f>HYPERLINK("http://api.nsgreg.nga.mil/geo-division/GENC/6/ed2/VN-13","VN-13")</f>
        <v>VN-13</v>
      </c>
    </row>
    <row r="5168" spans="1:8" x14ac:dyDescent="0.2">
      <c r="A5168" s="157"/>
      <c r="B5168" s="31" t="s">
        <v>17282</v>
      </c>
      <c r="C5168" s="31" t="s">
        <v>17283</v>
      </c>
      <c r="D5168" s="31" t="s">
        <v>1920</v>
      </c>
      <c r="E5168" s="61" t="b">
        <v>1</v>
      </c>
      <c r="F5168" s="107" t="s">
        <v>17284</v>
      </c>
      <c r="G5168" s="116" t="str">
        <f>HYPERLINK("http://nsgreg.nga.mil/genc/view?v=203274&amp;end_month=3&amp;end_day=31&amp;end_year=2014","Quảng Trị")</f>
        <v>Quảng Trị</v>
      </c>
      <c r="H5168" s="87" t="str">
        <f>HYPERLINK("http://api.nsgreg.nga.mil/geo-division/GENC/6/ed2/VN-25","VN-25")</f>
        <v>VN-25</v>
      </c>
    </row>
    <row r="5169" spans="1:8" x14ac:dyDescent="0.2">
      <c r="A5169" s="157"/>
      <c r="B5169" s="31" t="s">
        <v>17285</v>
      </c>
      <c r="C5169" s="31" t="s">
        <v>17286</v>
      </c>
      <c r="D5169" s="31" t="s">
        <v>1920</v>
      </c>
      <c r="E5169" s="61" t="b">
        <v>1</v>
      </c>
      <c r="F5169" s="107" t="s">
        <v>17287</v>
      </c>
      <c r="G5169" s="116" t="str">
        <f>HYPERLINK("http://nsgreg.nga.mil/genc/view?v=203298&amp;end_month=3&amp;end_day=31&amp;end_year=2014","Sóc Trăng")</f>
        <v>Sóc Trăng</v>
      </c>
      <c r="H5169" s="87" t="str">
        <f>HYPERLINK("http://api.nsgreg.nga.mil/geo-division/GENC/6/ed2/VN-52","VN-52")</f>
        <v>VN-52</v>
      </c>
    </row>
    <row r="5170" spans="1:8" x14ac:dyDescent="0.2">
      <c r="A5170" s="157"/>
      <c r="B5170" s="31" t="s">
        <v>17288</v>
      </c>
      <c r="C5170" s="31" t="s">
        <v>17289</v>
      </c>
      <c r="D5170" s="31" t="s">
        <v>1920</v>
      </c>
      <c r="E5170" s="61" t="b">
        <v>1</v>
      </c>
      <c r="F5170" s="107" t="s">
        <v>17290</v>
      </c>
      <c r="G5170" s="116" t="str">
        <f>HYPERLINK("http://nsgreg.nga.mil/genc/view?v=203261&amp;end_month=3&amp;end_day=31&amp;end_year=2014","Sơn La")</f>
        <v>Sơn La</v>
      </c>
      <c r="H5170" s="87" t="str">
        <f>HYPERLINK("http://api.nsgreg.nga.mil/geo-division/GENC/6/ed2/VN-05","VN-05")</f>
        <v>VN-05</v>
      </c>
    </row>
    <row r="5171" spans="1:8" x14ac:dyDescent="0.2">
      <c r="A5171" s="157"/>
      <c r="B5171" s="31" t="s">
        <v>17291</v>
      </c>
      <c r="C5171" s="31" t="s">
        <v>17292</v>
      </c>
      <c r="D5171" s="31" t="s">
        <v>1920</v>
      </c>
      <c r="E5171" s="61" t="b">
        <v>1</v>
      </c>
      <c r="F5171" s="107" t="s">
        <v>17293</v>
      </c>
      <c r="G5171" s="116" t="str">
        <f>HYPERLINK("http://nsgreg.nga.mil/genc/view?v=203286&amp;end_month=3&amp;end_day=31&amp;end_year=2014","Tây Ninh")</f>
        <v>Tây Ninh</v>
      </c>
      <c r="H5171" s="87" t="str">
        <f>HYPERLINK("http://api.nsgreg.nga.mil/geo-division/GENC/6/ed2/VN-37","VN-37")</f>
        <v>VN-37</v>
      </c>
    </row>
    <row r="5172" spans="1:8" x14ac:dyDescent="0.2">
      <c r="A5172" s="157"/>
      <c r="B5172" s="31" t="s">
        <v>17294</v>
      </c>
      <c r="C5172" s="31" t="s">
        <v>17295</v>
      </c>
      <c r="D5172" s="31" t="s">
        <v>1920</v>
      </c>
      <c r="E5172" s="61" t="b">
        <v>1</v>
      </c>
      <c r="F5172" s="107" t="s">
        <v>17296</v>
      </c>
      <c r="G5172" s="116" t="str">
        <f>HYPERLINK("http://nsgreg.nga.mil/genc/view?v=203269&amp;end_month=3&amp;end_day=31&amp;end_year=2014","Thái Bình")</f>
        <v>Thái Bình</v>
      </c>
      <c r="H5172" s="87" t="str">
        <f>HYPERLINK("http://api.nsgreg.nga.mil/geo-division/GENC/6/ed2/VN-20","VN-20")</f>
        <v>VN-20</v>
      </c>
    </row>
    <row r="5173" spans="1:8" x14ac:dyDescent="0.2">
      <c r="A5173" s="157"/>
      <c r="B5173" s="31" t="s">
        <v>17297</v>
      </c>
      <c r="C5173" s="31" t="s">
        <v>17298</v>
      </c>
      <c r="D5173" s="31" t="s">
        <v>1920</v>
      </c>
      <c r="E5173" s="61" t="b">
        <v>1</v>
      </c>
      <c r="F5173" s="107" t="s">
        <v>17299</v>
      </c>
      <c r="G5173" s="116" t="str">
        <f>HYPERLINK("http://nsgreg.nga.mil/genc/view?v=203311&amp;end_month=3&amp;end_day=31&amp;end_year=2014","Thái Nguyên")</f>
        <v>Thái Nguyên</v>
      </c>
      <c r="H5173" s="87" t="str">
        <f>HYPERLINK("http://api.nsgreg.nga.mil/geo-division/GENC/6/ed2/VN-69","VN-69")</f>
        <v>VN-69</v>
      </c>
    </row>
    <row r="5174" spans="1:8" x14ac:dyDescent="0.2">
      <c r="A5174" s="157"/>
      <c r="B5174" s="31" t="s">
        <v>17300</v>
      </c>
      <c r="C5174" s="31" t="s">
        <v>17301</v>
      </c>
      <c r="D5174" s="31" t="s">
        <v>1920</v>
      </c>
      <c r="E5174" s="61" t="b">
        <v>1</v>
      </c>
      <c r="F5174" s="107" t="s">
        <v>17302</v>
      </c>
      <c r="G5174" s="116" t="str">
        <f>HYPERLINK("http://nsgreg.nga.mil/genc/view?v=203270&amp;end_month=3&amp;end_day=31&amp;end_year=2014","Thanh Hóa")</f>
        <v>Thanh Hóa</v>
      </c>
      <c r="H5174" s="87" t="str">
        <f>HYPERLINK("http://api.nsgreg.nga.mil/geo-division/GENC/6/ed2/VN-21","VN-21")</f>
        <v>VN-21</v>
      </c>
    </row>
    <row r="5175" spans="1:8" x14ac:dyDescent="0.2">
      <c r="A5175" s="157"/>
      <c r="B5175" s="31" t="s">
        <v>17303</v>
      </c>
      <c r="C5175" s="31" t="s">
        <v>17304</v>
      </c>
      <c r="D5175" s="31" t="s">
        <v>1920</v>
      </c>
      <c r="E5175" s="61" t="b">
        <v>1</v>
      </c>
      <c r="F5175" s="107" t="s">
        <v>17305</v>
      </c>
      <c r="G5175" s="116" t="str">
        <f>HYPERLINK("http://nsgreg.nga.mil/genc/view?v=203275&amp;end_month=3&amp;end_day=31&amp;end_year=2014","Thừa Thiên-Huế")</f>
        <v>Thừa Thiên-Huế</v>
      </c>
      <c r="H5175" s="87" t="str">
        <f>HYPERLINK("http://api.nsgreg.nga.mil/geo-division/GENC/6/ed2/VN-26","VN-26")</f>
        <v>VN-26</v>
      </c>
    </row>
    <row r="5176" spans="1:8" x14ac:dyDescent="0.2">
      <c r="A5176" s="157"/>
      <c r="B5176" s="31" t="s">
        <v>17306</v>
      </c>
      <c r="C5176" s="31" t="s">
        <v>17307</v>
      </c>
      <c r="D5176" s="31" t="s">
        <v>1920</v>
      </c>
      <c r="E5176" s="61" t="b">
        <v>1</v>
      </c>
      <c r="F5176" s="107" t="s">
        <v>17308</v>
      </c>
      <c r="G5176" s="116" t="str">
        <f>HYPERLINK("http://nsgreg.nga.mil/genc/view?v=203293&amp;end_month=3&amp;end_day=31&amp;end_year=2014","Tiền Giang")</f>
        <v>Tiền Giang</v>
      </c>
      <c r="H5176" s="87" t="str">
        <f>HYPERLINK("http://api.nsgreg.nga.mil/geo-division/GENC/6/ed2/VN-46","VN-46")</f>
        <v>VN-46</v>
      </c>
    </row>
    <row r="5177" spans="1:8" x14ac:dyDescent="0.2">
      <c r="A5177" s="157"/>
      <c r="B5177" s="31" t="s">
        <v>17309</v>
      </c>
      <c r="C5177" s="31" t="s">
        <v>17310</v>
      </c>
      <c r="D5177" s="31" t="s">
        <v>1920</v>
      </c>
      <c r="E5177" s="61" t="b">
        <v>1</v>
      </c>
      <c r="F5177" s="107" t="s">
        <v>17311</v>
      </c>
      <c r="G5177" s="116" t="str">
        <f>HYPERLINK("http://nsgreg.nga.mil/genc/view?v=203297&amp;end_month=3&amp;end_day=31&amp;end_year=2014","Trà Vinh")</f>
        <v>Trà Vinh</v>
      </c>
      <c r="H5177" s="87" t="str">
        <f>HYPERLINK("http://api.nsgreg.nga.mil/geo-division/GENC/6/ed2/VN-51","VN-51")</f>
        <v>VN-51</v>
      </c>
    </row>
    <row r="5178" spans="1:8" x14ac:dyDescent="0.2">
      <c r="A5178" s="157"/>
      <c r="B5178" s="31" t="s">
        <v>17312</v>
      </c>
      <c r="C5178" s="31" t="s">
        <v>17313</v>
      </c>
      <c r="D5178" s="31" t="s">
        <v>1920</v>
      </c>
      <c r="E5178" s="61" t="b">
        <v>1</v>
      </c>
      <c r="F5178" s="107" t="s">
        <v>17314</v>
      </c>
      <c r="G5178" s="116" t="str">
        <f>HYPERLINK("http://nsgreg.nga.mil/genc/view?v=203263&amp;end_month=3&amp;end_day=31&amp;end_year=2014","Tuyên Quang")</f>
        <v>Tuyên Quang</v>
      </c>
      <c r="H5178" s="87" t="str">
        <f>HYPERLINK("http://api.nsgreg.nga.mil/geo-division/GENC/6/ed2/VN-07","VN-07")</f>
        <v>VN-07</v>
      </c>
    </row>
    <row r="5179" spans="1:8" x14ac:dyDescent="0.2">
      <c r="A5179" s="157"/>
      <c r="B5179" s="31" t="s">
        <v>17315</v>
      </c>
      <c r="C5179" s="31" t="s">
        <v>17316</v>
      </c>
      <c r="D5179" s="31" t="s">
        <v>1920</v>
      </c>
      <c r="E5179" s="61" t="b">
        <v>1</v>
      </c>
      <c r="F5179" s="107" t="s">
        <v>17317</v>
      </c>
      <c r="G5179" s="116" t="str">
        <f>HYPERLINK("http://nsgreg.nga.mil/genc/view?v=203295&amp;end_month=3&amp;end_day=31&amp;end_year=2014","Vĩnh Long")</f>
        <v>Vĩnh Long</v>
      </c>
      <c r="H5179" s="87" t="str">
        <f>HYPERLINK("http://api.nsgreg.nga.mil/geo-division/GENC/6/ed2/VN-49","VN-49")</f>
        <v>VN-49</v>
      </c>
    </row>
    <row r="5180" spans="1:8" x14ac:dyDescent="0.2">
      <c r="A5180" s="157"/>
      <c r="B5180" s="31" t="s">
        <v>17318</v>
      </c>
      <c r="C5180" s="31" t="s">
        <v>17319</v>
      </c>
      <c r="D5180" s="31" t="s">
        <v>1920</v>
      </c>
      <c r="E5180" s="61" t="b">
        <v>1</v>
      </c>
      <c r="F5180" s="107" t="s">
        <v>17320</v>
      </c>
      <c r="G5180" s="116" t="str">
        <f>HYPERLINK("http://nsgreg.nga.mil/genc/view?v=203312&amp;end_month=3&amp;end_day=31&amp;end_year=2014","Vĩnh Phúc")</f>
        <v>Vĩnh Phúc</v>
      </c>
      <c r="H5180" s="87" t="str">
        <f>HYPERLINK("http://api.nsgreg.nga.mil/geo-division/GENC/6/ed2/VN-70","VN-70")</f>
        <v>VN-70</v>
      </c>
    </row>
    <row r="5181" spans="1:8" x14ac:dyDescent="0.2">
      <c r="A5181" s="158"/>
      <c r="B5181" s="58" t="s">
        <v>17321</v>
      </c>
      <c r="C5181" s="58" t="s">
        <v>17322</v>
      </c>
      <c r="D5181" s="58" t="s">
        <v>1920</v>
      </c>
      <c r="E5181" s="62" t="b">
        <v>1</v>
      </c>
      <c r="F5181" s="111" t="s">
        <v>17323</v>
      </c>
      <c r="G5181" s="117" t="str">
        <f>HYPERLINK("http://nsgreg.nga.mil/genc/view?v=203262&amp;end_month=3&amp;end_day=31&amp;end_year=2014","Yên Bái")</f>
        <v>Yên Bái</v>
      </c>
      <c r="H5181" s="89" t="str">
        <f>HYPERLINK("http://api.nsgreg.nga.mil/geo-division/GENC/6/ed2/VN-06","VN-06")</f>
        <v>VN-06</v>
      </c>
    </row>
    <row r="5182" spans="1:8" x14ac:dyDescent="0.2">
      <c r="A5182" s="156" t="str">
        <f>HYPERLINK("[#]Geopolitical_Entities!A281:I281","YEMEN")</f>
        <v>YEMEN</v>
      </c>
      <c r="B5182" s="52" t="s">
        <v>17324</v>
      </c>
      <c r="C5182" s="52" t="s">
        <v>17325</v>
      </c>
      <c r="D5182" s="52" t="s">
        <v>2885</v>
      </c>
      <c r="E5182" s="60" t="b">
        <v>1</v>
      </c>
      <c r="F5182" s="110" t="s">
        <v>17326</v>
      </c>
      <c r="G5182" s="118" t="str">
        <f>HYPERLINK("http://nsgreg.nga.mil/genc/view?v=203375&amp;end_month=3&amp;end_day=31&amp;end_year=2014","Abyan")</f>
        <v>Abyan</v>
      </c>
      <c r="H5182" s="91" t="str">
        <f>HYPERLINK("http://api.nsgreg.nga.mil/geo-division/GENC/6/ed2/YE-AB","YE-AB")</f>
        <v>YE-AB</v>
      </c>
    </row>
    <row r="5183" spans="1:8" x14ac:dyDescent="0.2">
      <c r="A5183" s="157"/>
      <c r="B5183" s="31" t="s">
        <v>17327</v>
      </c>
      <c r="C5183" s="31" t="s">
        <v>17328</v>
      </c>
      <c r="D5183" s="31" t="s">
        <v>2885</v>
      </c>
      <c r="E5183" s="61" t="b">
        <v>1</v>
      </c>
      <c r="F5183" s="107" t="s">
        <v>17329</v>
      </c>
      <c r="G5183" s="116" t="str">
        <f>HYPERLINK("http://nsgreg.nga.mil/genc/view?v=203434&amp;end_month=3&amp;end_day=31&amp;end_year=2014","‘Adan")</f>
        <v>‘Adan</v>
      </c>
      <c r="H5183" s="87" t="str">
        <f>HYPERLINK("http://api.nsgreg.nga.mil/geo-division/GENC/6/ed2/YE-AD","YE-AD")</f>
        <v>YE-AD</v>
      </c>
    </row>
    <row r="5184" spans="1:8" x14ac:dyDescent="0.2">
      <c r="A5184" s="157"/>
      <c r="B5184" s="31" t="s">
        <v>17330</v>
      </c>
      <c r="C5184" s="31" t="s">
        <v>17331</v>
      </c>
      <c r="D5184" s="31" t="s">
        <v>2885</v>
      </c>
      <c r="E5184" s="61" t="b">
        <v>1</v>
      </c>
      <c r="F5184" s="107" t="s">
        <v>17332</v>
      </c>
      <c r="G5184" s="116" t="str">
        <f>HYPERLINK("http://nsgreg.nga.mil/genc/view?v=203436&amp;end_month=3&amp;end_day=31&amp;end_year=2014","Aḑ Ḑāli‘")</f>
        <v>Aḑ Ḑāli‘</v>
      </c>
      <c r="H5184" s="87" t="str">
        <f>HYPERLINK("http://api.nsgreg.nga.mil/geo-division/GENC/6/ed2/YE-DA","YE-DA")</f>
        <v>YE-DA</v>
      </c>
    </row>
    <row r="5185" spans="1:8" x14ac:dyDescent="0.2">
      <c r="A5185" s="157"/>
      <c r="B5185" s="31" t="s">
        <v>17333</v>
      </c>
      <c r="C5185" s="31" t="s">
        <v>17334</v>
      </c>
      <c r="D5185" s="31" t="s">
        <v>2885</v>
      </c>
      <c r="E5185" s="61" t="b">
        <v>1</v>
      </c>
      <c r="F5185" s="106" t="s">
        <v>17335</v>
      </c>
      <c r="G5185" s="116" t="str">
        <f>HYPERLINK("http://nsgreg.nga.mil/genc/view?v=116778&amp;gencs=T&amp;end_month=3&amp;end_day=31&amp;end_year=2014","Al Bayḑā’")</f>
        <v>Al Bayḑā’</v>
      </c>
      <c r="H5185" s="87" t="str">
        <f>HYPERLINK("http://api.nsgreg.nga.mil/geo-division/ISO3166-2/6/ed3/YE-BA","YE-BA")</f>
        <v>YE-BA</v>
      </c>
    </row>
    <row r="5186" spans="1:8" x14ac:dyDescent="0.2">
      <c r="A5186" s="157"/>
      <c r="B5186" s="31" t="s">
        <v>17336</v>
      </c>
      <c r="C5186" s="31" t="s">
        <v>17337</v>
      </c>
      <c r="D5186" s="31" t="s">
        <v>2885</v>
      </c>
      <c r="E5186" s="61" t="b">
        <v>1</v>
      </c>
      <c r="F5186" s="106" t="s">
        <v>17338</v>
      </c>
      <c r="G5186" s="116" t="str">
        <f>HYPERLINK("http://nsgreg.nga.mil/genc/view?v=116783&amp;gencs=T&amp;end_month=3&amp;end_day=31&amp;end_year=2014","Al Ḩudaydah")</f>
        <v>Al Ḩudaydah</v>
      </c>
      <c r="H5186" s="87" t="str">
        <f>HYPERLINK("http://api.nsgreg.nga.mil/geo-division/ISO3166-2/6/ed3/YE-HU","YE-HU")</f>
        <v>YE-HU</v>
      </c>
    </row>
    <row r="5187" spans="1:8" x14ac:dyDescent="0.2">
      <c r="A5187" s="157"/>
      <c r="B5187" s="31" t="s">
        <v>17339</v>
      </c>
      <c r="C5187" s="31" t="s">
        <v>12676</v>
      </c>
      <c r="D5187" s="31" t="s">
        <v>2885</v>
      </c>
      <c r="E5187" s="61" t="b">
        <v>1</v>
      </c>
      <c r="F5187" s="106" t="s">
        <v>17340</v>
      </c>
      <c r="G5187" s="116" t="str">
        <f>HYPERLINK("http://nsgreg.nga.mil/genc/view?v=116785&amp;gencs=T&amp;end_month=3&amp;end_day=31&amp;end_year=2014","Al Jawf")</f>
        <v>Al Jawf</v>
      </c>
      <c r="H5187" s="87" t="str">
        <f>HYPERLINK("http://api.nsgreg.nga.mil/geo-division/ISO3166-2/6/ed3/YE-JA","YE-JA")</f>
        <v>YE-JA</v>
      </c>
    </row>
    <row r="5188" spans="1:8" x14ac:dyDescent="0.2">
      <c r="A5188" s="157"/>
      <c r="B5188" s="31" t="s">
        <v>17341</v>
      </c>
      <c r="C5188" s="31" t="s">
        <v>17342</v>
      </c>
      <c r="D5188" s="31" t="s">
        <v>2885</v>
      </c>
      <c r="E5188" s="61" t="b">
        <v>1</v>
      </c>
      <c r="F5188" s="106" t="s">
        <v>17343</v>
      </c>
      <c r="G5188" s="116" t="str">
        <f>HYPERLINK("http://nsgreg.nga.mil/genc/view?v=116788&amp;gencs=T&amp;end_month=3&amp;end_day=31&amp;end_year=2014","Al Mahrah")</f>
        <v>Al Mahrah</v>
      </c>
      <c r="H5188" s="87" t="str">
        <f>HYPERLINK("http://api.nsgreg.nga.mil/geo-division/ISO3166-2/6/ed3/YE-MR","YE-MR")</f>
        <v>YE-MR</v>
      </c>
    </row>
    <row r="5189" spans="1:8" x14ac:dyDescent="0.2">
      <c r="A5189" s="157"/>
      <c r="B5189" s="31" t="s">
        <v>17344</v>
      </c>
      <c r="C5189" s="31" t="s">
        <v>17345</v>
      </c>
      <c r="D5189" s="31" t="s">
        <v>2885</v>
      </c>
      <c r="E5189" s="61" t="b">
        <v>1</v>
      </c>
      <c r="F5189" s="106" t="s">
        <v>17346</v>
      </c>
      <c r="G5189" s="116" t="str">
        <f>HYPERLINK("http://nsgreg.nga.mil/genc/view?v=116789&amp;gencs=T&amp;end_month=3&amp;end_day=31&amp;end_year=2014","Al Maḩwīt")</f>
        <v>Al Maḩwīt</v>
      </c>
      <c r="H5189" s="87" t="str">
        <f>HYPERLINK("http://api.nsgreg.nga.mil/geo-division/ISO3166-2/6/ed3/YE-MW","YE-MW")</f>
        <v>YE-MW</v>
      </c>
    </row>
    <row r="5190" spans="1:8" x14ac:dyDescent="0.2">
      <c r="A5190" s="157"/>
      <c r="B5190" s="31" t="s">
        <v>17347</v>
      </c>
      <c r="C5190" s="31" t="s">
        <v>17348</v>
      </c>
      <c r="D5190" s="31" t="s">
        <v>2885</v>
      </c>
      <c r="E5190" s="61" t="b">
        <v>1</v>
      </c>
      <c r="F5190" s="107" t="s">
        <v>17349</v>
      </c>
      <c r="G5190" s="116" t="str">
        <f>HYPERLINK("http://nsgreg.nga.mil/genc/view?v=203376&amp;end_month=3&amp;end_day=31&amp;end_year=2014","Amānat al ‘Āşimah")</f>
        <v>Amānat al ‘Āşimah</v>
      </c>
      <c r="H5190" s="87" t="str">
        <f>HYPERLINK("http://api.nsgreg.nga.mil/geo-division/GENC/6/ed2/YE-SA","YE-SA")</f>
        <v>YE-SA</v>
      </c>
    </row>
    <row r="5191" spans="1:8" x14ac:dyDescent="0.2">
      <c r="A5191" s="157"/>
      <c r="B5191" s="31" t="s">
        <v>17350</v>
      </c>
      <c r="C5191" s="31" t="s">
        <v>17351</v>
      </c>
      <c r="D5191" s="31" t="s">
        <v>2885</v>
      </c>
      <c r="E5191" s="61" t="b">
        <v>1</v>
      </c>
      <c r="F5191" s="107" t="s">
        <v>17352</v>
      </c>
      <c r="G5191" s="116" t="str">
        <f>HYPERLINK("http://nsgreg.nga.mil/genc/view?v=203435&amp;end_month=3&amp;end_day=31&amp;end_year=2014","‘Amrān")</f>
        <v>‘Amrān</v>
      </c>
      <c r="H5191" s="87" t="str">
        <f>HYPERLINK("http://api.nsgreg.nga.mil/geo-division/GENC/6/ed2/YE-AM","YE-AM")</f>
        <v>YE-AM</v>
      </c>
    </row>
    <row r="5192" spans="1:8" x14ac:dyDescent="0.2">
      <c r="A5192" s="157"/>
      <c r="B5192" s="31" t="s">
        <v>17353</v>
      </c>
      <c r="C5192" s="31" t="s">
        <v>17354</v>
      </c>
      <c r="D5192" s="31" t="s">
        <v>2885</v>
      </c>
      <c r="E5192" s="61" t="b">
        <v>1</v>
      </c>
      <c r="F5192" s="106" t="s">
        <v>17355</v>
      </c>
      <c r="G5192" s="116" t="str">
        <f>HYPERLINK("http://nsgreg.nga.mil/genc/view?v=116780&amp;gencs=T&amp;end_month=3&amp;end_day=31&amp;end_year=2014","Dhamār")</f>
        <v>Dhamār</v>
      </c>
      <c r="H5192" s="87" t="str">
        <f>HYPERLINK("http://api.nsgreg.nga.mil/geo-division/ISO3166-2/6/ed3/YE-DH","YE-DH")</f>
        <v>YE-DH</v>
      </c>
    </row>
    <row r="5193" spans="1:8" x14ac:dyDescent="0.2">
      <c r="A5193" s="157"/>
      <c r="B5193" s="31" t="s">
        <v>17356</v>
      </c>
      <c r="C5193" s="31" t="s">
        <v>17357</v>
      </c>
      <c r="D5193" s="31" t="s">
        <v>2885</v>
      </c>
      <c r="E5193" s="61" t="b">
        <v>1</v>
      </c>
      <c r="F5193" s="106" t="s">
        <v>17358</v>
      </c>
      <c r="G5193" s="116" t="str">
        <f>HYPERLINK("http://nsgreg.nga.mil/genc/view?v=116781&amp;gencs=T&amp;end_month=3&amp;end_day=31&amp;end_year=2014","Ḩaḑramawt")</f>
        <v>Ḩaḑramawt</v>
      </c>
      <c r="H5193" s="87" t="str">
        <f>HYPERLINK("http://api.nsgreg.nga.mil/geo-division/ISO3166-2/6/ed3/YE-HD","YE-HD")</f>
        <v>YE-HD</v>
      </c>
    </row>
    <row r="5194" spans="1:8" x14ac:dyDescent="0.2">
      <c r="A5194" s="157"/>
      <c r="B5194" s="31" t="s">
        <v>17359</v>
      </c>
      <c r="C5194" s="31" t="s">
        <v>17360</v>
      </c>
      <c r="D5194" s="31" t="s">
        <v>2885</v>
      </c>
      <c r="E5194" s="61" t="b">
        <v>1</v>
      </c>
      <c r="F5194" s="106" t="s">
        <v>17361</v>
      </c>
      <c r="G5194" s="116" t="str">
        <f>HYPERLINK("http://nsgreg.nga.mil/genc/view?v=116782&amp;gencs=T&amp;end_month=3&amp;end_day=31&amp;end_year=2014","Ḩajjah")</f>
        <v>Ḩajjah</v>
      </c>
      <c r="H5194" s="87" t="str">
        <f>HYPERLINK("http://api.nsgreg.nga.mil/geo-division/ISO3166-2/6/ed3/YE-HJ","YE-HJ")</f>
        <v>YE-HJ</v>
      </c>
    </row>
    <row r="5195" spans="1:8" x14ac:dyDescent="0.2">
      <c r="A5195" s="157"/>
      <c r="B5195" s="31" t="s">
        <v>17362</v>
      </c>
      <c r="C5195" s="31" t="s">
        <v>17363</v>
      </c>
      <c r="D5195" s="31" t="s">
        <v>2885</v>
      </c>
      <c r="E5195" s="61" t="b">
        <v>1</v>
      </c>
      <c r="F5195" s="106" t="s">
        <v>17364</v>
      </c>
      <c r="G5195" s="116" t="str">
        <f>HYPERLINK("http://nsgreg.nga.mil/genc/view?v=116784&amp;gencs=T&amp;end_month=3&amp;end_day=31&amp;end_year=2014","Ibb")</f>
        <v>Ibb</v>
      </c>
      <c r="H5195" s="87" t="str">
        <f>HYPERLINK("http://api.nsgreg.nga.mil/geo-division/ISO3166-2/6/ed3/YE-IB","YE-IB")</f>
        <v>YE-IB</v>
      </c>
    </row>
    <row r="5196" spans="1:8" x14ac:dyDescent="0.2">
      <c r="A5196" s="157"/>
      <c r="B5196" s="31" t="s">
        <v>17365</v>
      </c>
      <c r="C5196" s="31" t="s">
        <v>17366</v>
      </c>
      <c r="D5196" s="31" t="s">
        <v>2885</v>
      </c>
      <c r="E5196" s="61" t="b">
        <v>1</v>
      </c>
      <c r="F5196" s="106" t="s">
        <v>17367</v>
      </c>
      <c r="G5196" s="116" t="str">
        <f>HYPERLINK("http://nsgreg.nga.mil/genc/view?v=116786&amp;gencs=T&amp;end_month=3&amp;end_day=31&amp;end_year=2014","Laḩij")</f>
        <v>Laḩij</v>
      </c>
      <c r="H5196" s="87" t="str">
        <f>HYPERLINK("http://api.nsgreg.nga.mil/geo-division/ISO3166-2/6/ed3/YE-LA","YE-LA")</f>
        <v>YE-LA</v>
      </c>
    </row>
    <row r="5197" spans="1:8" x14ac:dyDescent="0.2">
      <c r="A5197" s="157"/>
      <c r="B5197" s="31" t="s">
        <v>17368</v>
      </c>
      <c r="C5197" s="31" t="s">
        <v>17369</v>
      </c>
      <c r="D5197" s="31" t="s">
        <v>2885</v>
      </c>
      <c r="E5197" s="61" t="b">
        <v>1</v>
      </c>
      <c r="F5197" s="106" t="s">
        <v>17370</v>
      </c>
      <c r="G5197" s="116" t="str">
        <f>HYPERLINK("http://nsgreg.nga.mil/genc/view?v=116787&amp;gencs=T&amp;end_month=3&amp;end_day=31&amp;end_year=2014","Ma’rib")</f>
        <v>Ma’rib</v>
      </c>
      <c r="H5197" s="87" t="str">
        <f>HYPERLINK("http://api.nsgreg.nga.mil/geo-division/ISO3166-2/6/ed3/YE-MA","YE-MA")</f>
        <v>YE-MA</v>
      </c>
    </row>
    <row r="5198" spans="1:8" x14ac:dyDescent="0.2">
      <c r="A5198" s="157"/>
      <c r="B5198" s="31" t="s">
        <v>17371</v>
      </c>
      <c r="C5198" s="31" t="s">
        <v>17372</v>
      </c>
      <c r="D5198" s="31" t="s">
        <v>2885</v>
      </c>
      <c r="E5198" s="61" t="b">
        <v>1</v>
      </c>
      <c r="F5198" s="106" t="s">
        <v>17373</v>
      </c>
      <c r="G5198" s="116" t="str">
        <f>HYPERLINK("http://nsgreg.nga.mil/genc/view?v=116790&amp;gencs=T&amp;end_month=3&amp;end_day=31&amp;end_year=2014","Raymah")</f>
        <v>Raymah</v>
      </c>
      <c r="H5198" s="87" t="str">
        <f>HYPERLINK("http://api.nsgreg.nga.mil/geo-division/ISO3166-2/6/ed3/YE-RA","YE-RA")</f>
        <v>YE-RA</v>
      </c>
    </row>
    <row r="5199" spans="1:8" x14ac:dyDescent="0.2">
      <c r="A5199" s="157"/>
      <c r="B5199" s="31" t="s">
        <v>17374</v>
      </c>
      <c r="C5199" s="31" t="s">
        <v>17375</v>
      </c>
      <c r="D5199" s="31" t="s">
        <v>2885</v>
      </c>
      <c r="E5199" s="61" t="b">
        <v>1</v>
      </c>
      <c r="F5199" s="107" t="s">
        <v>17376</v>
      </c>
      <c r="G5199" s="116" t="str">
        <f>HYPERLINK("http://nsgreg.nga.mil/genc/view?v=203438&amp;end_month=3&amp;end_day=31&amp;end_year=2014","Şa‘dah")</f>
        <v>Şa‘dah</v>
      </c>
      <c r="H5199" s="87" t="str">
        <f>HYPERLINK("http://api.nsgreg.nga.mil/geo-division/GENC/6/ed2/YE-SD","YE-SD")</f>
        <v>YE-SD</v>
      </c>
    </row>
    <row r="5200" spans="1:8" x14ac:dyDescent="0.2">
      <c r="A5200" s="157"/>
      <c r="B5200" s="31" t="s">
        <v>17377</v>
      </c>
      <c r="C5200" s="31" t="s">
        <v>17378</v>
      </c>
      <c r="D5200" s="31" t="s">
        <v>2885</v>
      </c>
      <c r="E5200" s="61" t="b">
        <v>1</v>
      </c>
      <c r="F5200" s="107" t="s">
        <v>17379</v>
      </c>
      <c r="G5200" s="116" t="str">
        <f>HYPERLINK("http://nsgreg.nga.mil/genc/view?v=203439&amp;end_month=3&amp;end_day=31&amp;end_year=2014","Şan‘ā’")</f>
        <v>Şan‘ā’</v>
      </c>
      <c r="H5200" s="87" t="str">
        <f>HYPERLINK("http://api.nsgreg.nga.mil/geo-division/GENC/6/ed2/YE-SN","YE-SN")</f>
        <v>YE-SN</v>
      </c>
    </row>
    <row r="5201" spans="1:8" x14ac:dyDescent="0.2">
      <c r="A5201" s="157"/>
      <c r="B5201" s="31" t="s">
        <v>17380</v>
      </c>
      <c r="C5201" s="31" t="s">
        <v>17381</v>
      </c>
      <c r="D5201" s="31" t="s">
        <v>2885</v>
      </c>
      <c r="E5201" s="61" t="b">
        <v>1</v>
      </c>
      <c r="F5201" s="106" t="s">
        <v>17382</v>
      </c>
      <c r="G5201" s="116" t="str">
        <f>HYPERLINK("http://nsgreg.nga.mil/genc/view?v=116793&amp;gencs=T&amp;end_month=3&amp;end_day=31&amp;end_year=2014","Shabwah")</f>
        <v>Shabwah</v>
      </c>
      <c r="H5201" s="87" t="str">
        <f>HYPERLINK("http://api.nsgreg.nga.mil/geo-division/ISO3166-2/6/ed3/YE-SH","YE-SH")</f>
        <v>YE-SH</v>
      </c>
    </row>
    <row r="5202" spans="1:8" x14ac:dyDescent="0.2">
      <c r="A5202" s="158"/>
      <c r="B5202" s="58" t="s">
        <v>17383</v>
      </c>
      <c r="C5202" s="58" t="s">
        <v>17384</v>
      </c>
      <c r="D5202" s="58" t="s">
        <v>2885</v>
      </c>
      <c r="E5202" s="62" t="b">
        <v>1</v>
      </c>
      <c r="F5202" s="111" t="s">
        <v>17385</v>
      </c>
      <c r="G5202" s="117" t="str">
        <f>HYPERLINK("http://nsgreg.nga.mil/genc/view?v=203440&amp;end_month=3&amp;end_day=31&amp;end_year=2014","Ta‘izz")</f>
        <v>Ta‘izz</v>
      </c>
      <c r="H5202" s="89" t="str">
        <f>HYPERLINK("http://api.nsgreg.nga.mil/geo-division/GENC/6/ed2/YE-TA","YE-TA")</f>
        <v>YE-TA</v>
      </c>
    </row>
    <row r="5203" spans="1:8" x14ac:dyDescent="0.2">
      <c r="A5203" s="156" t="str">
        <f>HYPERLINK("[#]Geopolitical_Entities!A282:I282","ZAMBIA")</f>
        <v>ZAMBIA</v>
      </c>
      <c r="B5203" s="52" t="s">
        <v>17386</v>
      </c>
      <c r="C5203" s="52" t="s">
        <v>3420</v>
      </c>
      <c r="D5203" s="52" t="s">
        <v>1920</v>
      </c>
      <c r="E5203" s="60" t="b">
        <v>1</v>
      </c>
      <c r="F5203" s="109" t="s">
        <v>17387</v>
      </c>
      <c r="G5203" s="118" t="str">
        <f>HYPERLINK("http://nsgreg.nga.mil/genc/view?v=116806&amp;gencs=T&amp;end_month=3&amp;end_day=31&amp;end_year=2014","Central")</f>
        <v>Central</v>
      </c>
      <c r="H5203" s="91" t="str">
        <f>HYPERLINK("http://api.nsgreg.nga.mil/geo-division/ISO3166-2/6/ed3/ZM-02","ZM-02")</f>
        <v>ZM-02</v>
      </c>
    </row>
    <row r="5204" spans="1:8" x14ac:dyDescent="0.2">
      <c r="A5204" s="157"/>
      <c r="B5204" s="31" t="s">
        <v>17388</v>
      </c>
      <c r="C5204" s="31" t="s">
        <v>17389</v>
      </c>
      <c r="D5204" s="31" t="s">
        <v>1920</v>
      </c>
      <c r="E5204" s="61" t="b">
        <v>1</v>
      </c>
      <c r="F5204" s="106" t="s">
        <v>17390</v>
      </c>
      <c r="G5204" s="116" t="str">
        <f>HYPERLINK("http://nsgreg.nga.mil/genc/view?v=116812&amp;gencs=T&amp;end_month=3&amp;end_day=31&amp;end_year=2014","Copperbelt")</f>
        <v>Copperbelt</v>
      </c>
      <c r="H5204" s="87" t="str">
        <f>HYPERLINK("http://api.nsgreg.nga.mil/geo-division/ISO3166-2/6/ed3/ZM-08","ZM-08")</f>
        <v>ZM-08</v>
      </c>
    </row>
    <row r="5205" spans="1:8" x14ac:dyDescent="0.2">
      <c r="A5205" s="157"/>
      <c r="B5205" s="31" t="s">
        <v>17391</v>
      </c>
      <c r="C5205" s="31" t="s">
        <v>5622</v>
      </c>
      <c r="D5205" s="31" t="s">
        <v>1920</v>
      </c>
      <c r="E5205" s="61" t="b">
        <v>1</v>
      </c>
      <c r="F5205" s="106" t="s">
        <v>17392</v>
      </c>
      <c r="G5205" s="116" t="str">
        <f>HYPERLINK("http://nsgreg.nga.mil/genc/view?v=116807&amp;gencs=T&amp;end_month=3&amp;end_day=31&amp;end_year=2014","Eastern")</f>
        <v>Eastern</v>
      </c>
      <c r="H5205" s="87" t="str">
        <f>HYPERLINK("http://api.nsgreg.nga.mil/geo-division/ISO3166-2/6/ed3/ZM-03","ZM-03")</f>
        <v>ZM-03</v>
      </c>
    </row>
    <row r="5206" spans="1:8" x14ac:dyDescent="0.2">
      <c r="A5206" s="157"/>
      <c r="B5206" s="31" t="s">
        <v>17393</v>
      </c>
      <c r="C5206" s="31" t="s">
        <v>17394</v>
      </c>
      <c r="D5206" s="31" t="s">
        <v>1920</v>
      </c>
      <c r="E5206" s="61" t="b">
        <v>1</v>
      </c>
      <c r="F5206" s="106" t="s">
        <v>17395</v>
      </c>
      <c r="G5206" s="116" t="str">
        <f>HYPERLINK("http://nsgreg.nga.mil/genc/view?v=116808&amp;gencs=T&amp;end_month=3&amp;end_day=31&amp;end_year=2014","Luapula")</f>
        <v>Luapula</v>
      </c>
      <c r="H5206" s="87" t="str">
        <f>HYPERLINK("http://api.nsgreg.nga.mil/geo-division/ISO3166-2/6/ed3/ZM-04","ZM-04")</f>
        <v>ZM-04</v>
      </c>
    </row>
    <row r="5207" spans="1:8" x14ac:dyDescent="0.2">
      <c r="A5207" s="157"/>
      <c r="B5207" s="31" t="s">
        <v>17396</v>
      </c>
      <c r="C5207" s="31" t="s">
        <v>17397</v>
      </c>
      <c r="D5207" s="31" t="s">
        <v>1920</v>
      </c>
      <c r="E5207" s="61" t="b">
        <v>1</v>
      </c>
      <c r="F5207" s="106" t="s">
        <v>17398</v>
      </c>
      <c r="G5207" s="116" t="str">
        <f>HYPERLINK("http://nsgreg.nga.mil/genc/view?v=116813&amp;gencs=T&amp;end_month=3&amp;end_day=31&amp;end_year=2014","Lusaka")</f>
        <v>Lusaka</v>
      </c>
      <c r="H5207" s="87" t="str">
        <f>HYPERLINK("http://api.nsgreg.nga.mil/geo-division/ISO3166-2/6/ed3/ZM-09","ZM-09")</f>
        <v>ZM-09</v>
      </c>
    </row>
    <row r="5208" spans="1:8" x14ac:dyDescent="0.2">
      <c r="A5208" s="157"/>
      <c r="B5208" s="31" t="s">
        <v>17399</v>
      </c>
      <c r="C5208" s="31" t="s">
        <v>17400</v>
      </c>
      <c r="D5208" s="31" t="s">
        <v>1920</v>
      </c>
      <c r="E5208" s="61" t="b">
        <v>1</v>
      </c>
      <c r="F5208" s="107" t="s">
        <v>17401</v>
      </c>
      <c r="G5208" s="116" t="str">
        <f>HYPERLINK("http://nsgreg.nga.mil/genc/view?v=203386&amp;end_month=3&amp;end_day=31&amp;end_year=2014","Muchinga")</f>
        <v>Muchinga</v>
      </c>
      <c r="H5208" s="87" t="str">
        <f>HYPERLINK("http://api.nsgreg.nga.mil/geo-division/GENC/6/ed2/ZM-10","ZM-10")</f>
        <v>ZM-10</v>
      </c>
    </row>
    <row r="5209" spans="1:8" x14ac:dyDescent="0.2">
      <c r="A5209" s="157"/>
      <c r="B5209" s="31" t="s">
        <v>17402</v>
      </c>
      <c r="C5209" s="31" t="s">
        <v>5625</v>
      </c>
      <c r="D5209" s="31" t="s">
        <v>1920</v>
      </c>
      <c r="E5209" s="61" t="b">
        <v>1</v>
      </c>
      <c r="F5209" s="106" t="s">
        <v>17403</v>
      </c>
      <c r="G5209" s="116" t="str">
        <f>HYPERLINK("http://nsgreg.nga.mil/genc/view?v=116809&amp;gencs=T&amp;end_month=3&amp;end_day=31&amp;end_year=2014","Northern")</f>
        <v>Northern</v>
      </c>
      <c r="H5209" s="87" t="str">
        <f>HYPERLINK("http://api.nsgreg.nga.mil/geo-division/ISO3166-2/6/ed3/ZM-05","ZM-05")</f>
        <v>ZM-05</v>
      </c>
    </row>
    <row r="5210" spans="1:8" x14ac:dyDescent="0.2">
      <c r="A5210" s="157"/>
      <c r="B5210" s="31" t="s">
        <v>17404</v>
      </c>
      <c r="C5210" s="31" t="s">
        <v>17405</v>
      </c>
      <c r="D5210" s="31" t="s">
        <v>1920</v>
      </c>
      <c r="E5210" s="61" t="b">
        <v>1</v>
      </c>
      <c r="F5210" s="106" t="s">
        <v>17406</v>
      </c>
      <c r="G5210" s="116" t="str">
        <f>HYPERLINK("http://nsgreg.nga.mil/genc/view?v=116810&amp;gencs=T&amp;end_month=3&amp;end_day=31&amp;end_year=2014","North-Western")</f>
        <v>North-Western</v>
      </c>
      <c r="H5210" s="87" t="str">
        <f>HYPERLINK("http://api.nsgreg.nga.mil/geo-division/ISO3166-2/6/ed3/ZM-06","ZM-06")</f>
        <v>ZM-06</v>
      </c>
    </row>
    <row r="5211" spans="1:8" x14ac:dyDescent="0.2">
      <c r="A5211" s="157"/>
      <c r="B5211" s="31" t="s">
        <v>17407</v>
      </c>
      <c r="C5211" s="31" t="s">
        <v>3463</v>
      </c>
      <c r="D5211" s="31" t="s">
        <v>1920</v>
      </c>
      <c r="E5211" s="61" t="b">
        <v>1</v>
      </c>
      <c r="F5211" s="106" t="s">
        <v>17408</v>
      </c>
      <c r="G5211" s="116" t="str">
        <f>HYPERLINK("http://nsgreg.nga.mil/genc/view?v=116811&amp;gencs=T&amp;end_month=3&amp;end_day=31&amp;end_year=2014","Southern")</f>
        <v>Southern</v>
      </c>
      <c r="H5211" s="87" t="str">
        <f>HYPERLINK("http://api.nsgreg.nga.mil/geo-division/ISO3166-2/6/ed3/ZM-07","ZM-07")</f>
        <v>ZM-07</v>
      </c>
    </row>
    <row r="5212" spans="1:8" x14ac:dyDescent="0.2">
      <c r="A5212" s="158"/>
      <c r="B5212" s="58" t="s">
        <v>17409</v>
      </c>
      <c r="C5212" s="58" t="s">
        <v>5631</v>
      </c>
      <c r="D5212" s="58" t="s">
        <v>1920</v>
      </c>
      <c r="E5212" s="62" t="b">
        <v>1</v>
      </c>
      <c r="F5212" s="108" t="s">
        <v>17410</v>
      </c>
      <c r="G5212" s="117" t="str">
        <f>HYPERLINK("http://nsgreg.nga.mil/genc/view?v=116805&amp;gencs=T&amp;end_month=3&amp;end_day=31&amp;end_year=2014","Western")</f>
        <v>Western</v>
      </c>
      <c r="H5212" s="89" t="str">
        <f>HYPERLINK("http://api.nsgreg.nga.mil/geo-division/ISO3166-2/6/ed3/ZM-01","ZM-01")</f>
        <v>ZM-01</v>
      </c>
    </row>
    <row r="5213" spans="1:8" x14ac:dyDescent="0.2">
      <c r="A5213" s="156" t="str">
        <f>HYPERLINK("[#]Geopolitical_Entities!A283:I283","ZIMBABWE")</f>
        <v>ZIMBABWE</v>
      </c>
      <c r="B5213" s="52" t="s">
        <v>17411</v>
      </c>
      <c r="C5213" s="52" t="s">
        <v>17412</v>
      </c>
      <c r="D5213" s="52" t="s">
        <v>1920</v>
      </c>
      <c r="E5213" s="60" t="b">
        <v>1</v>
      </c>
      <c r="F5213" s="109" t="s">
        <v>17413</v>
      </c>
      <c r="G5213" s="118" t="str">
        <f>HYPERLINK("http://nsgreg.nga.mil/genc/view?v=116814&amp;gencs=T&amp;end_month=3&amp;end_day=31&amp;end_year=2014","Bulawayo")</f>
        <v>Bulawayo</v>
      </c>
      <c r="H5213" s="91" t="str">
        <f>HYPERLINK("http://api.nsgreg.nga.mil/geo-division/ISO3166-2/6/ed3/ZW-BU","ZW-BU")</f>
        <v>ZW-BU</v>
      </c>
    </row>
    <row r="5214" spans="1:8" x14ac:dyDescent="0.2">
      <c r="A5214" s="157"/>
      <c r="B5214" s="31" t="s">
        <v>17414</v>
      </c>
      <c r="C5214" s="31" t="s">
        <v>17415</v>
      </c>
      <c r="D5214" s="31" t="s">
        <v>1920</v>
      </c>
      <c r="E5214" s="61" t="b">
        <v>1</v>
      </c>
      <c r="F5214" s="106" t="s">
        <v>17416</v>
      </c>
      <c r="G5214" s="116" t="str">
        <f>HYPERLINK("http://nsgreg.nga.mil/genc/view?v=116815&amp;gencs=T&amp;end_month=3&amp;end_day=31&amp;end_year=2014","Harare")</f>
        <v>Harare</v>
      </c>
      <c r="H5214" s="87" t="str">
        <f>HYPERLINK("http://api.nsgreg.nga.mil/geo-division/ISO3166-2/6/ed3/ZW-HA","ZW-HA")</f>
        <v>ZW-HA</v>
      </c>
    </row>
    <row r="5215" spans="1:8" x14ac:dyDescent="0.2">
      <c r="A5215" s="157"/>
      <c r="B5215" s="31" t="s">
        <v>17417</v>
      </c>
      <c r="C5215" s="31" t="s">
        <v>17418</v>
      </c>
      <c r="D5215" s="31" t="s">
        <v>1920</v>
      </c>
      <c r="E5215" s="61" t="b">
        <v>1</v>
      </c>
      <c r="F5215" s="106" t="s">
        <v>17419</v>
      </c>
      <c r="G5215" s="116" t="str">
        <f>HYPERLINK("http://nsgreg.nga.mil/genc/view?v=116816&amp;gencs=T&amp;end_month=3&amp;end_day=31&amp;end_year=2014","Manicaland")</f>
        <v>Manicaland</v>
      </c>
      <c r="H5215" s="87" t="str">
        <f>HYPERLINK("http://api.nsgreg.nga.mil/geo-division/ISO3166-2/6/ed3/ZW-MA","ZW-MA")</f>
        <v>ZW-MA</v>
      </c>
    </row>
    <row r="5216" spans="1:8" x14ac:dyDescent="0.2">
      <c r="A5216" s="157"/>
      <c r="B5216" s="31" t="s">
        <v>17420</v>
      </c>
      <c r="C5216" s="31" t="s">
        <v>17421</v>
      </c>
      <c r="D5216" s="31" t="s">
        <v>1920</v>
      </c>
      <c r="E5216" s="61" t="b">
        <v>1</v>
      </c>
      <c r="F5216" s="106" t="s">
        <v>17422</v>
      </c>
      <c r="G5216" s="116" t="str">
        <f>HYPERLINK("http://nsgreg.nga.mil/genc/view?v=116817&amp;gencs=T&amp;end_month=3&amp;end_day=31&amp;end_year=2014","Mashonaland Central")</f>
        <v>Mashonaland Central</v>
      </c>
      <c r="H5216" s="87" t="str">
        <f>HYPERLINK("http://api.nsgreg.nga.mil/geo-division/ISO3166-2/6/ed3/ZW-MC","ZW-MC")</f>
        <v>ZW-MC</v>
      </c>
    </row>
    <row r="5217" spans="1:8" x14ac:dyDescent="0.2">
      <c r="A5217" s="157"/>
      <c r="B5217" s="31" t="s">
        <v>17423</v>
      </c>
      <c r="C5217" s="31" t="s">
        <v>17424</v>
      </c>
      <c r="D5217" s="31" t="s">
        <v>1920</v>
      </c>
      <c r="E5217" s="61" t="b">
        <v>1</v>
      </c>
      <c r="F5217" s="106" t="s">
        <v>17425</v>
      </c>
      <c r="G5217" s="116" t="str">
        <f>HYPERLINK("http://nsgreg.nga.mil/genc/view?v=116818&amp;gencs=T&amp;end_month=3&amp;end_day=31&amp;end_year=2014","Mashonaland East")</f>
        <v>Mashonaland East</v>
      </c>
      <c r="H5217" s="87" t="str">
        <f>HYPERLINK("http://api.nsgreg.nga.mil/geo-division/ISO3166-2/6/ed3/ZW-ME","ZW-ME")</f>
        <v>ZW-ME</v>
      </c>
    </row>
    <row r="5218" spans="1:8" x14ac:dyDescent="0.2">
      <c r="A5218" s="157"/>
      <c r="B5218" s="31" t="s">
        <v>17426</v>
      </c>
      <c r="C5218" s="31" t="s">
        <v>17427</v>
      </c>
      <c r="D5218" s="31" t="s">
        <v>1920</v>
      </c>
      <c r="E5218" s="61" t="b">
        <v>1</v>
      </c>
      <c r="F5218" s="106" t="s">
        <v>17428</v>
      </c>
      <c r="G5218" s="116" t="str">
        <f>HYPERLINK("http://nsgreg.nga.mil/genc/view?v=116823&amp;gencs=T&amp;end_month=3&amp;end_day=31&amp;end_year=2014","Mashonaland West")</f>
        <v>Mashonaland West</v>
      </c>
      <c r="H5218" s="87" t="str">
        <f>HYPERLINK("http://api.nsgreg.nga.mil/geo-division/ISO3166-2/6/ed3/ZW-MW","ZW-MW")</f>
        <v>ZW-MW</v>
      </c>
    </row>
    <row r="5219" spans="1:8" x14ac:dyDescent="0.2">
      <c r="A5219" s="157"/>
      <c r="B5219" s="31" t="s">
        <v>17429</v>
      </c>
      <c r="C5219" s="31" t="s">
        <v>17430</v>
      </c>
      <c r="D5219" s="31" t="s">
        <v>1920</v>
      </c>
      <c r="E5219" s="61" t="b">
        <v>1</v>
      </c>
      <c r="F5219" s="106" t="s">
        <v>17431</v>
      </c>
      <c r="G5219" s="116" t="str">
        <f>HYPERLINK("http://nsgreg.nga.mil/genc/view?v=116822&amp;gencs=T&amp;end_month=3&amp;end_day=31&amp;end_year=2014","Masvingo")</f>
        <v>Masvingo</v>
      </c>
      <c r="H5219" s="87" t="str">
        <f>HYPERLINK("http://api.nsgreg.nga.mil/geo-division/ISO3166-2/6/ed3/ZW-MV","ZW-MV")</f>
        <v>ZW-MV</v>
      </c>
    </row>
    <row r="5220" spans="1:8" x14ac:dyDescent="0.2">
      <c r="A5220" s="157"/>
      <c r="B5220" s="31" t="s">
        <v>17432</v>
      </c>
      <c r="C5220" s="31" t="s">
        <v>17433</v>
      </c>
      <c r="D5220" s="31" t="s">
        <v>1920</v>
      </c>
      <c r="E5220" s="61" t="b">
        <v>1</v>
      </c>
      <c r="F5220" s="106" t="s">
        <v>17434</v>
      </c>
      <c r="G5220" s="116" t="str">
        <f>HYPERLINK("http://nsgreg.nga.mil/genc/view?v=116820&amp;gencs=T&amp;end_month=3&amp;end_day=31&amp;end_year=2014","Matabeleland North")</f>
        <v>Matabeleland North</v>
      </c>
      <c r="H5220" s="87" t="str">
        <f>HYPERLINK("http://api.nsgreg.nga.mil/geo-division/ISO3166-2/6/ed3/ZW-MN","ZW-MN")</f>
        <v>ZW-MN</v>
      </c>
    </row>
    <row r="5221" spans="1:8" x14ac:dyDescent="0.2">
      <c r="A5221" s="157"/>
      <c r="B5221" s="31" t="s">
        <v>17435</v>
      </c>
      <c r="C5221" s="31" t="s">
        <v>17436</v>
      </c>
      <c r="D5221" s="31" t="s">
        <v>1920</v>
      </c>
      <c r="E5221" s="61" t="b">
        <v>1</v>
      </c>
      <c r="F5221" s="106" t="s">
        <v>17437</v>
      </c>
      <c r="G5221" s="116" t="str">
        <f>HYPERLINK("http://nsgreg.nga.mil/genc/view?v=116821&amp;gencs=T&amp;end_month=3&amp;end_day=31&amp;end_year=2014","Matabeleland South")</f>
        <v>Matabeleland South</v>
      </c>
      <c r="H5221" s="87" t="str">
        <f>HYPERLINK("http://api.nsgreg.nga.mil/geo-division/ISO3166-2/6/ed3/ZW-MS","ZW-MS")</f>
        <v>ZW-MS</v>
      </c>
    </row>
    <row r="5222" spans="1:8" ht="13.5" thickBot="1" x14ac:dyDescent="0.25">
      <c r="A5222" s="159"/>
      <c r="B5222" s="112" t="s">
        <v>17438</v>
      </c>
      <c r="C5222" s="112" t="s">
        <v>17439</v>
      </c>
      <c r="D5222" s="112" t="s">
        <v>1920</v>
      </c>
      <c r="E5222" s="113" t="b">
        <v>1</v>
      </c>
      <c r="F5222" s="114" t="s">
        <v>17440</v>
      </c>
      <c r="G5222" s="119" t="str">
        <f>HYPERLINK("http://nsgreg.nga.mil/genc/view?v=116819&amp;gencs=T&amp;end_month=3&amp;end_day=31&amp;end_year=2014","Midlands")</f>
        <v>Midlands</v>
      </c>
      <c r="H5222" s="120" t="str">
        <f>HYPERLINK("http://api.nsgreg.nga.mil/geo-division/ISO3166-2/6/ed3/ZW-MI","ZW-MI")</f>
        <v>ZW-MI</v>
      </c>
    </row>
  </sheetData>
  <mergeCells count="203">
    <mergeCell ref="A86:A133"/>
    <mergeCell ref="A134:A140"/>
    <mergeCell ref="A141:A158"/>
    <mergeCell ref="A159:A166"/>
    <mergeCell ref="A167:A190"/>
    <mergeCell ref="G2:H2"/>
    <mergeCell ref="A1:E2"/>
    <mergeCell ref="G1:H1"/>
    <mergeCell ref="A4:A37"/>
    <mergeCell ref="A38:A85"/>
    <mergeCell ref="A328:A332"/>
    <mergeCell ref="A333:A403"/>
    <mergeCell ref="A404:A414"/>
    <mergeCell ref="A415:A421"/>
    <mergeCell ref="A422:A434"/>
    <mergeCell ref="A191:A201"/>
    <mergeCell ref="A202:A209"/>
    <mergeCell ref="A210:A218"/>
    <mergeCell ref="A219:A296"/>
    <mergeCell ref="A297:A327"/>
    <mergeCell ref="A493:A495"/>
    <mergeCell ref="A496:A508"/>
    <mergeCell ref="A509:A524"/>
    <mergeCell ref="A525:A551"/>
    <mergeCell ref="A552:A555"/>
    <mergeCell ref="A435:A440"/>
    <mergeCell ref="A441:A452"/>
    <mergeCell ref="A453:A463"/>
    <mergeCell ref="A464:A483"/>
    <mergeCell ref="A484:A492"/>
    <mergeCell ref="A698:A721"/>
    <mergeCell ref="A722:A731"/>
    <mergeCell ref="A732:A744"/>
    <mergeCell ref="A745:A761"/>
    <mergeCell ref="A762:A785"/>
    <mergeCell ref="A556:A583"/>
    <mergeCell ref="A584:A641"/>
    <mergeCell ref="A642:A656"/>
    <mergeCell ref="A657:A673"/>
    <mergeCell ref="A674:A697"/>
    <mergeCell ref="A883:A893"/>
    <mergeCell ref="A894:A900"/>
    <mergeCell ref="A901:A925"/>
    <mergeCell ref="A926:A946"/>
    <mergeCell ref="A947:A963"/>
    <mergeCell ref="A786:A800"/>
    <mergeCell ref="A801:A834"/>
    <mergeCell ref="A835:A867"/>
    <mergeCell ref="A868:A870"/>
    <mergeCell ref="A871:A882"/>
    <mergeCell ref="A1096:A1137"/>
    <mergeCell ref="A1138:A1161"/>
    <mergeCell ref="A1162:A1190"/>
    <mergeCell ref="A1191:A1204"/>
    <mergeCell ref="A1205:A1213"/>
    <mergeCell ref="A964:A969"/>
    <mergeCell ref="A970:A1074"/>
    <mergeCell ref="A1075:A1079"/>
    <mergeCell ref="A1080:A1085"/>
    <mergeCell ref="A1086:A1095"/>
    <mergeCell ref="A1270:A1400"/>
    <mergeCell ref="A1401:A1409"/>
    <mergeCell ref="A1410:A1415"/>
    <mergeCell ref="A1416:A1427"/>
    <mergeCell ref="A1428:A1443"/>
    <mergeCell ref="A1214:A1219"/>
    <mergeCell ref="A1220:A1234"/>
    <mergeCell ref="A1235:A1245"/>
    <mergeCell ref="A1246:A1250"/>
    <mergeCell ref="A1251:A1269"/>
    <mergeCell ref="A1552:A1592"/>
    <mergeCell ref="A1593:A1604"/>
    <mergeCell ref="A1605:A1614"/>
    <mergeCell ref="A1615:A1624"/>
    <mergeCell ref="A1625:A1642"/>
    <mergeCell ref="A1444:A1453"/>
    <mergeCell ref="A1454:A1518"/>
    <mergeCell ref="A1519:A1522"/>
    <mergeCell ref="A1523:A1529"/>
    <mergeCell ref="A1530:A1551"/>
    <mergeCell ref="A1802:A1819"/>
    <mergeCell ref="A1820:A1859"/>
    <mergeCell ref="A1860:A1865"/>
    <mergeCell ref="A1866:A1995"/>
    <mergeCell ref="A1996:A2009"/>
    <mergeCell ref="A1643:A1685"/>
    <mergeCell ref="A1686:A1694"/>
    <mergeCell ref="A1695:A1729"/>
    <mergeCell ref="A1730:A1770"/>
    <mergeCell ref="A1771:A1801"/>
    <mergeCell ref="A2144:A2154"/>
    <mergeCell ref="A2155:A2171"/>
    <mergeCell ref="A2172:A2208"/>
    <mergeCell ref="A2209:A2214"/>
    <mergeCell ref="A2215:A2223"/>
    <mergeCell ref="A2010:A2056"/>
    <mergeCell ref="A2057:A2068"/>
    <mergeCell ref="A2069:A2085"/>
    <mergeCell ref="A2086:A2140"/>
    <mergeCell ref="A2141:A2143"/>
    <mergeCell ref="A2394:A2415"/>
    <mergeCell ref="A2416:A2426"/>
    <mergeCell ref="A2427:A2436"/>
    <mergeCell ref="A2437:A2439"/>
    <mergeCell ref="A2440:A2524"/>
    <mergeCell ref="A2224:A2241"/>
    <mergeCell ref="A2242:A2360"/>
    <mergeCell ref="A2361:A2368"/>
    <mergeCell ref="A2369:A2378"/>
    <mergeCell ref="A2379:A2393"/>
    <mergeCell ref="A2615:A2682"/>
    <mergeCell ref="A2683:A2708"/>
    <mergeCell ref="A2709:A2721"/>
    <mergeCell ref="A2722:A2738"/>
    <mergeCell ref="A2739:A2770"/>
    <mergeCell ref="A2525:A2530"/>
    <mergeCell ref="A2531:A2561"/>
    <mergeCell ref="A2562:A2577"/>
    <mergeCell ref="A2578:A2605"/>
    <mergeCell ref="A2606:A2614"/>
    <mergeCell ref="A2872:A2874"/>
    <mergeCell ref="A2875:A2953"/>
    <mergeCell ref="A2954:A2964"/>
    <mergeCell ref="A2965:A2979"/>
    <mergeCell ref="A2980:A2993"/>
    <mergeCell ref="A2771:A2774"/>
    <mergeCell ref="A2775:A2811"/>
    <mergeCell ref="A2812:A2828"/>
    <mergeCell ref="A2829:A2850"/>
    <mergeCell ref="A2851:A2871"/>
    <mergeCell ref="A3075:A3111"/>
    <mergeCell ref="A3112:A3132"/>
    <mergeCell ref="A3133:A3145"/>
    <mergeCell ref="A3146:A3153"/>
    <mergeCell ref="A3154:A3169"/>
    <mergeCell ref="A2994:A3012"/>
    <mergeCell ref="A3013:A3030"/>
    <mergeCell ref="A3031:A3049"/>
    <mergeCell ref="A3050:A3066"/>
    <mergeCell ref="A3067:A3074"/>
    <mergeCell ref="A3384:A3399"/>
    <mergeCell ref="A3400:A3419"/>
    <mergeCell ref="A3420:A3426"/>
    <mergeCell ref="A3427:A3468"/>
    <mergeCell ref="A3469:A3551"/>
    <mergeCell ref="A3170:A3181"/>
    <mergeCell ref="A3182:A3203"/>
    <mergeCell ref="A3204:A3221"/>
    <mergeCell ref="A3222:A3247"/>
    <mergeCell ref="A3248:A3383"/>
    <mergeCell ref="A3594:A3604"/>
    <mergeCell ref="A3605:A3613"/>
    <mergeCell ref="A3614:A3615"/>
    <mergeCell ref="A3616:A3628"/>
    <mergeCell ref="A3629:A3642"/>
    <mergeCell ref="A3552:A3556"/>
    <mergeCell ref="A3557:A3559"/>
    <mergeCell ref="A3560:A3575"/>
    <mergeCell ref="A3576:A3587"/>
    <mergeCell ref="A3588:A3593"/>
    <mergeCell ref="A3861:A4071"/>
    <mergeCell ref="A4072:A4081"/>
    <mergeCell ref="A4082:A4099"/>
    <mergeCell ref="A4100:A4108"/>
    <mergeCell ref="A4109:A4118"/>
    <mergeCell ref="A3643:A3818"/>
    <mergeCell ref="A3819:A3843"/>
    <mergeCell ref="A3844:A3847"/>
    <mergeCell ref="A3848:A3852"/>
    <mergeCell ref="A3853:A3860"/>
    <mergeCell ref="A4253:A4273"/>
    <mergeCell ref="A4274:A4299"/>
    <mergeCell ref="A4300:A4313"/>
    <mergeCell ref="A4314:A4338"/>
    <mergeCell ref="A4339:A4343"/>
    <mergeCell ref="A4119:A4187"/>
    <mergeCell ref="A4188:A4221"/>
    <mergeCell ref="A4222:A4238"/>
    <mergeCell ref="A4239:A4248"/>
    <mergeCell ref="A4249:A4252"/>
    <mergeCell ref="A4475:A4491"/>
    <mergeCell ref="A4492:A4515"/>
    <mergeCell ref="A4516:A4596"/>
    <mergeCell ref="A4597:A4602"/>
    <mergeCell ref="A4603:A4610"/>
    <mergeCell ref="A4344:A4373"/>
    <mergeCell ref="A4374:A4451"/>
    <mergeCell ref="A4452:A4464"/>
    <mergeCell ref="A4465:A4469"/>
    <mergeCell ref="A4470:A4474"/>
    <mergeCell ref="A5182:A5202"/>
    <mergeCell ref="A5203:A5212"/>
    <mergeCell ref="A5213:A5222"/>
    <mergeCell ref="A5054:A5072"/>
    <mergeCell ref="A5073:A5086"/>
    <mergeCell ref="A5087:A5092"/>
    <mergeCell ref="A5093:A5117"/>
    <mergeCell ref="A5118:A5181"/>
    <mergeCell ref="A4611:A4726"/>
    <mergeCell ref="A4727:A4753"/>
    <mergeCell ref="A4754:A4760"/>
    <mergeCell ref="A4761:A4996"/>
    <mergeCell ref="A4997:A5053"/>
  </mergeCells>
  <pageMargins left="0.7" right="0.7" top="0.75" bottom="0.75" header="0.3" footer="0.3"/>
  <pageSetup orientation="portrait"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Geopolitical_Entities</vt:lpstr>
      <vt:lpstr>Administrative_Subdivisions</vt:lpstr>
      <vt:lpstr>Geopolitical_Entities!Print_Titles</vt:lpstr>
    </vt:vector>
  </TitlesOfParts>
  <Company>The MITRE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MITRE Employee</dc:creator>
  <cp:lastModifiedBy>MITRE Employee</cp:lastModifiedBy>
  <cp:lastPrinted>2012-11-15T09:13:23Z</cp:lastPrinted>
  <dcterms:created xsi:type="dcterms:W3CDTF">2012-07-12T07:02:21Z</dcterms:created>
  <dcterms:modified xsi:type="dcterms:W3CDTF">2014-04-09T08:18:44Z</dcterms:modified>
</cp:coreProperties>
</file>