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_Projects\02_Hephaestus\miStepper\20_Electronics\"/>
    </mc:Choice>
  </mc:AlternateContent>
  <xr:revisionPtr revIDLastSave="0" documentId="13_ncr:1_{57FC19D7-CDEC-4166-8FF7-95A930C2B6C1}" xr6:coauthVersionLast="47" xr6:coauthVersionMax="47" xr10:uidLastSave="{00000000-0000-0000-0000-000000000000}"/>
  <bookViews>
    <workbookView xWindow="28680" yWindow="-120" windowWidth="29040" windowHeight="15840" tabRatio="718" activeTab="1" xr2:uid="{00000000-000D-0000-FFFF-FFFF00000000}"/>
  </bookViews>
  <sheets>
    <sheet name="CAN IC" sheetId="16" r:id="rId1"/>
    <sheet name="Stepper IC" sheetId="1" r:id="rId2"/>
    <sheet name="AnalogInputs-Volt (STEPPER-REF)" sheetId="15" r:id="rId3"/>
    <sheet name="AnalogInputs-Volt (STEPPER)" sheetId="11" r:id="rId4"/>
    <sheet name="CS30 (STEPPER)" sheetId="13" r:id="rId5"/>
    <sheet name="AnalogInputs-Volt (FAN)" sheetId="12" r:id="rId6"/>
    <sheet name="CS30 (FAN)" sheetId="2" r:id="rId7"/>
    <sheet name="Typical Component Values" sheetId="5" state="hidden" r:id="rId8"/>
    <sheet name="ADC input impedance" sheetId="9" state="hidden" r:id="rId9"/>
  </sheets>
  <definedNames>
    <definedName name="MCP2551_Res">'CAN IC'!$A$6:$A$18</definedName>
    <definedName name="MCP2551_Slew">'CAN IC'!$C$6:$C$18</definedName>
    <definedName name="MCP2551Tab">'CAN IC'!$A$2:$B$3</definedName>
    <definedName name="SN65HVD23x">'CAN IC'!$F$2:$G$3</definedName>
    <definedName name="SN65HVD23x_Res">'CAN IC'!$F$6:$F$17</definedName>
    <definedName name="SN65HVD23x_Slew">'CAN IC'!$H$6:$H$17</definedName>
  </definedNames>
  <calcPr calcId="191029"/>
</workbook>
</file>

<file path=xl/calcChain.xml><?xml version="1.0" encoding="utf-8"?>
<calcChain xmlns="http://schemas.openxmlformats.org/spreadsheetml/2006/main">
  <c r="B17" i="12" l="1"/>
  <c r="B31" i="12"/>
  <c r="B30" i="16"/>
  <c r="G26" i="16"/>
  <c r="B26" i="16"/>
  <c r="C21" i="16"/>
  <c r="B27" i="16" s="1"/>
  <c r="H21" i="16"/>
  <c r="G27" i="16" l="1"/>
  <c r="J2" i="16"/>
  <c r="J3" i="16" s="1"/>
  <c r="E2" i="16"/>
  <c r="E3" i="16" l="1"/>
  <c r="B35" i="15"/>
  <c r="B29" i="15"/>
  <c r="D29" i="15" s="1"/>
  <c r="B28" i="15"/>
  <c r="D28" i="15" s="1"/>
  <c r="B22" i="15"/>
  <c r="B17" i="15"/>
  <c r="B13" i="15" s="1"/>
  <c r="B14" i="15" s="1"/>
  <c r="E16" i="15"/>
  <c r="B16" i="15"/>
  <c r="D16" i="15" s="1"/>
  <c r="D34" i="15" s="1"/>
  <c r="H3" i="15"/>
  <c r="B25" i="15" s="1"/>
  <c r="B26" i="15" l="1"/>
  <c r="D26" i="15"/>
  <c r="D31" i="15"/>
  <c r="D32" i="15" s="1"/>
  <c r="E29" i="15"/>
  <c r="E28" i="15"/>
  <c r="E34" i="15" s="1"/>
  <c r="H9" i="15" s="1"/>
  <c r="B31" i="15"/>
  <c r="B32" i="15" s="1"/>
  <c r="D17" i="15"/>
  <c r="C21" i="15"/>
  <c r="E17" i="15"/>
  <c r="C22" i="15"/>
  <c r="B34" i="15"/>
  <c r="D22" i="15"/>
  <c r="B32" i="12"/>
  <c r="B22" i="13"/>
  <c r="B24" i="13" s="1"/>
  <c r="D24" i="13" s="1"/>
  <c r="D19" i="13"/>
  <c r="C19" i="13"/>
  <c r="B19" i="13"/>
  <c r="D18" i="13"/>
  <c r="C18" i="13"/>
  <c r="B18" i="13"/>
  <c r="D17" i="13"/>
  <c r="C17" i="13"/>
  <c r="B17" i="13"/>
  <c r="B13" i="13"/>
  <c r="B11" i="13"/>
  <c r="D8" i="13"/>
  <c r="D13" i="13" s="1"/>
  <c r="C8" i="13"/>
  <c r="C13" i="13" s="1"/>
  <c r="B17" i="2"/>
  <c r="B35" i="12"/>
  <c r="B29" i="12"/>
  <c r="E29" i="12" s="1"/>
  <c r="B28" i="12"/>
  <c r="B34" i="12" s="1"/>
  <c r="D22" i="12"/>
  <c r="C22" i="12"/>
  <c r="B22" i="12"/>
  <c r="B13" i="12"/>
  <c r="B14" i="12" s="1"/>
  <c r="E16" i="12"/>
  <c r="B16" i="12"/>
  <c r="D16" i="12" s="1"/>
  <c r="H8" i="12"/>
  <c r="H3" i="12"/>
  <c r="B25" i="12" s="1"/>
  <c r="H8" i="11"/>
  <c r="H8" i="15" l="1"/>
  <c r="H17" i="15"/>
  <c r="H19" i="15"/>
  <c r="E31" i="15"/>
  <c r="E32" i="15" s="1"/>
  <c r="H18" i="15"/>
  <c r="H16" i="15"/>
  <c r="B25" i="13"/>
  <c r="D25" i="13" s="1"/>
  <c r="B26" i="13"/>
  <c r="D26" i="13" s="1"/>
  <c r="C11" i="13"/>
  <c r="D11" i="13"/>
  <c r="D17" i="12"/>
  <c r="B26" i="12"/>
  <c r="D26" i="12"/>
  <c r="H16" i="12"/>
  <c r="E28" i="12"/>
  <c r="E34" i="12" s="1"/>
  <c r="D29" i="12"/>
  <c r="H18" i="12"/>
  <c r="E31" i="12"/>
  <c r="E32" i="12" s="1"/>
  <c r="D28" i="12"/>
  <c r="D31" i="12" s="1"/>
  <c r="D32" i="12" s="1"/>
  <c r="E17" i="12"/>
  <c r="C21" i="12"/>
  <c r="B35" i="11"/>
  <c r="B29" i="11"/>
  <c r="D29" i="11" s="1"/>
  <c r="D28" i="11"/>
  <c r="B28" i="11"/>
  <c r="E28" i="11" s="1"/>
  <c r="B17" i="11"/>
  <c r="B16" i="11"/>
  <c r="D16" i="11" s="1"/>
  <c r="D34" i="11" s="1"/>
  <c r="H3" i="11"/>
  <c r="B25" i="11" s="1"/>
  <c r="D21" i="15" l="1"/>
  <c r="B21" i="15"/>
  <c r="H7" i="15"/>
  <c r="H11" i="15" s="1"/>
  <c r="H17" i="12"/>
  <c r="H19" i="12"/>
  <c r="B21" i="12"/>
  <c r="D21" i="12"/>
  <c r="H7" i="12"/>
  <c r="D34" i="12"/>
  <c r="H9" i="12" s="1"/>
  <c r="E16" i="11"/>
  <c r="E34" i="11" s="1"/>
  <c r="C21" i="11"/>
  <c r="D31" i="11"/>
  <c r="D32" i="11" s="1"/>
  <c r="B26" i="11"/>
  <c r="D26" i="11"/>
  <c r="H9" i="11"/>
  <c r="E17" i="11"/>
  <c r="E29" i="11"/>
  <c r="E31" i="11" s="1"/>
  <c r="E32" i="11" s="1"/>
  <c r="B31" i="11"/>
  <c r="B32" i="11" s="1"/>
  <c r="D17" i="11"/>
  <c r="B22" i="11"/>
  <c r="B13" i="11"/>
  <c r="B14" i="11" s="1"/>
  <c r="C22" i="11"/>
  <c r="D22" i="11"/>
  <c r="B34" i="1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" i="9"/>
  <c r="H11" i="12" l="1"/>
  <c r="H17" i="11"/>
  <c r="H19" i="11"/>
  <c r="H16" i="11"/>
  <c r="H18" i="11"/>
  <c r="K13" i="1"/>
  <c r="B21" i="11" l="1"/>
  <c r="D21" i="11"/>
  <c r="H7" i="11"/>
  <c r="H11" i="11" s="1"/>
  <c r="K18" i="1"/>
  <c r="B22" i="1" l="1"/>
  <c r="B22" i="2" l="1"/>
  <c r="B18" i="2"/>
  <c r="B19" i="2"/>
  <c r="B13" i="2"/>
  <c r="D8" i="2"/>
  <c r="D11" i="2" s="1"/>
  <c r="C8" i="2"/>
  <c r="C19" i="2" s="1"/>
  <c r="B11" i="2"/>
  <c r="C17" i="2" l="1"/>
  <c r="B24" i="2"/>
  <c r="D24" i="2" s="1"/>
  <c r="B25" i="2"/>
  <c r="D25" i="2" s="1"/>
  <c r="B26" i="2"/>
  <c r="D26" i="2" s="1"/>
  <c r="D17" i="2"/>
  <c r="C13" i="2"/>
  <c r="D18" i="2"/>
  <c r="D19" i="2"/>
  <c r="D13" i="2"/>
  <c r="C18" i="2"/>
  <c r="C11" i="2"/>
  <c r="E22" i="1"/>
  <c r="C22" i="1"/>
  <c r="D22" i="1"/>
  <c r="E6" i="1"/>
  <c r="E9" i="1" s="1"/>
  <c r="D6" i="1"/>
  <c r="E17" i="1"/>
  <c r="D17" i="1"/>
  <c r="E15" i="1"/>
  <c r="D15" i="1"/>
  <c r="D9" i="1" l="1"/>
  <c r="D10" i="1"/>
  <c r="G15" i="1"/>
  <c r="G17" i="1"/>
  <c r="G16" i="1"/>
  <c r="G18" i="1"/>
  <c r="G1" i="1"/>
  <c r="C21" i="1" l="1"/>
  <c r="C23" i="1" s="1"/>
  <c r="E21" i="1"/>
  <c r="E23" i="1" s="1"/>
  <c r="D21" i="1"/>
  <c r="D23" i="1" s="1"/>
  <c r="B21" i="1"/>
  <c r="B23" i="1" s="1"/>
  <c r="E10" i="1"/>
  <c r="K2" i="1" l="1"/>
  <c r="K3" i="1" s="1"/>
  <c r="K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</authors>
  <commentList>
    <comment ref="A21" authorId="0" shapeId="0" xr:uid="{0056F633-D9CF-4D7E-A450-2CEB5E7E1306}">
      <text>
        <r>
          <rPr>
            <b/>
            <sz val="9"/>
            <color indexed="81"/>
            <rFont val="Tahoma"/>
            <family val="2"/>
          </rPr>
          <t>Thomas:</t>
        </r>
        <r>
          <rPr>
            <sz val="9"/>
            <color indexed="81"/>
            <rFont val="Tahoma"/>
            <family val="2"/>
          </rPr>
          <t xml:space="preserve">
PiCAN2</t>
        </r>
      </text>
    </comment>
  </commentList>
</comments>
</file>

<file path=xl/sharedStrings.xml><?xml version="1.0" encoding="utf-8"?>
<sst xmlns="http://schemas.openxmlformats.org/spreadsheetml/2006/main" count="463" uniqueCount="120">
  <si>
    <t>Target ITripMAX</t>
  </si>
  <si>
    <t>A</t>
  </si>
  <si>
    <t>Limit on SENSE port</t>
  </si>
  <si>
    <t>V</t>
  </si>
  <si>
    <t>Selected Rs</t>
  </si>
  <si>
    <t>Tolerance on Rs</t>
  </si>
  <si>
    <t>%</t>
  </si>
  <si>
    <t>Maximum Rs value</t>
  </si>
  <si>
    <t>Ohm</t>
  </si>
  <si>
    <t>Upper</t>
  </si>
  <si>
    <t>Lower</t>
  </si>
  <si>
    <t>Selected VREF</t>
  </si>
  <si>
    <t>Actual ITripMAX</t>
  </si>
  <si>
    <t>Voltage at SENSE port</t>
  </si>
  <si>
    <t>Potential Divider for Vref</t>
  </si>
  <si>
    <t>Source</t>
  </si>
  <si>
    <t>R1</t>
  </si>
  <si>
    <t>Tolerance on R1</t>
  </si>
  <si>
    <t>Tolerance on R2</t>
  </si>
  <si>
    <t>Vref Ranges</t>
  </si>
  <si>
    <t>R2 (tied to GND)</t>
  </si>
  <si>
    <t>Voltage Range of VREF</t>
  </si>
  <si>
    <t>Rs Ranges</t>
  </si>
  <si>
    <t>I</t>
  </si>
  <si>
    <t>CS30A</t>
  </si>
  <si>
    <t>(Rg3/Rg1) ratio</t>
  </si>
  <si>
    <t>CS30B</t>
  </si>
  <si>
    <t>CS30C</t>
  </si>
  <si>
    <t>Rsense</t>
  </si>
  <si>
    <t>Max current through resistor</t>
  </si>
  <si>
    <t>Voltage drop</t>
  </si>
  <si>
    <t>Power disipation</t>
  </si>
  <si>
    <t>W</t>
  </si>
  <si>
    <t>Voltage out of CS30</t>
  </si>
  <si>
    <t>Tolerance</t>
  </si>
  <si>
    <t>Nominal</t>
  </si>
  <si>
    <t>Max Voltage for ADC</t>
  </si>
  <si>
    <t>Resolution</t>
  </si>
  <si>
    <t>bits</t>
  </si>
  <si>
    <t>Voltage resolution</t>
  </si>
  <si>
    <t>Current Resolution</t>
  </si>
  <si>
    <t>Max Measureable Current</t>
  </si>
  <si>
    <t>Values</t>
  </si>
  <si>
    <t>Scaler</t>
  </si>
  <si>
    <t>R1 Selector</t>
  </si>
  <si>
    <t>Value</t>
  </si>
  <si>
    <t>R2 Selector</t>
  </si>
  <si>
    <t>ADC Max Voltage</t>
  </si>
  <si>
    <t>mV/bit</t>
  </si>
  <si>
    <t>uA/bit</t>
  </si>
  <si>
    <t>Resolution (Source)</t>
  </si>
  <si>
    <t>Max Source</t>
  </si>
  <si>
    <t>Motor Voltage</t>
  </si>
  <si>
    <t>Max Current</t>
  </si>
  <si>
    <t>Power</t>
  </si>
  <si>
    <t>Temp Am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</si>
  <si>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</si>
  <si>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Power Dissipation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</si>
  <si>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C/W</t>
    </r>
  </si>
  <si>
    <t>Tj</t>
  </si>
  <si>
    <t>On Resistance</t>
  </si>
  <si>
    <t>Parameter Settings</t>
  </si>
  <si>
    <t>Source Voltage</t>
  </si>
  <si>
    <t>ADC Sample time</t>
  </si>
  <si>
    <t>s</t>
  </si>
  <si>
    <t>±</t>
  </si>
  <si>
    <t>Rfilt Selector</t>
  </si>
  <si>
    <t>Cfilt Selector</t>
  </si>
  <si>
    <t>R2</t>
  </si>
  <si>
    <t>ADC Input range</t>
  </si>
  <si>
    <t>Sample Freq</t>
  </si>
  <si>
    <t>Hz</t>
  </si>
  <si>
    <t>Circuit Diagram</t>
  </si>
  <si>
    <t>Potential Divider</t>
  </si>
  <si>
    <t>Filter</t>
  </si>
  <si>
    <t>Target Frequency</t>
  </si>
  <si>
    <t>* Sample frequency is to be 2-&gt;5 times the cut-off frequency (STM - AN2834, Section 4.2.3)</t>
  </si>
  <si>
    <t>RC Time constant</t>
  </si>
  <si>
    <t>Rfilt</t>
  </si>
  <si>
    <t>http://www.rfcafe.com/references/electrical/resistor-values.htm</t>
  </si>
  <si>
    <t>Henry</t>
  </si>
  <si>
    <t>Cfilt</t>
  </si>
  <si>
    <t>Cut-off Frequency</t>
  </si>
  <si>
    <t>Current Draw</t>
  </si>
  <si>
    <t>mA</t>
  </si>
  <si>
    <t>Sampling cycle</t>
  </si>
  <si>
    <t>Sampling cycle @80MHz</t>
  </si>
  <si>
    <t>N/A</t>
  </si>
  <si>
    <t>Slow Channels</t>
  </si>
  <si>
    <t>Fast Channels</t>
  </si>
  <si>
    <r>
      <t>R</t>
    </r>
    <r>
      <rPr>
        <vertAlign val="subscript"/>
        <sz val="11"/>
        <color theme="1"/>
        <rFont val="Calibri"/>
        <family val="2"/>
        <scheme val="minor"/>
      </rPr>
      <t>AIN</t>
    </r>
    <r>
      <rPr>
        <sz val="11"/>
        <color theme="1"/>
        <rFont val="Calibri"/>
        <family val="2"/>
        <scheme val="minor"/>
      </rPr>
      <t xml:space="preserve"> max (</t>
    </r>
    <r>
      <rPr>
        <sz val="11"/>
        <color theme="1"/>
        <rFont val="Calibri"/>
        <family val="2"/>
      </rPr>
      <t>Ω)</t>
    </r>
  </si>
  <si>
    <t>Minimum Ohm</t>
  </si>
  <si>
    <t>Lookup</t>
  </si>
  <si>
    <t>Voltage Input Good?</t>
  </si>
  <si>
    <t>Current Draw Good?</t>
  </si>
  <si>
    <t>Input impedance Good?</t>
  </si>
  <si>
    <t>Input Impedance</t>
  </si>
  <si>
    <t>ADC Impedance</t>
  </si>
  <si>
    <t>Maximum current sunk</t>
  </si>
  <si>
    <t>Acceptable?</t>
  </si>
  <si>
    <t>Selected for FAN Current Draw sensing</t>
  </si>
  <si>
    <t>Selected for STEPPER Current Draw sensing</t>
  </si>
  <si>
    <t>MCP2551</t>
  </si>
  <si>
    <t>SN65HVD23x</t>
  </si>
  <si>
    <r>
      <t>Slew Rate
(V/</t>
    </r>
    <r>
      <rPr>
        <sz val="11"/>
        <color theme="1"/>
        <rFont val="Calibri"/>
        <family val="2"/>
      </rPr>
      <t>µs)</t>
    </r>
  </si>
  <si>
    <r>
      <t>Resistance
(k</t>
    </r>
    <r>
      <rPr>
        <sz val="11"/>
        <color theme="1"/>
        <rFont val="Calibri"/>
        <family val="2"/>
      </rPr>
      <t>Ω)</t>
    </r>
  </si>
  <si>
    <t>pixels</t>
  </si>
  <si>
    <t>Pixel</t>
  </si>
  <si>
    <t>m</t>
  </si>
  <si>
    <t>c</t>
  </si>
  <si>
    <r>
      <t>k</t>
    </r>
    <r>
      <rPr>
        <sz val="11"/>
        <color theme="1"/>
        <rFont val="Calibri"/>
        <family val="2"/>
      </rPr>
      <t>Ω</t>
    </r>
  </si>
  <si>
    <r>
      <t>V/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</t>
    </r>
  </si>
  <si>
    <t>Recessive Voltage</t>
  </si>
  <si>
    <t>Dominant (CANH)</t>
  </si>
  <si>
    <t>Dominant (CANL)</t>
  </si>
  <si>
    <t>Max Step</t>
  </si>
  <si>
    <t>Change Time</t>
  </si>
  <si>
    <t>µs</t>
  </si>
  <si>
    <t>CAN Frequency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</si>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</sst>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1" xfId="1"/>
    <xf numFmtId="0" fontId="5" fillId="0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Fill="1"/>
    <xf numFmtId="0" fontId="4" fillId="0" borderId="0" xfId="2"/>
    <xf numFmtId="0" fontId="0" fillId="0" borderId="0" xfId="0" applyAlignment="1">
      <alignment horizontal="center"/>
    </xf>
    <xf numFmtId="0" fontId="0" fillId="4" borderId="0" xfId="0" applyFill="1"/>
    <xf numFmtId="164" fontId="0" fillId="4" borderId="0" xfId="0" applyNumberFormat="1" applyFill="1"/>
    <xf numFmtId="1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right"/>
    </xf>
    <xf numFmtId="0" fontId="0" fillId="5" borderId="0" xfId="0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Heading 1" xfId="1" builtinId="16"/>
    <cellStyle name="Hyperlink" xfId="2" builtinId="8"/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 Rref Resistances to Slew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 IC'!$F$1:$G$1</c:f>
              <c:strCache>
                <c:ptCount val="1"/>
                <c:pt idx="0">
                  <c:v>SN65HVD23x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 IC'!$F$7:$F$16</c:f>
              <c:numCache>
                <c:formatCode>General</c:formatCode>
                <c:ptCount val="10"/>
                <c:pt idx="0">
                  <c:v>0</c:v>
                </c:pt>
                <c:pt idx="1">
                  <c:v>4.7</c:v>
                </c:pt>
                <c:pt idx="2">
                  <c:v>6.8</c:v>
                </c:pt>
                <c:pt idx="3">
                  <c:v>10</c:v>
                </c:pt>
                <c:pt idx="4">
                  <c:v>15</c:v>
                </c:pt>
                <c:pt idx="5">
                  <c:v>22</c:v>
                </c:pt>
                <c:pt idx="6">
                  <c:v>33</c:v>
                </c:pt>
                <c:pt idx="7">
                  <c:v>47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'CAN IC'!$H$7:$H$16</c:f>
              <c:numCache>
                <c:formatCode>General</c:formatCode>
                <c:ptCount val="10"/>
                <c:pt idx="0">
                  <c:v>19.939446366782004</c:v>
                </c:pt>
                <c:pt idx="1">
                  <c:v>18.944636678200688</c:v>
                </c:pt>
                <c:pt idx="2">
                  <c:v>16.955017301038062</c:v>
                </c:pt>
                <c:pt idx="3">
                  <c:v>14.316608996539788</c:v>
                </c:pt>
                <c:pt idx="4">
                  <c:v>11.418685121107263</c:v>
                </c:pt>
                <c:pt idx="5">
                  <c:v>8.6505190311418652</c:v>
                </c:pt>
                <c:pt idx="6">
                  <c:v>6.0121107266435949</c:v>
                </c:pt>
                <c:pt idx="7">
                  <c:v>3.9792387543252588</c:v>
                </c:pt>
                <c:pt idx="8">
                  <c:v>2.7249134948096874</c:v>
                </c:pt>
                <c:pt idx="9">
                  <c:v>2.7249134948096874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D-4233-B2C0-713D7FC2B96A}"/>
            </c:ext>
          </c:extLst>
        </c:ser>
        <c:ser>
          <c:idx val="1"/>
          <c:order val="1"/>
          <c:tx>
            <c:strRef>
              <c:f>'CAN IC'!$A$1:$B$1</c:f>
              <c:strCache>
                <c:ptCount val="1"/>
                <c:pt idx="0">
                  <c:v>MCP2551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'CAN IC'!$A$7:$A$18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49</c:v>
                </c:pt>
                <c:pt idx="5">
                  <c:v>60</c:v>
                </c:pt>
                <c:pt idx="6">
                  <c:v>70</c:v>
                </c:pt>
                <c:pt idx="7">
                  <c:v>76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'CAN IC'!$C$7:$C$18</c:f>
              <c:numCache>
                <c:formatCode>General</c:formatCode>
                <c:ptCount val="12"/>
                <c:pt idx="0">
                  <c:v>23.4860883797054</c:v>
                </c:pt>
                <c:pt idx="1">
                  <c:v>17.348608837970541</c:v>
                </c:pt>
                <c:pt idx="2">
                  <c:v>13.911620294599018</c:v>
                </c:pt>
                <c:pt idx="3">
                  <c:v>11.047463175122751</c:v>
                </c:pt>
                <c:pt idx="4">
                  <c:v>9.1653027823240585</c:v>
                </c:pt>
                <c:pt idx="5">
                  <c:v>7.5286415711947612</c:v>
                </c:pt>
                <c:pt idx="6">
                  <c:v>5.9328968903436987</c:v>
                </c:pt>
                <c:pt idx="7">
                  <c:v>4.7463175122749597</c:v>
                </c:pt>
                <c:pt idx="8">
                  <c:v>4.173486088379704</c:v>
                </c:pt>
                <c:pt idx="9">
                  <c:v>4.0507364975450066</c:v>
                </c:pt>
                <c:pt idx="10">
                  <c:v>4.0098199672667754</c:v>
                </c:pt>
                <c:pt idx="11">
                  <c:v>3.887070376432078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D-4233-B2C0-713D7FC2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81823"/>
        <c:axId val="918681839"/>
      </c:scatterChart>
      <c:valAx>
        <c:axId val="102108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 (k</a:t>
                </a:r>
                <a:r>
                  <a:rPr lang="el-GR"/>
                  <a:t>Ω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1839"/>
        <c:crosses val="autoZero"/>
        <c:crossBetween val="midCat"/>
      </c:valAx>
      <c:valAx>
        <c:axId val="91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Slew Rate (V/µs)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8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3F6AD-CDC8-4BBD-BBFA-7320BA504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218556</xdr:colOff>
      <xdr:row>1</xdr:row>
      <xdr:rowOff>85725</xdr:rowOff>
    </xdr:from>
    <xdr:to>
      <xdr:col>25</xdr:col>
      <xdr:colOff>344425</xdr:colOff>
      <xdr:row>21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43FEF1-D7EC-43EB-8170-BC1BD6BEF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356" y="342900"/>
          <a:ext cx="9879469" cy="3857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218556</xdr:colOff>
      <xdr:row>1</xdr:row>
      <xdr:rowOff>85725</xdr:rowOff>
    </xdr:from>
    <xdr:to>
      <xdr:col>25</xdr:col>
      <xdr:colOff>344425</xdr:colOff>
      <xdr:row>21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B6CEB-1E98-457E-91D2-D15D02451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356" y="342900"/>
          <a:ext cx="9879469" cy="3857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218556</xdr:colOff>
      <xdr:row>1</xdr:row>
      <xdr:rowOff>85725</xdr:rowOff>
    </xdr:from>
    <xdr:to>
      <xdr:col>25</xdr:col>
      <xdr:colOff>344425</xdr:colOff>
      <xdr:row>21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3B7E1-C45A-421B-BE07-315F963A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356" y="342900"/>
          <a:ext cx="9879469" cy="385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resis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CAD5-8661-433F-8C6A-36C67BF68A14}">
  <dimension ref="A1:P30"/>
  <sheetViews>
    <sheetView workbookViewId="0">
      <selection activeCell="Y8" sqref="Y8"/>
    </sheetView>
  </sheetViews>
  <sheetFormatPr defaultRowHeight="15" x14ac:dyDescent="0.25"/>
  <cols>
    <col min="1" max="1" width="17.28515625" style="26" bestFit="1" customWidth="1"/>
    <col min="2" max="2" width="9.7109375" style="26" bestFit="1" customWidth="1"/>
    <col min="3" max="5" width="9.7109375" style="26" customWidth="1"/>
    <col min="6" max="6" width="17.28515625" bestFit="1" customWidth="1"/>
    <col min="7" max="7" width="9.7109375" bestFit="1" customWidth="1"/>
    <col min="8" max="8" width="9.7109375" customWidth="1"/>
  </cols>
  <sheetData>
    <row r="1" spans="1:10" x14ac:dyDescent="0.25">
      <c r="A1" s="38" t="s">
        <v>102</v>
      </c>
      <c r="B1" s="38"/>
      <c r="F1" s="39" t="s">
        <v>103</v>
      </c>
      <c r="G1" s="39"/>
    </row>
    <row r="2" spans="1:10" x14ac:dyDescent="0.25">
      <c r="A2" s="26">
        <v>0</v>
      </c>
      <c r="B2" s="26">
        <v>682</v>
      </c>
      <c r="C2" s="31" t="s">
        <v>106</v>
      </c>
      <c r="D2" s="31" t="s">
        <v>108</v>
      </c>
      <c r="E2" s="31">
        <f>(INDEX(MCP2551Tab,1,1)-INDEX(MCP2551Tab,2,1))/(INDEX(MCP2551Tab,1,2)-INDEX(MCP2551Tab,2,2))</f>
        <v>-4.0916530278232409E-2</v>
      </c>
      <c r="F2" s="26">
        <v>0</v>
      </c>
      <c r="G2" s="26">
        <v>738</v>
      </c>
      <c r="H2" s="31" t="s">
        <v>106</v>
      </c>
      <c r="I2" s="31" t="s">
        <v>108</v>
      </c>
      <c r="J2" s="31">
        <f>(INDEX(SN65HVD23x,1,1)-INDEX(SN65HVD23x,2,1))/(INDEX(SN65HVD23x,1,2)-INDEX(SN65HVD23x,2,2))</f>
        <v>-4.3252595155709339E-2</v>
      </c>
    </row>
    <row r="3" spans="1:10" x14ac:dyDescent="0.25">
      <c r="A3" s="26">
        <v>25</v>
      </c>
      <c r="B3" s="26">
        <v>71</v>
      </c>
      <c r="C3" s="31" t="s">
        <v>106</v>
      </c>
      <c r="D3" s="31" t="s">
        <v>109</v>
      </c>
      <c r="E3" s="31">
        <f>B2*E2</f>
        <v>-27.905073649754502</v>
      </c>
      <c r="F3" s="26">
        <v>25</v>
      </c>
      <c r="G3" s="26">
        <v>160</v>
      </c>
      <c r="H3" s="31" t="s">
        <v>106</v>
      </c>
      <c r="I3" s="31" t="s">
        <v>109</v>
      </c>
      <c r="J3" s="31">
        <f>G2*J2</f>
        <v>-31.920415224913491</v>
      </c>
    </row>
    <row r="4" spans="1:10" x14ac:dyDescent="0.25">
      <c r="F4" s="25"/>
      <c r="G4" s="25"/>
    </row>
    <row r="5" spans="1:10" ht="30" x14ac:dyDescent="0.25">
      <c r="A5" s="27" t="s">
        <v>105</v>
      </c>
      <c r="B5" s="26" t="s">
        <v>107</v>
      </c>
      <c r="C5" s="27" t="s">
        <v>104</v>
      </c>
      <c r="D5" s="27"/>
      <c r="E5" s="27"/>
      <c r="F5" s="27" t="s">
        <v>105</v>
      </c>
      <c r="G5" s="26" t="s">
        <v>107</v>
      </c>
      <c r="H5" s="27" t="s">
        <v>104</v>
      </c>
    </row>
    <row r="6" spans="1:10" x14ac:dyDescent="0.25">
      <c r="A6" s="30">
        <v>-100</v>
      </c>
      <c r="B6" s="29"/>
      <c r="C6" s="29">
        <v>23.4860883797054</v>
      </c>
      <c r="D6" s="30"/>
      <c r="E6" s="30"/>
      <c r="F6" s="30">
        <v>-100</v>
      </c>
      <c r="G6" s="29"/>
      <c r="H6" s="28">
        <v>19.939446366782004</v>
      </c>
    </row>
    <row r="7" spans="1:10" x14ac:dyDescent="0.25">
      <c r="A7" s="26">
        <v>10</v>
      </c>
      <c r="B7" s="26">
        <v>108</v>
      </c>
      <c r="C7" s="26">
        <v>23.4860883797054</v>
      </c>
      <c r="F7" s="25">
        <v>0</v>
      </c>
      <c r="G7" s="25">
        <v>277</v>
      </c>
      <c r="H7" s="25">
        <v>19.939446366782004</v>
      </c>
    </row>
    <row r="8" spans="1:10" x14ac:dyDescent="0.25">
      <c r="A8" s="26">
        <v>20</v>
      </c>
      <c r="B8" s="26">
        <v>258</v>
      </c>
      <c r="C8" s="26">
        <v>17.348608837970541</v>
      </c>
      <c r="F8" s="25">
        <v>4.7</v>
      </c>
      <c r="G8" s="26">
        <v>300</v>
      </c>
      <c r="H8" s="25">
        <v>18.944636678200688</v>
      </c>
    </row>
    <row r="9" spans="1:10" x14ac:dyDescent="0.25">
      <c r="A9" s="26">
        <v>30</v>
      </c>
      <c r="B9" s="26">
        <v>342</v>
      </c>
      <c r="C9" s="26">
        <v>13.911620294599018</v>
      </c>
      <c r="F9" s="25">
        <v>6.8</v>
      </c>
      <c r="G9" s="26">
        <v>346</v>
      </c>
      <c r="H9" s="25">
        <v>16.955017301038062</v>
      </c>
    </row>
    <row r="10" spans="1:10" x14ac:dyDescent="0.25">
      <c r="A10" s="26">
        <v>40</v>
      </c>
      <c r="B10" s="26">
        <v>412</v>
      </c>
      <c r="C10" s="26">
        <v>11.047463175122751</v>
      </c>
      <c r="F10" s="25">
        <v>10</v>
      </c>
      <c r="G10" s="25">
        <v>407</v>
      </c>
      <c r="H10" s="25">
        <v>14.316608996539788</v>
      </c>
    </row>
    <row r="11" spans="1:10" x14ac:dyDescent="0.25">
      <c r="A11" s="26">
        <v>49</v>
      </c>
      <c r="B11" s="26">
        <v>458</v>
      </c>
      <c r="C11" s="26">
        <v>9.1653027823240585</v>
      </c>
      <c r="F11" s="25">
        <v>15</v>
      </c>
      <c r="G11" s="25">
        <v>474</v>
      </c>
      <c r="H11" s="25">
        <v>11.418685121107263</v>
      </c>
    </row>
    <row r="12" spans="1:10" x14ac:dyDescent="0.25">
      <c r="A12" s="26">
        <v>60</v>
      </c>
      <c r="B12" s="26">
        <v>498</v>
      </c>
      <c r="C12" s="26">
        <v>7.5286415711947612</v>
      </c>
      <c r="F12" s="25">
        <v>22</v>
      </c>
      <c r="G12" s="25">
        <v>538</v>
      </c>
      <c r="H12" s="25">
        <v>8.6505190311418652</v>
      </c>
    </row>
    <row r="13" spans="1:10" x14ac:dyDescent="0.25">
      <c r="A13" s="26">
        <v>70</v>
      </c>
      <c r="B13" s="26">
        <v>537</v>
      </c>
      <c r="C13" s="26">
        <v>5.9328968903436987</v>
      </c>
      <c r="F13" s="25">
        <v>33</v>
      </c>
      <c r="G13" s="25">
        <v>599</v>
      </c>
      <c r="H13" s="25">
        <v>6.0121107266435949</v>
      </c>
    </row>
    <row r="14" spans="1:10" x14ac:dyDescent="0.25">
      <c r="A14" s="26">
        <v>76</v>
      </c>
      <c r="B14" s="26">
        <v>566</v>
      </c>
      <c r="C14" s="26">
        <v>4.7463175122749597</v>
      </c>
      <c r="F14" s="25">
        <v>47</v>
      </c>
      <c r="G14" s="25">
        <v>646</v>
      </c>
      <c r="H14" s="25">
        <v>3.9792387543252588</v>
      </c>
    </row>
    <row r="15" spans="1:10" x14ac:dyDescent="0.25">
      <c r="A15" s="26">
        <v>90</v>
      </c>
      <c r="B15" s="26">
        <v>580</v>
      </c>
      <c r="C15" s="26">
        <v>4.173486088379704</v>
      </c>
      <c r="F15" s="25">
        <v>68</v>
      </c>
      <c r="G15" s="25">
        <v>675</v>
      </c>
      <c r="H15" s="25">
        <v>2.7249134948096874</v>
      </c>
    </row>
    <row r="16" spans="1:10" x14ac:dyDescent="0.25">
      <c r="A16" s="26">
        <v>100</v>
      </c>
      <c r="B16" s="26">
        <v>583</v>
      </c>
      <c r="C16" s="26">
        <v>4.0507364975450066</v>
      </c>
      <c r="F16" s="25">
        <v>100</v>
      </c>
      <c r="G16" s="25">
        <v>675</v>
      </c>
      <c r="H16" s="25">
        <v>2.7249134948096874</v>
      </c>
    </row>
    <row r="17" spans="1:16" x14ac:dyDescent="0.25">
      <c r="A17" s="26">
        <v>110</v>
      </c>
      <c r="B17" s="26">
        <v>584</v>
      </c>
      <c r="C17" s="26">
        <v>4.0098199672667754</v>
      </c>
      <c r="F17" s="25">
        <v>500</v>
      </c>
      <c r="G17" s="25"/>
      <c r="H17" s="28">
        <v>2.7249134948096874</v>
      </c>
    </row>
    <row r="18" spans="1:16" x14ac:dyDescent="0.25">
      <c r="A18" s="26">
        <v>120</v>
      </c>
      <c r="B18" s="26">
        <v>587</v>
      </c>
      <c r="C18" s="26">
        <v>3.887070376432078</v>
      </c>
      <c r="F18" s="25"/>
      <c r="G18" s="25"/>
      <c r="H18" s="25"/>
    </row>
    <row r="19" spans="1:16" x14ac:dyDescent="0.25">
      <c r="A19" s="29"/>
      <c r="B19" s="29"/>
      <c r="C19" s="29"/>
      <c r="D19" s="29"/>
      <c r="E19" s="29"/>
      <c r="F19" s="28"/>
      <c r="G19" s="28"/>
      <c r="H19" s="28"/>
    </row>
    <row r="20" spans="1:16" x14ac:dyDescent="0.25">
      <c r="A20" s="39" t="s">
        <v>103</v>
      </c>
      <c r="B20" s="39"/>
      <c r="C20" s="39"/>
      <c r="D20" s="39"/>
      <c r="F20" s="39" t="s">
        <v>103</v>
      </c>
      <c r="G20" s="39"/>
      <c r="H20" s="39"/>
      <c r="I20" s="39"/>
    </row>
    <row r="21" spans="1:16" x14ac:dyDescent="0.25">
      <c r="A21" s="35">
        <v>4.7</v>
      </c>
      <c r="B21" s="31" t="s">
        <v>110</v>
      </c>
      <c r="C21" s="32">
        <f>FORECAST(A21,
INDEX(MCP2551_Slew,MATCH(A21,MCP2551_Res,1)):INDEX(MCP2551_Slew,MATCH(A21,MCP2551_Res,1)+1),
INDEX(MCP2551_Res,MATCH(A21,MCP2551_Res,1)):INDEX(MCP2551_Res,MATCH(A21,MCP2551_Res,1)+1))</f>
        <v>23.4860883797054</v>
      </c>
      <c r="D21" s="31" t="s">
        <v>111</v>
      </c>
      <c r="E21" s="33"/>
      <c r="F21" s="35">
        <v>7.5</v>
      </c>
      <c r="G21" s="31" t="s">
        <v>110</v>
      </c>
      <c r="H21" s="32">
        <f>FORECAST(F21,
INDEX(SN65HVD23x_Slew,MATCH(F21,SN65HVD23x_Res,1)):INDEX(SN65HVD23x_Slew,MATCH(F21,SN65HVD23x_Res,1)+1),
INDEX(SN65HVD23x_Res,MATCH(F21,SN65HVD23x_Res,1)):INDEX(SN65HVD23x_Res,MATCH(F21,SN65HVD23x_Res,1)+1))</f>
        <v>16.377865484429066</v>
      </c>
      <c r="I21" s="31" t="s">
        <v>111</v>
      </c>
    </row>
    <row r="22" spans="1:16" x14ac:dyDescent="0.25">
      <c r="P22" s="37"/>
    </row>
    <row r="23" spans="1:16" x14ac:dyDescent="0.25">
      <c r="A23" t="s">
        <v>112</v>
      </c>
      <c r="B23" s="36">
        <v>2.5</v>
      </c>
      <c r="C23" t="s">
        <v>3</v>
      </c>
      <c r="F23" t="s">
        <v>112</v>
      </c>
      <c r="G23" s="36">
        <v>2.2999999999999998</v>
      </c>
      <c r="H23" t="s">
        <v>3</v>
      </c>
    </row>
    <row r="24" spans="1:16" x14ac:dyDescent="0.25">
      <c r="A24" t="s">
        <v>113</v>
      </c>
      <c r="B24" s="36">
        <v>4.5</v>
      </c>
      <c r="C24" t="s">
        <v>3</v>
      </c>
      <c r="F24" t="s">
        <v>113</v>
      </c>
      <c r="G24" s="36">
        <v>3.3</v>
      </c>
      <c r="H24" t="s">
        <v>3</v>
      </c>
    </row>
    <row r="25" spans="1:16" x14ac:dyDescent="0.25">
      <c r="A25" t="s">
        <v>114</v>
      </c>
      <c r="B25" s="36">
        <v>0.5</v>
      </c>
      <c r="C25" t="s">
        <v>3</v>
      </c>
      <c r="F25" t="s">
        <v>114</v>
      </c>
      <c r="G25" s="36">
        <v>0.5</v>
      </c>
      <c r="H25" t="s">
        <v>3</v>
      </c>
    </row>
    <row r="26" spans="1:16" x14ac:dyDescent="0.25">
      <c r="A26" s="26" t="s">
        <v>115</v>
      </c>
      <c r="B26" s="26">
        <f>MAX(B24-B23, B24-B25)</f>
        <v>4</v>
      </c>
      <c r="C26" t="s">
        <v>3</v>
      </c>
      <c r="F26" s="29" t="s">
        <v>115</v>
      </c>
      <c r="G26" s="29">
        <f>MAX(G24-G23, G24-G25)</f>
        <v>2.8</v>
      </c>
      <c r="H26" t="s">
        <v>3</v>
      </c>
    </row>
    <row r="27" spans="1:16" x14ac:dyDescent="0.25">
      <c r="A27" s="26" t="s">
        <v>116</v>
      </c>
      <c r="B27" s="26">
        <f>B26/C21</f>
        <v>0.17031358885017422</v>
      </c>
      <c r="C27" s="37" t="s">
        <v>117</v>
      </c>
      <c r="F27" s="29" t="s">
        <v>116</v>
      </c>
      <c r="G27" s="29">
        <f>G26/H21</f>
        <v>0.17096244945118427</v>
      </c>
      <c r="H27" s="37" t="s">
        <v>117</v>
      </c>
    </row>
    <row r="29" spans="1:16" x14ac:dyDescent="0.25">
      <c r="A29" s="26" t="s">
        <v>118</v>
      </c>
      <c r="B29" s="34">
        <v>1</v>
      </c>
      <c r="C29" s="31" t="s">
        <v>119</v>
      </c>
    </row>
    <row r="30" spans="1:16" x14ac:dyDescent="0.25">
      <c r="B30" s="33">
        <f>(1/(B29*10^6))*(10^6)</f>
        <v>1</v>
      </c>
      <c r="C30" s="37" t="s">
        <v>117</v>
      </c>
    </row>
  </sheetData>
  <mergeCells count="4">
    <mergeCell ref="A1:B1"/>
    <mergeCell ref="F1:G1"/>
    <mergeCell ref="F20:I20"/>
    <mergeCell ref="A20:D2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Normal="100" workbookViewId="0">
      <selection activeCell="B7" sqref="B7"/>
    </sheetView>
  </sheetViews>
  <sheetFormatPr defaultRowHeight="15" x14ac:dyDescent="0.25"/>
  <cols>
    <col min="1" max="1" width="23.7109375" bestFit="1" customWidth="1"/>
    <col min="6" max="6" width="17.85546875" bestFit="1" customWidth="1"/>
    <col min="7" max="7" width="12" bestFit="1" customWidth="1"/>
    <col min="10" max="10" width="17.28515625" bestFit="1" customWidth="1"/>
  </cols>
  <sheetData>
    <row r="1" spans="1:12" x14ac:dyDescent="0.25">
      <c r="A1" t="s">
        <v>0</v>
      </c>
      <c r="B1" s="9">
        <v>0.7</v>
      </c>
      <c r="C1" t="s">
        <v>1</v>
      </c>
      <c r="F1" t="s">
        <v>7</v>
      </c>
      <c r="G1" s="1">
        <f>B2/B1</f>
        <v>0.7142857142857143</v>
      </c>
      <c r="H1" t="s">
        <v>8</v>
      </c>
      <c r="J1" t="s">
        <v>52</v>
      </c>
      <c r="K1">
        <v>12</v>
      </c>
      <c r="L1" t="s">
        <v>3</v>
      </c>
    </row>
    <row r="2" spans="1:12" x14ac:dyDescent="0.25">
      <c r="A2" t="s">
        <v>2</v>
      </c>
      <c r="B2" s="9">
        <v>0.5</v>
      </c>
      <c r="C2" t="s">
        <v>3</v>
      </c>
      <c r="J2" t="s">
        <v>53</v>
      </c>
      <c r="K2" s="3">
        <f>MAX(B23:E23)</f>
        <v>0</v>
      </c>
      <c r="L2" t="s">
        <v>1</v>
      </c>
    </row>
    <row r="3" spans="1:12" x14ac:dyDescent="0.25">
      <c r="A3" t="s">
        <v>11</v>
      </c>
      <c r="B3" s="9">
        <v>0.5</v>
      </c>
      <c r="C3" t="s">
        <v>3</v>
      </c>
      <c r="J3" t="s">
        <v>54</v>
      </c>
      <c r="K3">
        <f>K2*K1</f>
        <v>0</v>
      </c>
      <c r="L3" t="s">
        <v>32</v>
      </c>
    </row>
    <row r="5" spans="1:12" x14ac:dyDescent="0.25">
      <c r="D5" t="s">
        <v>9</v>
      </c>
      <c r="E5" t="s">
        <v>10</v>
      </c>
      <c r="J5" t="s">
        <v>55</v>
      </c>
      <c r="K5">
        <v>25</v>
      </c>
      <c r="L5" t="s">
        <v>56</v>
      </c>
    </row>
    <row r="6" spans="1:12" x14ac:dyDescent="0.25">
      <c r="A6" t="s">
        <v>4</v>
      </c>
      <c r="B6" s="9">
        <v>0.34</v>
      </c>
      <c r="C6" t="s">
        <v>8</v>
      </c>
      <c r="D6" s="1">
        <f>B6*(1+(B7/100))</f>
        <v>0.34340000000000004</v>
      </c>
      <c r="E6" s="1">
        <f>B6*(1-(B7/100))</f>
        <v>0.33660000000000001</v>
      </c>
      <c r="J6" t="s">
        <v>57</v>
      </c>
      <c r="K6">
        <v>30</v>
      </c>
      <c r="L6" t="s">
        <v>58</v>
      </c>
    </row>
    <row r="7" spans="1:12" x14ac:dyDescent="0.25">
      <c r="A7" t="s">
        <v>5</v>
      </c>
      <c r="B7" s="9">
        <v>1</v>
      </c>
      <c r="C7" t="s">
        <v>6</v>
      </c>
    </row>
    <row r="8" spans="1:12" x14ac:dyDescent="0.25">
      <c r="J8" t="s">
        <v>59</v>
      </c>
      <c r="K8" s="13">
        <f>K5 + (K3*K6)</f>
        <v>25</v>
      </c>
      <c r="L8" t="s">
        <v>56</v>
      </c>
    </row>
    <row r="9" spans="1:12" x14ac:dyDescent="0.25">
      <c r="A9" t="s">
        <v>12</v>
      </c>
      <c r="D9">
        <f>$B$3/(8*D6)</f>
        <v>0.18200349446709374</v>
      </c>
      <c r="E9">
        <f>$B$3/(8*E6)</f>
        <v>0.18568033273915627</v>
      </c>
      <c r="F9" t="s">
        <v>23</v>
      </c>
    </row>
    <row r="10" spans="1:12" x14ac:dyDescent="0.25">
      <c r="A10" t="s">
        <v>13</v>
      </c>
      <c r="D10">
        <f>$B$1*D6</f>
        <v>0.24038000000000001</v>
      </c>
      <c r="E10">
        <f>$B$1*E6</f>
        <v>0.23562</v>
      </c>
      <c r="F10" t="s">
        <v>3</v>
      </c>
    </row>
    <row r="11" spans="1:12" x14ac:dyDescent="0.25">
      <c r="J11" t="s">
        <v>53</v>
      </c>
      <c r="K11" s="3">
        <v>1</v>
      </c>
      <c r="L11" t="s">
        <v>1</v>
      </c>
    </row>
    <row r="12" spans="1:12" x14ac:dyDescent="0.25">
      <c r="J12" t="s">
        <v>60</v>
      </c>
      <c r="K12">
        <v>1.6</v>
      </c>
      <c r="L12" t="s">
        <v>8</v>
      </c>
    </row>
    <row r="13" spans="1:12" x14ac:dyDescent="0.25">
      <c r="A13" s="2" t="s">
        <v>14</v>
      </c>
      <c r="J13" t="s">
        <v>54</v>
      </c>
      <c r="K13">
        <f>(K11^2)*K12</f>
        <v>1.6</v>
      </c>
      <c r="L13" t="s">
        <v>32</v>
      </c>
    </row>
    <row r="14" spans="1:12" x14ac:dyDescent="0.25">
      <c r="A14" t="s">
        <v>15</v>
      </c>
      <c r="B14" s="9">
        <v>0</v>
      </c>
      <c r="C14" t="s">
        <v>3</v>
      </c>
      <c r="D14" t="s">
        <v>9</v>
      </c>
      <c r="E14" t="s">
        <v>10</v>
      </c>
      <c r="G14" t="s">
        <v>19</v>
      </c>
    </row>
    <row r="15" spans="1:12" x14ac:dyDescent="0.25">
      <c r="A15" t="s">
        <v>16</v>
      </c>
      <c r="B15" s="9">
        <v>9760</v>
      </c>
      <c r="C15" t="s">
        <v>8</v>
      </c>
      <c r="D15" s="1">
        <f>B15*(1+(B16/100))</f>
        <v>9857.6</v>
      </c>
      <c r="E15" s="1">
        <f>B15*(1-(B16/100))</f>
        <v>9662.4</v>
      </c>
      <c r="G15" s="5">
        <f>$B$14*(D17/(D17+D15))</f>
        <v>0</v>
      </c>
      <c r="H15" t="s">
        <v>3</v>
      </c>
      <c r="J15" t="s">
        <v>55</v>
      </c>
      <c r="K15">
        <v>25</v>
      </c>
    </row>
    <row r="16" spans="1:12" x14ac:dyDescent="0.25">
      <c r="A16" t="s">
        <v>17</v>
      </c>
      <c r="B16" s="9">
        <v>1</v>
      </c>
      <c r="C16" t="s">
        <v>6</v>
      </c>
      <c r="G16" s="5">
        <f>$B$14*(D17/(D17+E15))</f>
        <v>0</v>
      </c>
      <c r="H16" t="s">
        <v>3</v>
      </c>
      <c r="J16" t="s">
        <v>57</v>
      </c>
      <c r="K16">
        <v>100</v>
      </c>
    </row>
    <row r="17" spans="1:11" x14ac:dyDescent="0.25">
      <c r="A17" t="s">
        <v>20</v>
      </c>
      <c r="B17" s="9">
        <v>4320</v>
      </c>
      <c r="C17" t="s">
        <v>8</v>
      </c>
      <c r="D17" s="1">
        <f>B17*(1+(B18/100))</f>
        <v>4363.2</v>
      </c>
      <c r="E17" s="1">
        <f>B17*(1-(B18/100))</f>
        <v>4276.8</v>
      </c>
      <c r="G17" s="5">
        <f>$B$14*(E17/(E17+E15))</f>
        <v>0</v>
      </c>
      <c r="H17" t="s">
        <v>3</v>
      </c>
    </row>
    <row r="18" spans="1:11" x14ac:dyDescent="0.25">
      <c r="A18" t="s">
        <v>18</v>
      </c>
      <c r="B18" s="9">
        <v>1</v>
      </c>
      <c r="C18" t="s">
        <v>6</v>
      </c>
      <c r="G18" s="5">
        <f>$B$14*(E17/(E17+D15))</f>
        <v>0</v>
      </c>
      <c r="H18" t="s">
        <v>3</v>
      </c>
      <c r="J18" t="s">
        <v>59</v>
      </c>
      <c r="K18" s="13">
        <f>K15 + (K13*K16)</f>
        <v>185</v>
      </c>
    </row>
    <row r="19" spans="1:11" x14ac:dyDescent="0.25">
      <c r="G19" s="4"/>
    </row>
    <row r="20" spans="1:11" x14ac:dyDescent="0.25">
      <c r="B20" s="39" t="s">
        <v>9</v>
      </c>
      <c r="C20" s="39"/>
      <c r="D20" s="39" t="s">
        <v>10</v>
      </c>
      <c r="E20" s="39"/>
      <c r="F20" s="6"/>
    </row>
    <row r="21" spans="1:11" x14ac:dyDescent="0.25">
      <c r="A21" t="s">
        <v>21</v>
      </c>
      <c r="B21" s="7">
        <f>MAX(G15:G18)</f>
        <v>0</v>
      </c>
      <c r="C21" s="7">
        <f>MAX(G15:G18)</f>
        <v>0</v>
      </c>
      <c r="D21" s="7">
        <f>MIN(G15:G18)</f>
        <v>0</v>
      </c>
      <c r="E21" s="7">
        <f>MIN(G15:G18)</f>
        <v>0</v>
      </c>
      <c r="F21" s="6" t="s">
        <v>3</v>
      </c>
    </row>
    <row r="22" spans="1:11" x14ac:dyDescent="0.25">
      <c r="A22" t="s">
        <v>22</v>
      </c>
      <c r="B22" s="8">
        <f>B6*(1+(B7/100))</f>
        <v>0.34340000000000004</v>
      </c>
      <c r="C22" s="8">
        <f>B6*(1-(B7/100))</f>
        <v>0.33660000000000001</v>
      </c>
      <c r="D22" s="8">
        <f>B6*(1+(B7/100))</f>
        <v>0.34340000000000004</v>
      </c>
      <c r="E22" s="8">
        <f>B6*(1-(B7/100))</f>
        <v>0.33660000000000001</v>
      </c>
      <c r="F22" t="s">
        <v>8</v>
      </c>
    </row>
    <row r="23" spans="1:11" x14ac:dyDescent="0.25">
      <c r="A23" t="s">
        <v>12</v>
      </c>
      <c r="B23" s="3">
        <f>B21/(8*B22)</f>
        <v>0</v>
      </c>
      <c r="C23" s="3">
        <f t="shared" ref="C23:E23" si="0">C21/(8*C22)</f>
        <v>0</v>
      </c>
      <c r="D23" s="3">
        <f t="shared" si="0"/>
        <v>0</v>
      </c>
      <c r="E23" s="3">
        <f t="shared" si="0"/>
        <v>0</v>
      </c>
      <c r="F23" t="s">
        <v>23</v>
      </c>
    </row>
  </sheetData>
  <mergeCells count="2">
    <mergeCell ref="B20:C20"/>
    <mergeCell ref="D20:E20"/>
  </mergeCells>
  <conditionalFormatting sqref="D9:E9">
    <cfRule type="expression" dxfId="13" priority="5">
      <formula>D9&gt;$B$1</formula>
    </cfRule>
    <cfRule type="expression" dxfId="12" priority="6">
      <formula>D9&lt;=$B$1</formula>
    </cfRule>
  </conditionalFormatting>
  <conditionalFormatting sqref="D10:E10">
    <cfRule type="expression" dxfId="11" priority="3">
      <formula>D10&gt;$B$2</formula>
    </cfRule>
    <cfRule type="expression" dxfId="10" priority="4">
      <formula>D10&lt;=$B$2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F838-06C3-4EC4-8825-3A8BF4A81FE9}">
  <dimension ref="A1:T35"/>
  <sheetViews>
    <sheetView workbookViewId="0">
      <selection activeCell="B2" sqref="B2"/>
    </sheetView>
  </sheetViews>
  <sheetFormatPr defaultRowHeight="15" x14ac:dyDescent="0.25"/>
  <cols>
    <col min="1" max="1" width="23.7109375" bestFit="1" customWidth="1"/>
    <col min="7" max="7" width="22.5703125" bestFit="1" customWidth="1"/>
    <col min="8" max="8" width="12" bestFit="1" customWidth="1"/>
  </cols>
  <sheetData>
    <row r="1" spans="1:9" s="16" customFormat="1" ht="20.25" thickBot="1" x14ac:dyDescent="0.35">
      <c r="A1" s="16" t="s">
        <v>61</v>
      </c>
    </row>
    <row r="2" spans="1:9" ht="15.75" thickTop="1" x14ac:dyDescent="0.25">
      <c r="A2" t="s">
        <v>62</v>
      </c>
      <c r="B2" s="9">
        <v>3.3</v>
      </c>
      <c r="C2" t="s">
        <v>3</v>
      </c>
      <c r="G2" t="s">
        <v>98</v>
      </c>
      <c r="H2" s="9">
        <v>5</v>
      </c>
      <c r="I2" t="s">
        <v>84</v>
      </c>
    </row>
    <row r="3" spans="1:9" x14ac:dyDescent="0.25">
      <c r="B3" s="12" t="s">
        <v>45</v>
      </c>
      <c r="C3" s="21" t="s">
        <v>43</v>
      </c>
      <c r="G3" t="s">
        <v>63</v>
      </c>
      <c r="H3" s="9">
        <f>0.001</f>
        <v>1E-3</v>
      </c>
      <c r="I3" t="s">
        <v>64</v>
      </c>
    </row>
    <row r="4" spans="1:9" x14ac:dyDescent="0.25">
      <c r="A4" t="s">
        <v>44</v>
      </c>
      <c r="B4" s="9">
        <v>97.6</v>
      </c>
      <c r="C4" s="9">
        <v>2</v>
      </c>
      <c r="D4" s="18" t="s">
        <v>65</v>
      </c>
      <c r="E4" s="9">
        <v>1</v>
      </c>
      <c r="F4" t="s">
        <v>6</v>
      </c>
      <c r="G4" t="s">
        <v>85</v>
      </c>
      <c r="H4" s="9">
        <v>247.5</v>
      </c>
    </row>
    <row r="5" spans="1:9" x14ac:dyDescent="0.25">
      <c r="A5" t="s">
        <v>46</v>
      </c>
      <c r="B5" s="9">
        <v>43.2</v>
      </c>
      <c r="C5" s="9">
        <v>2</v>
      </c>
      <c r="D5" s="18" t="s">
        <v>65</v>
      </c>
      <c r="E5" s="9">
        <v>1</v>
      </c>
      <c r="F5" t="s">
        <v>6</v>
      </c>
      <c r="G5" t="s">
        <v>37</v>
      </c>
      <c r="H5" s="9">
        <v>12</v>
      </c>
      <c r="I5" t="s">
        <v>38</v>
      </c>
    </row>
    <row r="6" spans="1:9" s="17" customFormat="1" x14ac:dyDescent="0.25">
      <c r="A6" t="s">
        <v>66</v>
      </c>
      <c r="B6" s="9">
        <v>0</v>
      </c>
      <c r="C6" s="9">
        <v>0</v>
      </c>
      <c r="D6" s="18" t="s">
        <v>65</v>
      </c>
      <c r="E6" s="9">
        <v>1</v>
      </c>
      <c r="F6" t="s">
        <v>6</v>
      </c>
    </row>
    <row r="7" spans="1:9" s="17" customFormat="1" x14ac:dyDescent="0.25">
      <c r="A7" t="s">
        <v>67</v>
      </c>
      <c r="B7" s="9">
        <v>100</v>
      </c>
      <c r="C7" s="9">
        <v>-9</v>
      </c>
      <c r="D7" s="18" t="s">
        <v>65</v>
      </c>
      <c r="E7" s="9">
        <v>5</v>
      </c>
      <c r="F7" t="s">
        <v>6</v>
      </c>
      <c r="G7" t="s">
        <v>93</v>
      </c>
      <c r="H7" s="17" t="b">
        <f>MAX(H16:H19)&lt;$B$9</f>
        <v>1</v>
      </c>
    </row>
    <row r="8" spans="1:9" x14ac:dyDescent="0.25">
      <c r="G8" t="s">
        <v>94</v>
      </c>
      <c r="H8" t="b">
        <f>MAX(B22:D22)&lt;H2</f>
        <v>1</v>
      </c>
    </row>
    <row r="9" spans="1:9" x14ac:dyDescent="0.25">
      <c r="A9" t="s">
        <v>47</v>
      </c>
      <c r="B9" s="9">
        <v>3.3</v>
      </c>
      <c r="C9" t="s">
        <v>3</v>
      </c>
      <c r="G9" t="s">
        <v>95</v>
      </c>
      <c r="H9" t="b">
        <f>MAX(D34:E34) &lt; B35</f>
        <v>1</v>
      </c>
    </row>
    <row r="10" spans="1:9" x14ac:dyDescent="0.25">
      <c r="A10" t="s">
        <v>37</v>
      </c>
      <c r="B10" s="9">
        <v>12</v>
      </c>
      <c r="C10" t="s">
        <v>38</v>
      </c>
    </row>
    <row r="11" spans="1:9" x14ac:dyDescent="0.25">
      <c r="G11" t="s">
        <v>99</v>
      </c>
      <c r="H11" t="b">
        <f>AND(H7:H9)</f>
        <v>1</v>
      </c>
    </row>
    <row r="12" spans="1:9" s="16" customFormat="1" ht="20.25" thickBot="1" x14ac:dyDescent="0.35">
      <c r="A12" s="16" t="s">
        <v>73</v>
      </c>
    </row>
    <row r="13" spans="1:9" ht="15.75" thickTop="1" x14ac:dyDescent="0.25">
      <c r="A13" t="s">
        <v>50</v>
      </c>
      <c r="B13" s="1">
        <f>(B9/(2^B10)/(B17/(B17+B16)))*1000</f>
        <v>2.6258680555555554</v>
      </c>
      <c r="C13" t="s">
        <v>48</v>
      </c>
    </row>
    <row r="14" spans="1:9" x14ac:dyDescent="0.25">
      <c r="A14" t="s">
        <v>51</v>
      </c>
      <c r="B14" s="1">
        <f>(B13/1000)*(2^B10)</f>
        <v>10.755555555555555</v>
      </c>
      <c r="C14" t="s">
        <v>3</v>
      </c>
    </row>
    <row r="15" spans="1:9" x14ac:dyDescent="0.25">
      <c r="D15" t="s">
        <v>9</v>
      </c>
      <c r="E15" t="s">
        <v>10</v>
      </c>
    </row>
    <row r="16" spans="1:9" x14ac:dyDescent="0.25">
      <c r="A16" t="s">
        <v>16</v>
      </c>
      <c r="B16" s="1">
        <f>B4*(10^C4)</f>
        <v>9760</v>
      </c>
      <c r="C16" t="s">
        <v>8</v>
      </c>
      <c r="D16" s="1">
        <f>B16*(1+(E4/100))</f>
        <v>9857.6</v>
      </c>
      <c r="E16" s="1">
        <f>B16*(1-(E4/100))</f>
        <v>9662.4</v>
      </c>
      <c r="F16" t="s">
        <v>8</v>
      </c>
      <c r="H16" s="5">
        <f>$B$2*(D17/(D17+D16))</f>
        <v>1.0125</v>
      </c>
      <c r="I16" t="s">
        <v>3</v>
      </c>
    </row>
    <row r="17" spans="1:20" x14ac:dyDescent="0.25">
      <c r="A17" t="s">
        <v>68</v>
      </c>
      <c r="B17" s="1">
        <f>B5*(10^C5)</f>
        <v>4320</v>
      </c>
      <c r="C17" t="s">
        <v>8</v>
      </c>
      <c r="D17" s="1">
        <f>B17*(1+(E5/100))</f>
        <v>4363.2</v>
      </c>
      <c r="E17" s="1">
        <f>B17*(1-(E5/100))</f>
        <v>4276.8</v>
      </c>
      <c r="F17" t="s">
        <v>8</v>
      </c>
      <c r="H17" s="5">
        <f>$B$2*(E17/(E17+E16))</f>
        <v>1.0125</v>
      </c>
      <c r="I17" t="s">
        <v>3</v>
      </c>
      <c r="K17" s="39" t="s">
        <v>72</v>
      </c>
      <c r="L17" s="39"/>
      <c r="M17" s="39"/>
      <c r="N17" s="39"/>
      <c r="O17" s="39"/>
      <c r="P17" s="39"/>
      <c r="Q17" s="39"/>
      <c r="R17" s="39"/>
      <c r="S17" s="39"/>
      <c r="T17" s="39"/>
    </row>
    <row r="18" spans="1:20" x14ac:dyDescent="0.25">
      <c r="H18" s="5">
        <f>$B$2*(D17/(D17+E16))</f>
        <v>1.0265913757700207</v>
      </c>
      <c r="I18" t="s">
        <v>3</v>
      </c>
    </row>
    <row r="19" spans="1:20" x14ac:dyDescent="0.25">
      <c r="H19" s="5">
        <f>$B$2*(E17/(E17+D16))</f>
        <v>0.99851709304958114</v>
      </c>
      <c r="I19" t="s">
        <v>3</v>
      </c>
    </row>
    <row r="20" spans="1:20" x14ac:dyDescent="0.25">
      <c r="B20" s="21" t="s">
        <v>9</v>
      </c>
      <c r="C20" s="21" t="s">
        <v>35</v>
      </c>
      <c r="D20" s="21" t="s">
        <v>10</v>
      </c>
      <c r="G20" s="6"/>
    </row>
    <row r="21" spans="1:20" x14ac:dyDescent="0.25">
      <c r="A21" t="s">
        <v>69</v>
      </c>
      <c r="B21" s="7">
        <f>MAX(H16:H19)</f>
        <v>1.0265913757700207</v>
      </c>
      <c r="C21" s="7">
        <f>$B$2*(B17/(B17+B16))</f>
        <v>1.0125</v>
      </c>
      <c r="D21" s="7">
        <f>MIN(H16:H19)</f>
        <v>0.99851709304958114</v>
      </c>
      <c r="E21" s="6" t="s">
        <v>3</v>
      </c>
      <c r="F21" s="6"/>
    </row>
    <row r="22" spans="1:20" x14ac:dyDescent="0.25">
      <c r="A22" t="s">
        <v>83</v>
      </c>
      <c r="B22" s="7">
        <f>($B$2/$B$16)*1000</f>
        <v>0.33811475409836061</v>
      </c>
      <c r="C22" s="7">
        <f t="shared" ref="C22:D22" si="0">($B$2/$B$16)*1000</f>
        <v>0.33811475409836061</v>
      </c>
      <c r="D22" s="7">
        <f t="shared" si="0"/>
        <v>0.33811475409836061</v>
      </c>
      <c r="E22" s="6" t="s">
        <v>84</v>
      </c>
      <c r="F22" s="6"/>
    </row>
    <row r="24" spans="1:20" s="16" customFormat="1" ht="20.25" thickBot="1" x14ac:dyDescent="0.35">
      <c r="A24" s="16" t="s">
        <v>74</v>
      </c>
    </row>
    <row r="25" spans="1:20" ht="15.75" thickTop="1" x14ac:dyDescent="0.25">
      <c r="A25" t="s">
        <v>70</v>
      </c>
      <c r="B25" s="1">
        <f>1/H3</f>
        <v>1000</v>
      </c>
      <c r="C25" t="s">
        <v>71</v>
      </c>
    </row>
    <row r="26" spans="1:20" x14ac:dyDescent="0.25">
      <c r="A26" t="s">
        <v>75</v>
      </c>
      <c r="B26" s="1">
        <f>B25/2</f>
        <v>500</v>
      </c>
      <c r="C26" t="s">
        <v>71</v>
      </c>
      <c r="D26" s="1">
        <f>B25/5</f>
        <v>200</v>
      </c>
      <c r="E26" t="s">
        <v>71</v>
      </c>
      <c r="F26" s="19" t="s">
        <v>76</v>
      </c>
    </row>
    <row r="27" spans="1:20" x14ac:dyDescent="0.25">
      <c r="D27" t="s">
        <v>9</v>
      </c>
      <c r="E27" t="s">
        <v>10</v>
      </c>
    </row>
    <row r="28" spans="1:20" x14ac:dyDescent="0.25">
      <c r="A28" t="s">
        <v>78</v>
      </c>
      <c r="B28" s="1">
        <f>B6*(10^C6)</f>
        <v>0</v>
      </c>
      <c r="C28" t="s">
        <v>8</v>
      </c>
      <c r="D28" s="1">
        <f>B28*(1+(E6/100))</f>
        <v>0</v>
      </c>
      <c r="E28" s="1">
        <f>B28*(1-(E6/100))</f>
        <v>0</v>
      </c>
      <c r="F28" t="s">
        <v>8</v>
      </c>
    </row>
    <row r="29" spans="1:20" x14ac:dyDescent="0.25">
      <c r="A29" t="s">
        <v>81</v>
      </c>
      <c r="B29" s="1">
        <f>B7*(10^C7)</f>
        <v>1.0000000000000001E-7</v>
      </c>
      <c r="C29" t="s">
        <v>80</v>
      </c>
      <c r="D29" s="1">
        <f>B29*(1+(E7/100))</f>
        <v>1.0500000000000001E-7</v>
      </c>
      <c r="E29" s="1">
        <f>B29*(1-(E7/100))</f>
        <v>9.5000000000000004E-8</v>
      </c>
      <c r="F29" t="s">
        <v>80</v>
      </c>
    </row>
    <row r="31" spans="1:20" x14ac:dyDescent="0.25">
      <c r="A31" t="s">
        <v>77</v>
      </c>
      <c r="B31" s="1">
        <f>(B16 + B28) * B29</f>
        <v>9.7600000000000009E-4</v>
      </c>
      <c r="D31" s="1">
        <f>(D28 + D16) * D29</f>
        <v>1.0350480000000002E-3</v>
      </c>
      <c r="E31" s="1">
        <f>(E16 + E28) * E29</f>
        <v>9.1792800000000004E-4</v>
      </c>
    </row>
    <row r="32" spans="1:20" x14ac:dyDescent="0.25">
      <c r="A32" t="s">
        <v>82</v>
      </c>
      <c r="B32" s="1">
        <f>1 / ( (2*PI()) * B31 )</f>
        <v>163.06858923349932</v>
      </c>
      <c r="C32" t="s">
        <v>71</v>
      </c>
      <c r="D32" s="1">
        <f>1 / ( (2*PI()) * D31 )</f>
        <v>153.76576071051323</v>
      </c>
      <c r="E32" s="1">
        <f>1 / ( (2*PI()) * E31 )</f>
        <v>173.38499652684669</v>
      </c>
      <c r="F32" t="s">
        <v>71</v>
      </c>
    </row>
    <row r="34" spans="1:6" x14ac:dyDescent="0.25">
      <c r="A34" t="s">
        <v>96</v>
      </c>
      <c r="B34" s="1">
        <f>B16+B28</f>
        <v>9760</v>
      </c>
      <c r="C34" t="s">
        <v>8</v>
      </c>
      <c r="D34" s="1">
        <f>D16+D28</f>
        <v>9857.6</v>
      </c>
      <c r="E34" s="1">
        <f>E16+E28</f>
        <v>9662.4</v>
      </c>
      <c r="F34" t="s">
        <v>8</v>
      </c>
    </row>
    <row r="35" spans="1:6" x14ac:dyDescent="0.25">
      <c r="A35" t="s">
        <v>97</v>
      </c>
      <c r="B35" s="1">
        <f>VLOOKUP(CONCATENATE(H5, "_", H4), 'ADC input impedance'!$H:$I,2,FALSE)</f>
        <v>10000</v>
      </c>
      <c r="C35" t="s">
        <v>8</v>
      </c>
    </row>
  </sheetData>
  <mergeCells count="1">
    <mergeCell ref="K17:T17"/>
  </mergeCells>
  <conditionalFormatting sqref="H7:H9 H11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C4794E8-127E-4020-9CE5-7535483AE61E}">
          <x14:formula1>
            <xm:f>'Typical Component Values'!$A$4:$A$99</xm:f>
          </x14:formula1>
          <xm:sqref>B4:B5</xm:sqref>
        </x14:dataValidation>
        <x14:dataValidation type="list" allowBlank="1" showInputMessage="1" showErrorMessage="1" xr:uid="{D9A561A8-7D31-4A78-89F9-D6BF2225FF83}">
          <x14:formula1>
            <xm:f>'Typical Component Values'!$B$3:$B$8</xm:f>
          </x14:formula1>
          <xm:sqref>C4:C6</xm:sqref>
        </x14:dataValidation>
        <x14:dataValidation type="list" allowBlank="1" showInputMessage="1" showErrorMessage="1" xr:uid="{FD8A01C3-D1B0-4049-83B7-0E194FE8A9E6}">
          <x14:formula1>
            <xm:f>'Typical Component Values'!$A$3:$A$99</xm:f>
          </x14:formula1>
          <xm:sqref>B6</xm:sqref>
        </x14:dataValidation>
        <x14:dataValidation type="list" allowBlank="1" showInputMessage="1" showErrorMessage="1" xr:uid="{2C8ACF0C-B8D3-42DC-89CB-21794E497D6A}">
          <x14:formula1>
            <xm:f>'ADC input impedance'!$B$2:$B$9</xm:f>
          </x14:formula1>
          <xm:sqref>H4</xm:sqref>
        </x14:dataValidation>
        <x14:dataValidation type="list" allowBlank="1" showInputMessage="1" showErrorMessage="1" xr:uid="{38B6154C-7947-4967-BCB3-069383FB0549}">
          <x14:formula1>
            <xm:f>'ADC input impedance'!$A$2:$A$5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5EE4-A59B-4A29-931F-D9C72DE2BBE5}">
  <dimension ref="A1:T35"/>
  <sheetViews>
    <sheetView workbookViewId="0">
      <selection activeCell="G12" sqref="G12"/>
    </sheetView>
  </sheetViews>
  <sheetFormatPr defaultRowHeight="15" x14ac:dyDescent="0.25"/>
  <cols>
    <col min="1" max="1" width="23.7109375" bestFit="1" customWidth="1"/>
    <col min="7" max="7" width="22.5703125" bestFit="1" customWidth="1"/>
    <col min="8" max="8" width="12" bestFit="1" customWidth="1"/>
  </cols>
  <sheetData>
    <row r="1" spans="1:9" s="16" customFormat="1" ht="20.25" thickBot="1" x14ac:dyDescent="0.35">
      <c r="A1" s="16" t="s">
        <v>61</v>
      </c>
    </row>
    <row r="2" spans="1:9" ht="15.75" thickTop="1" x14ac:dyDescent="0.25">
      <c r="A2" t="s">
        <v>62</v>
      </c>
      <c r="B2" s="9">
        <v>12</v>
      </c>
      <c r="C2" t="s">
        <v>3</v>
      </c>
      <c r="G2" t="s">
        <v>98</v>
      </c>
      <c r="H2" s="9">
        <v>5</v>
      </c>
      <c r="I2" t="s">
        <v>84</v>
      </c>
    </row>
    <row r="3" spans="1:9" x14ac:dyDescent="0.25">
      <c r="B3" s="12" t="s">
        <v>45</v>
      </c>
      <c r="C3" s="14" t="s">
        <v>43</v>
      </c>
      <c r="G3" t="s">
        <v>63</v>
      </c>
      <c r="H3" s="9">
        <f>0.001</f>
        <v>1E-3</v>
      </c>
      <c r="I3" t="s">
        <v>64</v>
      </c>
    </row>
    <row r="4" spans="1:9" x14ac:dyDescent="0.25">
      <c r="A4" t="s">
        <v>44</v>
      </c>
      <c r="B4" s="9">
        <v>97.6</v>
      </c>
      <c r="C4" s="9">
        <v>2</v>
      </c>
      <c r="D4" s="18" t="s">
        <v>65</v>
      </c>
      <c r="E4" s="9">
        <v>1</v>
      </c>
      <c r="F4" t="s">
        <v>6</v>
      </c>
      <c r="G4" t="s">
        <v>85</v>
      </c>
      <c r="H4" s="9">
        <v>247.5</v>
      </c>
    </row>
    <row r="5" spans="1:9" x14ac:dyDescent="0.25">
      <c r="A5" t="s">
        <v>46</v>
      </c>
      <c r="B5" s="9">
        <v>19.600000000000001</v>
      </c>
      <c r="C5" s="9">
        <v>2</v>
      </c>
      <c r="D5" s="18" t="s">
        <v>65</v>
      </c>
      <c r="E5" s="9">
        <v>1</v>
      </c>
      <c r="F5" t="s">
        <v>6</v>
      </c>
      <c r="G5" t="s">
        <v>37</v>
      </c>
      <c r="H5" s="9">
        <v>12</v>
      </c>
      <c r="I5" t="s">
        <v>38</v>
      </c>
    </row>
    <row r="6" spans="1:9" s="17" customFormat="1" x14ac:dyDescent="0.25">
      <c r="A6" t="s">
        <v>66</v>
      </c>
      <c r="B6" s="9">
        <v>0</v>
      </c>
      <c r="C6" s="9">
        <v>0</v>
      </c>
      <c r="D6" s="18" t="s">
        <v>65</v>
      </c>
      <c r="E6" s="9">
        <v>1</v>
      </c>
      <c r="F6" t="s">
        <v>6</v>
      </c>
    </row>
    <row r="7" spans="1:9" s="17" customFormat="1" x14ac:dyDescent="0.25">
      <c r="A7" t="s">
        <v>67</v>
      </c>
      <c r="B7" s="9">
        <v>100</v>
      </c>
      <c r="C7" s="9">
        <v>-9</v>
      </c>
      <c r="D7" s="18" t="s">
        <v>65</v>
      </c>
      <c r="E7" s="9">
        <v>5</v>
      </c>
      <c r="F7" t="s">
        <v>6</v>
      </c>
      <c r="G7" t="s">
        <v>93</v>
      </c>
      <c r="H7" s="17" t="b">
        <f>MAX(H16:H19)&lt;$B$9</f>
        <v>1</v>
      </c>
    </row>
    <row r="8" spans="1:9" x14ac:dyDescent="0.25">
      <c r="G8" t="s">
        <v>94</v>
      </c>
      <c r="H8" t="b">
        <f>MAX(B22:D22)&lt;H2</f>
        <v>1</v>
      </c>
    </row>
    <row r="9" spans="1:9" x14ac:dyDescent="0.25">
      <c r="A9" t="s">
        <v>47</v>
      </c>
      <c r="B9" s="9">
        <v>3.3</v>
      </c>
      <c r="C9" t="s">
        <v>3</v>
      </c>
      <c r="G9" t="s">
        <v>95</v>
      </c>
      <c r="H9" t="b">
        <f>MAX(D34:E34) &lt; B35</f>
        <v>1</v>
      </c>
    </row>
    <row r="10" spans="1:9" x14ac:dyDescent="0.25">
      <c r="A10" t="s">
        <v>37</v>
      </c>
      <c r="B10" s="9">
        <v>12</v>
      </c>
      <c r="C10" t="s">
        <v>38</v>
      </c>
    </row>
    <row r="11" spans="1:9" x14ac:dyDescent="0.25">
      <c r="G11" t="s">
        <v>99</v>
      </c>
      <c r="H11" t="b">
        <f>AND(H7:H9)</f>
        <v>1</v>
      </c>
    </row>
    <row r="12" spans="1:9" s="16" customFormat="1" ht="20.25" thickBot="1" x14ac:dyDescent="0.35">
      <c r="A12" s="16" t="s">
        <v>73</v>
      </c>
    </row>
    <row r="13" spans="1:9" ht="15.75" thickTop="1" x14ac:dyDescent="0.25">
      <c r="A13" t="s">
        <v>50</v>
      </c>
      <c r="B13" s="1">
        <f>(B9/(2^B10)/(B17/(B17+B16)))*1000</f>
        <v>4.8175422512755093</v>
      </c>
      <c r="C13" t="s">
        <v>48</v>
      </c>
    </row>
    <row r="14" spans="1:9" x14ac:dyDescent="0.25">
      <c r="A14" t="s">
        <v>51</v>
      </c>
      <c r="B14" s="1">
        <f>(B13/1000)*(2^B10)</f>
        <v>19.732653061224486</v>
      </c>
      <c r="C14" t="s">
        <v>3</v>
      </c>
    </row>
    <row r="15" spans="1:9" x14ac:dyDescent="0.25">
      <c r="D15" t="s">
        <v>9</v>
      </c>
      <c r="E15" t="s">
        <v>10</v>
      </c>
    </row>
    <row r="16" spans="1:9" x14ac:dyDescent="0.25">
      <c r="A16" t="s">
        <v>16</v>
      </c>
      <c r="B16" s="1">
        <f>B4*(10^C4)</f>
        <v>9760</v>
      </c>
      <c r="C16" t="s">
        <v>8</v>
      </c>
      <c r="D16" s="1">
        <f>B16*(1+(E4/100))</f>
        <v>9857.6</v>
      </c>
      <c r="E16" s="1">
        <f>B16*(1-(E4/100))</f>
        <v>9662.4</v>
      </c>
      <c r="F16" t="s">
        <v>8</v>
      </c>
      <c r="H16" s="5">
        <f>$B$2*(D17/(D17+D16))</f>
        <v>2.0068259385665526</v>
      </c>
      <c r="I16" t="s">
        <v>3</v>
      </c>
    </row>
    <row r="17" spans="1:20" x14ac:dyDescent="0.25">
      <c r="A17" t="s">
        <v>68</v>
      </c>
      <c r="B17" s="1">
        <f>B5*(10^C5)</f>
        <v>1960.0000000000002</v>
      </c>
      <c r="C17" t="s">
        <v>8</v>
      </c>
      <c r="D17" s="1">
        <f>B17*(1+(E5/100))</f>
        <v>1979.6000000000001</v>
      </c>
      <c r="E17" s="1">
        <f>B17*(1-(E5/100))</f>
        <v>1940.4000000000003</v>
      </c>
      <c r="F17" t="s">
        <v>8</v>
      </c>
      <c r="H17" s="5">
        <f>$B$2*(E17/(E17+E16))</f>
        <v>2.0068259385665534</v>
      </c>
      <c r="I17" t="s">
        <v>3</v>
      </c>
      <c r="K17" s="39" t="s">
        <v>72</v>
      </c>
      <c r="L17" s="39"/>
      <c r="M17" s="39"/>
      <c r="N17" s="39"/>
      <c r="O17" s="39"/>
      <c r="P17" s="39"/>
      <c r="Q17" s="39"/>
      <c r="R17" s="39"/>
      <c r="S17" s="39"/>
      <c r="T17" s="39"/>
    </row>
    <row r="18" spans="1:20" x14ac:dyDescent="0.25">
      <c r="H18" s="5">
        <f>$B$2*(D17/(D17+E16))</f>
        <v>2.0404741453358533</v>
      </c>
      <c r="I18" t="s">
        <v>3</v>
      </c>
    </row>
    <row r="19" spans="1:20" x14ac:dyDescent="0.25">
      <c r="H19" s="5">
        <f>$B$2*(E17/(E17+D16))</f>
        <v>1.9736226479064252</v>
      </c>
      <c r="I19" t="s">
        <v>3</v>
      </c>
    </row>
    <row r="20" spans="1:20" x14ac:dyDescent="0.25">
      <c r="B20" s="14" t="s">
        <v>9</v>
      </c>
      <c r="C20" s="14" t="s">
        <v>35</v>
      </c>
      <c r="D20" s="14" t="s">
        <v>10</v>
      </c>
      <c r="G20" s="6"/>
    </row>
    <row r="21" spans="1:20" x14ac:dyDescent="0.25">
      <c r="A21" t="s">
        <v>69</v>
      </c>
      <c r="B21" s="7">
        <f>MAX(H16:H19)</f>
        <v>2.0404741453358533</v>
      </c>
      <c r="C21" s="7">
        <f>$B$2*(B17/(B17+B16))</f>
        <v>2.006825938566553</v>
      </c>
      <c r="D21" s="7">
        <f>MIN(H16:H19)</f>
        <v>1.9736226479064252</v>
      </c>
      <c r="E21" s="6" t="s">
        <v>3</v>
      </c>
      <c r="F21" s="6"/>
    </row>
    <row r="22" spans="1:20" x14ac:dyDescent="0.25">
      <c r="A22" t="s">
        <v>83</v>
      </c>
      <c r="B22" s="7">
        <f>($B$2/$B$16)*1000</f>
        <v>1.2295081967213115</v>
      </c>
      <c r="C22" s="7">
        <f t="shared" ref="C22:D22" si="0">($B$2/$B$16)*1000</f>
        <v>1.2295081967213115</v>
      </c>
      <c r="D22" s="7">
        <f t="shared" si="0"/>
        <v>1.2295081967213115</v>
      </c>
      <c r="E22" s="6" t="s">
        <v>84</v>
      </c>
      <c r="F22" s="6"/>
    </row>
    <row r="24" spans="1:20" s="16" customFormat="1" ht="20.25" thickBot="1" x14ac:dyDescent="0.35">
      <c r="A24" s="16" t="s">
        <v>74</v>
      </c>
    </row>
    <row r="25" spans="1:20" ht="15.75" thickTop="1" x14ac:dyDescent="0.25">
      <c r="A25" t="s">
        <v>70</v>
      </c>
      <c r="B25" s="1">
        <f>1/H3</f>
        <v>1000</v>
      </c>
      <c r="C25" t="s">
        <v>71</v>
      </c>
    </row>
    <row r="26" spans="1:20" x14ac:dyDescent="0.25">
      <c r="A26" t="s">
        <v>75</v>
      </c>
      <c r="B26" s="1">
        <f>B25/2</f>
        <v>500</v>
      </c>
      <c r="C26" t="s">
        <v>71</v>
      </c>
      <c r="D26" s="1">
        <f>B25/5</f>
        <v>200</v>
      </c>
      <c r="E26" t="s">
        <v>71</v>
      </c>
      <c r="F26" s="19" t="s">
        <v>76</v>
      </c>
    </row>
    <row r="27" spans="1:20" x14ac:dyDescent="0.25">
      <c r="D27" t="s">
        <v>9</v>
      </c>
      <c r="E27" t="s">
        <v>10</v>
      </c>
    </row>
    <row r="28" spans="1:20" x14ac:dyDescent="0.25">
      <c r="A28" t="s">
        <v>78</v>
      </c>
      <c r="B28" s="1">
        <f>B6*(10^C6)</f>
        <v>0</v>
      </c>
      <c r="C28" t="s">
        <v>8</v>
      </c>
      <c r="D28" s="1">
        <f>B28*(1+(E6/100))</f>
        <v>0</v>
      </c>
      <c r="E28" s="1">
        <f>B28*(1-(E6/100))</f>
        <v>0</v>
      </c>
      <c r="F28" t="s">
        <v>8</v>
      </c>
    </row>
    <row r="29" spans="1:20" x14ac:dyDescent="0.25">
      <c r="A29" t="s">
        <v>81</v>
      </c>
      <c r="B29" s="1">
        <f>B7*(10^C7)</f>
        <v>1.0000000000000001E-7</v>
      </c>
      <c r="C29" t="s">
        <v>80</v>
      </c>
      <c r="D29" s="1">
        <f>B29*(1+(E7/100))</f>
        <v>1.0500000000000001E-7</v>
      </c>
      <c r="E29" s="1">
        <f>B29*(1-(E7/100))</f>
        <v>9.5000000000000004E-8</v>
      </c>
      <c r="F29" t="s">
        <v>80</v>
      </c>
    </row>
    <row r="31" spans="1:20" x14ac:dyDescent="0.25">
      <c r="A31" t="s">
        <v>77</v>
      </c>
      <c r="B31" s="1">
        <f>(B16 + B28) * B29</f>
        <v>9.7600000000000009E-4</v>
      </c>
      <c r="D31" s="1">
        <f>(D28 + D16) * D29</f>
        <v>1.0350480000000002E-3</v>
      </c>
      <c r="E31" s="1">
        <f>(E16 + E28) * E29</f>
        <v>9.1792800000000004E-4</v>
      </c>
    </row>
    <row r="32" spans="1:20" x14ac:dyDescent="0.25">
      <c r="A32" t="s">
        <v>82</v>
      </c>
      <c r="B32" s="1">
        <f>1 / ( (2*PI()) * B31 )</f>
        <v>163.06858923349932</v>
      </c>
      <c r="C32" t="s">
        <v>71</v>
      </c>
      <c r="D32" s="1">
        <f>1 / ( (2*PI()) * D31 )</f>
        <v>153.76576071051323</v>
      </c>
      <c r="E32" s="1">
        <f>1 / ( (2*PI()) * E31 )</f>
        <v>173.38499652684669</v>
      </c>
      <c r="F32" t="s">
        <v>71</v>
      </c>
    </row>
    <row r="34" spans="1:6" x14ac:dyDescent="0.25">
      <c r="A34" t="s">
        <v>96</v>
      </c>
      <c r="B34" s="1">
        <f>B16+B28</f>
        <v>9760</v>
      </c>
      <c r="C34" t="s">
        <v>8</v>
      </c>
      <c r="D34" s="1">
        <f>D16+D28</f>
        <v>9857.6</v>
      </c>
      <c r="E34" s="1">
        <f>E16+E28</f>
        <v>9662.4</v>
      </c>
      <c r="F34" t="s">
        <v>8</v>
      </c>
    </row>
    <row r="35" spans="1:6" x14ac:dyDescent="0.25">
      <c r="A35" t="s">
        <v>97</v>
      </c>
      <c r="B35" s="1">
        <f>VLOOKUP(CONCATENATE(H5, "_", H4), 'ADC input impedance'!$H:$I,2,FALSE)</f>
        <v>10000</v>
      </c>
      <c r="C35" t="s">
        <v>8</v>
      </c>
    </row>
  </sheetData>
  <mergeCells count="1">
    <mergeCell ref="K17:T17"/>
  </mergeCells>
  <conditionalFormatting sqref="H7:H9 H1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1927492-6FF6-4112-BCB5-C45EECBDF6A4}">
          <x14:formula1>
            <xm:f>'ADC input impedance'!$A$2:$A$5</xm:f>
          </x14:formula1>
          <xm:sqref>H5</xm:sqref>
        </x14:dataValidation>
        <x14:dataValidation type="list" allowBlank="1" showInputMessage="1" showErrorMessage="1" xr:uid="{002DC8F3-F058-4511-9A10-858936C347F4}">
          <x14:formula1>
            <xm:f>'ADC input impedance'!$B$2:$B$9</xm:f>
          </x14:formula1>
          <xm:sqref>H4</xm:sqref>
        </x14:dataValidation>
        <x14:dataValidation type="list" allowBlank="1" showInputMessage="1" showErrorMessage="1" xr:uid="{904B3848-11B8-4AFE-BA48-C1F967D7F638}">
          <x14:formula1>
            <xm:f>'Typical Component Values'!$A$3:$A$99</xm:f>
          </x14:formula1>
          <xm:sqref>B6</xm:sqref>
        </x14:dataValidation>
        <x14:dataValidation type="list" allowBlank="1" showInputMessage="1" showErrorMessage="1" xr:uid="{67B4729F-3F9B-4CD5-AA04-41EEDD63C944}">
          <x14:formula1>
            <xm:f>'Typical Component Values'!$B$3:$B$8</xm:f>
          </x14:formula1>
          <xm:sqref>C4:C6</xm:sqref>
        </x14:dataValidation>
        <x14:dataValidation type="list" allowBlank="1" showInputMessage="1" showErrorMessage="1" xr:uid="{2A728600-1092-4A73-A1BC-A106525ECCAF}">
          <x14:formula1>
            <xm:f>'Typical Component Values'!$A$4:$A$99</xm:f>
          </x14:formula1>
          <xm:sqref>B4:B5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817D-29D0-4AF4-8DA6-BE870A176627}">
  <dimension ref="A1:J26"/>
  <sheetViews>
    <sheetView zoomScale="122" zoomScaleNormal="122" workbookViewId="0">
      <selection activeCell="B13" sqref="B13"/>
    </sheetView>
  </sheetViews>
  <sheetFormatPr defaultRowHeight="15" x14ac:dyDescent="0.25"/>
  <cols>
    <col min="1" max="1" width="26.7109375" bestFit="1" customWidth="1"/>
    <col min="2" max="2" width="18" bestFit="1" customWidth="1"/>
    <col min="3" max="4" width="16" customWidth="1"/>
  </cols>
  <sheetData>
    <row r="1" spans="1:6" x14ac:dyDescent="0.25">
      <c r="A1" t="s">
        <v>24</v>
      </c>
      <c r="B1">
        <v>20</v>
      </c>
      <c r="C1" t="s">
        <v>25</v>
      </c>
    </row>
    <row r="2" spans="1:6" x14ac:dyDescent="0.25">
      <c r="A2" t="s">
        <v>26</v>
      </c>
      <c r="B2">
        <v>50</v>
      </c>
      <c r="C2" t="s">
        <v>25</v>
      </c>
    </row>
    <row r="3" spans="1:6" x14ac:dyDescent="0.25">
      <c r="A3" t="s">
        <v>27</v>
      </c>
      <c r="B3">
        <v>100</v>
      </c>
      <c r="C3" t="s">
        <v>25</v>
      </c>
    </row>
    <row r="5" spans="1:6" x14ac:dyDescent="0.25">
      <c r="A5" t="s">
        <v>36</v>
      </c>
      <c r="B5" s="9">
        <v>3.3</v>
      </c>
      <c r="C5" t="s">
        <v>3</v>
      </c>
    </row>
    <row r="6" spans="1:6" x14ac:dyDescent="0.25">
      <c r="A6" t="s">
        <v>37</v>
      </c>
      <c r="B6" s="9">
        <v>12</v>
      </c>
      <c r="C6" t="s">
        <v>38</v>
      </c>
    </row>
    <row r="7" spans="1:6" x14ac:dyDescent="0.25">
      <c r="C7" s="15" t="s">
        <v>9</v>
      </c>
      <c r="D7" s="15" t="s">
        <v>10</v>
      </c>
    </row>
    <row r="8" spans="1:6" x14ac:dyDescent="0.25">
      <c r="A8" t="s">
        <v>28</v>
      </c>
      <c r="B8" s="9">
        <v>0.05</v>
      </c>
      <c r="C8" s="1">
        <f>B8*(1+(B9/100))</f>
        <v>5.0500000000000003E-2</v>
      </c>
      <c r="D8" s="1">
        <f>B8*(1-(B9/100))</f>
        <v>4.9500000000000002E-2</v>
      </c>
      <c r="E8" t="s">
        <v>8</v>
      </c>
      <c r="F8" t="s">
        <v>8</v>
      </c>
    </row>
    <row r="9" spans="1:6" x14ac:dyDescent="0.25">
      <c r="A9" t="s">
        <v>34</v>
      </c>
      <c r="B9" s="9">
        <v>1</v>
      </c>
      <c r="F9" t="s">
        <v>6</v>
      </c>
    </row>
    <row r="10" spans="1:6" x14ac:dyDescent="0.25">
      <c r="A10" t="s">
        <v>29</v>
      </c>
      <c r="B10" s="9">
        <v>2</v>
      </c>
      <c r="F10" t="s">
        <v>1</v>
      </c>
    </row>
    <row r="11" spans="1:6" x14ac:dyDescent="0.25">
      <c r="A11" t="s">
        <v>30</v>
      </c>
      <c r="B11" s="1">
        <f>B8*B10</f>
        <v>0.1</v>
      </c>
      <c r="C11" s="1">
        <f>C8*$B$10</f>
        <v>0.10100000000000001</v>
      </c>
      <c r="D11" s="1">
        <f>D8*$B$10</f>
        <v>9.9000000000000005E-2</v>
      </c>
      <c r="E11" t="s">
        <v>3</v>
      </c>
      <c r="F11" t="s">
        <v>3</v>
      </c>
    </row>
    <row r="13" spans="1:6" x14ac:dyDescent="0.25">
      <c r="A13" t="s">
        <v>31</v>
      </c>
      <c r="B13" s="1">
        <f>POWER($B$10,2)*B8</f>
        <v>0.2</v>
      </c>
      <c r="C13" s="1">
        <f>POWER($B$10,2)*C8</f>
        <v>0.20200000000000001</v>
      </c>
      <c r="D13" s="1">
        <f>POWER($B$10,2)*D8</f>
        <v>0.19800000000000001</v>
      </c>
      <c r="E13" t="s">
        <v>32</v>
      </c>
      <c r="F13" t="s">
        <v>32</v>
      </c>
    </row>
    <row r="16" spans="1:6" x14ac:dyDescent="0.25">
      <c r="A16" t="s">
        <v>33</v>
      </c>
      <c r="B16" s="15" t="s">
        <v>35</v>
      </c>
      <c r="C16" s="15" t="s">
        <v>9</v>
      </c>
      <c r="D16" t="s">
        <v>10</v>
      </c>
    </row>
    <row r="17" spans="1:10" x14ac:dyDescent="0.25">
      <c r="A17" t="s">
        <v>24</v>
      </c>
      <c r="B17" s="11">
        <f>$B1*B$8*$B$10</f>
        <v>2</v>
      </c>
      <c r="C17" s="11">
        <f>$B1*C$8*$B$10</f>
        <v>2.02</v>
      </c>
      <c r="D17" s="11">
        <f>$B1*D$8*$B$10</f>
        <v>1.98</v>
      </c>
    </row>
    <row r="18" spans="1:10" x14ac:dyDescent="0.25">
      <c r="A18" t="s">
        <v>26</v>
      </c>
      <c r="B18" s="11">
        <f t="shared" ref="B18:D19" si="0">$B2*B$8*$B$10</f>
        <v>5</v>
      </c>
      <c r="C18" s="11">
        <f t="shared" si="0"/>
        <v>5.0500000000000007</v>
      </c>
      <c r="D18" s="11">
        <f t="shared" si="0"/>
        <v>4.95</v>
      </c>
    </row>
    <row r="19" spans="1:10" x14ac:dyDescent="0.25">
      <c r="A19" t="s">
        <v>27</v>
      </c>
      <c r="B19" s="11">
        <f t="shared" si="0"/>
        <v>10</v>
      </c>
      <c r="C19" s="11">
        <f t="shared" si="0"/>
        <v>10.100000000000001</v>
      </c>
      <c r="D19" s="11">
        <f t="shared" si="0"/>
        <v>9.9</v>
      </c>
    </row>
    <row r="22" spans="1:10" x14ac:dyDescent="0.25">
      <c r="A22" t="s">
        <v>39</v>
      </c>
      <c r="B22" s="4">
        <f>(B5/(2^B6))*1000</f>
        <v>0.8056640625</v>
      </c>
      <c r="C22" t="s">
        <v>48</v>
      </c>
    </row>
    <row r="23" spans="1:10" x14ac:dyDescent="0.25">
      <c r="B23" t="s">
        <v>40</v>
      </c>
      <c r="D23" s="39" t="s">
        <v>41</v>
      </c>
      <c r="E23" s="39"/>
      <c r="F23" s="39"/>
    </row>
    <row r="24" spans="1:10" x14ac:dyDescent="0.25">
      <c r="A24" s="22" t="s">
        <v>24</v>
      </c>
      <c r="B24" s="23">
        <f>($B$22)/(B1*$B$8)</f>
        <v>0.8056640625</v>
      </c>
      <c r="C24" s="22" t="s">
        <v>49</v>
      </c>
      <c r="D24" s="22">
        <f>(B24/1000)*(2^$B$6)</f>
        <v>3.3</v>
      </c>
      <c r="E24" s="22" t="s">
        <v>1</v>
      </c>
      <c r="F24" s="22" t="s">
        <v>101</v>
      </c>
      <c r="G24" s="22"/>
      <c r="H24" s="22"/>
      <c r="I24" s="22"/>
      <c r="J24" s="22"/>
    </row>
    <row r="25" spans="1:10" x14ac:dyDescent="0.25">
      <c r="A25" t="s">
        <v>26</v>
      </c>
      <c r="B25" s="4">
        <f>($B$22)/(B2*$B$8)</f>
        <v>0.322265625</v>
      </c>
      <c r="C25" t="s">
        <v>49</v>
      </c>
      <c r="D25">
        <f t="shared" ref="D25" si="1">(B25/1000)*(2^$B$6)</f>
        <v>1.32</v>
      </c>
      <c r="E25" t="s">
        <v>1</v>
      </c>
    </row>
    <row r="26" spans="1:10" x14ac:dyDescent="0.25">
      <c r="A26" t="s">
        <v>27</v>
      </c>
      <c r="B26" s="4">
        <f>($B$22)/(B3*$B$8)</f>
        <v>0.1611328125</v>
      </c>
      <c r="C26" t="s">
        <v>49</v>
      </c>
      <c r="D26">
        <f>(B26/1000)*(2^$B$6)</f>
        <v>0.66</v>
      </c>
      <c r="E26" t="s">
        <v>1</v>
      </c>
    </row>
  </sheetData>
  <mergeCells count="1">
    <mergeCell ref="D23:F23"/>
  </mergeCells>
  <conditionalFormatting sqref="B17:D19">
    <cfRule type="expression" dxfId="5" priority="1">
      <formula>B17&gt;$B$5</formula>
    </cfRule>
    <cfRule type="expression" dxfId="4" priority="2">
      <formula>B17&lt;=$B$5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6824-C615-4309-9AF4-2FABBFC0E601}">
  <dimension ref="A1:T35"/>
  <sheetViews>
    <sheetView workbookViewId="0">
      <selection activeCell="B17" sqref="B17"/>
    </sheetView>
  </sheetViews>
  <sheetFormatPr defaultRowHeight="15" x14ac:dyDescent="0.25"/>
  <cols>
    <col min="1" max="1" width="23.7109375" bestFit="1" customWidth="1"/>
    <col min="7" max="7" width="22.5703125" bestFit="1" customWidth="1"/>
    <col min="8" max="8" width="12" bestFit="1" customWidth="1"/>
  </cols>
  <sheetData>
    <row r="1" spans="1:9" s="16" customFormat="1" ht="20.25" thickBot="1" x14ac:dyDescent="0.35">
      <c r="A1" s="16" t="s">
        <v>61</v>
      </c>
    </row>
    <row r="2" spans="1:9" ht="15.75" thickTop="1" x14ac:dyDescent="0.25">
      <c r="A2" t="s">
        <v>62</v>
      </c>
      <c r="B2" s="9">
        <v>5</v>
      </c>
      <c r="C2" t="s">
        <v>3</v>
      </c>
      <c r="G2" t="s">
        <v>98</v>
      </c>
      <c r="H2" s="9">
        <v>5</v>
      </c>
      <c r="I2" t="s">
        <v>84</v>
      </c>
    </row>
    <row r="3" spans="1:9" x14ac:dyDescent="0.25">
      <c r="B3" s="12" t="s">
        <v>45</v>
      </c>
      <c r="C3" s="15" t="s">
        <v>43</v>
      </c>
      <c r="G3" t="s">
        <v>63</v>
      </c>
      <c r="H3" s="9">
        <f>0.001</f>
        <v>1E-3</v>
      </c>
      <c r="I3" t="s">
        <v>64</v>
      </c>
    </row>
    <row r="4" spans="1:9" x14ac:dyDescent="0.25">
      <c r="A4" t="s">
        <v>44</v>
      </c>
      <c r="B4" s="9">
        <v>97.6</v>
      </c>
      <c r="C4" s="9">
        <v>2</v>
      </c>
      <c r="D4" s="18" t="s">
        <v>65</v>
      </c>
      <c r="E4" s="9">
        <v>1</v>
      </c>
      <c r="F4" t="s">
        <v>6</v>
      </c>
      <c r="G4" t="s">
        <v>85</v>
      </c>
      <c r="H4" s="9">
        <v>247.5</v>
      </c>
    </row>
    <row r="5" spans="1:9" x14ac:dyDescent="0.25">
      <c r="A5" t="s">
        <v>46</v>
      </c>
      <c r="B5" s="9">
        <v>64.900000000000006</v>
      </c>
      <c r="C5" s="9">
        <v>2</v>
      </c>
      <c r="D5" s="18" t="s">
        <v>65</v>
      </c>
      <c r="E5" s="9">
        <v>1</v>
      </c>
      <c r="F5" t="s">
        <v>6</v>
      </c>
      <c r="G5" t="s">
        <v>37</v>
      </c>
      <c r="H5" s="9">
        <v>12</v>
      </c>
      <c r="I5" t="s">
        <v>38</v>
      </c>
    </row>
    <row r="6" spans="1:9" s="17" customFormat="1" x14ac:dyDescent="0.25">
      <c r="A6" t="s">
        <v>66</v>
      </c>
      <c r="B6" s="9">
        <v>0</v>
      </c>
      <c r="C6" s="9">
        <v>0</v>
      </c>
      <c r="D6" s="18" t="s">
        <v>65</v>
      </c>
      <c r="E6" s="9">
        <v>1</v>
      </c>
      <c r="F6" t="s">
        <v>6</v>
      </c>
    </row>
    <row r="7" spans="1:9" s="17" customFormat="1" x14ac:dyDescent="0.25">
      <c r="A7" t="s">
        <v>67</v>
      </c>
      <c r="B7" s="9">
        <v>100</v>
      </c>
      <c r="C7" s="9">
        <v>-9</v>
      </c>
      <c r="D7" s="18" t="s">
        <v>65</v>
      </c>
      <c r="E7" s="9">
        <v>5</v>
      </c>
      <c r="F7" t="s">
        <v>6</v>
      </c>
      <c r="G7" t="s">
        <v>93</v>
      </c>
      <c r="H7" s="17" t="b">
        <f>MAX(H16:H19)&lt;$B$9</f>
        <v>1</v>
      </c>
    </row>
    <row r="8" spans="1:9" x14ac:dyDescent="0.25">
      <c r="G8" t="s">
        <v>94</v>
      </c>
      <c r="H8" t="b">
        <f>MAX(B22:D22)&lt;H2</f>
        <v>1</v>
      </c>
    </row>
    <row r="9" spans="1:9" x14ac:dyDescent="0.25">
      <c r="A9" t="s">
        <v>47</v>
      </c>
      <c r="B9" s="9">
        <v>3.3</v>
      </c>
      <c r="C9" t="s">
        <v>3</v>
      </c>
      <c r="G9" t="s">
        <v>95</v>
      </c>
      <c r="H9" t="b">
        <f>MAX(D34:E34) &lt; B35</f>
        <v>1</v>
      </c>
    </row>
    <row r="10" spans="1:9" x14ac:dyDescent="0.25">
      <c r="A10" t="s">
        <v>37</v>
      </c>
      <c r="B10" s="9">
        <v>12</v>
      </c>
      <c r="C10" t="s">
        <v>38</v>
      </c>
    </row>
    <row r="11" spans="1:9" x14ac:dyDescent="0.25">
      <c r="G11" t="s">
        <v>99</v>
      </c>
      <c r="H11" t="b">
        <f>AND(H7:H9)</f>
        <v>1</v>
      </c>
    </row>
    <row r="12" spans="1:9" s="16" customFormat="1" ht="20.25" thickBot="1" x14ac:dyDescent="0.35">
      <c r="A12" s="16" t="s">
        <v>73</v>
      </c>
    </row>
    <row r="13" spans="1:9" ht="15.75" thickTop="1" x14ac:dyDescent="0.25">
      <c r="A13" t="s">
        <v>50</v>
      </c>
      <c r="B13" s="1">
        <f>(B9/(2^B10)/(B17/(B17+B16)))*1000</f>
        <v>2.017263638771186</v>
      </c>
      <c r="C13" t="s">
        <v>48</v>
      </c>
    </row>
    <row r="14" spans="1:9" x14ac:dyDescent="0.25">
      <c r="A14" t="s">
        <v>51</v>
      </c>
      <c r="B14" s="1">
        <f>(B13/1000)*(2^B10)</f>
        <v>8.2627118644067785</v>
      </c>
      <c r="C14" t="s">
        <v>3</v>
      </c>
    </row>
    <row r="15" spans="1:9" x14ac:dyDescent="0.25">
      <c r="D15" t="s">
        <v>9</v>
      </c>
      <c r="E15" t="s">
        <v>10</v>
      </c>
    </row>
    <row r="16" spans="1:9" x14ac:dyDescent="0.25">
      <c r="A16" t="s">
        <v>16</v>
      </c>
      <c r="B16" s="1">
        <f>B4*(10^C4)</f>
        <v>9760</v>
      </c>
      <c r="C16" t="s">
        <v>8</v>
      </c>
      <c r="D16" s="1">
        <f>B16*(1+(E4/100))</f>
        <v>9857.6</v>
      </c>
      <c r="E16" s="1">
        <f>B16*(1-(E4/100))</f>
        <v>9662.4</v>
      </c>
      <c r="F16" t="s">
        <v>8</v>
      </c>
      <c r="H16" s="5">
        <f>$B$2*(D17/(D17+D16))</f>
        <v>1.996923076923077</v>
      </c>
      <c r="I16" t="s">
        <v>3</v>
      </c>
    </row>
    <row r="17" spans="1:20" x14ac:dyDescent="0.25">
      <c r="A17" t="s">
        <v>68</v>
      </c>
      <c r="B17" s="1">
        <f>B5*(10^C5)</f>
        <v>6490.0000000000009</v>
      </c>
      <c r="C17" t="s">
        <v>8</v>
      </c>
      <c r="D17" s="1">
        <f>B17*(1+(E5/100))</f>
        <v>6554.9000000000005</v>
      </c>
      <c r="E17" s="1">
        <f>B17*(1-(E5/100))</f>
        <v>6425.1000000000013</v>
      </c>
      <c r="F17" t="s">
        <v>8</v>
      </c>
      <c r="H17" s="5">
        <f>$B$2*(E17/(E17+E16))</f>
        <v>1.9969230769230772</v>
      </c>
      <c r="I17" t="s">
        <v>3</v>
      </c>
      <c r="K17" s="39" t="s">
        <v>72</v>
      </c>
      <c r="L17" s="39"/>
      <c r="M17" s="39"/>
      <c r="N17" s="39"/>
      <c r="O17" s="39"/>
      <c r="P17" s="39"/>
      <c r="Q17" s="39"/>
      <c r="R17" s="39"/>
      <c r="S17" s="39"/>
      <c r="T17" s="39"/>
    </row>
    <row r="18" spans="1:20" x14ac:dyDescent="0.25">
      <c r="H18" s="5">
        <f>$B$2*(D17/(D17+E16))</f>
        <v>2.0209590992335351</v>
      </c>
      <c r="I18" t="s">
        <v>3</v>
      </c>
    </row>
    <row r="19" spans="1:20" x14ac:dyDescent="0.25">
      <c r="H19" s="5">
        <f>$B$2*(E17/(E17+D16))</f>
        <v>1.9729835960866442</v>
      </c>
      <c r="I19" t="s">
        <v>3</v>
      </c>
    </row>
    <row r="20" spans="1:20" x14ac:dyDescent="0.25">
      <c r="B20" s="15" t="s">
        <v>9</v>
      </c>
      <c r="C20" s="15" t="s">
        <v>35</v>
      </c>
      <c r="D20" s="15" t="s">
        <v>10</v>
      </c>
      <c r="G20" s="6"/>
    </row>
    <row r="21" spans="1:20" x14ac:dyDescent="0.25">
      <c r="A21" t="s">
        <v>69</v>
      </c>
      <c r="B21" s="7">
        <f>MAX(H16:H19)</f>
        <v>2.0209590992335351</v>
      </c>
      <c r="C21" s="7">
        <f>$B$2*(B17/(B17+B16))</f>
        <v>1.9969230769230772</v>
      </c>
      <c r="D21" s="7">
        <f>MIN(H16:H19)</f>
        <v>1.9729835960866442</v>
      </c>
      <c r="E21" s="6" t="s">
        <v>3</v>
      </c>
      <c r="F21" s="6"/>
    </row>
    <row r="22" spans="1:20" x14ac:dyDescent="0.25">
      <c r="A22" t="s">
        <v>83</v>
      </c>
      <c r="B22" s="7">
        <f>($B$2/$B$16)*1000</f>
        <v>0.51229508196721318</v>
      </c>
      <c r="C22" s="7">
        <f t="shared" ref="C22:D22" si="0">($B$2/$B$16)*1000</f>
        <v>0.51229508196721318</v>
      </c>
      <c r="D22" s="7">
        <f t="shared" si="0"/>
        <v>0.51229508196721318</v>
      </c>
      <c r="E22" s="6" t="s">
        <v>84</v>
      </c>
      <c r="F22" s="6"/>
    </row>
    <row r="24" spans="1:20" s="16" customFormat="1" ht="20.25" thickBot="1" x14ac:dyDescent="0.35">
      <c r="A24" s="16" t="s">
        <v>74</v>
      </c>
    </row>
    <row r="25" spans="1:20" ht="15.75" thickTop="1" x14ac:dyDescent="0.25">
      <c r="A25" t="s">
        <v>70</v>
      </c>
      <c r="B25" s="1">
        <f>1/H3</f>
        <v>1000</v>
      </c>
      <c r="C25" t="s">
        <v>71</v>
      </c>
    </row>
    <row r="26" spans="1:20" x14ac:dyDescent="0.25">
      <c r="A26" t="s">
        <v>75</v>
      </c>
      <c r="B26" s="1">
        <f>B25/2</f>
        <v>500</v>
      </c>
      <c r="C26" t="s">
        <v>71</v>
      </c>
      <c r="D26" s="1">
        <f>B25/5</f>
        <v>200</v>
      </c>
      <c r="E26" t="s">
        <v>71</v>
      </c>
      <c r="F26" s="19" t="s">
        <v>76</v>
      </c>
    </row>
    <row r="27" spans="1:20" x14ac:dyDescent="0.25">
      <c r="D27" t="s">
        <v>9</v>
      </c>
      <c r="E27" t="s">
        <v>10</v>
      </c>
    </row>
    <row r="28" spans="1:20" x14ac:dyDescent="0.25">
      <c r="A28" t="s">
        <v>78</v>
      </c>
      <c r="B28" s="1">
        <f>B6*(10^C6)</f>
        <v>0</v>
      </c>
      <c r="C28" t="s">
        <v>8</v>
      </c>
      <c r="D28" s="1">
        <f>B28*(1+(E6/100))</f>
        <v>0</v>
      </c>
      <c r="E28" s="1">
        <f>B28*(1-(E6/100))</f>
        <v>0</v>
      </c>
      <c r="F28" t="s">
        <v>8</v>
      </c>
    </row>
    <row r="29" spans="1:20" x14ac:dyDescent="0.25">
      <c r="A29" t="s">
        <v>81</v>
      </c>
      <c r="B29" s="1">
        <f>B7*(10^C7)</f>
        <v>1.0000000000000001E-7</v>
      </c>
      <c r="C29" t="s">
        <v>80</v>
      </c>
      <c r="D29" s="1">
        <f>B29*(1+(E7/100))</f>
        <v>1.0500000000000001E-7</v>
      </c>
      <c r="E29" s="1">
        <f>B29*(1-(E7/100))</f>
        <v>9.5000000000000004E-8</v>
      </c>
      <c r="F29" t="s">
        <v>80</v>
      </c>
    </row>
    <row r="31" spans="1:20" x14ac:dyDescent="0.25">
      <c r="A31" t="s">
        <v>77</v>
      </c>
      <c r="B31" s="24">
        <f>(B16 + B28) * B29</f>
        <v>9.7600000000000009E-4</v>
      </c>
      <c r="C31" t="s">
        <v>64</v>
      </c>
      <c r="D31" s="24">
        <f>(D28 + D16) * D29</f>
        <v>1.0350480000000002E-3</v>
      </c>
      <c r="E31" s="24">
        <f>(E16 + E28) * E29</f>
        <v>9.1792800000000004E-4</v>
      </c>
      <c r="F31" t="s">
        <v>64</v>
      </c>
    </row>
    <row r="32" spans="1:20" x14ac:dyDescent="0.25">
      <c r="A32" t="s">
        <v>82</v>
      </c>
      <c r="B32" s="1">
        <f>1 / ( (2*PI()) * B31 )</f>
        <v>163.06858923349932</v>
      </c>
      <c r="C32" t="s">
        <v>71</v>
      </c>
      <c r="D32" s="1">
        <f>1 / ( (2*PI()) * D31 )</f>
        <v>153.76576071051323</v>
      </c>
      <c r="E32" s="1">
        <f>1 / ( (2*PI()) * E31 )</f>
        <v>173.38499652684669</v>
      </c>
      <c r="F32" t="s">
        <v>71</v>
      </c>
    </row>
    <row r="34" spans="1:6" x14ac:dyDescent="0.25">
      <c r="A34" t="s">
        <v>96</v>
      </c>
      <c r="B34" s="1">
        <f>B16+B28</f>
        <v>9760</v>
      </c>
      <c r="C34" t="s">
        <v>8</v>
      </c>
      <c r="D34" s="1">
        <f>D16+D28</f>
        <v>9857.6</v>
      </c>
      <c r="E34" s="1">
        <f>E16+E28</f>
        <v>9662.4</v>
      </c>
      <c r="F34" t="s">
        <v>8</v>
      </c>
    </row>
    <row r="35" spans="1:6" x14ac:dyDescent="0.25">
      <c r="A35" t="s">
        <v>97</v>
      </c>
      <c r="B35" s="1">
        <f>VLOOKUP(CONCATENATE(H5, "_", H4), 'ADC input impedance'!$H:$I,2,FALSE)</f>
        <v>10000</v>
      </c>
      <c r="C35" t="s">
        <v>8</v>
      </c>
    </row>
  </sheetData>
  <mergeCells count="1">
    <mergeCell ref="K17:T17"/>
  </mergeCells>
  <conditionalFormatting sqref="H7:H9 H11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6DCE53D-94B8-4B33-A9EB-9E3AD4778C42}">
          <x14:formula1>
            <xm:f>'Typical Component Values'!$A$4:$A$99</xm:f>
          </x14:formula1>
          <xm:sqref>B4:B5</xm:sqref>
        </x14:dataValidation>
        <x14:dataValidation type="list" allowBlank="1" showInputMessage="1" showErrorMessage="1" xr:uid="{C037B1D7-41AC-4F24-94E0-720772E8C495}">
          <x14:formula1>
            <xm:f>'Typical Component Values'!$B$3:$B$8</xm:f>
          </x14:formula1>
          <xm:sqref>C4:C6</xm:sqref>
        </x14:dataValidation>
        <x14:dataValidation type="list" allowBlank="1" showInputMessage="1" showErrorMessage="1" xr:uid="{7ADEE098-D7BE-4AB1-AC3F-56D750D02D96}">
          <x14:formula1>
            <xm:f>'Typical Component Values'!$A$3:$A$99</xm:f>
          </x14:formula1>
          <xm:sqref>B6</xm:sqref>
        </x14:dataValidation>
        <x14:dataValidation type="list" allowBlank="1" showInputMessage="1" showErrorMessage="1" xr:uid="{190D7A2C-B848-44FF-BBCB-C8EF3FEE3A73}">
          <x14:formula1>
            <xm:f>'ADC input impedance'!$B$2:$B$9</xm:f>
          </x14:formula1>
          <xm:sqref>H4</xm:sqref>
        </x14:dataValidation>
        <x14:dataValidation type="list" allowBlank="1" showInputMessage="1" showErrorMessage="1" xr:uid="{D9FF2837-225E-4D49-A734-8F586C675EA5}">
          <x14:formula1>
            <xm:f>'ADC input impedance'!$A$2:$A$5</xm:f>
          </x14:formula1>
          <xm:sqref>H5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122" zoomScaleNormal="122" workbookViewId="0">
      <selection activeCell="C32" sqref="C32"/>
    </sheetView>
  </sheetViews>
  <sheetFormatPr defaultRowHeight="15" x14ac:dyDescent="0.25"/>
  <cols>
    <col min="1" max="1" width="26.7109375" bestFit="1" customWidth="1"/>
    <col min="2" max="2" width="18" bestFit="1" customWidth="1"/>
    <col min="3" max="4" width="16" customWidth="1"/>
  </cols>
  <sheetData>
    <row r="1" spans="1:6" x14ac:dyDescent="0.25">
      <c r="A1" t="s">
        <v>24</v>
      </c>
      <c r="B1">
        <v>20</v>
      </c>
      <c r="C1" t="s">
        <v>25</v>
      </c>
    </row>
    <row r="2" spans="1:6" x14ac:dyDescent="0.25">
      <c r="A2" t="s">
        <v>26</v>
      </c>
      <c r="B2">
        <v>50</v>
      </c>
      <c r="C2" t="s">
        <v>25</v>
      </c>
    </row>
    <row r="3" spans="1:6" x14ac:dyDescent="0.25">
      <c r="A3" t="s">
        <v>27</v>
      </c>
      <c r="B3">
        <v>100</v>
      </c>
      <c r="C3" t="s">
        <v>25</v>
      </c>
    </row>
    <row r="5" spans="1:6" x14ac:dyDescent="0.25">
      <c r="A5" t="s">
        <v>36</v>
      </c>
      <c r="B5" s="9">
        <v>3.3</v>
      </c>
      <c r="C5" t="s">
        <v>3</v>
      </c>
    </row>
    <row r="6" spans="1:6" x14ac:dyDescent="0.25">
      <c r="A6" t="s">
        <v>37</v>
      </c>
      <c r="B6" s="9">
        <v>12</v>
      </c>
      <c r="C6" t="s">
        <v>38</v>
      </c>
    </row>
    <row r="7" spans="1:6" x14ac:dyDescent="0.25">
      <c r="C7" s="10" t="s">
        <v>9</v>
      </c>
      <c r="D7" s="10" t="s">
        <v>10</v>
      </c>
    </row>
    <row r="8" spans="1:6" x14ac:dyDescent="0.25">
      <c r="A8" t="s">
        <v>28</v>
      </c>
      <c r="B8" s="9">
        <v>0.05</v>
      </c>
      <c r="C8" s="1">
        <f>B8*(1+(B9/100))</f>
        <v>5.0500000000000003E-2</v>
      </c>
      <c r="D8" s="1">
        <f>B8*(1-(B9/100))</f>
        <v>4.9500000000000002E-2</v>
      </c>
      <c r="E8" t="s">
        <v>8</v>
      </c>
      <c r="F8" t="s">
        <v>8</v>
      </c>
    </row>
    <row r="9" spans="1:6" x14ac:dyDescent="0.25">
      <c r="A9" t="s">
        <v>34</v>
      </c>
      <c r="B9" s="9">
        <v>1</v>
      </c>
      <c r="F9" t="s">
        <v>6</v>
      </c>
    </row>
    <row r="10" spans="1:6" x14ac:dyDescent="0.25">
      <c r="A10" t="s">
        <v>29</v>
      </c>
      <c r="B10" s="9">
        <v>0.5</v>
      </c>
      <c r="F10" t="s">
        <v>1</v>
      </c>
    </row>
    <row r="11" spans="1:6" x14ac:dyDescent="0.25">
      <c r="A11" t="s">
        <v>30</v>
      </c>
      <c r="B11" s="1">
        <f>B8*B10</f>
        <v>2.5000000000000001E-2</v>
      </c>
      <c r="C11" s="1">
        <f>C8*$B$10</f>
        <v>2.5250000000000002E-2</v>
      </c>
      <c r="D11" s="1">
        <f>D8*$B$10</f>
        <v>2.4750000000000001E-2</v>
      </c>
      <c r="E11" t="s">
        <v>3</v>
      </c>
      <c r="F11" t="s">
        <v>3</v>
      </c>
    </row>
    <row r="13" spans="1:6" x14ac:dyDescent="0.25">
      <c r="A13" t="s">
        <v>31</v>
      </c>
      <c r="B13" s="1">
        <f>POWER($B$10,2)*B8</f>
        <v>1.2500000000000001E-2</v>
      </c>
      <c r="C13" s="1">
        <f>POWER($B$10,2)*C8</f>
        <v>1.2625000000000001E-2</v>
      </c>
      <c r="D13" s="1">
        <f>POWER($B$10,2)*D8</f>
        <v>1.2375000000000001E-2</v>
      </c>
      <c r="E13" t="s">
        <v>32</v>
      </c>
      <c r="F13" t="s">
        <v>32</v>
      </c>
    </row>
    <row r="16" spans="1:6" x14ac:dyDescent="0.25">
      <c r="A16" t="s">
        <v>33</v>
      </c>
      <c r="B16" s="10" t="s">
        <v>35</v>
      </c>
      <c r="C16" s="10" t="s">
        <v>9</v>
      </c>
      <c r="D16" t="s">
        <v>10</v>
      </c>
    </row>
    <row r="17" spans="1:10" x14ac:dyDescent="0.25">
      <c r="A17" t="s">
        <v>24</v>
      </c>
      <c r="B17" s="11">
        <f>$B1*B$8*$B$10</f>
        <v>0.5</v>
      </c>
      <c r="C17" s="11">
        <f>$B1*C$8*$B$10</f>
        <v>0.505</v>
      </c>
      <c r="D17" s="11">
        <f>$B1*D$8*$B$10</f>
        <v>0.495</v>
      </c>
    </row>
    <row r="18" spans="1:10" x14ac:dyDescent="0.25">
      <c r="A18" t="s">
        <v>26</v>
      </c>
      <c r="B18" s="11">
        <f t="shared" ref="B18:D18" si="0">$B2*B$8*$B$10</f>
        <v>1.25</v>
      </c>
      <c r="C18" s="11">
        <f t="shared" si="0"/>
        <v>1.2625000000000002</v>
      </c>
      <c r="D18" s="11">
        <f t="shared" si="0"/>
        <v>1.2375</v>
      </c>
    </row>
    <row r="19" spans="1:10" x14ac:dyDescent="0.25">
      <c r="A19" t="s">
        <v>27</v>
      </c>
      <c r="B19" s="11">
        <f t="shared" ref="B19:D19" si="1">$B3*B$8*$B$10</f>
        <v>2.5</v>
      </c>
      <c r="C19" s="11">
        <f t="shared" si="1"/>
        <v>2.5250000000000004</v>
      </c>
      <c r="D19" s="11">
        <f t="shared" si="1"/>
        <v>2.4750000000000001</v>
      </c>
    </row>
    <row r="22" spans="1:10" x14ac:dyDescent="0.25">
      <c r="A22" t="s">
        <v>39</v>
      </c>
      <c r="B22" s="4">
        <f>(B5/(2^B6))*1000</f>
        <v>0.8056640625</v>
      </c>
      <c r="C22" t="s">
        <v>48</v>
      </c>
    </row>
    <row r="23" spans="1:10" x14ac:dyDescent="0.25">
      <c r="B23" t="s">
        <v>40</v>
      </c>
      <c r="D23" s="39" t="s">
        <v>41</v>
      </c>
      <c r="E23" s="39"/>
      <c r="F23" s="39"/>
    </row>
    <row r="24" spans="1:10" x14ac:dyDescent="0.25">
      <c r="A24" t="s">
        <v>24</v>
      </c>
      <c r="B24" s="4">
        <f>($B$22)/(B1*$B$8)</f>
        <v>0.8056640625</v>
      </c>
      <c r="C24" t="s">
        <v>49</v>
      </c>
      <c r="D24">
        <f>(B24/1000)*(2^$B$6)</f>
        <v>3.3</v>
      </c>
      <c r="E24" t="s">
        <v>1</v>
      </c>
    </row>
    <row r="25" spans="1:10" x14ac:dyDescent="0.25">
      <c r="A25" t="s">
        <v>26</v>
      </c>
      <c r="B25" s="4">
        <f>($B$22)/(B2*$B$8)</f>
        <v>0.322265625</v>
      </c>
      <c r="C25" t="s">
        <v>49</v>
      </c>
      <c r="D25">
        <f t="shared" ref="D25" si="2">(B25/1000)*(2^$B$6)</f>
        <v>1.32</v>
      </c>
      <c r="E25" t="s">
        <v>1</v>
      </c>
    </row>
    <row r="26" spans="1:10" x14ac:dyDescent="0.25">
      <c r="A26" s="22" t="s">
        <v>27</v>
      </c>
      <c r="B26" s="23">
        <f>($B$22)/(B3*$B$8)</f>
        <v>0.1611328125</v>
      </c>
      <c r="C26" s="22" t="s">
        <v>49</v>
      </c>
      <c r="D26" s="22">
        <f>(B26/1000)*(2^$B$6)</f>
        <v>0.66</v>
      </c>
      <c r="E26" s="22" t="s">
        <v>1</v>
      </c>
      <c r="F26" s="22" t="s">
        <v>100</v>
      </c>
      <c r="G26" s="22"/>
      <c r="H26" s="22"/>
      <c r="I26" s="22"/>
      <c r="J26" s="22"/>
    </row>
  </sheetData>
  <mergeCells count="1">
    <mergeCell ref="D23:F23"/>
  </mergeCells>
  <conditionalFormatting sqref="B17:D19">
    <cfRule type="expression" dxfId="1" priority="1">
      <formula>B17&gt;$B$5</formula>
    </cfRule>
    <cfRule type="expression" dxfId="0" priority="2">
      <formula>B17&lt;=$B$5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"/>
  <sheetViews>
    <sheetView workbookViewId="0">
      <selection activeCell="D9" sqref="D9"/>
    </sheetView>
  </sheetViews>
  <sheetFormatPr defaultRowHeight="15" x14ac:dyDescent="0.25"/>
  <sheetData>
    <row r="1" spans="1:2" x14ac:dyDescent="0.25">
      <c r="A1" s="20" t="s">
        <v>79</v>
      </c>
    </row>
    <row r="2" spans="1:2" x14ac:dyDescent="0.25">
      <c r="A2" t="s">
        <v>42</v>
      </c>
      <c r="B2" t="s">
        <v>43</v>
      </c>
    </row>
    <row r="3" spans="1:2" x14ac:dyDescent="0.25">
      <c r="A3">
        <v>0</v>
      </c>
      <c r="B3">
        <v>0</v>
      </c>
    </row>
    <row r="4" spans="1:2" x14ac:dyDescent="0.25">
      <c r="A4">
        <v>10</v>
      </c>
      <c r="B4">
        <v>1</v>
      </c>
    </row>
    <row r="5" spans="1:2" x14ac:dyDescent="0.25">
      <c r="A5">
        <v>10.199999999999999</v>
      </c>
      <c r="B5">
        <v>2</v>
      </c>
    </row>
    <row r="6" spans="1:2" x14ac:dyDescent="0.25">
      <c r="A6">
        <v>10.5</v>
      </c>
      <c r="B6">
        <v>3</v>
      </c>
    </row>
    <row r="7" spans="1:2" x14ac:dyDescent="0.25">
      <c r="A7">
        <v>10.7</v>
      </c>
      <c r="B7">
        <v>4</v>
      </c>
    </row>
    <row r="8" spans="1:2" x14ac:dyDescent="0.25">
      <c r="A8">
        <v>11</v>
      </c>
      <c r="B8">
        <v>5</v>
      </c>
    </row>
    <row r="9" spans="1:2" x14ac:dyDescent="0.25">
      <c r="A9">
        <v>11.3</v>
      </c>
    </row>
    <row r="10" spans="1:2" x14ac:dyDescent="0.25">
      <c r="A10">
        <v>11.5</v>
      </c>
    </row>
    <row r="11" spans="1:2" x14ac:dyDescent="0.25">
      <c r="A11">
        <v>11.8</v>
      </c>
    </row>
    <row r="12" spans="1:2" x14ac:dyDescent="0.25">
      <c r="A12">
        <v>12.1</v>
      </c>
    </row>
    <row r="13" spans="1:2" x14ac:dyDescent="0.25">
      <c r="A13">
        <v>12.4</v>
      </c>
    </row>
    <row r="14" spans="1:2" x14ac:dyDescent="0.25">
      <c r="A14">
        <v>12.7</v>
      </c>
    </row>
    <row r="15" spans="1:2" x14ac:dyDescent="0.25">
      <c r="A15">
        <v>13</v>
      </c>
    </row>
    <row r="16" spans="1:2" x14ac:dyDescent="0.25">
      <c r="A16">
        <v>13.3</v>
      </c>
    </row>
    <row r="17" spans="1:1" x14ac:dyDescent="0.25">
      <c r="A17">
        <v>13.7</v>
      </c>
    </row>
    <row r="18" spans="1:1" x14ac:dyDescent="0.25">
      <c r="A18">
        <v>14</v>
      </c>
    </row>
    <row r="19" spans="1:1" x14ac:dyDescent="0.25">
      <c r="A19">
        <v>14.3</v>
      </c>
    </row>
    <row r="20" spans="1:1" x14ac:dyDescent="0.25">
      <c r="A20">
        <v>14.7</v>
      </c>
    </row>
    <row r="21" spans="1:1" x14ac:dyDescent="0.25">
      <c r="A21">
        <v>15</v>
      </c>
    </row>
    <row r="22" spans="1:1" x14ac:dyDescent="0.25">
      <c r="A22">
        <v>15.4</v>
      </c>
    </row>
    <row r="23" spans="1:1" x14ac:dyDescent="0.25">
      <c r="A23">
        <v>15.8</v>
      </c>
    </row>
    <row r="24" spans="1:1" x14ac:dyDescent="0.25">
      <c r="A24">
        <v>16.2</v>
      </c>
    </row>
    <row r="25" spans="1:1" x14ac:dyDescent="0.25">
      <c r="A25">
        <v>16.5</v>
      </c>
    </row>
    <row r="26" spans="1:1" x14ac:dyDescent="0.25">
      <c r="A26">
        <v>16.899999999999999</v>
      </c>
    </row>
    <row r="27" spans="1:1" x14ac:dyDescent="0.25">
      <c r="A27">
        <v>17.399999999999999</v>
      </c>
    </row>
    <row r="28" spans="1:1" x14ac:dyDescent="0.25">
      <c r="A28">
        <v>17.8</v>
      </c>
    </row>
    <row r="29" spans="1:1" x14ac:dyDescent="0.25">
      <c r="A29">
        <v>18.2</v>
      </c>
    </row>
    <row r="30" spans="1:1" x14ac:dyDescent="0.25">
      <c r="A30">
        <v>18.7</v>
      </c>
    </row>
    <row r="31" spans="1:1" x14ac:dyDescent="0.25">
      <c r="A31">
        <v>19.100000000000001</v>
      </c>
    </row>
    <row r="32" spans="1:1" x14ac:dyDescent="0.25">
      <c r="A32">
        <v>19.600000000000001</v>
      </c>
    </row>
    <row r="33" spans="1:1" x14ac:dyDescent="0.25">
      <c r="A33">
        <v>20</v>
      </c>
    </row>
    <row r="34" spans="1:1" x14ac:dyDescent="0.25">
      <c r="A34">
        <v>20.5</v>
      </c>
    </row>
    <row r="35" spans="1:1" x14ac:dyDescent="0.25">
      <c r="A35">
        <v>21</v>
      </c>
    </row>
    <row r="36" spans="1:1" x14ac:dyDescent="0.25">
      <c r="A36">
        <v>21.5</v>
      </c>
    </row>
    <row r="37" spans="1:1" x14ac:dyDescent="0.25">
      <c r="A37">
        <v>22.1</v>
      </c>
    </row>
    <row r="38" spans="1:1" x14ac:dyDescent="0.25">
      <c r="A38">
        <v>22.6</v>
      </c>
    </row>
    <row r="39" spans="1:1" x14ac:dyDescent="0.25">
      <c r="A39">
        <v>23.2</v>
      </c>
    </row>
    <row r="40" spans="1:1" x14ac:dyDescent="0.25">
      <c r="A40">
        <v>23.7</v>
      </c>
    </row>
    <row r="41" spans="1:1" x14ac:dyDescent="0.25">
      <c r="A41">
        <v>24.3</v>
      </c>
    </row>
    <row r="42" spans="1:1" x14ac:dyDescent="0.25">
      <c r="A42">
        <v>24.9</v>
      </c>
    </row>
    <row r="43" spans="1:1" x14ac:dyDescent="0.25">
      <c r="A43">
        <v>25.5</v>
      </c>
    </row>
    <row r="44" spans="1:1" x14ac:dyDescent="0.25">
      <c r="A44">
        <v>26.1</v>
      </c>
    </row>
    <row r="45" spans="1:1" x14ac:dyDescent="0.25">
      <c r="A45">
        <v>26.7</v>
      </c>
    </row>
    <row r="46" spans="1:1" x14ac:dyDescent="0.25">
      <c r="A46">
        <v>27.4</v>
      </c>
    </row>
    <row r="47" spans="1:1" x14ac:dyDescent="0.25">
      <c r="A47">
        <v>28</v>
      </c>
    </row>
    <row r="48" spans="1:1" x14ac:dyDescent="0.25">
      <c r="A48">
        <v>28.7</v>
      </c>
    </row>
    <row r="49" spans="1:1" x14ac:dyDescent="0.25">
      <c r="A49">
        <v>29.4</v>
      </c>
    </row>
    <row r="50" spans="1:1" x14ac:dyDescent="0.25">
      <c r="A50">
        <v>30.1</v>
      </c>
    </row>
    <row r="51" spans="1:1" x14ac:dyDescent="0.25">
      <c r="A51">
        <v>30.9</v>
      </c>
    </row>
    <row r="52" spans="1:1" x14ac:dyDescent="0.25">
      <c r="A52">
        <v>31.6</v>
      </c>
    </row>
    <row r="53" spans="1:1" x14ac:dyDescent="0.25">
      <c r="A53">
        <v>32.4</v>
      </c>
    </row>
    <row r="54" spans="1:1" x14ac:dyDescent="0.25">
      <c r="A54">
        <v>33.200000000000003</v>
      </c>
    </row>
    <row r="55" spans="1:1" x14ac:dyDescent="0.25">
      <c r="A55">
        <v>34</v>
      </c>
    </row>
    <row r="56" spans="1:1" x14ac:dyDescent="0.25">
      <c r="A56">
        <v>34.799999999999997</v>
      </c>
    </row>
    <row r="57" spans="1:1" x14ac:dyDescent="0.25">
      <c r="A57">
        <v>35.700000000000003</v>
      </c>
    </row>
    <row r="58" spans="1:1" x14ac:dyDescent="0.25">
      <c r="A58">
        <v>36.5</v>
      </c>
    </row>
    <row r="59" spans="1:1" x14ac:dyDescent="0.25">
      <c r="A59">
        <v>37.4</v>
      </c>
    </row>
    <row r="60" spans="1:1" x14ac:dyDescent="0.25">
      <c r="A60">
        <v>38.299999999999997</v>
      </c>
    </row>
    <row r="61" spans="1:1" x14ac:dyDescent="0.25">
      <c r="A61">
        <v>39.200000000000003</v>
      </c>
    </row>
    <row r="62" spans="1:1" x14ac:dyDescent="0.25">
      <c r="A62">
        <v>40.200000000000003</v>
      </c>
    </row>
    <row r="63" spans="1:1" x14ac:dyDescent="0.25">
      <c r="A63">
        <v>41.2</v>
      </c>
    </row>
    <row r="64" spans="1:1" x14ac:dyDescent="0.25">
      <c r="A64">
        <v>42.2</v>
      </c>
    </row>
    <row r="65" spans="1:1" x14ac:dyDescent="0.25">
      <c r="A65">
        <v>43.2</v>
      </c>
    </row>
    <row r="66" spans="1:1" x14ac:dyDescent="0.25">
      <c r="A66">
        <v>44.2</v>
      </c>
    </row>
    <row r="67" spans="1:1" x14ac:dyDescent="0.25">
      <c r="A67">
        <v>45.3</v>
      </c>
    </row>
    <row r="68" spans="1:1" x14ac:dyDescent="0.25">
      <c r="A68">
        <v>46.4</v>
      </c>
    </row>
    <row r="69" spans="1:1" x14ac:dyDescent="0.25">
      <c r="A69">
        <v>47.5</v>
      </c>
    </row>
    <row r="70" spans="1:1" x14ac:dyDescent="0.25">
      <c r="A70">
        <v>48.7</v>
      </c>
    </row>
    <row r="71" spans="1:1" x14ac:dyDescent="0.25">
      <c r="A71">
        <v>49.9</v>
      </c>
    </row>
    <row r="72" spans="1:1" x14ac:dyDescent="0.25">
      <c r="A72">
        <v>51.1</v>
      </c>
    </row>
    <row r="73" spans="1:1" x14ac:dyDescent="0.25">
      <c r="A73">
        <v>52.3</v>
      </c>
    </row>
    <row r="74" spans="1:1" x14ac:dyDescent="0.25">
      <c r="A74">
        <v>53.6</v>
      </c>
    </row>
    <row r="75" spans="1:1" x14ac:dyDescent="0.25">
      <c r="A75">
        <v>54.9</v>
      </c>
    </row>
    <row r="76" spans="1:1" x14ac:dyDescent="0.25">
      <c r="A76">
        <v>56.2</v>
      </c>
    </row>
    <row r="77" spans="1:1" x14ac:dyDescent="0.25">
      <c r="A77">
        <v>57.6</v>
      </c>
    </row>
    <row r="78" spans="1:1" x14ac:dyDescent="0.25">
      <c r="A78">
        <v>59</v>
      </c>
    </row>
    <row r="79" spans="1:1" x14ac:dyDescent="0.25">
      <c r="A79">
        <v>60.4</v>
      </c>
    </row>
    <row r="80" spans="1:1" x14ac:dyDescent="0.25">
      <c r="A80">
        <v>61.9</v>
      </c>
    </row>
    <row r="81" spans="1:1" x14ac:dyDescent="0.25">
      <c r="A81">
        <v>63.4</v>
      </c>
    </row>
    <row r="82" spans="1:1" x14ac:dyDescent="0.25">
      <c r="A82">
        <v>64.900000000000006</v>
      </c>
    </row>
    <row r="83" spans="1:1" x14ac:dyDescent="0.25">
      <c r="A83">
        <v>66.5</v>
      </c>
    </row>
    <row r="84" spans="1:1" x14ac:dyDescent="0.25">
      <c r="A84">
        <v>68.099999999999994</v>
      </c>
    </row>
    <row r="85" spans="1:1" x14ac:dyDescent="0.25">
      <c r="A85">
        <v>69.8</v>
      </c>
    </row>
    <row r="86" spans="1:1" x14ac:dyDescent="0.25">
      <c r="A86">
        <v>71.5</v>
      </c>
    </row>
    <row r="87" spans="1:1" x14ac:dyDescent="0.25">
      <c r="A87">
        <v>73.2</v>
      </c>
    </row>
    <row r="88" spans="1:1" x14ac:dyDescent="0.25">
      <c r="A88">
        <v>75</v>
      </c>
    </row>
    <row r="89" spans="1:1" x14ac:dyDescent="0.25">
      <c r="A89">
        <v>76.8</v>
      </c>
    </row>
    <row r="90" spans="1:1" x14ac:dyDescent="0.25">
      <c r="A90">
        <v>78.7</v>
      </c>
    </row>
    <row r="91" spans="1:1" x14ac:dyDescent="0.25">
      <c r="A91">
        <v>80.599999999999994</v>
      </c>
    </row>
    <row r="92" spans="1:1" x14ac:dyDescent="0.25">
      <c r="A92">
        <v>82.5</v>
      </c>
    </row>
    <row r="93" spans="1:1" x14ac:dyDescent="0.25">
      <c r="A93">
        <v>84.5</v>
      </c>
    </row>
    <row r="94" spans="1:1" x14ac:dyDescent="0.25">
      <c r="A94">
        <v>86.6</v>
      </c>
    </row>
    <row r="95" spans="1:1" x14ac:dyDescent="0.25">
      <c r="A95">
        <v>88.7</v>
      </c>
    </row>
    <row r="96" spans="1:1" x14ac:dyDescent="0.25">
      <c r="A96">
        <v>90.9</v>
      </c>
    </row>
    <row r="97" spans="1:1" x14ac:dyDescent="0.25">
      <c r="A97">
        <v>93.1</v>
      </c>
    </row>
    <row r="98" spans="1:1" x14ac:dyDescent="0.25">
      <c r="A98">
        <v>95.3</v>
      </c>
    </row>
    <row r="99" spans="1:1" x14ac:dyDescent="0.25">
      <c r="A99">
        <v>97.6</v>
      </c>
    </row>
  </sheetData>
  <hyperlinks>
    <hyperlink ref="A1" r:id="rId1" xr:uid="{5A57154C-1D7E-483C-A903-2A44E04751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0B9A-8AED-4A67-99CB-AE6688F922AF}">
  <dimension ref="A1:I34"/>
  <sheetViews>
    <sheetView workbookViewId="0">
      <selection activeCell="D7" sqref="D7:I7"/>
    </sheetView>
  </sheetViews>
  <sheetFormatPr defaultRowHeight="15" x14ac:dyDescent="0.25"/>
  <cols>
    <col min="1" max="1" width="10.5703125" bestFit="1" customWidth="1"/>
    <col min="2" max="2" width="22.5703125" bestFit="1" customWidth="1"/>
    <col min="4" max="4" width="10.5703125" bestFit="1" customWidth="1"/>
    <col min="5" max="5" width="17.140625" customWidth="1"/>
    <col min="6" max="6" width="13.28515625" bestFit="1" customWidth="1"/>
    <col min="7" max="7" width="14" bestFit="1" customWidth="1"/>
    <col min="8" max="8" width="14" customWidth="1"/>
    <col min="9" max="9" width="14.42578125" bestFit="1" customWidth="1"/>
  </cols>
  <sheetData>
    <row r="1" spans="1:9" ht="18" x14ac:dyDescent="0.35">
      <c r="A1" t="s">
        <v>37</v>
      </c>
      <c r="B1" t="s">
        <v>86</v>
      </c>
      <c r="D1" s="38" t="s">
        <v>37</v>
      </c>
      <c r="E1" s="40" t="s">
        <v>86</v>
      </c>
      <c r="F1" s="39" t="s">
        <v>90</v>
      </c>
      <c r="G1" s="39"/>
      <c r="H1" s="14"/>
    </row>
    <row r="2" spans="1:9" x14ac:dyDescent="0.25">
      <c r="A2">
        <v>12</v>
      </c>
      <c r="B2">
        <v>2.5</v>
      </c>
      <c r="D2" s="38"/>
      <c r="E2" s="40"/>
      <c r="F2" t="s">
        <v>89</v>
      </c>
      <c r="G2" t="s">
        <v>88</v>
      </c>
      <c r="H2" t="s">
        <v>92</v>
      </c>
      <c r="I2" t="s">
        <v>91</v>
      </c>
    </row>
    <row r="3" spans="1:9" x14ac:dyDescent="0.25">
      <c r="A3">
        <v>10</v>
      </c>
      <c r="B3">
        <v>6.5</v>
      </c>
      <c r="D3">
        <v>12</v>
      </c>
      <c r="E3">
        <v>2.5</v>
      </c>
      <c r="F3">
        <v>100</v>
      </c>
      <c r="G3" t="s">
        <v>87</v>
      </c>
      <c r="H3" t="str">
        <f>CONCATENATE(D3, "_", E3)</f>
        <v>12_2.5</v>
      </c>
      <c r="I3">
        <f>MIN(F3:G3)</f>
        <v>100</v>
      </c>
    </row>
    <row r="4" spans="1:9" x14ac:dyDescent="0.25">
      <c r="A4">
        <v>8</v>
      </c>
      <c r="B4">
        <v>12.5</v>
      </c>
      <c r="D4">
        <v>12</v>
      </c>
      <c r="E4">
        <v>6.5</v>
      </c>
      <c r="F4">
        <v>330</v>
      </c>
      <c r="G4">
        <v>100</v>
      </c>
      <c r="H4" t="str">
        <f t="shared" ref="H4:H34" si="0">CONCATENATE(D4, "_", E4)</f>
        <v>12_6.5</v>
      </c>
      <c r="I4">
        <f t="shared" ref="I4:I34" si="1">MIN(F4:G4)</f>
        <v>100</v>
      </c>
    </row>
    <row r="5" spans="1:9" x14ac:dyDescent="0.25">
      <c r="A5">
        <v>6</v>
      </c>
      <c r="B5">
        <v>24.5</v>
      </c>
      <c r="D5">
        <v>12</v>
      </c>
      <c r="E5">
        <v>12.5</v>
      </c>
      <c r="F5">
        <v>680</v>
      </c>
      <c r="G5">
        <v>470</v>
      </c>
      <c r="H5" t="str">
        <f t="shared" si="0"/>
        <v>12_12.5</v>
      </c>
      <c r="I5">
        <f t="shared" si="1"/>
        <v>470</v>
      </c>
    </row>
    <row r="6" spans="1:9" x14ac:dyDescent="0.25">
      <c r="B6">
        <v>47.5</v>
      </c>
      <c r="D6">
        <v>12</v>
      </c>
      <c r="E6">
        <v>24.5</v>
      </c>
      <c r="F6">
        <v>1500</v>
      </c>
      <c r="G6">
        <v>1200</v>
      </c>
      <c r="H6" t="str">
        <f t="shared" si="0"/>
        <v>12_24.5</v>
      </c>
      <c r="I6">
        <f t="shared" si="1"/>
        <v>1200</v>
      </c>
    </row>
    <row r="7" spans="1:9" x14ac:dyDescent="0.25">
      <c r="B7">
        <v>92.5</v>
      </c>
      <c r="D7">
        <v>12</v>
      </c>
      <c r="E7">
        <v>47.5</v>
      </c>
      <c r="F7">
        <v>2200</v>
      </c>
      <c r="G7">
        <v>1800</v>
      </c>
      <c r="H7" t="str">
        <f t="shared" si="0"/>
        <v>12_47.5</v>
      </c>
      <c r="I7">
        <f t="shared" si="1"/>
        <v>1800</v>
      </c>
    </row>
    <row r="8" spans="1:9" x14ac:dyDescent="0.25">
      <c r="B8">
        <v>247.5</v>
      </c>
      <c r="D8">
        <v>12</v>
      </c>
      <c r="E8">
        <v>92.5</v>
      </c>
      <c r="F8">
        <v>4700</v>
      </c>
      <c r="G8">
        <v>3900</v>
      </c>
      <c r="H8" t="str">
        <f t="shared" si="0"/>
        <v>12_92.5</v>
      </c>
      <c r="I8">
        <f t="shared" si="1"/>
        <v>3900</v>
      </c>
    </row>
    <row r="9" spans="1:9" x14ac:dyDescent="0.25">
      <c r="B9">
        <v>640.5</v>
      </c>
      <c r="D9">
        <v>12</v>
      </c>
      <c r="E9">
        <v>247.5</v>
      </c>
      <c r="F9">
        <v>12000</v>
      </c>
      <c r="G9">
        <v>10000</v>
      </c>
      <c r="H9" t="str">
        <f t="shared" si="0"/>
        <v>12_247.5</v>
      </c>
      <c r="I9">
        <f t="shared" si="1"/>
        <v>10000</v>
      </c>
    </row>
    <row r="10" spans="1:9" x14ac:dyDescent="0.25">
      <c r="D10">
        <v>12</v>
      </c>
      <c r="E10">
        <v>640.5</v>
      </c>
      <c r="F10">
        <v>39000</v>
      </c>
      <c r="G10">
        <v>33000</v>
      </c>
      <c r="H10" t="str">
        <f t="shared" si="0"/>
        <v>12_640.5</v>
      </c>
      <c r="I10">
        <f t="shared" si="1"/>
        <v>33000</v>
      </c>
    </row>
    <row r="11" spans="1:9" x14ac:dyDescent="0.25">
      <c r="D11">
        <v>10</v>
      </c>
      <c r="E11">
        <v>2.5</v>
      </c>
      <c r="F11">
        <v>120</v>
      </c>
      <c r="G11" t="s">
        <v>87</v>
      </c>
      <c r="H11" t="str">
        <f t="shared" si="0"/>
        <v>10_2.5</v>
      </c>
      <c r="I11">
        <f t="shared" si="1"/>
        <v>120</v>
      </c>
    </row>
    <row r="12" spans="1:9" x14ac:dyDescent="0.25">
      <c r="D12">
        <v>10</v>
      </c>
      <c r="E12">
        <v>6.5</v>
      </c>
      <c r="F12">
        <v>390</v>
      </c>
      <c r="G12">
        <v>180</v>
      </c>
      <c r="H12" t="str">
        <f t="shared" si="0"/>
        <v>10_6.5</v>
      </c>
      <c r="I12">
        <f t="shared" si="1"/>
        <v>180</v>
      </c>
    </row>
    <row r="13" spans="1:9" x14ac:dyDescent="0.25">
      <c r="D13">
        <v>10</v>
      </c>
      <c r="E13">
        <v>12.5</v>
      </c>
      <c r="F13">
        <v>820</v>
      </c>
      <c r="G13">
        <v>560</v>
      </c>
      <c r="H13" t="str">
        <f t="shared" si="0"/>
        <v>10_12.5</v>
      </c>
      <c r="I13">
        <f t="shared" si="1"/>
        <v>560</v>
      </c>
    </row>
    <row r="14" spans="1:9" x14ac:dyDescent="0.25">
      <c r="D14">
        <v>10</v>
      </c>
      <c r="E14">
        <v>24.5</v>
      </c>
      <c r="F14">
        <v>1500</v>
      </c>
      <c r="G14">
        <v>1200</v>
      </c>
      <c r="H14" t="str">
        <f t="shared" si="0"/>
        <v>10_24.5</v>
      </c>
      <c r="I14">
        <f t="shared" si="1"/>
        <v>1200</v>
      </c>
    </row>
    <row r="15" spans="1:9" x14ac:dyDescent="0.25">
      <c r="D15">
        <v>10</v>
      </c>
      <c r="E15">
        <v>47.5</v>
      </c>
      <c r="F15">
        <v>2200</v>
      </c>
      <c r="G15">
        <v>1800</v>
      </c>
      <c r="H15" t="str">
        <f t="shared" si="0"/>
        <v>10_47.5</v>
      </c>
      <c r="I15">
        <f t="shared" si="1"/>
        <v>1800</v>
      </c>
    </row>
    <row r="16" spans="1:9" x14ac:dyDescent="0.25">
      <c r="D16">
        <v>10</v>
      </c>
      <c r="E16">
        <v>92.5</v>
      </c>
      <c r="F16">
        <v>5600</v>
      </c>
      <c r="G16">
        <v>4700</v>
      </c>
      <c r="H16" t="str">
        <f t="shared" si="0"/>
        <v>10_92.5</v>
      </c>
      <c r="I16">
        <f t="shared" si="1"/>
        <v>4700</v>
      </c>
    </row>
    <row r="17" spans="4:9" x14ac:dyDescent="0.25">
      <c r="D17">
        <v>10</v>
      </c>
      <c r="E17">
        <v>247.5</v>
      </c>
      <c r="F17">
        <v>12000</v>
      </c>
      <c r="G17">
        <v>10000</v>
      </c>
      <c r="H17" t="str">
        <f t="shared" si="0"/>
        <v>10_247.5</v>
      </c>
      <c r="I17">
        <f t="shared" si="1"/>
        <v>10000</v>
      </c>
    </row>
    <row r="18" spans="4:9" x14ac:dyDescent="0.25">
      <c r="D18">
        <v>10</v>
      </c>
      <c r="E18">
        <v>640.5</v>
      </c>
      <c r="F18">
        <v>47000</v>
      </c>
      <c r="G18">
        <v>39000</v>
      </c>
      <c r="H18" t="str">
        <f t="shared" si="0"/>
        <v>10_640.5</v>
      </c>
      <c r="I18">
        <f t="shared" si="1"/>
        <v>39000</v>
      </c>
    </row>
    <row r="19" spans="4:9" x14ac:dyDescent="0.25">
      <c r="D19">
        <v>8</v>
      </c>
      <c r="E19">
        <v>2.5</v>
      </c>
      <c r="F19">
        <v>180</v>
      </c>
      <c r="G19" t="s">
        <v>87</v>
      </c>
      <c r="H19" t="str">
        <f t="shared" si="0"/>
        <v>8_2.5</v>
      </c>
      <c r="I19">
        <f t="shared" si="1"/>
        <v>180</v>
      </c>
    </row>
    <row r="20" spans="4:9" x14ac:dyDescent="0.25">
      <c r="D20">
        <v>8</v>
      </c>
      <c r="E20">
        <v>6.5</v>
      </c>
      <c r="F20">
        <v>470</v>
      </c>
      <c r="G20">
        <v>270</v>
      </c>
      <c r="H20" t="str">
        <f t="shared" si="0"/>
        <v>8_6.5</v>
      </c>
      <c r="I20">
        <f t="shared" si="1"/>
        <v>270</v>
      </c>
    </row>
    <row r="21" spans="4:9" x14ac:dyDescent="0.25">
      <c r="D21">
        <v>8</v>
      </c>
      <c r="E21">
        <v>12.5</v>
      </c>
      <c r="F21">
        <v>1000</v>
      </c>
      <c r="G21">
        <v>680</v>
      </c>
      <c r="H21" t="str">
        <f t="shared" si="0"/>
        <v>8_12.5</v>
      </c>
      <c r="I21">
        <f t="shared" si="1"/>
        <v>680</v>
      </c>
    </row>
    <row r="22" spans="4:9" x14ac:dyDescent="0.25">
      <c r="D22">
        <v>8</v>
      </c>
      <c r="E22">
        <v>24.5</v>
      </c>
      <c r="F22">
        <v>1800</v>
      </c>
      <c r="G22">
        <v>1500</v>
      </c>
      <c r="H22" t="str">
        <f t="shared" si="0"/>
        <v>8_24.5</v>
      </c>
      <c r="I22">
        <f t="shared" si="1"/>
        <v>1500</v>
      </c>
    </row>
    <row r="23" spans="4:9" x14ac:dyDescent="0.25">
      <c r="D23">
        <v>8</v>
      </c>
      <c r="E23">
        <v>47.5</v>
      </c>
      <c r="F23">
        <v>2700</v>
      </c>
      <c r="G23">
        <v>2200</v>
      </c>
      <c r="H23" t="str">
        <f t="shared" si="0"/>
        <v>8_47.5</v>
      </c>
      <c r="I23">
        <f t="shared" si="1"/>
        <v>2200</v>
      </c>
    </row>
    <row r="24" spans="4:9" x14ac:dyDescent="0.25">
      <c r="D24">
        <v>8</v>
      </c>
      <c r="E24">
        <v>92.5</v>
      </c>
      <c r="F24">
        <v>6800</v>
      </c>
      <c r="G24">
        <v>5600</v>
      </c>
      <c r="H24" t="str">
        <f t="shared" si="0"/>
        <v>8_92.5</v>
      </c>
      <c r="I24">
        <f t="shared" si="1"/>
        <v>5600</v>
      </c>
    </row>
    <row r="25" spans="4:9" x14ac:dyDescent="0.25">
      <c r="D25">
        <v>8</v>
      </c>
      <c r="E25">
        <v>247.5</v>
      </c>
      <c r="F25">
        <v>15000</v>
      </c>
      <c r="G25">
        <v>12000</v>
      </c>
      <c r="H25" t="str">
        <f t="shared" si="0"/>
        <v>8_247.5</v>
      </c>
      <c r="I25">
        <f t="shared" si="1"/>
        <v>12000</v>
      </c>
    </row>
    <row r="26" spans="4:9" x14ac:dyDescent="0.25">
      <c r="D26">
        <v>8</v>
      </c>
      <c r="E26">
        <v>640.5</v>
      </c>
      <c r="F26">
        <v>50000</v>
      </c>
      <c r="G26">
        <v>50000</v>
      </c>
      <c r="H26" t="str">
        <f t="shared" si="0"/>
        <v>8_640.5</v>
      </c>
      <c r="I26">
        <f t="shared" si="1"/>
        <v>50000</v>
      </c>
    </row>
    <row r="27" spans="4:9" x14ac:dyDescent="0.25">
      <c r="D27">
        <v>6</v>
      </c>
      <c r="E27">
        <v>2.5</v>
      </c>
      <c r="F27">
        <v>220</v>
      </c>
      <c r="G27" t="s">
        <v>87</v>
      </c>
      <c r="H27" t="str">
        <f t="shared" si="0"/>
        <v>6_2.5</v>
      </c>
      <c r="I27">
        <f t="shared" si="1"/>
        <v>220</v>
      </c>
    </row>
    <row r="28" spans="4:9" x14ac:dyDescent="0.25">
      <c r="D28">
        <v>6</v>
      </c>
      <c r="E28">
        <v>6.5</v>
      </c>
      <c r="F28">
        <v>560</v>
      </c>
      <c r="G28">
        <v>330</v>
      </c>
      <c r="H28" t="str">
        <f t="shared" si="0"/>
        <v>6_6.5</v>
      </c>
      <c r="I28">
        <f t="shared" si="1"/>
        <v>330</v>
      </c>
    </row>
    <row r="29" spans="4:9" x14ac:dyDescent="0.25">
      <c r="D29">
        <v>6</v>
      </c>
      <c r="E29">
        <v>12.5</v>
      </c>
      <c r="F29">
        <v>1200</v>
      </c>
      <c r="G29">
        <v>1000</v>
      </c>
      <c r="H29" t="str">
        <f t="shared" si="0"/>
        <v>6_12.5</v>
      </c>
      <c r="I29">
        <f t="shared" si="1"/>
        <v>1000</v>
      </c>
    </row>
    <row r="30" spans="4:9" x14ac:dyDescent="0.25">
      <c r="D30">
        <v>6</v>
      </c>
      <c r="E30">
        <v>24.5</v>
      </c>
      <c r="F30">
        <v>2700</v>
      </c>
      <c r="G30">
        <v>2200</v>
      </c>
      <c r="H30" t="str">
        <f t="shared" si="0"/>
        <v>6_24.5</v>
      </c>
      <c r="I30">
        <f t="shared" si="1"/>
        <v>2200</v>
      </c>
    </row>
    <row r="31" spans="4:9" x14ac:dyDescent="0.25">
      <c r="D31">
        <v>6</v>
      </c>
      <c r="E31">
        <v>47.5</v>
      </c>
      <c r="F31">
        <v>3900</v>
      </c>
      <c r="G31">
        <v>3300</v>
      </c>
      <c r="H31" t="str">
        <f t="shared" si="0"/>
        <v>6_47.5</v>
      </c>
      <c r="I31">
        <f t="shared" si="1"/>
        <v>3300</v>
      </c>
    </row>
    <row r="32" spans="4:9" x14ac:dyDescent="0.25">
      <c r="D32">
        <v>6</v>
      </c>
      <c r="E32">
        <v>92.5</v>
      </c>
      <c r="F32">
        <v>8200</v>
      </c>
      <c r="G32">
        <v>6800</v>
      </c>
      <c r="H32" t="str">
        <f t="shared" si="0"/>
        <v>6_92.5</v>
      </c>
      <c r="I32">
        <f t="shared" si="1"/>
        <v>6800</v>
      </c>
    </row>
    <row r="33" spans="4:9" x14ac:dyDescent="0.25">
      <c r="D33">
        <v>6</v>
      </c>
      <c r="E33">
        <v>247.5</v>
      </c>
      <c r="F33">
        <v>18000</v>
      </c>
      <c r="G33">
        <v>15000</v>
      </c>
      <c r="H33" t="str">
        <f t="shared" si="0"/>
        <v>6_247.5</v>
      </c>
      <c r="I33">
        <f t="shared" si="1"/>
        <v>15000</v>
      </c>
    </row>
    <row r="34" spans="4:9" x14ac:dyDescent="0.25">
      <c r="D34">
        <v>6</v>
      </c>
      <c r="E34">
        <v>640.5</v>
      </c>
      <c r="F34">
        <v>50000</v>
      </c>
      <c r="G34">
        <v>50000</v>
      </c>
      <c r="H34" t="str">
        <f t="shared" si="0"/>
        <v>6_640.5</v>
      </c>
      <c r="I34">
        <f t="shared" si="1"/>
        <v>50000</v>
      </c>
    </row>
  </sheetData>
  <mergeCells count="3"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CAN IC</vt:lpstr>
      <vt:lpstr>Stepper IC</vt:lpstr>
      <vt:lpstr>AnalogInputs-Volt (STEPPER-REF)</vt:lpstr>
      <vt:lpstr>AnalogInputs-Volt (STEPPER)</vt:lpstr>
      <vt:lpstr>CS30 (STEPPER)</vt:lpstr>
      <vt:lpstr>AnalogInputs-Volt (FAN)</vt:lpstr>
      <vt:lpstr>CS30 (FAN)</vt:lpstr>
      <vt:lpstr>Typical Component Values</vt:lpstr>
      <vt:lpstr>ADC input impedance</vt:lpstr>
      <vt:lpstr>MCP2551_Res</vt:lpstr>
      <vt:lpstr>MCP2551_Slew</vt:lpstr>
      <vt:lpstr>MCP2551Tab</vt:lpstr>
      <vt:lpstr>SN65HVD23x</vt:lpstr>
      <vt:lpstr>SN65HVD23x_Res</vt:lpstr>
      <vt:lpstr>SN65HVD23x_Slew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2018-02-10T17:41:34Z</dcterms:created>
  <dcterms:modified xsi:type="dcterms:W3CDTF">2021-08-07T17:11:28Z</dcterms:modified>
</cp:coreProperties>
</file>