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riam/code/nhs_covid_deaths/figures/"/>
    </mc:Choice>
  </mc:AlternateContent>
  <xr:revisionPtr revIDLastSave="0" documentId="13_ncr:1_{B53924A4-40D1-3D4F-A157-01117364030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OVID_deaths_by_ethnicity" sheetId="1" r:id="rId1"/>
    <sheet name="raw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 s="1"/>
  <c r="J8" i="1" s="1"/>
  <c r="D9" i="1"/>
  <c r="E9" i="1"/>
  <c r="F9" i="1"/>
  <c r="G9" i="1"/>
  <c r="H9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21" i="1"/>
  <c r="E21" i="1"/>
  <c r="F21" i="1"/>
  <c r="G21" i="1"/>
  <c r="G24" i="1" s="1"/>
  <c r="H21" i="1"/>
  <c r="H24" i="1" s="1"/>
  <c r="D22" i="1"/>
  <c r="E22" i="1"/>
  <c r="F22" i="1"/>
  <c r="G22" i="1"/>
  <c r="H22" i="1"/>
  <c r="D23" i="1"/>
  <c r="D24" i="1" s="1"/>
  <c r="E23" i="1"/>
  <c r="F23" i="1"/>
  <c r="G23" i="1"/>
  <c r="H23" i="1"/>
  <c r="D27" i="1"/>
  <c r="E27" i="1"/>
  <c r="F27" i="1"/>
  <c r="G27" i="1"/>
  <c r="H27" i="1"/>
  <c r="H31" i="1" s="1"/>
  <c r="D28" i="1"/>
  <c r="D31" i="1" s="1"/>
  <c r="E28" i="1"/>
  <c r="F28" i="1"/>
  <c r="G28" i="1"/>
  <c r="H28" i="1"/>
  <c r="I28" i="1" s="1"/>
  <c r="J28" i="1" s="1"/>
  <c r="D29" i="1"/>
  <c r="E29" i="1"/>
  <c r="E31" i="1" s="1"/>
  <c r="F29" i="1"/>
  <c r="G29" i="1"/>
  <c r="H29" i="1"/>
  <c r="D30" i="1"/>
  <c r="E30" i="1"/>
  <c r="F30" i="1"/>
  <c r="G30" i="1"/>
  <c r="H30" i="1"/>
  <c r="D34" i="1"/>
  <c r="D35" i="1" s="1"/>
  <c r="E34" i="1"/>
  <c r="E35" i="1" s="1"/>
  <c r="F34" i="1"/>
  <c r="F35" i="1" s="1"/>
  <c r="G34" i="1"/>
  <c r="G35" i="1" s="1"/>
  <c r="H34" i="1"/>
  <c r="H35" i="1" s="1"/>
  <c r="C7" i="1"/>
  <c r="F7" i="1" s="1"/>
  <c r="H18" i="1" l="1"/>
  <c r="G31" i="1"/>
  <c r="F24" i="1"/>
  <c r="F31" i="1"/>
  <c r="E24" i="1"/>
  <c r="I24" i="1"/>
  <c r="J24" i="1" s="1"/>
  <c r="I31" i="1"/>
  <c r="J31" i="1" s="1"/>
  <c r="G18" i="1"/>
  <c r="F10" i="1"/>
  <c r="E18" i="1"/>
  <c r="D18" i="1"/>
  <c r="F18" i="1"/>
  <c r="F37" i="1"/>
  <c r="I9" i="1"/>
  <c r="J9" i="1" s="1"/>
  <c r="I15" i="1"/>
  <c r="J15" i="1" s="1"/>
  <c r="I17" i="1"/>
  <c r="J17" i="1" s="1"/>
  <c r="I34" i="1"/>
  <c r="I27" i="1"/>
  <c r="J27" i="1" s="1"/>
  <c r="I22" i="1"/>
  <c r="J22" i="1" s="1"/>
  <c r="I16" i="1"/>
  <c r="J16" i="1" s="1"/>
  <c r="I29" i="1"/>
  <c r="J29" i="1" s="1"/>
  <c r="G7" i="1"/>
  <c r="H7" i="1"/>
  <c r="I30" i="1"/>
  <c r="J30" i="1" s="1"/>
  <c r="I21" i="1"/>
  <c r="J21" i="1" s="1"/>
  <c r="D7" i="1"/>
  <c r="I14" i="1"/>
  <c r="J14" i="1" s="1"/>
  <c r="I23" i="1"/>
  <c r="J23" i="1" s="1"/>
  <c r="I13" i="1"/>
  <c r="E7" i="1"/>
  <c r="I18" i="1" l="1"/>
  <c r="J18" i="1" s="1"/>
  <c r="D37" i="1"/>
  <c r="D10" i="1"/>
  <c r="I7" i="1"/>
  <c r="H37" i="1"/>
  <c r="H10" i="1"/>
  <c r="E10" i="1"/>
  <c r="E37" i="1"/>
  <c r="G10" i="1"/>
  <c r="G37" i="1"/>
  <c r="J13" i="1"/>
  <c r="J34" i="1"/>
  <c r="J35" i="1" s="1"/>
  <c r="I35" i="1"/>
  <c r="J7" i="1" l="1"/>
  <c r="I10" i="1"/>
  <c r="J10" i="1" s="1"/>
</calcChain>
</file>

<file path=xl/sharedStrings.xml><?xml version="1.0" encoding="utf-8"?>
<sst xmlns="http://schemas.openxmlformats.org/spreadsheetml/2006/main" count="81" uniqueCount="54">
  <si>
    <t>Any other Asian background</t>
  </si>
  <si>
    <t>Bangladeshi</t>
  </si>
  <si>
    <t>Chinese</t>
  </si>
  <si>
    <t>Indian</t>
  </si>
  <si>
    <t>Pakistani</t>
  </si>
  <si>
    <t>African</t>
  </si>
  <si>
    <t>Any other Black background</t>
  </si>
  <si>
    <t>Caribbean</t>
  </si>
  <si>
    <t>Any other Mixed background</t>
  </si>
  <si>
    <t>White and Asian</t>
  </si>
  <si>
    <t>White and Black African</t>
  </si>
  <si>
    <t>White and Black Caribbean</t>
  </si>
  <si>
    <t>Any other ethnic group</t>
  </si>
  <si>
    <t>White</t>
  </si>
  <si>
    <t>Any other White background</t>
  </si>
  <si>
    <t>British</t>
  </si>
  <si>
    <t>Irish</t>
  </si>
  <si>
    <t>Asian</t>
  </si>
  <si>
    <t>Black</t>
  </si>
  <si>
    <t>Mixed</t>
  </si>
  <si>
    <t>Other</t>
  </si>
  <si>
    <t>Population</t>
  </si>
  <si>
    <t>Population (%)</t>
  </si>
  <si>
    <t>Observed Deaths</t>
  </si>
  <si>
    <t>Observed Deaths (%)</t>
  </si>
  <si>
    <t>Expected deaths if
distributed by age 
structure of population</t>
  </si>
  <si>
    <t>Excess Deaths = 
Observed Deaths - Expected Deaths</t>
  </si>
  <si>
    <t>Excess Deaths (% of expected deaths)</t>
  </si>
  <si>
    <t>Analysis by Miqdad Asaria (@miqedup)</t>
  </si>
  <si>
    <t>       Data are from the ONS (ethnicity) and NHS England (deaths)</t>
  </si>
  <si>
    <t>       Expected deaths are adjusted for age structure of ethnic groups and normalised to sum to total observed deaths</t>
  </si>
  <si>
    <t>ethnicity</t>
  </si>
  <si>
    <t>ethnic_group</t>
  </si>
  <si>
    <t>population</t>
  </si>
  <si>
    <t>population_proportion</t>
  </si>
  <si>
    <t>observed_deaths</t>
  </si>
  <si>
    <t>observed_deaths_proportion</t>
  </si>
  <si>
    <t>pop_expected_deaths</t>
  </si>
  <si>
    <t>expected_deaths</t>
  </si>
  <si>
    <t>expected_deaths_proportion</t>
  </si>
  <si>
    <t>difference</t>
  </si>
  <si>
    <t>ratio</t>
  </si>
  <si>
    <t>Asian/Asian British</t>
  </si>
  <si>
    <t>Black/African/Caribbean/Black British</t>
  </si>
  <si>
    <t>Mixed/multiple ethnic group</t>
  </si>
  <si>
    <t>Other ethnic group</t>
  </si>
  <si>
    <t>Total Mixed</t>
  </si>
  <si>
    <t>Total Other</t>
  </si>
  <si>
    <t xml:space="preserve">Total </t>
  </si>
  <si>
    <t>Total White</t>
  </si>
  <si>
    <t>Total Asian</t>
  </si>
  <si>
    <t>Total Black</t>
  </si>
  <si>
    <t>Deaths in Hospital from COVID-19 by ethnicity</t>
  </si>
  <si>
    <t>Data for England up until 21st April 2020 (published 23rd April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</si>
</sst>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9" fontId="18" fillId="0" borderId="0" xfId="2" applyFont="1"/>
    <xf numFmtId="0" fontId="0" fillId="0" borderId="11" xfId="0" applyBorder="1"/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164" fontId="0" fillId="0" borderId="10" xfId="1" applyNumberFormat="1" applyFont="1" applyBorder="1"/>
    <xf numFmtId="0" fontId="19" fillId="0" borderId="0" xfId="0" applyFont="1" applyAlignment="1">
      <alignment horizontal="right"/>
    </xf>
    <xf numFmtId="11" fontId="0" fillId="0" borderId="0" xfId="0" applyNumberFormat="1"/>
    <xf numFmtId="9" fontId="0" fillId="0" borderId="10" xfId="2" applyFont="1" applyBorder="1"/>
    <xf numFmtId="164" fontId="2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164" fontId="20" fillId="0" borderId="0" xfId="1" applyNumberFormat="1" applyFont="1" applyBorder="1"/>
    <xf numFmtId="164" fontId="18" fillId="0" borderId="0" xfId="1" applyNumberFormat="1" applyFont="1" applyBorder="1"/>
    <xf numFmtId="9" fontId="18" fillId="0" borderId="0" xfId="2" applyFont="1" applyBorder="1"/>
    <xf numFmtId="0" fontId="16" fillId="0" borderId="10" xfId="0" applyFont="1" applyFill="1" applyBorder="1"/>
    <xf numFmtId="3" fontId="0" fillId="0" borderId="0" xfId="1" applyNumberFormat="1" applyFont="1"/>
    <xf numFmtId="3" fontId="18" fillId="0" borderId="0" xfId="1" applyNumberFormat="1" applyFont="1"/>
    <xf numFmtId="9" fontId="20" fillId="0" borderId="0" xfId="2" applyFont="1"/>
    <xf numFmtId="0" fontId="21" fillId="0" borderId="0" xfId="0" applyFont="1"/>
    <xf numFmtId="164" fontId="21" fillId="0" borderId="0" xfId="1" applyNumberFormat="1" applyFont="1"/>
    <xf numFmtId="165" fontId="21" fillId="0" borderId="0" xfId="2" applyNumberFormat="1" applyFont="1"/>
    <xf numFmtId="9" fontId="21" fillId="0" borderId="0" xfId="2" applyFont="1"/>
    <xf numFmtId="3" fontId="21" fillId="0" borderId="0" xfId="1" applyNumberFormat="1" applyFont="1"/>
    <xf numFmtId="9" fontId="22" fillId="0" borderId="0" xfId="2" applyFont="1"/>
    <xf numFmtId="0" fontId="22" fillId="0" borderId="0" xfId="0" applyFont="1"/>
    <xf numFmtId="0" fontId="21" fillId="0" borderId="0" xfId="0" applyFont="1" applyFill="1" applyBorder="1"/>
    <xf numFmtId="164" fontId="21" fillId="0" borderId="0" xfId="1" applyNumberFormat="1" applyFont="1" applyBorder="1"/>
    <xf numFmtId="165" fontId="21" fillId="0" borderId="0" xfId="2" applyNumberFormat="1" applyFont="1" applyBorder="1"/>
    <xf numFmtId="9" fontId="21" fillId="0" borderId="0" xfId="2" applyFont="1" applyBorder="1"/>
    <xf numFmtId="3" fontId="20" fillId="0" borderId="0" xfId="1" applyNumberFormat="1" applyFont="1"/>
    <xf numFmtId="9" fontId="20" fillId="0" borderId="0" xfId="2" applyFont="1" applyBorder="1"/>
    <xf numFmtId="0" fontId="23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showGridLines="0" tabSelected="1" zoomScale="90" zoomScaleNormal="90" workbookViewId="0">
      <selection activeCell="P41" sqref="P41"/>
    </sheetView>
  </sheetViews>
  <sheetFormatPr baseColWidth="10" defaultRowHeight="16" x14ac:dyDescent="0.2"/>
  <cols>
    <col min="3" max="3" width="24.6640625" bestFit="1" customWidth="1"/>
    <col min="4" max="4" width="14" bestFit="1" customWidth="1"/>
    <col min="5" max="5" width="13.1640625" bestFit="1" customWidth="1"/>
    <col min="6" max="6" width="15" bestFit="1" customWidth="1"/>
    <col min="7" max="7" width="18.5" bestFit="1" customWidth="1"/>
    <col min="8" max="8" width="22.33203125" customWidth="1"/>
    <col min="9" max="9" width="18" customWidth="1"/>
    <col min="10" max="10" width="18.6640625" customWidth="1"/>
  </cols>
  <sheetData>
    <row r="2" spans="3:10" ht="21" x14ac:dyDescent="0.25">
      <c r="C2" s="37" t="s">
        <v>52</v>
      </c>
    </row>
    <row r="3" spans="3:10" x14ac:dyDescent="0.2">
      <c r="C3" s="1" t="s">
        <v>53</v>
      </c>
    </row>
    <row r="5" spans="3:10" ht="47" customHeight="1" x14ac:dyDescent="0.2">
      <c r="C5" s="6"/>
      <c r="D5" s="7" t="s">
        <v>21</v>
      </c>
      <c r="E5" s="7" t="s">
        <v>22</v>
      </c>
      <c r="F5" s="7" t="s">
        <v>23</v>
      </c>
      <c r="G5" s="7" t="s">
        <v>24</v>
      </c>
      <c r="H5" s="8" t="s">
        <v>25</v>
      </c>
      <c r="I5" s="8" t="s">
        <v>26</v>
      </c>
      <c r="J5" s="8" t="s">
        <v>27</v>
      </c>
    </row>
    <row r="6" spans="3:10" x14ac:dyDescent="0.2">
      <c r="C6" s="1" t="s">
        <v>13</v>
      </c>
    </row>
    <row r="7" spans="3:10" x14ac:dyDescent="0.2">
      <c r="C7" t="str">
        <f>raw_data!B16</f>
        <v>British</v>
      </c>
      <c r="D7" s="2">
        <f>VLOOKUP($C7,raw_data!$B$2:$K$17,2,FALSE)</f>
        <v>40072756</v>
      </c>
      <c r="E7" s="4">
        <f>VLOOKUP($C7,raw_data!$B$2:$K$17,3,FALSE)</f>
        <v>0.79703406767071805</v>
      </c>
      <c r="F7" s="2">
        <f>VLOOKUP($C7,raw_data!$B$2:$K$17,4,FALSE)</f>
        <v>11354</v>
      </c>
      <c r="G7" s="4">
        <f>VLOOKUP($C7,raw_data!$B$2:$K$17,5,FALSE)</f>
        <v>0.77054631828978604</v>
      </c>
      <c r="H7" s="2">
        <f>VLOOKUP($C7,raw_data!$B$2:$K$17,7,FALSE)</f>
        <v>13487</v>
      </c>
      <c r="I7" s="21">
        <f>F7-H7</f>
        <v>-2133</v>
      </c>
      <c r="J7" s="3">
        <f>I7/H7</f>
        <v>-0.15815229480240231</v>
      </c>
    </row>
    <row r="8" spans="3:10" x14ac:dyDescent="0.2">
      <c r="C8" t="s">
        <v>16</v>
      </c>
      <c r="D8" s="2">
        <f>VLOOKUP($C8,raw_data!$B$2:$K$17,2,FALSE)</f>
        <v>507284</v>
      </c>
      <c r="E8" s="4">
        <f>VLOOKUP($C8,raw_data!$B$2:$K$17,3,FALSE)</f>
        <v>1.0089713569595E-2</v>
      </c>
      <c r="F8" s="2">
        <f>VLOOKUP($C8,raw_data!$B$2:$K$17,4,FALSE)</f>
        <v>161</v>
      </c>
      <c r="G8" s="4">
        <f>VLOOKUP($C8,raw_data!$B$2:$K$17,5,FALSE)</f>
        <v>1.09263657957244E-2</v>
      </c>
      <c r="H8" s="2">
        <f>VLOOKUP($C8,raw_data!$B$2:$K$17,7,FALSE)</f>
        <v>238</v>
      </c>
      <c r="I8" s="35">
        <f t="shared" ref="I8:I34" si="0">F8-H8</f>
        <v>-77</v>
      </c>
      <c r="J8" s="23">
        <f t="shared" ref="J8:J34" si="1">I8/H8</f>
        <v>-0.3235294117647059</v>
      </c>
    </row>
    <row r="9" spans="3:10" x14ac:dyDescent="0.2">
      <c r="C9" t="s">
        <v>14</v>
      </c>
      <c r="D9" s="2">
        <f>VLOOKUP($C9,raw_data!$B$2:$K$17,2,FALSE)</f>
        <v>2443913</v>
      </c>
      <c r="E9" s="4">
        <f>VLOOKUP($C9,raw_data!$B$2:$K$17,3,FALSE)</f>
        <v>4.8608633741671001E-2</v>
      </c>
      <c r="F9" s="2">
        <f>VLOOKUP($C9,raw_data!$B$2:$K$17,4,FALSE)</f>
        <v>544</v>
      </c>
      <c r="G9" s="4">
        <f>VLOOKUP($C9,raw_data!$B$2:$K$17,5,FALSE)</f>
        <v>3.6918900576857802E-2</v>
      </c>
      <c r="H9" s="13">
        <f>VLOOKUP($C9,raw_data!$B$2:$K$17,7,FALSE)</f>
        <v>302</v>
      </c>
      <c r="I9" s="35">
        <f t="shared" si="0"/>
        <v>242</v>
      </c>
      <c r="J9" s="23">
        <f t="shared" si="1"/>
        <v>0.80132450331125826</v>
      </c>
    </row>
    <row r="10" spans="3:10" s="30" customFormat="1" x14ac:dyDescent="0.2">
      <c r="C10" s="24" t="s">
        <v>49</v>
      </c>
      <c r="D10" s="25">
        <f>SUM(D7:D9)</f>
        <v>43023953</v>
      </c>
      <c r="E10" s="26">
        <f>SUM(E7:E9)</f>
        <v>0.85573241498198405</v>
      </c>
      <c r="F10" s="25">
        <f>SUM(F7:F9)</f>
        <v>12059</v>
      </c>
      <c r="G10" s="27">
        <f t="shared" ref="G10:I10" si="2">SUM(G7:G9)</f>
        <v>0.81839158466236817</v>
      </c>
      <c r="H10" s="25">
        <f t="shared" si="2"/>
        <v>14027</v>
      </c>
      <c r="I10" s="28">
        <f t="shared" si="2"/>
        <v>-1968</v>
      </c>
      <c r="J10" s="29">
        <f t="shared" si="1"/>
        <v>-0.14030084836386969</v>
      </c>
    </row>
    <row r="11" spans="3:10" x14ac:dyDescent="0.2">
      <c r="D11" s="2"/>
      <c r="E11" s="4"/>
      <c r="F11" s="2"/>
      <c r="G11" s="4"/>
      <c r="H11" s="13"/>
      <c r="I11" s="21"/>
      <c r="J11" s="5"/>
    </row>
    <row r="12" spans="3:10" x14ac:dyDescent="0.2">
      <c r="C12" s="1" t="s">
        <v>17</v>
      </c>
      <c r="D12" s="2"/>
      <c r="E12" s="4"/>
      <c r="F12" s="2"/>
      <c r="G12" s="4"/>
      <c r="H12" s="13"/>
      <c r="I12" s="21"/>
      <c r="J12" s="5"/>
    </row>
    <row r="13" spans="3:10" x14ac:dyDescent="0.2">
      <c r="C13" t="s">
        <v>3</v>
      </c>
      <c r="D13" s="2">
        <f>VLOOKUP($C13,raw_data!$B$2:$K$17,2,FALSE)</f>
        <v>1338395</v>
      </c>
      <c r="E13" s="4">
        <f>VLOOKUP($C13,raw_data!$B$2:$K$17,3,FALSE)</f>
        <v>2.66202407191597E-2</v>
      </c>
      <c r="F13" s="2">
        <f>VLOOKUP($C13,raw_data!$B$2:$K$17,4,FALSE)</f>
        <v>492</v>
      </c>
      <c r="G13" s="4">
        <f>VLOOKUP($C13,raw_data!$B$2:$K$17,5,FALSE)</f>
        <v>3.3389888021717003E-2</v>
      </c>
      <c r="H13" s="13">
        <f>VLOOKUP($C13,raw_data!$B$2:$K$17,7,FALSE)</f>
        <v>188</v>
      </c>
      <c r="I13" s="35">
        <f t="shared" si="0"/>
        <v>304</v>
      </c>
      <c r="J13" s="23">
        <f t="shared" si="1"/>
        <v>1.6170212765957446</v>
      </c>
    </row>
    <row r="14" spans="3:10" x14ac:dyDescent="0.2">
      <c r="C14" t="s">
        <v>4</v>
      </c>
      <c r="D14" s="2">
        <f>VLOOKUP($C14,raw_data!$B$2:$K$17,2,FALSE)</f>
        <v>1020967</v>
      </c>
      <c r="E14" s="4">
        <f>VLOOKUP($C14,raw_data!$B$2:$K$17,3,FALSE)</f>
        <v>2.0306701165439402E-2</v>
      </c>
      <c r="F14" s="2">
        <f>VLOOKUP($C14,raw_data!$B$2:$K$17,4,FALSE)</f>
        <v>332</v>
      </c>
      <c r="G14" s="4">
        <f>VLOOKUP($C14,raw_data!$B$2:$K$17,5,FALSE)</f>
        <v>2.25313878520529E-2</v>
      </c>
      <c r="H14" s="13">
        <f>VLOOKUP($C14,raw_data!$B$2:$K$17,7,FALSE)</f>
        <v>82</v>
      </c>
      <c r="I14" s="35">
        <f t="shared" si="0"/>
        <v>250</v>
      </c>
      <c r="J14" s="23">
        <f t="shared" si="1"/>
        <v>3.0487804878048781</v>
      </c>
    </row>
    <row r="15" spans="3:10" x14ac:dyDescent="0.2">
      <c r="C15" t="s">
        <v>1</v>
      </c>
      <c r="D15" s="2">
        <f>VLOOKUP($C15,raw_data!$B$2:$K$17,2,FALSE)</f>
        <v>392762</v>
      </c>
      <c r="E15" s="4">
        <f>VLOOKUP($C15,raw_data!$B$2:$K$17,3,FALSE)</f>
        <v>7.8119082821876901E-3</v>
      </c>
      <c r="F15" s="2">
        <f>VLOOKUP($C15,raw_data!$B$2:$K$17,4,FALSE)</f>
        <v>100</v>
      </c>
      <c r="G15" s="4">
        <f>VLOOKUP($C15,raw_data!$B$2:$K$17,5,FALSE)</f>
        <v>6.7865626060400397E-3</v>
      </c>
      <c r="H15" s="13">
        <f>VLOOKUP($C15,raw_data!$B$2:$K$17,7,FALSE)</f>
        <v>25</v>
      </c>
      <c r="I15" s="35">
        <f t="shared" si="0"/>
        <v>75</v>
      </c>
      <c r="J15" s="23">
        <f t="shared" si="1"/>
        <v>3</v>
      </c>
    </row>
    <row r="16" spans="3:10" x14ac:dyDescent="0.2">
      <c r="C16" t="s">
        <v>2</v>
      </c>
      <c r="D16" s="2">
        <f>VLOOKUP($C16,raw_data!$B$2:$K$17,2,FALSE)</f>
        <v>370642</v>
      </c>
      <c r="E16" s="4">
        <f>VLOOKUP($C16,raw_data!$B$2:$K$17,3,FALSE)</f>
        <v>7.3719486852766103E-3</v>
      </c>
      <c r="F16" s="2">
        <f>VLOOKUP($C16,raw_data!$B$2:$K$17,4,FALSE)</f>
        <v>57</v>
      </c>
      <c r="G16" s="4">
        <f>VLOOKUP($C16,raw_data!$B$2:$K$17,5,FALSE)</f>
        <v>3.8683406854428202E-3</v>
      </c>
      <c r="H16" s="13">
        <f>VLOOKUP($C16,raw_data!$B$2:$K$17,7,FALSE)</f>
        <v>36</v>
      </c>
      <c r="I16" s="35">
        <f t="shared" si="0"/>
        <v>21</v>
      </c>
      <c r="J16" s="23">
        <f t="shared" si="1"/>
        <v>0.58333333333333337</v>
      </c>
    </row>
    <row r="17" spans="3:10" x14ac:dyDescent="0.2">
      <c r="C17" t="s">
        <v>0</v>
      </c>
      <c r="D17" s="2">
        <f>VLOOKUP($C17,raw_data!$B$2:$K$17,2,FALSE)</f>
        <v>775336</v>
      </c>
      <c r="E17" s="4">
        <f>VLOOKUP($C17,raw_data!$B$2:$K$17,3,FALSE)</f>
        <v>1.54211805619644E-2</v>
      </c>
      <c r="F17" s="2">
        <f>VLOOKUP($C17,raw_data!$B$2:$K$17,4,FALSE)</f>
        <v>245</v>
      </c>
      <c r="G17" s="4">
        <f>VLOOKUP($C17,raw_data!$B$2:$K$17,5,FALSE)</f>
        <v>1.66270783847981E-2</v>
      </c>
      <c r="H17" s="13">
        <f>VLOOKUP($C17,raw_data!$B$2:$K$17,7,FALSE)</f>
        <v>71</v>
      </c>
      <c r="I17" s="35">
        <f t="shared" si="0"/>
        <v>174</v>
      </c>
      <c r="J17" s="23">
        <f t="shared" si="1"/>
        <v>2.4507042253521125</v>
      </c>
    </row>
    <row r="18" spans="3:10" s="30" customFormat="1" x14ac:dyDescent="0.2">
      <c r="C18" s="24" t="s">
        <v>50</v>
      </c>
      <c r="D18" s="25">
        <f>SUM(D13:D17)</f>
        <v>3898102</v>
      </c>
      <c r="E18" s="26">
        <f>SUM(E13:E17)</f>
        <v>7.7531979414027799E-2</v>
      </c>
      <c r="F18" s="25">
        <f>SUM(F13:F17)</f>
        <v>1226</v>
      </c>
      <c r="G18" s="26">
        <f>SUM(G13:G17)</f>
        <v>8.3203257550050869E-2</v>
      </c>
      <c r="H18" s="25">
        <f>SUM(H13:H17)</f>
        <v>402</v>
      </c>
      <c r="I18" s="28">
        <f t="shared" si="0"/>
        <v>824</v>
      </c>
      <c r="J18" s="29">
        <f t="shared" si="1"/>
        <v>2.0497512437810945</v>
      </c>
    </row>
    <row r="19" spans="3:10" x14ac:dyDescent="0.2">
      <c r="D19" s="2"/>
      <c r="E19" s="4"/>
      <c r="F19" s="2"/>
      <c r="G19" s="4"/>
      <c r="H19" s="13"/>
      <c r="I19" s="22"/>
      <c r="J19" s="5"/>
    </row>
    <row r="20" spans="3:10" x14ac:dyDescent="0.2">
      <c r="C20" s="1" t="s">
        <v>18</v>
      </c>
      <c r="D20" s="2"/>
      <c r="E20" s="4"/>
      <c r="F20" s="2"/>
      <c r="G20" s="4"/>
      <c r="H20" s="13"/>
      <c r="I20" s="22"/>
      <c r="J20" s="5"/>
    </row>
    <row r="21" spans="3:10" x14ac:dyDescent="0.2">
      <c r="C21" t="s">
        <v>5</v>
      </c>
      <c r="D21" s="2">
        <f>VLOOKUP($C21,raw_data!$B$2:$K$17,2,FALSE)</f>
        <v>914359</v>
      </c>
      <c r="E21" s="4">
        <f>VLOOKUP($C21,raw_data!$B$2:$K$17,3,FALSE)</f>
        <v>1.8186302760941301E-2</v>
      </c>
      <c r="F21" s="2">
        <f>VLOOKUP($C21,raw_data!$B$2:$K$17,4,FALSE)</f>
        <v>290</v>
      </c>
      <c r="G21" s="4">
        <f>VLOOKUP($C21,raw_data!$B$2:$K$17,5,FALSE)</f>
        <v>1.9681031557516101E-2</v>
      </c>
      <c r="H21" s="13">
        <f>VLOOKUP($C21,raw_data!$B$2:$K$17,7,FALSE)</f>
        <v>51</v>
      </c>
      <c r="I21" s="35">
        <f t="shared" si="0"/>
        <v>239</v>
      </c>
      <c r="J21" s="23">
        <f t="shared" si="1"/>
        <v>4.6862745098039218</v>
      </c>
    </row>
    <row r="22" spans="3:10" x14ac:dyDescent="0.2">
      <c r="C22" t="s">
        <v>7</v>
      </c>
      <c r="D22" s="2">
        <f>VLOOKUP($C22,raw_data!$B$2:$K$17,2,FALSE)</f>
        <v>554424</v>
      </c>
      <c r="E22" s="4">
        <f>VLOOKUP($C22,raw_data!$B$2:$K$17,3,FALSE)</f>
        <v>1.1027312819070101E-2</v>
      </c>
      <c r="F22" s="2">
        <f>VLOOKUP($C22,raw_data!$B$2:$K$17,4,FALSE)</f>
        <v>460</v>
      </c>
      <c r="G22" s="4">
        <f>VLOOKUP($C22,raw_data!$B$2:$K$17,5,FALSE)</f>
        <v>3.1218187987784099E-2</v>
      </c>
      <c r="H22" s="13">
        <f>VLOOKUP($C22,raw_data!$B$2:$K$17,7,FALSE)</f>
        <v>124</v>
      </c>
      <c r="I22" s="35">
        <f t="shared" si="0"/>
        <v>336</v>
      </c>
      <c r="J22" s="23">
        <f t="shared" si="1"/>
        <v>2.7096774193548385</v>
      </c>
    </row>
    <row r="23" spans="3:10" x14ac:dyDescent="0.2">
      <c r="C23" t="s">
        <v>6</v>
      </c>
      <c r="D23" s="2">
        <f>VLOOKUP($C23,raw_data!$B$2:$K$17,2,FALSE)</f>
        <v>253635</v>
      </c>
      <c r="E23" s="4">
        <f>VLOOKUP($C23,raw_data!$B$2:$K$17,3,FALSE)</f>
        <v>5.0447175570769998E-3</v>
      </c>
      <c r="F23" s="2">
        <f>VLOOKUP($C23,raw_data!$B$2:$K$17,4,FALSE)</f>
        <v>146</v>
      </c>
      <c r="G23" s="4">
        <f>VLOOKUP($C23,raw_data!$B$2:$K$17,5,FALSE)</f>
        <v>9.9083814048184504E-3</v>
      </c>
      <c r="H23" s="13">
        <f>VLOOKUP($C23,raw_data!$B$2:$K$17,7,FALSE)</f>
        <v>17</v>
      </c>
      <c r="I23" s="35">
        <f t="shared" si="0"/>
        <v>129</v>
      </c>
      <c r="J23" s="23">
        <f t="shared" si="1"/>
        <v>7.5882352941176467</v>
      </c>
    </row>
    <row r="24" spans="3:10" s="24" customFormat="1" x14ac:dyDescent="0.2">
      <c r="C24" s="24" t="s">
        <v>51</v>
      </c>
      <c r="D24" s="25">
        <f>SUM(D21:D23)</f>
        <v>1722418</v>
      </c>
      <c r="E24" s="26">
        <f>SUM(E21:E23)</f>
        <v>3.4258333137088398E-2</v>
      </c>
      <c r="F24" s="25">
        <f>SUM(F21:F23)</f>
        <v>896</v>
      </c>
      <c r="G24" s="26">
        <f t="shared" ref="G24:H24" si="3">SUM(G21:G23)</f>
        <v>6.0807600950118654E-2</v>
      </c>
      <c r="H24" s="25">
        <f t="shared" si="3"/>
        <v>192</v>
      </c>
      <c r="I24" s="28">
        <f t="shared" si="0"/>
        <v>704</v>
      </c>
      <c r="J24" s="27">
        <f t="shared" si="1"/>
        <v>3.6666666666666665</v>
      </c>
    </row>
    <row r="25" spans="3:10" x14ac:dyDescent="0.2">
      <c r="D25" s="2"/>
      <c r="E25" s="4"/>
      <c r="F25" s="2"/>
      <c r="G25" s="4"/>
      <c r="H25" s="13"/>
      <c r="I25" s="22"/>
      <c r="J25" s="5"/>
    </row>
    <row r="26" spans="3:10" x14ac:dyDescent="0.2">
      <c r="C26" s="1" t="s">
        <v>19</v>
      </c>
      <c r="D26" s="2"/>
      <c r="E26" s="4"/>
      <c r="F26" s="2"/>
      <c r="G26" s="4"/>
      <c r="H26" s="13"/>
      <c r="I26" s="22"/>
      <c r="J26" s="5"/>
    </row>
    <row r="27" spans="3:10" x14ac:dyDescent="0.2">
      <c r="C27" t="s">
        <v>9</v>
      </c>
      <c r="D27" s="2">
        <f>VLOOKUP($C27,raw_data!$B$2:$K$17,2,FALSE)</f>
        <v>312874</v>
      </c>
      <c r="E27" s="4">
        <f>VLOOKUP($C27,raw_data!$B$2:$K$17,3,FALSE)</f>
        <v>6.2229619766708396E-3</v>
      </c>
      <c r="F27" s="2">
        <f>VLOOKUP($C27,raw_data!$B$2:$K$17,4,FALSE)</f>
        <v>22</v>
      </c>
      <c r="G27" s="4">
        <f>VLOOKUP($C27,raw_data!$B$2:$K$17,5,FALSE)</f>
        <v>1.4930437733288E-3</v>
      </c>
      <c r="H27" s="13">
        <f>VLOOKUP($C27,raw_data!$B$2:$K$17,7,FALSE)</f>
        <v>18</v>
      </c>
      <c r="I27" s="35">
        <f t="shared" si="0"/>
        <v>4</v>
      </c>
      <c r="J27" s="23">
        <f t="shared" si="1"/>
        <v>0.22222222222222221</v>
      </c>
    </row>
    <row r="28" spans="3:10" x14ac:dyDescent="0.2">
      <c r="C28" t="s">
        <v>11</v>
      </c>
      <c r="D28" s="2">
        <f>VLOOKUP($C28,raw_data!$B$2:$K$17,2,FALSE)</f>
        <v>372676</v>
      </c>
      <c r="E28" s="4">
        <f>VLOOKUP($C28,raw_data!$B$2:$K$17,3,FALSE)</f>
        <v>7.4124042829310901E-3</v>
      </c>
      <c r="F28" s="2">
        <f>VLOOKUP($C28,raw_data!$B$2:$K$17,4,FALSE)</f>
        <v>33</v>
      </c>
      <c r="G28" s="4">
        <f>VLOOKUP($C28,raw_data!$B$2:$K$17,5,FALSE)</f>
        <v>2.23956565999321E-3</v>
      </c>
      <c r="H28" s="13">
        <f>VLOOKUP($C28,raw_data!$B$2:$K$17,7,FALSE)</f>
        <v>24</v>
      </c>
      <c r="I28" s="35">
        <f t="shared" si="0"/>
        <v>9</v>
      </c>
      <c r="J28" s="23">
        <f t="shared" si="1"/>
        <v>0.375</v>
      </c>
    </row>
    <row r="29" spans="3:10" x14ac:dyDescent="0.2">
      <c r="C29" t="s">
        <v>10</v>
      </c>
      <c r="D29" s="2">
        <f>VLOOKUP($C29,raw_data!$B$2:$K$17,2,FALSE)</f>
        <v>155898</v>
      </c>
      <c r="E29" s="4">
        <f>VLOOKUP($C29,raw_data!$B$2:$K$17,3,FALSE)</f>
        <v>3.1007604538537199E-3</v>
      </c>
      <c r="F29" s="2">
        <f>VLOOKUP($C29,raw_data!$B$2:$K$17,4,FALSE)</f>
        <v>12</v>
      </c>
      <c r="G29" s="4">
        <f>VLOOKUP($C29,raw_data!$B$2:$K$17,5,FALSE)</f>
        <v>8.1438751272480399E-4</v>
      </c>
      <c r="H29" s="13">
        <f>VLOOKUP($C29,raw_data!$B$2:$K$17,7,FALSE)</f>
        <v>6</v>
      </c>
      <c r="I29" s="35">
        <f t="shared" si="0"/>
        <v>6</v>
      </c>
      <c r="J29" s="23">
        <f t="shared" si="1"/>
        <v>1</v>
      </c>
    </row>
    <row r="30" spans="3:10" x14ac:dyDescent="0.2">
      <c r="C30" t="s">
        <v>8</v>
      </c>
      <c r="D30" s="2">
        <f>VLOOKUP($C30,raw_data!$B$2:$K$17,2,FALSE)</f>
        <v>269465</v>
      </c>
      <c r="E30" s="4">
        <f>VLOOKUP($C30,raw_data!$B$2:$K$17,3,FALSE)</f>
        <v>5.3595711022443801E-3</v>
      </c>
      <c r="F30" s="2">
        <f>VLOOKUP($C30,raw_data!$B$2:$K$17,4,FALSE)</f>
        <v>48</v>
      </c>
      <c r="G30" s="4">
        <f>VLOOKUP($C30,raw_data!$B$2:$K$17,5,FALSE)</f>
        <v>3.2575500508992099E-3</v>
      </c>
      <c r="H30" s="13">
        <f>VLOOKUP($C30,raw_data!$B$2:$K$17,7,FALSE)</f>
        <v>17</v>
      </c>
      <c r="I30" s="35">
        <f t="shared" si="0"/>
        <v>31</v>
      </c>
      <c r="J30" s="23">
        <f t="shared" si="1"/>
        <v>1.8235294117647058</v>
      </c>
    </row>
    <row r="31" spans="3:10" s="24" customFormat="1" x14ac:dyDescent="0.2">
      <c r="C31" s="24" t="s">
        <v>46</v>
      </c>
      <c r="D31" s="25">
        <f>SUM(D27:D30)</f>
        <v>1110913</v>
      </c>
      <c r="E31" s="26">
        <f>SUM(E27:E30)</f>
        <v>2.2095697815700029E-2</v>
      </c>
      <c r="F31" s="25">
        <f>SUM(F27:F30)</f>
        <v>115</v>
      </c>
      <c r="G31" s="26">
        <f>SUM(G27:G30)</f>
        <v>7.8045469969460239E-3</v>
      </c>
      <c r="H31" s="25">
        <f>SUM(H27:H30)</f>
        <v>65</v>
      </c>
      <c r="I31" s="28">
        <f t="shared" si="0"/>
        <v>50</v>
      </c>
      <c r="J31" s="27">
        <f t="shared" si="1"/>
        <v>0.76923076923076927</v>
      </c>
    </row>
    <row r="32" spans="3:10" x14ac:dyDescent="0.2">
      <c r="D32" s="2"/>
      <c r="E32" s="4"/>
      <c r="F32" s="2"/>
      <c r="G32" s="4"/>
      <c r="H32" s="13"/>
      <c r="I32" s="22"/>
      <c r="J32" s="5"/>
    </row>
    <row r="33" spans="3:10" x14ac:dyDescent="0.2">
      <c r="C33" s="1" t="s">
        <v>20</v>
      </c>
      <c r="D33" s="2"/>
      <c r="E33" s="4"/>
      <c r="F33" s="2"/>
      <c r="G33" s="4"/>
      <c r="H33" s="13"/>
      <c r="I33" s="22"/>
      <c r="J33" s="5"/>
    </row>
    <row r="34" spans="3:10" x14ac:dyDescent="0.2">
      <c r="C34" s="14" t="s">
        <v>12</v>
      </c>
      <c r="D34" s="15">
        <f>VLOOKUP($C34,raw_data!$B$2:$K$17,2,FALSE)</f>
        <v>521958</v>
      </c>
      <c r="E34" s="16">
        <f>VLOOKUP($C34,raw_data!$B$2:$K$17,3,FALSE)</f>
        <v>1.03815746511987E-2</v>
      </c>
      <c r="F34" s="15">
        <f>VLOOKUP($C34,raw_data!$B$2:$K$17,4,FALSE)</f>
        <v>439</v>
      </c>
      <c r="G34" s="16">
        <f>VLOOKUP($C34,raw_data!$B$2:$K$17,5,FALSE)</f>
        <v>2.9793009840515701E-2</v>
      </c>
      <c r="H34" s="17">
        <f>VLOOKUP($C34,raw_data!$B$2:$K$17,7,FALSE)</f>
        <v>48</v>
      </c>
      <c r="I34" s="35">
        <f t="shared" si="0"/>
        <v>391</v>
      </c>
      <c r="J34" s="36">
        <f t="shared" si="1"/>
        <v>8.1458333333333339</v>
      </c>
    </row>
    <row r="35" spans="3:10" s="24" customFormat="1" x14ac:dyDescent="0.2">
      <c r="C35" s="31" t="s">
        <v>47</v>
      </c>
      <c r="D35" s="32">
        <f>D34</f>
        <v>521958</v>
      </c>
      <c r="E35" s="33">
        <f>E34</f>
        <v>1.03815746511987E-2</v>
      </c>
      <c r="F35" s="32">
        <f>F34</f>
        <v>439</v>
      </c>
      <c r="G35" s="33">
        <f>G34</f>
        <v>2.9793009840515701E-2</v>
      </c>
      <c r="H35" s="32">
        <f>H34</f>
        <v>48</v>
      </c>
      <c r="I35" s="28">
        <f>I34</f>
        <v>391</v>
      </c>
      <c r="J35" s="34">
        <f>J34</f>
        <v>8.1458333333333339</v>
      </c>
    </row>
    <row r="36" spans="3:10" x14ac:dyDescent="0.2">
      <c r="C36" s="14"/>
      <c r="D36" s="15"/>
      <c r="E36" s="16"/>
      <c r="F36" s="15"/>
      <c r="G36" s="16"/>
      <c r="H36" s="17"/>
      <c r="I36" s="18"/>
      <c r="J36" s="19"/>
    </row>
    <row r="37" spans="3:10" x14ac:dyDescent="0.2">
      <c r="C37" s="20" t="s">
        <v>48</v>
      </c>
      <c r="D37" s="9">
        <f>SUM(D7:D9,D13:D17,D21:D23,D27:D30,D34)</f>
        <v>50277344</v>
      </c>
      <c r="E37" s="12">
        <f t="shared" ref="E37:G37" si="4">SUM(E7:E9,E13:E17,E21:E23,E27:E30,E34)</f>
        <v>0.99999999999999911</v>
      </c>
      <c r="F37" s="9">
        <f t="shared" si="4"/>
        <v>14735</v>
      </c>
      <c r="G37" s="12">
        <f t="shared" si="4"/>
        <v>0.99999999999999944</v>
      </c>
      <c r="H37" s="9">
        <f>SUM(H7:H9,H13:H17,H21:H23,H27:H30,H34)+1</f>
        <v>14735</v>
      </c>
      <c r="I37" s="9"/>
      <c r="J37" s="9"/>
    </row>
    <row r="39" spans="3:10" x14ac:dyDescent="0.2">
      <c r="E39" s="10" t="s">
        <v>28</v>
      </c>
      <c r="F39" s="10"/>
      <c r="G39" s="10"/>
      <c r="H39" s="10"/>
      <c r="I39" s="10"/>
      <c r="J39" s="10"/>
    </row>
    <row r="40" spans="3:10" x14ac:dyDescent="0.2">
      <c r="E40" s="10" t="s">
        <v>29</v>
      </c>
      <c r="F40" s="10"/>
      <c r="G40" s="10"/>
      <c r="H40" s="10"/>
      <c r="I40" s="10"/>
      <c r="J40" s="10"/>
    </row>
    <row r="41" spans="3:10" x14ac:dyDescent="0.2">
      <c r="E41" s="10" t="s">
        <v>30</v>
      </c>
      <c r="F41" s="10"/>
      <c r="G41" s="10"/>
      <c r="H41" s="10"/>
      <c r="I41" s="10"/>
      <c r="J41" s="10"/>
    </row>
  </sheetData>
  <sortState xmlns:xlrd2="http://schemas.microsoft.com/office/spreadsheetml/2017/richdata2" ref="A6:J34">
    <sortCondition ref="A7:A34"/>
  </sortState>
  <mergeCells count="3">
    <mergeCell ref="E41:J41"/>
    <mergeCell ref="E40:J40"/>
    <mergeCell ref="E39:J3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4640-9C32-B044-9BAD-53950DE9F38E}">
  <dimension ref="A1:K17"/>
  <sheetViews>
    <sheetView workbookViewId="0">
      <selection activeCell="B16" sqref="B16"/>
    </sheetView>
  </sheetViews>
  <sheetFormatPr baseColWidth="10" defaultRowHeight="16" x14ac:dyDescent="0.2"/>
  <cols>
    <col min="1" max="1" width="32.83203125" bestFit="1" customWidth="1"/>
    <col min="2" max="2" width="24.6640625" bestFit="1" customWidth="1"/>
    <col min="3" max="3" width="10.5" customWidth="1"/>
    <col min="4" max="4" width="19.5" bestFit="1" customWidth="1"/>
    <col min="5" max="5" width="15" bestFit="1" customWidth="1"/>
    <col min="6" max="6" width="24.83203125" bestFit="1" customWidth="1"/>
    <col min="7" max="7" width="19.1640625" bestFit="1" customWidth="1"/>
    <col min="8" max="8" width="15" bestFit="1" customWidth="1"/>
    <col min="9" max="9" width="24.83203125" bestFit="1" customWidth="1"/>
  </cols>
  <sheetData>
    <row r="1" spans="1:11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2">
      <c r="A2" t="s">
        <v>42</v>
      </c>
      <c r="B2" t="s">
        <v>0</v>
      </c>
      <c r="C2">
        <v>775336</v>
      </c>
      <c r="D2">
        <v>1.54211805619644E-2</v>
      </c>
      <c r="E2">
        <v>245</v>
      </c>
      <c r="F2">
        <v>1.66270783847981E-2</v>
      </c>
      <c r="G2">
        <v>227</v>
      </c>
      <c r="H2">
        <v>71</v>
      </c>
      <c r="I2">
        <v>4.8426822499843102E-3</v>
      </c>
      <c r="J2">
        <v>174</v>
      </c>
      <c r="K2">
        <v>3.4507042253521099</v>
      </c>
    </row>
    <row r="3" spans="1:11" x14ac:dyDescent="0.2">
      <c r="A3" t="s">
        <v>42</v>
      </c>
      <c r="B3" t="s">
        <v>1</v>
      </c>
      <c r="C3">
        <v>392762</v>
      </c>
      <c r="D3">
        <v>7.8119082821876901E-3</v>
      </c>
      <c r="E3">
        <v>100</v>
      </c>
      <c r="F3">
        <v>6.7865626060400397E-3</v>
      </c>
      <c r="G3">
        <v>115</v>
      </c>
      <c r="H3">
        <v>25</v>
      </c>
      <c r="I3">
        <v>1.70095940574708E-3</v>
      </c>
      <c r="J3">
        <v>75</v>
      </c>
      <c r="K3">
        <v>4</v>
      </c>
    </row>
    <row r="4" spans="1:11" x14ac:dyDescent="0.2">
      <c r="A4" t="s">
        <v>42</v>
      </c>
      <c r="B4" t="s">
        <v>2</v>
      </c>
      <c r="C4">
        <v>370642</v>
      </c>
      <c r="D4">
        <v>7.3719486852766103E-3</v>
      </c>
      <c r="E4">
        <v>57</v>
      </c>
      <c r="F4">
        <v>3.8683406854428202E-3</v>
      </c>
      <c r="G4">
        <v>109</v>
      </c>
      <c r="H4">
        <v>36</v>
      </c>
      <c r="I4">
        <v>2.46378271492693E-3</v>
      </c>
      <c r="J4">
        <v>21</v>
      </c>
      <c r="K4">
        <v>1.5833333333333299</v>
      </c>
    </row>
    <row r="5" spans="1:11" x14ac:dyDescent="0.2">
      <c r="A5" t="s">
        <v>42</v>
      </c>
      <c r="B5" t="s">
        <v>3</v>
      </c>
      <c r="C5">
        <v>1338395</v>
      </c>
      <c r="D5">
        <v>2.66202407191597E-2</v>
      </c>
      <c r="E5">
        <v>492</v>
      </c>
      <c r="F5">
        <v>3.3389888021717003E-2</v>
      </c>
      <c r="G5">
        <v>392</v>
      </c>
      <c r="H5">
        <v>188</v>
      </c>
      <c r="I5">
        <v>1.27850711963693E-2</v>
      </c>
      <c r="J5">
        <v>304</v>
      </c>
      <c r="K5">
        <v>2.6170212765957399</v>
      </c>
    </row>
    <row r="6" spans="1:11" x14ac:dyDescent="0.2">
      <c r="A6" t="s">
        <v>42</v>
      </c>
      <c r="B6" t="s">
        <v>4</v>
      </c>
      <c r="C6">
        <v>1020967</v>
      </c>
      <c r="D6">
        <v>2.0306701165439402E-2</v>
      </c>
      <c r="E6">
        <v>332</v>
      </c>
      <c r="F6">
        <v>2.25313878520529E-2</v>
      </c>
      <c r="G6">
        <v>299</v>
      </c>
      <c r="H6">
        <v>82</v>
      </c>
      <c r="I6">
        <v>5.5871139249617299E-3</v>
      </c>
      <c r="J6">
        <v>250</v>
      </c>
      <c r="K6">
        <v>4.0487804878048701</v>
      </c>
    </row>
    <row r="7" spans="1:11" x14ac:dyDescent="0.2">
      <c r="A7" t="s">
        <v>43</v>
      </c>
      <c r="B7" t="s">
        <v>5</v>
      </c>
      <c r="C7">
        <v>914359</v>
      </c>
      <c r="D7">
        <v>1.8186302760941301E-2</v>
      </c>
      <c r="E7">
        <v>290</v>
      </c>
      <c r="F7">
        <v>1.9681031557516101E-2</v>
      </c>
      <c r="G7">
        <v>268</v>
      </c>
      <c r="H7">
        <v>51</v>
      </c>
      <c r="I7">
        <v>3.4479649359432001E-3</v>
      </c>
      <c r="J7">
        <v>239</v>
      </c>
      <c r="K7">
        <v>5.68627450980392</v>
      </c>
    </row>
    <row r="8" spans="1:11" x14ac:dyDescent="0.2">
      <c r="A8" t="s">
        <v>43</v>
      </c>
      <c r="B8" t="s">
        <v>6</v>
      </c>
      <c r="C8">
        <v>253635</v>
      </c>
      <c r="D8">
        <v>5.0447175570769998E-3</v>
      </c>
      <c r="E8">
        <v>146</v>
      </c>
      <c r="F8">
        <v>9.9083814048184504E-3</v>
      </c>
      <c r="G8">
        <v>74</v>
      </c>
      <c r="H8">
        <v>17</v>
      </c>
      <c r="I8">
        <v>1.13342218834618E-3</v>
      </c>
      <c r="J8">
        <v>129</v>
      </c>
      <c r="K8">
        <v>8.5882352941176396</v>
      </c>
    </row>
    <row r="9" spans="1:11" x14ac:dyDescent="0.2">
      <c r="A9" t="s">
        <v>43</v>
      </c>
      <c r="B9" t="s">
        <v>7</v>
      </c>
      <c r="C9">
        <v>554424</v>
      </c>
      <c r="D9">
        <v>1.1027312819070101E-2</v>
      </c>
      <c r="E9">
        <v>460</v>
      </c>
      <c r="F9">
        <v>3.1218187987784099E-2</v>
      </c>
      <c r="G9">
        <v>162</v>
      </c>
      <c r="H9">
        <v>124</v>
      </c>
      <c r="I9">
        <v>8.4092576724444906E-3</v>
      </c>
      <c r="J9">
        <v>336</v>
      </c>
      <c r="K9">
        <v>3.7096774193548301</v>
      </c>
    </row>
    <row r="10" spans="1:11" x14ac:dyDescent="0.2">
      <c r="A10" t="s">
        <v>44</v>
      </c>
      <c r="B10" t="s">
        <v>8</v>
      </c>
      <c r="C10">
        <v>269465</v>
      </c>
      <c r="D10">
        <v>5.3595711022443801E-3</v>
      </c>
      <c r="E10">
        <v>48</v>
      </c>
      <c r="F10">
        <v>3.2575500508992099E-3</v>
      </c>
      <c r="G10">
        <v>79</v>
      </c>
      <c r="H10">
        <v>17</v>
      </c>
      <c r="I10">
        <v>1.1793532056018599E-3</v>
      </c>
      <c r="J10">
        <v>31</v>
      </c>
      <c r="K10">
        <v>2.8235294117646998</v>
      </c>
    </row>
    <row r="11" spans="1:11" x14ac:dyDescent="0.2">
      <c r="A11" t="s">
        <v>44</v>
      </c>
      <c r="B11" t="s">
        <v>9</v>
      </c>
      <c r="C11">
        <v>312874</v>
      </c>
      <c r="D11">
        <v>6.2229619766708396E-3</v>
      </c>
      <c r="E11">
        <v>22</v>
      </c>
      <c r="F11">
        <v>1.4930437733288E-3</v>
      </c>
      <c r="G11">
        <v>92</v>
      </c>
      <c r="H11">
        <v>18</v>
      </c>
      <c r="I11">
        <v>1.2123989030345299E-3</v>
      </c>
      <c r="J11">
        <v>4</v>
      </c>
      <c r="K11">
        <v>1.2222222222222201</v>
      </c>
    </row>
    <row r="12" spans="1:11" x14ac:dyDescent="0.2">
      <c r="A12" t="s">
        <v>44</v>
      </c>
      <c r="B12" t="s">
        <v>10</v>
      </c>
      <c r="C12">
        <v>155898</v>
      </c>
      <c r="D12">
        <v>3.1007604538537199E-3</v>
      </c>
      <c r="E12">
        <v>12</v>
      </c>
      <c r="F12" s="11">
        <v>8.1438751272480399E-4</v>
      </c>
      <c r="G12">
        <v>46</v>
      </c>
      <c r="H12">
        <v>6</v>
      </c>
      <c r="I12" s="11">
        <v>4.2888195868568302E-4</v>
      </c>
      <c r="J12">
        <v>6</v>
      </c>
      <c r="K12">
        <v>2</v>
      </c>
    </row>
    <row r="13" spans="1:11" x14ac:dyDescent="0.2">
      <c r="A13" t="s">
        <v>44</v>
      </c>
      <c r="B13" t="s">
        <v>11</v>
      </c>
      <c r="C13">
        <v>372676</v>
      </c>
      <c r="D13">
        <v>7.4124042829310901E-3</v>
      </c>
      <c r="E13">
        <v>33</v>
      </c>
      <c r="F13">
        <v>2.23956565999321E-3</v>
      </c>
      <c r="G13">
        <v>109</v>
      </c>
      <c r="H13">
        <v>24</v>
      </c>
      <c r="I13">
        <v>1.6205554061244399E-3</v>
      </c>
      <c r="J13">
        <v>9</v>
      </c>
      <c r="K13">
        <v>1.375</v>
      </c>
    </row>
    <row r="14" spans="1:11" x14ac:dyDescent="0.2">
      <c r="A14" t="s">
        <v>45</v>
      </c>
      <c r="B14" t="s">
        <v>12</v>
      </c>
      <c r="C14">
        <v>521958</v>
      </c>
      <c r="D14">
        <v>1.03815746511987E-2</v>
      </c>
      <c r="E14">
        <v>439</v>
      </c>
      <c r="F14">
        <v>2.9793009840515701E-2</v>
      </c>
      <c r="G14">
        <v>153</v>
      </c>
      <c r="H14">
        <v>48</v>
      </c>
      <c r="I14">
        <v>3.2859162640448999E-3</v>
      </c>
      <c r="J14">
        <v>391</v>
      </c>
      <c r="K14">
        <v>9.1458333333333304</v>
      </c>
    </row>
    <row r="15" spans="1:11" x14ac:dyDescent="0.2">
      <c r="A15" t="s">
        <v>13</v>
      </c>
      <c r="B15" t="s">
        <v>14</v>
      </c>
      <c r="C15">
        <v>2443913</v>
      </c>
      <c r="D15">
        <v>4.8608633741671001E-2</v>
      </c>
      <c r="E15">
        <v>544</v>
      </c>
      <c r="F15">
        <v>3.6918900576857802E-2</v>
      </c>
      <c r="G15">
        <v>716</v>
      </c>
      <c r="H15">
        <v>302</v>
      </c>
      <c r="I15">
        <v>2.0466997388231802E-2</v>
      </c>
      <c r="J15">
        <v>242</v>
      </c>
      <c r="K15">
        <v>1.8013245033112499</v>
      </c>
    </row>
    <row r="16" spans="1:11" x14ac:dyDescent="0.2">
      <c r="A16" t="s">
        <v>13</v>
      </c>
      <c r="B16" t="s">
        <v>15</v>
      </c>
      <c r="C16">
        <v>40072756</v>
      </c>
      <c r="D16">
        <v>0.79703406767071805</v>
      </c>
      <c r="E16">
        <v>11354</v>
      </c>
      <c r="F16">
        <v>0.77054631828978604</v>
      </c>
      <c r="G16">
        <v>11744</v>
      </c>
      <c r="H16">
        <v>13487</v>
      </c>
      <c r="I16">
        <v>0.91527370252833795</v>
      </c>
      <c r="J16">
        <v>-2133</v>
      </c>
      <c r="K16">
        <v>0.841847705197597</v>
      </c>
    </row>
    <row r="17" spans="1:11" x14ac:dyDescent="0.2">
      <c r="A17" t="s">
        <v>13</v>
      </c>
      <c r="B17" t="s">
        <v>16</v>
      </c>
      <c r="C17">
        <v>507284</v>
      </c>
      <c r="D17">
        <v>1.0089713569595E-2</v>
      </c>
      <c r="E17">
        <v>161</v>
      </c>
      <c r="F17">
        <v>1.09263657957244E-2</v>
      </c>
      <c r="G17">
        <v>149</v>
      </c>
      <c r="H17">
        <v>238</v>
      </c>
      <c r="I17">
        <v>1.6161940057214799E-2</v>
      </c>
      <c r="J17">
        <v>-77</v>
      </c>
      <c r="K17">
        <v>0.67647058823529405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COVID_deaths_by_ethnicity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2020-04-22T22:14:52Z</dcterms:created>
  <dcterms:modified xsi:type="dcterms:W3CDTF">2020-04-23T15:20:20Z</dcterms:modified>
</cp:coreProperties>
</file>