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riam/code/nhs_covid_deaths/figures/"/>
    </mc:Choice>
  </mc:AlternateContent>
  <xr:revisionPtr revIDLastSave="0" documentId="13_ncr:1_{37F8012A-FB59-AD45-ADCD-40009061C13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OVID_deaths_by_ethnicity" sheetId="1" r:id="rId1"/>
    <sheet name="raw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8" i="1" l="1"/>
  <c r="E8" i="1"/>
  <c r="F8" i="1"/>
  <c r="G8" i="1"/>
  <c r="H8" i="1"/>
  <c r="D9" i="1"/>
  <c r="E9" i="1"/>
  <c r="F9" i="1"/>
  <c r="G9" i="1"/>
  <c r="H9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21" i="1"/>
  <c r="E21" i="1"/>
  <c r="F21" i="1"/>
  <c r="G21" i="1"/>
  <c r="H21" i="1"/>
  <c r="H24" i="1" s="1"/>
  <c r="D22" i="1"/>
  <c r="E22" i="1"/>
  <c r="F22" i="1"/>
  <c r="G22" i="1"/>
  <c r="H22" i="1"/>
  <c r="D23" i="1"/>
  <c r="E23" i="1"/>
  <c r="F23" i="1"/>
  <c r="G23" i="1"/>
  <c r="H23" i="1"/>
  <c r="D27" i="1"/>
  <c r="E27" i="1"/>
  <c r="F27" i="1"/>
  <c r="G27" i="1"/>
  <c r="H27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4" i="1"/>
  <c r="D35" i="1" s="1"/>
  <c r="E34" i="1"/>
  <c r="E35" i="1" s="1"/>
  <c r="F34" i="1"/>
  <c r="F35" i="1" s="1"/>
  <c r="G34" i="1"/>
  <c r="G35" i="1" s="1"/>
  <c r="H34" i="1"/>
  <c r="H35" i="1" s="1"/>
  <c r="C7" i="1"/>
  <c r="F7" i="1" s="1"/>
  <c r="I8" i="1" l="1"/>
  <c r="J8" i="1" s="1"/>
  <c r="G24" i="1"/>
  <c r="D24" i="1"/>
  <c r="D31" i="1"/>
  <c r="H31" i="1"/>
  <c r="E31" i="1"/>
  <c r="I28" i="1"/>
  <c r="J28" i="1" s="1"/>
  <c r="H18" i="1"/>
  <c r="G31" i="1"/>
  <c r="F24" i="1"/>
  <c r="F31" i="1"/>
  <c r="E24" i="1"/>
  <c r="I24" i="1"/>
  <c r="J24" i="1" s="1"/>
  <c r="G18" i="1"/>
  <c r="F10" i="1"/>
  <c r="E18" i="1"/>
  <c r="D18" i="1"/>
  <c r="F18" i="1"/>
  <c r="F37" i="1"/>
  <c r="I9" i="1"/>
  <c r="J9" i="1" s="1"/>
  <c r="I15" i="1"/>
  <c r="J15" i="1" s="1"/>
  <c r="I17" i="1"/>
  <c r="J17" i="1" s="1"/>
  <c r="I34" i="1"/>
  <c r="I27" i="1"/>
  <c r="J27" i="1" s="1"/>
  <c r="I22" i="1"/>
  <c r="J22" i="1" s="1"/>
  <c r="I16" i="1"/>
  <c r="J16" i="1" s="1"/>
  <c r="I29" i="1"/>
  <c r="J29" i="1" s="1"/>
  <c r="G7" i="1"/>
  <c r="H7" i="1"/>
  <c r="I30" i="1"/>
  <c r="J30" i="1" s="1"/>
  <c r="I21" i="1"/>
  <c r="J21" i="1" s="1"/>
  <c r="D7" i="1"/>
  <c r="I14" i="1"/>
  <c r="J14" i="1" s="1"/>
  <c r="I23" i="1"/>
  <c r="J23" i="1" s="1"/>
  <c r="I13" i="1"/>
  <c r="E7" i="1"/>
  <c r="I31" i="1" l="1"/>
  <c r="J31" i="1" s="1"/>
  <c r="I18" i="1"/>
  <c r="J18" i="1" s="1"/>
  <c r="D37" i="1"/>
  <c r="D10" i="1"/>
  <c r="I7" i="1"/>
  <c r="H37" i="1"/>
  <c r="H10" i="1"/>
  <c r="E10" i="1"/>
  <c r="E37" i="1"/>
  <c r="G10" i="1"/>
  <c r="G37" i="1"/>
  <c r="J13" i="1"/>
  <c r="J34" i="1"/>
  <c r="J35" i="1" s="1"/>
  <c r="I35" i="1"/>
  <c r="J7" i="1" l="1"/>
  <c r="I10" i="1"/>
  <c r="J10" i="1" s="1"/>
</calcChain>
</file>

<file path=xl/sharedStrings.xml><?xml version="1.0" encoding="utf-8"?>
<sst xmlns="http://schemas.openxmlformats.org/spreadsheetml/2006/main" count="81" uniqueCount="54">
  <si>
    <t>Any other Asian background</t>
  </si>
  <si>
    <t>Bangladeshi</t>
  </si>
  <si>
    <t>Chinese</t>
  </si>
  <si>
    <t>Indian</t>
  </si>
  <si>
    <t>Pakistani</t>
  </si>
  <si>
    <t>African</t>
  </si>
  <si>
    <t>Any other Black background</t>
  </si>
  <si>
    <t>Caribbean</t>
  </si>
  <si>
    <t>Any other Mixed background</t>
  </si>
  <si>
    <t>White and Asian</t>
  </si>
  <si>
    <t>White and Black African</t>
  </si>
  <si>
    <t>White and Black Caribbean</t>
  </si>
  <si>
    <t>Any other ethnic group</t>
  </si>
  <si>
    <t>White</t>
  </si>
  <si>
    <t>Any other White background</t>
  </si>
  <si>
    <t>British</t>
  </si>
  <si>
    <t>Irish</t>
  </si>
  <si>
    <t>Asian</t>
  </si>
  <si>
    <t>Black</t>
  </si>
  <si>
    <t>Mixed</t>
  </si>
  <si>
    <t>Other</t>
  </si>
  <si>
    <t>Population</t>
  </si>
  <si>
    <t>Population (%)</t>
  </si>
  <si>
    <t>Observed Deaths</t>
  </si>
  <si>
    <t>Observed Deaths (%)</t>
  </si>
  <si>
    <t>Expected deaths if
distributed by age 
structure of population</t>
  </si>
  <si>
    <t>Excess Deaths = 
Observed Deaths - Expected Deaths</t>
  </si>
  <si>
    <t>Excess Deaths (% of expected deaths)</t>
  </si>
  <si>
    <t>Analysis by Miqdad Asaria (@miqedup)</t>
  </si>
  <si>
    <t>       Data are from the ONS (ethnicity) and NHS England (deaths)</t>
  </si>
  <si>
    <t>       Expected deaths are adjusted for age structure of ethnic groups and normalised to sum to total observed deaths</t>
  </si>
  <si>
    <t>ethnicity</t>
  </si>
  <si>
    <t>ethnic_group</t>
  </si>
  <si>
    <t>population</t>
  </si>
  <si>
    <t>population_proportion</t>
  </si>
  <si>
    <t>observed_deaths</t>
  </si>
  <si>
    <t>observed_deaths_proportion</t>
  </si>
  <si>
    <t>pop_expected_deaths</t>
  </si>
  <si>
    <t>expected_deaths</t>
  </si>
  <si>
    <t>expected_deaths_proportion</t>
  </si>
  <si>
    <t>difference</t>
  </si>
  <si>
    <t>ratio</t>
  </si>
  <si>
    <t>Asian/Asian British</t>
  </si>
  <si>
    <t>Black/African/Caribbean/Black British</t>
  </si>
  <si>
    <t>Mixed/multiple ethnic group</t>
  </si>
  <si>
    <t>Other ethnic group</t>
  </si>
  <si>
    <t>Total Mixed</t>
  </si>
  <si>
    <t>Total Other</t>
  </si>
  <si>
    <t xml:space="preserve">Total </t>
  </si>
  <si>
    <t>Total White</t>
  </si>
  <si>
    <t>Total Asian</t>
  </si>
  <si>
    <t>Total Black</t>
  </si>
  <si>
    <t>Deaths in Hospital from COVID-19 by ethnicity</t>
  </si>
  <si>
    <t>Data for England up until 28th April 2020 (published 30th April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</si>
</sst>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9" fontId="18" fillId="0" borderId="0" xfId="2" applyFont="1"/>
    <xf numFmtId="0" fontId="0" fillId="0" borderId="11" xfId="0" applyBorder="1"/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164" fontId="0" fillId="0" borderId="10" xfId="1" applyNumberFormat="1" applyFont="1" applyBorder="1"/>
    <xf numFmtId="11" fontId="0" fillId="0" borderId="0" xfId="0" applyNumberFormat="1"/>
    <xf numFmtId="9" fontId="0" fillId="0" borderId="10" xfId="2" applyFont="1" applyBorder="1"/>
    <xf numFmtId="164" fontId="2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164" fontId="20" fillId="0" borderId="0" xfId="1" applyNumberFormat="1" applyFont="1" applyBorder="1"/>
    <xf numFmtId="164" fontId="18" fillId="0" borderId="0" xfId="1" applyNumberFormat="1" applyFont="1" applyBorder="1"/>
    <xf numFmtId="9" fontId="18" fillId="0" borderId="0" xfId="2" applyFont="1" applyBorder="1"/>
    <xf numFmtId="0" fontId="16" fillId="0" borderId="10" xfId="0" applyFont="1" applyFill="1" applyBorder="1"/>
    <xf numFmtId="3" fontId="0" fillId="0" borderId="0" xfId="1" applyNumberFormat="1" applyFont="1"/>
    <xf numFmtId="3" fontId="18" fillId="0" borderId="0" xfId="1" applyNumberFormat="1" applyFont="1"/>
    <xf numFmtId="9" fontId="20" fillId="0" borderId="0" xfId="2" applyFont="1"/>
    <xf numFmtId="0" fontId="21" fillId="0" borderId="0" xfId="0" applyFont="1"/>
    <xf numFmtId="164" fontId="21" fillId="0" borderId="0" xfId="1" applyNumberFormat="1" applyFont="1"/>
    <xf numFmtId="165" fontId="21" fillId="0" borderId="0" xfId="2" applyNumberFormat="1" applyFont="1"/>
    <xf numFmtId="9" fontId="21" fillId="0" borderId="0" xfId="2" applyFont="1"/>
    <xf numFmtId="3" fontId="21" fillId="0" borderId="0" xfId="1" applyNumberFormat="1" applyFont="1"/>
    <xf numFmtId="9" fontId="22" fillId="0" borderId="0" xfId="2" applyFont="1"/>
    <xf numFmtId="0" fontId="22" fillId="0" borderId="0" xfId="0" applyFont="1"/>
    <xf numFmtId="0" fontId="21" fillId="0" borderId="0" xfId="0" applyFont="1" applyFill="1" applyBorder="1"/>
    <xf numFmtId="164" fontId="21" fillId="0" borderId="0" xfId="1" applyNumberFormat="1" applyFont="1" applyBorder="1"/>
    <xf numFmtId="165" fontId="21" fillId="0" borderId="0" xfId="2" applyNumberFormat="1" applyFont="1" applyBorder="1"/>
    <xf numFmtId="9" fontId="21" fillId="0" borderId="0" xfId="2" applyFont="1" applyBorder="1"/>
    <xf numFmtId="3" fontId="20" fillId="0" borderId="0" xfId="1" applyNumberFormat="1" applyFont="1"/>
    <xf numFmtId="9" fontId="20" fillId="0" borderId="0" xfId="2" applyFont="1" applyBorder="1"/>
    <xf numFmtId="0" fontId="23" fillId="0" borderId="0" xfId="0" applyFont="1"/>
    <xf numFmtId="0" fontId="19" fillId="0" borderId="0" xfId="0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showGridLines="0" tabSelected="1" zoomScale="90" zoomScaleNormal="90" workbookViewId="0">
      <selection activeCell="P19" sqref="P19"/>
    </sheetView>
  </sheetViews>
  <sheetFormatPr baseColWidth="10" defaultRowHeight="16" x14ac:dyDescent="0.2"/>
  <cols>
    <col min="3" max="3" width="24.6640625" bestFit="1" customWidth="1"/>
    <col min="4" max="4" width="14" bestFit="1" customWidth="1"/>
    <col min="5" max="5" width="13.1640625" bestFit="1" customWidth="1"/>
    <col min="6" max="6" width="15" bestFit="1" customWidth="1"/>
    <col min="7" max="7" width="18.5" bestFit="1" customWidth="1"/>
    <col min="8" max="8" width="22.33203125" customWidth="1"/>
    <col min="9" max="9" width="18" customWidth="1"/>
    <col min="10" max="10" width="18.6640625" customWidth="1"/>
  </cols>
  <sheetData>
    <row r="2" spans="3:10" ht="21" x14ac:dyDescent="0.25">
      <c r="C2" s="36" t="s">
        <v>52</v>
      </c>
    </row>
    <row r="3" spans="3:10" x14ac:dyDescent="0.2">
      <c r="C3" s="1" t="s">
        <v>53</v>
      </c>
    </row>
    <row r="5" spans="3:10" ht="47" customHeight="1" x14ac:dyDescent="0.2">
      <c r="C5" s="6"/>
      <c r="D5" s="7" t="s">
        <v>21</v>
      </c>
      <c r="E5" s="7" t="s">
        <v>22</v>
      </c>
      <c r="F5" s="7" t="s">
        <v>23</v>
      </c>
      <c r="G5" s="7" t="s">
        <v>24</v>
      </c>
      <c r="H5" s="8" t="s">
        <v>25</v>
      </c>
      <c r="I5" s="8" t="s">
        <v>26</v>
      </c>
      <c r="J5" s="8" t="s">
        <v>27</v>
      </c>
    </row>
    <row r="6" spans="3:10" x14ac:dyDescent="0.2">
      <c r="C6" s="1" t="s">
        <v>13</v>
      </c>
    </row>
    <row r="7" spans="3:10" x14ac:dyDescent="0.2">
      <c r="C7" t="str">
        <f>raw_data!B16</f>
        <v>British</v>
      </c>
      <c r="D7" s="2">
        <f>VLOOKUP($C7,raw_data!$B$2:$K$17,2,FALSE)</f>
        <v>40072756</v>
      </c>
      <c r="E7" s="4">
        <f>VLOOKUP($C7,raw_data!$B$2:$K$17,3,FALSE)</f>
        <v>0.79703406767071805</v>
      </c>
      <c r="F7" s="2">
        <f>VLOOKUP($C7,raw_data!$B$2:$K$17,4,FALSE)</f>
        <v>13960</v>
      </c>
      <c r="G7" s="4">
        <f>VLOOKUP($C7,raw_data!$B$2:$K$17,5,FALSE)</f>
        <v>0.78137243927012201</v>
      </c>
      <c r="H7" s="2">
        <f>VLOOKUP($C7,raw_data!$B$2:$K$17,7,FALSE)</f>
        <v>16351</v>
      </c>
      <c r="I7" s="20">
        <f>F7-H7</f>
        <v>-2391</v>
      </c>
      <c r="J7" s="3">
        <f>I7/H7</f>
        <v>-0.14622958840437894</v>
      </c>
    </row>
    <row r="8" spans="3:10" x14ac:dyDescent="0.2">
      <c r="C8" t="s">
        <v>16</v>
      </c>
      <c r="D8" s="2">
        <f>VLOOKUP($C8,raw_data!$B$2:$K$17,2,FALSE)</f>
        <v>507284</v>
      </c>
      <c r="E8" s="4">
        <f>VLOOKUP($C8,raw_data!$B$2:$K$17,3,FALSE)</f>
        <v>1.0089713569595E-2</v>
      </c>
      <c r="F8" s="2">
        <f>VLOOKUP($C8,raw_data!$B$2:$K$17,4,FALSE)</f>
        <v>180</v>
      </c>
      <c r="G8" s="4">
        <f>VLOOKUP($C8,raw_data!$B$2:$K$17,5,FALSE)</f>
        <v>1.00750027986118E-2</v>
      </c>
      <c r="H8" s="2">
        <f>VLOOKUP($C8,raw_data!$B$2:$K$17,7,FALSE)</f>
        <v>289</v>
      </c>
      <c r="I8" s="34">
        <f t="shared" ref="I8:I34" si="0">F8-H8</f>
        <v>-109</v>
      </c>
      <c r="J8" s="22">
        <f t="shared" ref="J8:J34" si="1">I8/H8</f>
        <v>-0.37716262975778547</v>
      </c>
    </row>
    <row r="9" spans="3:10" x14ac:dyDescent="0.2">
      <c r="C9" t="s">
        <v>14</v>
      </c>
      <c r="D9" s="2">
        <f>VLOOKUP($C9,raw_data!$B$2:$K$17,2,FALSE)</f>
        <v>2443913</v>
      </c>
      <c r="E9" s="4">
        <f>VLOOKUP($C9,raw_data!$B$2:$K$17,3,FALSE)</f>
        <v>4.8608633741671001E-2</v>
      </c>
      <c r="F9" s="2">
        <f>VLOOKUP($C9,raw_data!$B$2:$K$17,4,FALSE)</f>
        <v>641</v>
      </c>
      <c r="G9" s="4">
        <f>VLOOKUP($C9,raw_data!$B$2:$K$17,5,FALSE)</f>
        <v>3.5878204410612298E-2</v>
      </c>
      <c r="H9" s="12">
        <f>VLOOKUP($C9,raw_data!$B$2:$K$17,7,FALSE)</f>
        <v>366</v>
      </c>
      <c r="I9" s="34">
        <f t="shared" si="0"/>
        <v>275</v>
      </c>
      <c r="J9" s="22">
        <f t="shared" si="1"/>
        <v>0.75136612021857918</v>
      </c>
    </row>
    <row r="10" spans="3:10" s="29" customFormat="1" x14ac:dyDescent="0.2">
      <c r="C10" s="23" t="s">
        <v>49</v>
      </c>
      <c r="D10" s="24">
        <f>SUM(D7:D9)</f>
        <v>43023953</v>
      </c>
      <c r="E10" s="25">
        <f>SUM(E7:E9)</f>
        <v>0.85573241498198405</v>
      </c>
      <c r="F10" s="24">
        <f>SUM(F7:F9)</f>
        <v>14781</v>
      </c>
      <c r="G10" s="26">
        <f t="shared" ref="G10:I10" si="2">SUM(G7:G9)</f>
        <v>0.82732564647934614</v>
      </c>
      <c r="H10" s="24">
        <f t="shared" si="2"/>
        <v>17006</v>
      </c>
      <c r="I10" s="27">
        <f t="shared" si="2"/>
        <v>-2225</v>
      </c>
      <c r="J10" s="28">
        <f t="shared" si="1"/>
        <v>-0.13083617546748205</v>
      </c>
    </row>
    <row r="11" spans="3:10" x14ac:dyDescent="0.2">
      <c r="D11" s="2"/>
      <c r="E11" s="4"/>
      <c r="F11" s="2"/>
      <c r="G11" s="4"/>
      <c r="H11" s="12"/>
      <c r="I11" s="20"/>
      <c r="J11" s="5"/>
    </row>
    <row r="12" spans="3:10" x14ac:dyDescent="0.2">
      <c r="C12" s="1" t="s">
        <v>17</v>
      </c>
      <c r="D12" s="2"/>
      <c r="E12" s="4"/>
      <c r="F12" s="2"/>
      <c r="G12" s="4"/>
      <c r="H12" s="12"/>
      <c r="I12" s="20"/>
      <c r="J12" s="5"/>
    </row>
    <row r="13" spans="3:10" x14ac:dyDescent="0.2">
      <c r="C13" t="s">
        <v>3</v>
      </c>
      <c r="D13" s="2">
        <f>VLOOKUP($C13,raw_data!$B$2:$K$17,2,FALSE)</f>
        <v>1338395</v>
      </c>
      <c r="E13" s="4">
        <f>VLOOKUP($C13,raw_data!$B$2:$K$17,3,FALSE)</f>
        <v>2.66202407191597E-2</v>
      </c>
      <c r="F13" s="2">
        <f>VLOOKUP($C13,raw_data!$B$2:$K$17,4,FALSE)</f>
        <v>560</v>
      </c>
      <c r="G13" s="4">
        <f>VLOOKUP($C13,raw_data!$B$2:$K$17,5,FALSE)</f>
        <v>3.1344453151236899E-2</v>
      </c>
      <c r="H13" s="12">
        <f>VLOOKUP($C13,raw_data!$B$2:$K$17,7,FALSE)</f>
        <v>228</v>
      </c>
      <c r="I13" s="34">
        <f t="shared" si="0"/>
        <v>332</v>
      </c>
      <c r="J13" s="22">
        <f t="shared" si="1"/>
        <v>1.4561403508771931</v>
      </c>
    </row>
    <row r="14" spans="3:10" x14ac:dyDescent="0.2">
      <c r="C14" t="s">
        <v>4</v>
      </c>
      <c r="D14" s="2">
        <f>VLOOKUP($C14,raw_data!$B$2:$K$17,2,FALSE)</f>
        <v>1020967</v>
      </c>
      <c r="E14" s="4">
        <f>VLOOKUP($C14,raw_data!$B$2:$K$17,3,FALSE)</f>
        <v>2.0306701165439402E-2</v>
      </c>
      <c r="F14" s="2">
        <f>VLOOKUP($C14,raw_data!$B$2:$K$17,4,FALSE)</f>
        <v>381</v>
      </c>
      <c r="G14" s="4">
        <f>VLOOKUP($C14,raw_data!$B$2:$K$17,5,FALSE)</f>
        <v>2.1325422590395101E-2</v>
      </c>
      <c r="H14" s="12">
        <f>VLOOKUP($C14,raw_data!$B$2:$K$17,7,FALSE)</f>
        <v>100</v>
      </c>
      <c r="I14" s="34">
        <f t="shared" si="0"/>
        <v>281</v>
      </c>
      <c r="J14" s="22">
        <f t="shared" si="1"/>
        <v>2.81</v>
      </c>
    </row>
    <row r="15" spans="3:10" x14ac:dyDescent="0.2">
      <c r="C15" t="s">
        <v>1</v>
      </c>
      <c r="D15" s="2">
        <f>VLOOKUP($C15,raw_data!$B$2:$K$17,2,FALSE)</f>
        <v>392762</v>
      </c>
      <c r="E15" s="4">
        <f>VLOOKUP($C15,raw_data!$B$2:$K$17,3,FALSE)</f>
        <v>7.8119082821876901E-3</v>
      </c>
      <c r="F15" s="2">
        <f>VLOOKUP($C15,raw_data!$B$2:$K$17,4,FALSE)</f>
        <v>120</v>
      </c>
      <c r="G15" s="4">
        <f>VLOOKUP($C15,raw_data!$B$2:$K$17,5,FALSE)</f>
        <v>6.7166685324079201E-3</v>
      </c>
      <c r="H15" s="12">
        <f>VLOOKUP($C15,raw_data!$B$2:$K$17,7,FALSE)</f>
        <v>30</v>
      </c>
      <c r="I15" s="34">
        <f t="shared" si="0"/>
        <v>90</v>
      </c>
      <c r="J15" s="22">
        <f t="shared" si="1"/>
        <v>3</v>
      </c>
    </row>
    <row r="16" spans="3:10" x14ac:dyDescent="0.2">
      <c r="C16" t="s">
        <v>2</v>
      </c>
      <c r="D16" s="2">
        <f>VLOOKUP($C16,raw_data!$B$2:$K$17,2,FALSE)</f>
        <v>370642</v>
      </c>
      <c r="E16" s="4">
        <f>VLOOKUP($C16,raw_data!$B$2:$K$17,3,FALSE)</f>
        <v>7.3719486852766103E-3</v>
      </c>
      <c r="F16" s="2">
        <f>VLOOKUP($C16,raw_data!$B$2:$K$17,4,FALSE)</f>
        <v>66</v>
      </c>
      <c r="G16" s="4">
        <f>VLOOKUP($C16,raw_data!$B$2:$K$17,5,FALSE)</f>
        <v>3.6941676928243499E-3</v>
      </c>
      <c r="H16" s="12">
        <f>VLOOKUP($C16,raw_data!$B$2:$K$17,7,FALSE)</f>
        <v>44</v>
      </c>
      <c r="I16" s="34">
        <f t="shared" si="0"/>
        <v>22</v>
      </c>
      <c r="J16" s="22">
        <f t="shared" si="1"/>
        <v>0.5</v>
      </c>
    </row>
    <row r="17" spans="3:10" x14ac:dyDescent="0.2">
      <c r="C17" t="s">
        <v>0</v>
      </c>
      <c r="D17" s="2">
        <f>VLOOKUP($C17,raw_data!$B$2:$K$17,2,FALSE)</f>
        <v>775336</v>
      </c>
      <c r="E17" s="4">
        <f>VLOOKUP($C17,raw_data!$B$2:$K$17,3,FALSE)</f>
        <v>1.54211805619644E-2</v>
      </c>
      <c r="F17" s="2">
        <f>VLOOKUP($C17,raw_data!$B$2:$K$17,4,FALSE)</f>
        <v>300</v>
      </c>
      <c r="G17" s="4">
        <f>VLOOKUP($C17,raw_data!$B$2:$K$17,5,FALSE)</f>
        <v>1.6791671331019799E-2</v>
      </c>
      <c r="H17" s="12">
        <f>VLOOKUP($C17,raw_data!$B$2:$K$17,7,FALSE)</f>
        <v>87</v>
      </c>
      <c r="I17" s="34">
        <f t="shared" si="0"/>
        <v>213</v>
      </c>
      <c r="J17" s="22">
        <f t="shared" si="1"/>
        <v>2.4482758620689653</v>
      </c>
    </row>
    <row r="18" spans="3:10" s="29" customFormat="1" x14ac:dyDescent="0.2">
      <c r="C18" s="23" t="s">
        <v>50</v>
      </c>
      <c r="D18" s="24">
        <f>SUM(D13:D17)</f>
        <v>3898102</v>
      </c>
      <c r="E18" s="25">
        <f>SUM(E13:E17)</f>
        <v>7.7531979414027799E-2</v>
      </c>
      <c r="F18" s="24">
        <f>SUM(F13:F17)</f>
        <v>1427</v>
      </c>
      <c r="G18" s="25">
        <f>SUM(G13:G17)</f>
        <v>7.987238329788407E-2</v>
      </c>
      <c r="H18" s="24">
        <f>SUM(H13:H17)</f>
        <v>489</v>
      </c>
      <c r="I18" s="27">
        <f t="shared" si="0"/>
        <v>938</v>
      </c>
      <c r="J18" s="28">
        <f t="shared" si="1"/>
        <v>1.918200408997955</v>
      </c>
    </row>
    <row r="19" spans="3:10" x14ac:dyDescent="0.2">
      <c r="D19" s="2"/>
      <c r="E19" s="4"/>
      <c r="F19" s="2"/>
      <c r="G19" s="4"/>
      <c r="H19" s="12"/>
      <c r="I19" s="21"/>
      <c r="J19" s="5"/>
    </row>
    <row r="20" spans="3:10" x14ac:dyDescent="0.2">
      <c r="C20" s="1" t="s">
        <v>18</v>
      </c>
      <c r="D20" s="2"/>
      <c r="E20" s="4"/>
      <c r="F20" s="2"/>
      <c r="G20" s="4"/>
      <c r="H20" s="12"/>
      <c r="I20" s="21"/>
      <c r="J20" s="5"/>
    </row>
    <row r="21" spans="3:10" x14ac:dyDescent="0.2">
      <c r="C21" t="s">
        <v>5</v>
      </c>
      <c r="D21" s="2">
        <f>VLOOKUP($C21,raw_data!$B$2:$K$17,2,FALSE)</f>
        <v>914359</v>
      </c>
      <c r="E21" s="4">
        <f>VLOOKUP($C21,raw_data!$B$2:$K$17,3,FALSE)</f>
        <v>1.8186302760941301E-2</v>
      </c>
      <c r="F21" s="2">
        <f>VLOOKUP($C21,raw_data!$B$2:$K$17,4,FALSE)</f>
        <v>331</v>
      </c>
      <c r="G21" s="4">
        <f>VLOOKUP($C21,raw_data!$B$2:$K$17,5,FALSE)</f>
        <v>1.8526810701891799E-2</v>
      </c>
      <c r="H21" s="12">
        <f>VLOOKUP($C21,raw_data!$B$2:$K$17,7,FALSE)</f>
        <v>62</v>
      </c>
      <c r="I21" s="34">
        <f t="shared" si="0"/>
        <v>269</v>
      </c>
      <c r="J21" s="22">
        <f t="shared" si="1"/>
        <v>4.338709677419355</v>
      </c>
    </row>
    <row r="22" spans="3:10" x14ac:dyDescent="0.2">
      <c r="C22" t="s">
        <v>7</v>
      </c>
      <c r="D22" s="2">
        <f>VLOOKUP($C22,raw_data!$B$2:$K$17,2,FALSE)</f>
        <v>554424</v>
      </c>
      <c r="E22" s="4">
        <f>VLOOKUP($C22,raw_data!$B$2:$K$17,3,FALSE)</f>
        <v>1.1027312819070101E-2</v>
      </c>
      <c r="F22" s="2">
        <f>VLOOKUP($C22,raw_data!$B$2:$K$17,4,FALSE)</f>
        <v>525</v>
      </c>
      <c r="G22" s="4">
        <f>VLOOKUP($C22,raw_data!$B$2:$K$17,5,FALSE)</f>
        <v>2.93854248292846E-2</v>
      </c>
      <c r="H22" s="12">
        <f>VLOOKUP($C22,raw_data!$B$2:$K$17,7,FALSE)</f>
        <v>150</v>
      </c>
      <c r="I22" s="34">
        <f t="shared" si="0"/>
        <v>375</v>
      </c>
      <c r="J22" s="22">
        <f t="shared" si="1"/>
        <v>2.5</v>
      </c>
    </row>
    <row r="23" spans="3:10" x14ac:dyDescent="0.2">
      <c r="C23" t="s">
        <v>6</v>
      </c>
      <c r="D23" s="2">
        <f>VLOOKUP($C23,raw_data!$B$2:$K$17,2,FALSE)</f>
        <v>253635</v>
      </c>
      <c r="E23" s="4">
        <f>VLOOKUP($C23,raw_data!$B$2:$K$17,3,FALSE)</f>
        <v>5.0447175570769998E-3</v>
      </c>
      <c r="F23" s="2">
        <f>VLOOKUP($C23,raw_data!$B$2:$K$17,4,FALSE)</f>
        <v>166</v>
      </c>
      <c r="G23" s="4">
        <f>VLOOKUP($C23,raw_data!$B$2:$K$17,5,FALSE)</f>
        <v>9.2913914698309601E-3</v>
      </c>
      <c r="H23" s="12">
        <f>VLOOKUP($C23,raw_data!$B$2:$K$17,7,FALSE)</f>
        <v>20</v>
      </c>
      <c r="I23" s="34">
        <f t="shared" si="0"/>
        <v>146</v>
      </c>
      <c r="J23" s="22">
        <f t="shared" si="1"/>
        <v>7.3</v>
      </c>
    </row>
    <row r="24" spans="3:10" s="23" customFormat="1" x14ac:dyDescent="0.2">
      <c r="C24" s="23" t="s">
        <v>51</v>
      </c>
      <c r="D24" s="24">
        <f>SUM(D21:D23)</f>
        <v>1722418</v>
      </c>
      <c r="E24" s="25">
        <f>SUM(E21:E23)</f>
        <v>3.4258333137088398E-2</v>
      </c>
      <c r="F24" s="24">
        <f>SUM(F21:F23)</f>
        <v>1022</v>
      </c>
      <c r="G24" s="25">
        <f t="shared" ref="G24:H24" si="3">SUM(G21:G23)</f>
        <v>5.7203627001007361E-2</v>
      </c>
      <c r="H24" s="24">
        <f t="shared" si="3"/>
        <v>232</v>
      </c>
      <c r="I24" s="27">
        <f t="shared" si="0"/>
        <v>790</v>
      </c>
      <c r="J24" s="26">
        <f t="shared" si="1"/>
        <v>3.4051724137931036</v>
      </c>
    </row>
    <row r="25" spans="3:10" x14ac:dyDescent="0.2">
      <c r="D25" s="2"/>
      <c r="E25" s="4"/>
      <c r="F25" s="2"/>
      <c r="G25" s="4"/>
      <c r="H25" s="12"/>
      <c r="I25" s="21"/>
      <c r="J25" s="5"/>
    </row>
    <row r="26" spans="3:10" x14ac:dyDescent="0.2">
      <c r="C26" s="1" t="s">
        <v>19</v>
      </c>
      <c r="D26" s="2"/>
      <c r="E26" s="4"/>
      <c r="F26" s="2"/>
      <c r="G26" s="4"/>
      <c r="H26" s="12"/>
      <c r="I26" s="21"/>
      <c r="J26" s="5"/>
    </row>
    <row r="27" spans="3:10" x14ac:dyDescent="0.2">
      <c r="C27" t="s">
        <v>9</v>
      </c>
      <c r="D27" s="2">
        <f>VLOOKUP($C27,raw_data!$B$2:$K$17,2,FALSE)</f>
        <v>312874</v>
      </c>
      <c r="E27" s="4">
        <f>VLOOKUP($C27,raw_data!$B$2:$K$17,3,FALSE)</f>
        <v>6.2229619766708396E-3</v>
      </c>
      <c r="F27" s="2">
        <f>VLOOKUP($C27,raw_data!$B$2:$K$17,4,FALSE)</f>
        <v>23</v>
      </c>
      <c r="G27" s="4">
        <f>VLOOKUP($C27,raw_data!$B$2:$K$17,5,FALSE)</f>
        <v>1.28736146871151E-3</v>
      </c>
      <c r="H27" s="12">
        <f>VLOOKUP($C27,raw_data!$B$2:$K$17,7,FALSE)</f>
        <v>22</v>
      </c>
      <c r="I27" s="34">
        <f t="shared" si="0"/>
        <v>1</v>
      </c>
      <c r="J27" s="22">
        <f t="shared" si="1"/>
        <v>4.5454545454545456E-2</v>
      </c>
    </row>
    <row r="28" spans="3:10" x14ac:dyDescent="0.2">
      <c r="C28" t="s">
        <v>10</v>
      </c>
      <c r="D28" s="2">
        <f>VLOOKUP($C28,raw_data!$B$2:$K$17,2,FALSE)</f>
        <v>155898</v>
      </c>
      <c r="E28" s="4">
        <f>VLOOKUP($C28,raw_data!$B$2:$K$17,3,FALSE)</f>
        <v>3.1007604538537199E-3</v>
      </c>
      <c r="F28" s="2">
        <f>VLOOKUP($C28,raw_data!$B$2:$K$17,4,FALSE)</f>
        <v>13</v>
      </c>
      <c r="G28" s="4">
        <f>VLOOKUP($C28,raw_data!$B$2:$K$17,5,FALSE)</f>
        <v>7.2763909101085801E-4</v>
      </c>
      <c r="H28" s="12">
        <f>VLOOKUP($C28,raw_data!$B$2:$K$17,7,FALSE)</f>
        <v>8</v>
      </c>
      <c r="I28" s="34">
        <f t="shared" si="0"/>
        <v>5</v>
      </c>
      <c r="J28" s="22">
        <f t="shared" si="1"/>
        <v>0.625</v>
      </c>
    </row>
    <row r="29" spans="3:10" x14ac:dyDescent="0.2">
      <c r="C29" t="s">
        <v>11</v>
      </c>
      <c r="D29" s="2">
        <f>VLOOKUP($C29,raw_data!$B$2:$K$17,2,FALSE)</f>
        <v>372676</v>
      </c>
      <c r="E29" s="4">
        <f>VLOOKUP($C29,raw_data!$B$2:$K$17,3,FALSE)</f>
        <v>7.4124042829310901E-3</v>
      </c>
      <c r="F29" s="2">
        <f>VLOOKUP($C29,raw_data!$B$2:$K$17,4,FALSE)</f>
        <v>39</v>
      </c>
      <c r="G29" s="4">
        <f>VLOOKUP($C29,raw_data!$B$2:$K$17,5,FALSE)</f>
        <v>2.18291727303257E-3</v>
      </c>
      <c r="H29" s="12">
        <f>VLOOKUP($C29,raw_data!$B$2:$K$17,7,FALSE)</f>
        <v>29</v>
      </c>
      <c r="I29" s="34">
        <f t="shared" si="0"/>
        <v>10</v>
      </c>
      <c r="J29" s="22">
        <f t="shared" si="1"/>
        <v>0.34482758620689657</v>
      </c>
    </row>
    <row r="30" spans="3:10" x14ac:dyDescent="0.2">
      <c r="C30" t="s">
        <v>8</v>
      </c>
      <c r="D30" s="2">
        <f>VLOOKUP($C30,raw_data!$B$2:$K$17,2,FALSE)</f>
        <v>269465</v>
      </c>
      <c r="E30" s="4">
        <f>VLOOKUP($C30,raw_data!$B$2:$K$17,3,FALSE)</f>
        <v>5.3595711022443801E-3</v>
      </c>
      <c r="F30" s="2">
        <f>VLOOKUP($C30,raw_data!$B$2:$K$17,4,FALSE)</f>
        <v>55</v>
      </c>
      <c r="G30" s="4">
        <f>VLOOKUP($C30,raw_data!$B$2:$K$17,5,FALSE)</f>
        <v>3.07847307735363E-3</v>
      </c>
      <c r="H30" s="12">
        <f>VLOOKUP($C30,raw_data!$B$2:$K$17,7,FALSE)</f>
        <v>21</v>
      </c>
      <c r="I30" s="34">
        <f t="shared" si="0"/>
        <v>34</v>
      </c>
      <c r="J30" s="22">
        <f t="shared" si="1"/>
        <v>1.6190476190476191</v>
      </c>
    </row>
    <row r="31" spans="3:10" s="23" customFormat="1" x14ac:dyDescent="0.2">
      <c r="C31" s="23" t="s">
        <v>46</v>
      </c>
      <c r="D31" s="24">
        <f>SUM(D27:D30)</f>
        <v>1110913</v>
      </c>
      <c r="E31" s="25">
        <f>SUM(E27:E30)</f>
        <v>2.2095697815700029E-2</v>
      </c>
      <c r="F31" s="24">
        <f>SUM(F27:F30)</f>
        <v>130</v>
      </c>
      <c r="G31" s="25">
        <f>SUM(G27:G30)</f>
        <v>7.276390910108569E-3</v>
      </c>
      <c r="H31" s="24">
        <f>SUM(H27:H30)</f>
        <v>80</v>
      </c>
      <c r="I31" s="27">
        <f t="shared" si="0"/>
        <v>50</v>
      </c>
      <c r="J31" s="26">
        <f t="shared" si="1"/>
        <v>0.625</v>
      </c>
    </row>
    <row r="32" spans="3:10" x14ac:dyDescent="0.2">
      <c r="D32" s="2"/>
      <c r="E32" s="4"/>
      <c r="F32" s="2"/>
      <c r="G32" s="4"/>
      <c r="H32" s="12"/>
      <c r="I32" s="21"/>
      <c r="J32" s="5"/>
    </row>
    <row r="33" spans="3:10" x14ac:dyDescent="0.2">
      <c r="C33" s="1" t="s">
        <v>20</v>
      </c>
      <c r="D33" s="2"/>
      <c r="E33" s="4"/>
      <c r="F33" s="2"/>
      <c r="G33" s="4"/>
      <c r="H33" s="12"/>
      <c r="I33" s="21"/>
      <c r="J33" s="5"/>
    </row>
    <row r="34" spans="3:10" x14ac:dyDescent="0.2">
      <c r="C34" s="13" t="s">
        <v>12</v>
      </c>
      <c r="D34" s="14">
        <f>VLOOKUP($C34,raw_data!$B$2:$K$17,2,FALSE)</f>
        <v>521958</v>
      </c>
      <c r="E34" s="15">
        <f>VLOOKUP($C34,raw_data!$B$2:$K$17,3,FALSE)</f>
        <v>1.03815746511987E-2</v>
      </c>
      <c r="F34" s="14">
        <f>VLOOKUP($C34,raw_data!$B$2:$K$17,4,FALSE)</f>
        <v>506</v>
      </c>
      <c r="G34" s="15">
        <f>VLOOKUP($C34,raw_data!$B$2:$K$17,5,FALSE)</f>
        <v>2.8321952311653398E-2</v>
      </c>
      <c r="H34" s="16">
        <f>VLOOKUP($C34,raw_data!$B$2:$K$17,7,FALSE)</f>
        <v>59</v>
      </c>
      <c r="I34" s="34">
        <f t="shared" si="0"/>
        <v>447</v>
      </c>
      <c r="J34" s="35">
        <f t="shared" si="1"/>
        <v>7.5762711864406782</v>
      </c>
    </row>
    <row r="35" spans="3:10" s="23" customFormat="1" x14ac:dyDescent="0.2">
      <c r="C35" s="30" t="s">
        <v>47</v>
      </c>
      <c r="D35" s="31">
        <f t="shared" ref="D35:J35" si="4">D34</f>
        <v>521958</v>
      </c>
      <c r="E35" s="32">
        <f t="shared" si="4"/>
        <v>1.03815746511987E-2</v>
      </c>
      <c r="F35" s="31">
        <f t="shared" si="4"/>
        <v>506</v>
      </c>
      <c r="G35" s="32">
        <f t="shared" si="4"/>
        <v>2.8321952311653398E-2</v>
      </c>
      <c r="H35" s="31">
        <f t="shared" si="4"/>
        <v>59</v>
      </c>
      <c r="I35" s="27">
        <f t="shared" si="4"/>
        <v>447</v>
      </c>
      <c r="J35" s="33">
        <f t="shared" si="4"/>
        <v>7.5762711864406782</v>
      </c>
    </row>
    <row r="36" spans="3:10" x14ac:dyDescent="0.2">
      <c r="C36" s="13"/>
      <c r="D36" s="14"/>
      <c r="E36" s="15"/>
      <c r="F36" s="14"/>
      <c r="G36" s="15"/>
      <c r="H36" s="16"/>
      <c r="I36" s="17"/>
      <c r="J36" s="18"/>
    </row>
    <row r="37" spans="3:10" x14ac:dyDescent="0.2">
      <c r="C37" s="19" t="s">
        <v>48</v>
      </c>
      <c r="D37" s="9">
        <f>SUM(D7:D9,D13:D17,D21:D23,D27:D30,D34)</f>
        <v>50277344</v>
      </c>
      <c r="E37" s="11">
        <f t="shared" ref="E37:G37" si="5">SUM(E7:E9,E13:E17,E21:E23,E27:E30,E34)</f>
        <v>0.99999999999999911</v>
      </c>
      <c r="F37" s="9">
        <f t="shared" si="5"/>
        <v>17866</v>
      </c>
      <c r="G37" s="11">
        <f t="shared" si="5"/>
        <v>0.99999999999999944</v>
      </c>
      <c r="H37" s="9">
        <f>SUM(H7:H9,H13:H17,H21:H23,H27:H30,H34)+1</f>
        <v>17867</v>
      </c>
      <c r="I37" s="9"/>
      <c r="J37" s="9"/>
    </row>
    <row r="39" spans="3:10" x14ac:dyDescent="0.2">
      <c r="E39" s="37" t="s">
        <v>28</v>
      </c>
      <c r="F39" s="37"/>
      <c r="G39" s="37"/>
      <c r="H39" s="37"/>
      <c r="I39" s="37"/>
      <c r="J39" s="37"/>
    </row>
    <row r="40" spans="3:10" x14ac:dyDescent="0.2">
      <c r="E40" s="37" t="s">
        <v>29</v>
      </c>
      <c r="F40" s="37"/>
      <c r="G40" s="37"/>
      <c r="H40" s="37"/>
      <c r="I40" s="37"/>
      <c r="J40" s="37"/>
    </row>
    <row r="41" spans="3:10" x14ac:dyDescent="0.2">
      <c r="E41" s="37" t="s">
        <v>30</v>
      </c>
      <c r="F41" s="37"/>
      <c r="G41" s="37"/>
      <c r="H41" s="37"/>
      <c r="I41" s="37"/>
      <c r="J41" s="37"/>
    </row>
  </sheetData>
  <sortState xmlns:xlrd2="http://schemas.microsoft.com/office/spreadsheetml/2017/richdata2" ref="A6:J34">
    <sortCondition ref="A7:A34"/>
  </sortState>
  <mergeCells count="3">
    <mergeCell ref="E41:J41"/>
    <mergeCell ref="E40:J40"/>
    <mergeCell ref="E39:J3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4640-9C32-B044-9BAD-53950DE9F38E}">
  <dimension ref="A1:K17"/>
  <sheetViews>
    <sheetView workbookViewId="0">
      <selection sqref="A1:K17"/>
    </sheetView>
  </sheetViews>
  <sheetFormatPr baseColWidth="10" defaultRowHeight="16" x14ac:dyDescent="0.2"/>
  <cols>
    <col min="1" max="1" width="32.83203125" bestFit="1" customWidth="1"/>
    <col min="2" max="2" width="24.6640625" bestFit="1" customWidth="1"/>
    <col min="3" max="3" width="10.5" customWidth="1"/>
    <col min="4" max="4" width="19.5" bestFit="1" customWidth="1"/>
    <col min="5" max="5" width="15" bestFit="1" customWidth="1"/>
    <col min="6" max="6" width="24.83203125" bestFit="1" customWidth="1"/>
    <col min="7" max="7" width="19.1640625" bestFit="1" customWidth="1"/>
    <col min="8" max="8" width="15" bestFit="1" customWidth="1"/>
    <col min="9" max="9" width="24.83203125" bestFit="1" customWidth="1"/>
  </cols>
  <sheetData>
    <row r="1" spans="1:11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2">
      <c r="A2" t="s">
        <v>42</v>
      </c>
      <c r="B2" t="s">
        <v>0</v>
      </c>
      <c r="C2">
        <v>775336</v>
      </c>
      <c r="D2">
        <v>1.54211805619644E-2</v>
      </c>
      <c r="E2">
        <v>300</v>
      </c>
      <c r="F2">
        <v>1.6791671331019799E-2</v>
      </c>
      <c r="G2">
        <v>276</v>
      </c>
      <c r="H2">
        <v>87</v>
      </c>
      <c r="I2">
        <v>4.8490767389307299E-3</v>
      </c>
      <c r="J2">
        <v>213</v>
      </c>
      <c r="K2">
        <v>3.44827586206896</v>
      </c>
    </row>
    <row r="3" spans="1:11" x14ac:dyDescent="0.2">
      <c r="A3" t="s">
        <v>42</v>
      </c>
      <c r="B3" t="s">
        <v>1</v>
      </c>
      <c r="C3">
        <v>392762</v>
      </c>
      <c r="D3">
        <v>7.8119082821876901E-3</v>
      </c>
      <c r="E3">
        <v>120</v>
      </c>
      <c r="F3">
        <v>6.7166685324079201E-3</v>
      </c>
      <c r="G3">
        <v>140</v>
      </c>
      <c r="H3">
        <v>30</v>
      </c>
      <c r="I3">
        <v>1.70276882896314E-3</v>
      </c>
      <c r="J3">
        <v>90</v>
      </c>
      <c r="K3">
        <v>4</v>
      </c>
    </row>
    <row r="4" spans="1:11" x14ac:dyDescent="0.2">
      <c r="A4" t="s">
        <v>42</v>
      </c>
      <c r="B4" t="s">
        <v>2</v>
      </c>
      <c r="C4">
        <v>370642</v>
      </c>
      <c r="D4">
        <v>7.3719486852766103E-3</v>
      </c>
      <c r="E4">
        <v>66</v>
      </c>
      <c r="F4">
        <v>3.6941676928243499E-3</v>
      </c>
      <c r="G4">
        <v>132</v>
      </c>
      <c r="H4">
        <v>44</v>
      </c>
      <c r="I4">
        <v>2.4653978218215499E-3</v>
      </c>
      <c r="J4">
        <v>22</v>
      </c>
      <c r="K4">
        <v>1.5</v>
      </c>
    </row>
    <row r="5" spans="1:11" x14ac:dyDescent="0.2">
      <c r="A5" t="s">
        <v>42</v>
      </c>
      <c r="B5" t="s">
        <v>3</v>
      </c>
      <c r="C5">
        <v>1338395</v>
      </c>
      <c r="D5">
        <v>2.66202407191597E-2</v>
      </c>
      <c r="E5">
        <v>560</v>
      </c>
      <c r="F5">
        <v>3.1344453151236899E-2</v>
      </c>
      <c r="G5">
        <v>476</v>
      </c>
      <c r="H5">
        <v>228</v>
      </c>
      <c r="I5">
        <v>1.2786826879925E-2</v>
      </c>
      <c r="J5">
        <v>332</v>
      </c>
      <c r="K5">
        <v>2.45614035087719</v>
      </c>
    </row>
    <row r="6" spans="1:11" x14ac:dyDescent="0.2">
      <c r="A6" t="s">
        <v>42</v>
      </c>
      <c r="B6" t="s">
        <v>4</v>
      </c>
      <c r="C6">
        <v>1020967</v>
      </c>
      <c r="D6">
        <v>2.0306701165439402E-2</v>
      </c>
      <c r="E6">
        <v>381</v>
      </c>
      <c r="F6">
        <v>2.1325422590395101E-2</v>
      </c>
      <c r="G6">
        <v>363</v>
      </c>
      <c r="H6">
        <v>100</v>
      </c>
      <c r="I6">
        <v>5.5934417942234103E-3</v>
      </c>
      <c r="J6">
        <v>281</v>
      </c>
      <c r="K6">
        <v>3.81</v>
      </c>
    </row>
    <row r="7" spans="1:11" x14ac:dyDescent="0.2">
      <c r="A7" t="s">
        <v>43</v>
      </c>
      <c r="B7" t="s">
        <v>5</v>
      </c>
      <c r="C7">
        <v>914359</v>
      </c>
      <c r="D7">
        <v>1.8186302760941301E-2</v>
      </c>
      <c r="E7">
        <v>331</v>
      </c>
      <c r="F7">
        <v>1.8526810701891799E-2</v>
      </c>
      <c r="G7">
        <v>325</v>
      </c>
      <c r="H7">
        <v>62</v>
      </c>
      <c r="I7">
        <v>3.4631259241183101E-3</v>
      </c>
      <c r="J7">
        <v>269</v>
      </c>
      <c r="K7">
        <v>5.3387096774193497</v>
      </c>
    </row>
    <row r="8" spans="1:11" x14ac:dyDescent="0.2">
      <c r="A8" t="s">
        <v>43</v>
      </c>
      <c r="B8" t="s">
        <v>6</v>
      </c>
      <c r="C8">
        <v>253635</v>
      </c>
      <c r="D8">
        <v>5.0447175570769998E-3</v>
      </c>
      <c r="E8">
        <v>166</v>
      </c>
      <c r="F8">
        <v>9.2913914698309601E-3</v>
      </c>
      <c r="G8">
        <v>90</v>
      </c>
      <c r="H8">
        <v>20</v>
      </c>
      <c r="I8">
        <v>1.13851580556242E-3</v>
      </c>
      <c r="J8">
        <v>146</v>
      </c>
      <c r="K8">
        <v>8.3000000000000007</v>
      </c>
    </row>
    <row r="9" spans="1:11" x14ac:dyDescent="0.2">
      <c r="A9" t="s">
        <v>43</v>
      </c>
      <c r="B9" t="s">
        <v>7</v>
      </c>
      <c r="C9">
        <v>554424</v>
      </c>
      <c r="D9">
        <v>1.1027312819070101E-2</v>
      </c>
      <c r="E9">
        <v>525</v>
      </c>
      <c r="F9">
        <v>2.93854248292846E-2</v>
      </c>
      <c r="G9">
        <v>197</v>
      </c>
      <c r="H9">
        <v>150</v>
      </c>
      <c r="I9">
        <v>8.4163937098684707E-3</v>
      </c>
      <c r="J9">
        <v>375</v>
      </c>
      <c r="K9">
        <v>3.5</v>
      </c>
    </row>
    <row r="10" spans="1:11" x14ac:dyDescent="0.2">
      <c r="A10" t="s">
        <v>44</v>
      </c>
      <c r="B10" t="s">
        <v>8</v>
      </c>
      <c r="C10">
        <v>269465</v>
      </c>
      <c r="D10">
        <v>5.3595711022443801E-3</v>
      </c>
      <c r="E10">
        <v>55</v>
      </c>
      <c r="F10">
        <v>3.07847307735363E-3</v>
      </c>
      <c r="G10">
        <v>96</v>
      </c>
      <c r="H10">
        <v>21</v>
      </c>
      <c r="I10">
        <v>1.1814125634753501E-3</v>
      </c>
      <c r="J10">
        <v>34</v>
      </c>
      <c r="K10">
        <v>2.6190476190476102</v>
      </c>
    </row>
    <row r="11" spans="1:11" x14ac:dyDescent="0.2">
      <c r="A11" t="s">
        <v>44</v>
      </c>
      <c r="B11" t="s">
        <v>9</v>
      </c>
      <c r="C11">
        <v>312874</v>
      </c>
      <c r="D11">
        <v>6.2229619766708396E-3</v>
      </c>
      <c r="E11">
        <v>23</v>
      </c>
      <c r="F11">
        <v>1.28736146871151E-3</v>
      </c>
      <c r="G11">
        <v>111</v>
      </c>
      <c r="H11">
        <v>22</v>
      </c>
      <c r="I11">
        <v>1.2153048101368399E-3</v>
      </c>
      <c r="J11">
        <v>1</v>
      </c>
      <c r="K11">
        <v>1.0454545454545401</v>
      </c>
    </row>
    <row r="12" spans="1:11" x14ac:dyDescent="0.2">
      <c r="A12" t="s">
        <v>44</v>
      </c>
      <c r="B12" t="s">
        <v>10</v>
      </c>
      <c r="C12">
        <v>155898</v>
      </c>
      <c r="D12">
        <v>3.1007604538537199E-3</v>
      </c>
      <c r="E12">
        <v>13</v>
      </c>
      <c r="F12" s="10">
        <v>7.2763909101085801E-4</v>
      </c>
      <c r="G12">
        <v>55</v>
      </c>
      <c r="H12">
        <v>8</v>
      </c>
      <c r="I12" s="10">
        <v>4.3067424107091901E-4</v>
      </c>
      <c r="J12">
        <v>5</v>
      </c>
      <c r="K12">
        <v>1.625</v>
      </c>
    </row>
    <row r="13" spans="1:11" x14ac:dyDescent="0.2">
      <c r="A13" t="s">
        <v>44</v>
      </c>
      <c r="B13" t="s">
        <v>11</v>
      </c>
      <c r="C13">
        <v>372676</v>
      </c>
      <c r="D13">
        <v>7.4124042829310901E-3</v>
      </c>
      <c r="E13">
        <v>39</v>
      </c>
      <c r="F13">
        <v>2.18291727303257E-3</v>
      </c>
      <c r="G13">
        <v>132</v>
      </c>
      <c r="H13">
        <v>29</v>
      </c>
      <c r="I13">
        <v>1.6246638924235801E-3</v>
      </c>
      <c r="J13">
        <v>10</v>
      </c>
      <c r="K13">
        <v>1.3448275862068899</v>
      </c>
    </row>
    <row r="14" spans="1:11" x14ac:dyDescent="0.2">
      <c r="A14" t="s">
        <v>45</v>
      </c>
      <c r="B14" t="s">
        <v>12</v>
      </c>
      <c r="C14">
        <v>521958</v>
      </c>
      <c r="D14">
        <v>1.03815746511987E-2</v>
      </c>
      <c r="E14">
        <v>506</v>
      </c>
      <c r="F14">
        <v>2.8321952311653398E-2</v>
      </c>
      <c r="G14">
        <v>185</v>
      </c>
      <c r="H14">
        <v>59</v>
      </c>
      <c r="I14">
        <v>3.2906775821027298E-3</v>
      </c>
      <c r="J14">
        <v>447</v>
      </c>
      <c r="K14">
        <v>8.5762711864406693</v>
      </c>
    </row>
    <row r="15" spans="1:11" x14ac:dyDescent="0.2">
      <c r="A15" t="s">
        <v>13</v>
      </c>
      <c r="B15" t="s">
        <v>14</v>
      </c>
      <c r="C15">
        <v>2443913</v>
      </c>
      <c r="D15">
        <v>4.8608633741671001E-2</v>
      </c>
      <c r="E15">
        <v>641</v>
      </c>
      <c r="F15">
        <v>3.5878204410612298E-2</v>
      </c>
      <c r="G15">
        <v>868</v>
      </c>
      <c r="H15">
        <v>366</v>
      </c>
      <c r="I15">
        <v>2.04896456261392E-2</v>
      </c>
      <c r="J15">
        <v>275</v>
      </c>
      <c r="K15">
        <v>1.75136612021857</v>
      </c>
    </row>
    <row r="16" spans="1:11" x14ac:dyDescent="0.2">
      <c r="A16" t="s">
        <v>13</v>
      </c>
      <c r="B16" t="s">
        <v>15</v>
      </c>
      <c r="C16">
        <v>40072756</v>
      </c>
      <c r="D16">
        <v>0.79703406767071805</v>
      </c>
      <c r="E16">
        <v>13960</v>
      </c>
      <c r="F16">
        <v>0.78137243927012201</v>
      </c>
      <c r="G16">
        <v>14240</v>
      </c>
      <c r="H16">
        <v>16351</v>
      </c>
      <c r="I16">
        <v>0.91520340729712901</v>
      </c>
      <c r="J16">
        <v>-2391</v>
      </c>
      <c r="K16">
        <v>0.85377041159562095</v>
      </c>
    </row>
    <row r="17" spans="1:11" x14ac:dyDescent="0.2">
      <c r="A17" t="s">
        <v>13</v>
      </c>
      <c r="B17" t="s">
        <v>16</v>
      </c>
      <c r="C17">
        <v>507284</v>
      </c>
      <c r="D17">
        <v>1.0089713569595E-2</v>
      </c>
      <c r="E17">
        <v>180</v>
      </c>
      <c r="F17">
        <v>1.00750027986118E-2</v>
      </c>
      <c r="G17">
        <v>180</v>
      </c>
      <c r="H17">
        <v>289</v>
      </c>
      <c r="I17">
        <v>1.61486664841092E-2</v>
      </c>
      <c r="J17">
        <v>-109</v>
      </c>
      <c r="K17">
        <v>0.62283737024221397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COVID_deaths_by_ethnicity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2020-04-22T22:14:52Z</dcterms:created>
  <dcterms:modified xsi:type="dcterms:W3CDTF">2020-04-30T13:12:45Z</dcterms:modified>
</cp:coreProperties>
</file>