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g"/>
  <Default Extension="jpeg" ContentType="image/jpeg"/>
  <Default Extension="png" ContentType="image/png"/>
  <Default Extension="bmp" ContentType="image/bmp"/>
  <Default Extension="gif" ContentType="image/gif"/>
  <Default Extension="svg" ContentType="image/svg+xml"/>
  <Default Extension="emf" ContentType="image/x-emf"/>
  <Default Extension="wmf" ContentType="image/x-wmf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bookViews>
    <workbookView/>
  </bookViews>
  <sheets>
    <sheet name="DCF模型" sheetId="1" r:id="rId2"/>
    <sheet name="假设" sheetId="2" r:id="rId3"/>
    <sheet name="细项分解" sheetId="3" r:id="rId4"/>
    <sheet name="Data Prepare" sheetId="4" r:id="rId5"/>
  </sheets>
  <calcPr calcId="0"/>
</workbook>
</file>

<file path=xl/sharedStrings.xml><?xml version="1.0" encoding="utf-8"?>
<sst xmlns="http://schemas.openxmlformats.org/spreadsheetml/2006/main" count="222" uniqueCount="141">
  <si>
    <t>此工作表由逻辑式生成，只可修改标识为灰色背景的“事实”及浅蓝色背景的“假设”数据；无背景色的数据不可修改。</t>
  </si>
  <si>
    <t>DCF估值模型</t>
  </si>
  <si>
    <t>利润表</t>
  </si>
  <si>
    <t/>
  </si>
  <si>
    <t>营业收入</t>
  </si>
  <si>
    <t>增长率</t>
  </si>
  <si>
    <t>营业税费</t>
  </si>
  <si>
    <t>%营业收入</t>
  </si>
  <si>
    <t>营业成本</t>
  </si>
  <si>
    <t>毛利</t>
  </si>
  <si>
    <t>营业费用</t>
  </si>
  <si>
    <t>营业利润</t>
  </si>
  <si>
    <t>财务费用</t>
  </si>
  <si>
    <t>%有息负债</t>
  </si>
  <si>
    <t>非经常性损益</t>
  </si>
  <si>
    <t>税前利润</t>
  </si>
  <si>
    <t>所得税</t>
  </si>
  <si>
    <t>有效税率</t>
  </si>
  <si>
    <t>净利润</t>
  </si>
  <si>
    <t>归属于股东的净利润</t>
  </si>
  <si>
    <t>少数股东权益</t>
  </si>
  <si>
    <t>%净利润</t>
  </si>
  <si>
    <t>资产负债表</t>
  </si>
  <si>
    <t>总资产</t>
  </si>
  <si>
    <t>现金及现金等价物</t>
  </si>
  <si>
    <t>应收账款</t>
  </si>
  <si>
    <t>存货</t>
  </si>
  <si>
    <t>金融资产</t>
  </si>
  <si>
    <t>其他流动资产</t>
  </si>
  <si>
    <t>流动资产小计</t>
  </si>
  <si>
    <t>固定资产</t>
  </si>
  <si>
    <t>投资</t>
  </si>
  <si>
    <t>无形资产及商誉</t>
  </si>
  <si>
    <t>其他非流动资产</t>
  </si>
  <si>
    <t>非流动资产小计</t>
  </si>
  <si>
    <t>总负债</t>
  </si>
  <si>
    <t>其中 有息负债</t>
  </si>
  <si>
    <t>应付账款</t>
  </si>
  <si>
    <t>短期借款</t>
  </si>
  <si>
    <t>其他短期负债</t>
  </si>
  <si>
    <t>流动负债合计</t>
  </si>
  <si>
    <t>长期借款</t>
  </si>
  <si>
    <t>其他非流动负债</t>
  </si>
  <si>
    <t>非流动负债合计</t>
  </si>
  <si>
    <t>所有者权益合计</t>
  </si>
  <si>
    <t>check</t>
  </si>
  <si>
    <t>现金流量表</t>
  </si>
  <si>
    <t>经营活动现金净流量</t>
  </si>
  <si>
    <t>经营活动现金流入</t>
  </si>
  <si>
    <t>经营活动现金流出</t>
  </si>
  <si>
    <t>投资活动现金净流量</t>
  </si>
  <si>
    <t>新增或出售固定资产</t>
  </si>
  <si>
    <t>净新增投资</t>
  </si>
  <si>
    <t>其他投资活动现金流量</t>
  </si>
  <si>
    <t>筹资活动现金净流量</t>
  </si>
  <si>
    <t>借款净增加</t>
  </si>
  <si>
    <t>股权融资</t>
  </si>
  <si>
    <t>利息净收入</t>
  </si>
  <si>
    <t>已付股息</t>
  </si>
  <si>
    <t>收到的其他与筹资活动有关的现金</t>
  </si>
  <si>
    <t>现金及现金等价物增加或减少</t>
  </si>
  <si>
    <t>年初现金及现金等价物余额</t>
  </si>
  <si>
    <t>汇率变化对现金及现金等价物的影响及其他现金流量</t>
  </si>
  <si>
    <t>年末现金及现金等价物余额</t>
  </si>
  <si>
    <t>FCF</t>
  </si>
  <si>
    <t>EBIT</t>
  </si>
  <si>
    <t>非付现成本</t>
  </si>
  <si>
    <t>营运资金变化</t>
  </si>
  <si>
    <t>CAPEX</t>
  </si>
  <si>
    <t>永续增长率</t>
  </si>
  <si>
    <t>WACC</t>
  </si>
  <si>
    <t>EV</t>
  </si>
  <si>
    <t>Equity Value</t>
  </si>
  <si>
    <t>Share No.</t>
  </si>
  <si>
    <t>Share Price</t>
  </si>
  <si>
    <t>DCF假设</t>
  </si>
  <si>
    <t>利润表假设</t>
  </si>
  <si>
    <t>营业收入增长率</t>
  </si>
  <si>
    <t>营业成本%营业收入</t>
  </si>
  <si>
    <t>营业费用%营业收入</t>
  </si>
  <si>
    <t>资产负债表假设</t>
  </si>
  <si>
    <t>维持现金</t>
  </si>
  <si>
    <t>投融资假设</t>
  </si>
  <si>
    <t>无形资产净增加</t>
  </si>
  <si>
    <t>无形资产</t>
  </si>
  <si>
    <t>其他非流动资产净增加</t>
  </si>
  <si>
    <t>投资活动净新增投资</t>
  </si>
  <si>
    <t>融资</t>
  </si>
  <si>
    <t>短期借款净增加</t>
  </si>
  <si>
    <t>长期借款净增加</t>
  </si>
  <si>
    <t>股息支付</t>
  </si>
  <si>
    <t>现金缺口</t>
  </si>
  <si>
    <t>营运资金</t>
  </si>
  <si>
    <t>%营业成本</t>
  </si>
  <si>
    <t>营运资金总额</t>
  </si>
  <si>
    <t>固定资产净值</t>
  </si>
  <si>
    <t>折旧</t>
  </si>
  <si>
    <t>%前一年固定资产</t>
  </si>
  <si>
    <t>%前一年固定资产净值</t>
  </si>
  <si>
    <t>经营活动现金流量间接法调整</t>
  </si>
  <si>
    <t>经营活动现金流量</t>
  </si>
  <si>
    <t>应收账款增加</t>
  </si>
  <si>
    <t>间接法经营活动现金流入</t>
  </si>
  <si>
    <t>存货增加</t>
  </si>
  <si>
    <t>应付账款增加</t>
  </si>
  <si>
    <t>间接法经营活动现金流出</t>
  </si>
  <si>
    <t>间接法计算误差</t>
  </si>
  <si>
    <t>杂项</t>
  </si>
  <si>
    <t>金融资产净增加</t>
  </si>
  <si>
    <t>非金融投资</t>
  </si>
  <si>
    <t>非金融投资净增加</t>
  </si>
  <si>
    <t>其他流动资产净增加</t>
  </si>
  <si>
    <t>其他短期负债净增加</t>
  </si>
  <si>
    <t>其他非流动负债净增加</t>
  </si>
  <si>
    <t>其他债务净增加</t>
  </si>
  <si>
    <t>Data Prepare</t>
  </si>
  <si>
    <t>销售费用</t>
  </si>
  <si>
    <t>管理费用</t>
  </si>
  <si>
    <t>研发费用</t>
  </si>
  <si>
    <t>其他营业费用</t>
  </si>
  <si>
    <t>公允价值变动及减值准备</t>
  </si>
  <si>
    <t>其他收入</t>
  </si>
  <si>
    <t>营业外收入</t>
  </si>
  <si>
    <t>新增固定资产</t>
  </si>
  <si>
    <t>出售固定资产</t>
  </si>
  <si>
    <t>新增投资</t>
  </si>
  <si>
    <t>减少投资</t>
  </si>
  <si>
    <t>筹资活动现金流量</t>
  </si>
  <si>
    <t>收到其他与筹资活动相关的现金</t>
  </si>
  <si>
    <t>经营活动现金流量间接法计算误差</t>
  </si>
  <si>
    <t>投资活动现金流量</t>
  </si>
  <si>
    <t>已收利息</t>
  </si>
  <si>
    <t>已付利息</t>
  </si>
  <si>
    <t>贷款净增加</t>
  </si>
  <si>
    <t>新增贷款</t>
  </si>
  <si>
    <t>偿还贷款</t>
  </si>
  <si>
    <t>股本总额</t>
  </si>
  <si>
    <t>股份溢价</t>
  </si>
  <si>
    <t>资本储备及其他储备</t>
  </si>
  <si>
    <t>未分配利润</t>
  </si>
  <si>
    <t>其他权益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</si>
</sst>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  <numFmt numFmtId="171" formatCode="#,##0.00%;(#,##0.00%)"/>
  </numFmts>
  <fonts count="39">
    <font>
      <color rgb="FF000000"/>
      <sz val="12"/>
      <name val="Calibri"/>
    </font>
    <font>
      <color theme="1"/>
      <sz val="11"/>
      <name val="Calibri"/>
      <scheme val="minor"/>
    </font>
    <font>
      <color theme="0"/>
      <sz val="11"/>
      <name val="Calibri"/>
      <scheme val="minor"/>
    </font>
    <font>
      <color rgb="FF9C0006"/>
      <sz val="11"/>
      <name val="Calibri"/>
      <scheme val="minor"/>
    </font>
    <font>
      <b/>
      <color rgb="FFFA7D00"/>
      <sz val="11"/>
      <name val="Calibri"/>
      <scheme val="minor"/>
    </font>
    <font>
      <b/>
      <color theme="0"/>
      <sz val="11"/>
      <name val="Calibri"/>
      <scheme val="minor"/>
    </font>
    <font>
      <color indexed="0"/>
      <sz val="11"/>
      <name val="Calibri"/>
      <family val="2"/>
    </font>
    <font>
      <i/>
      <color rgb="FF7F7F7F"/>
      <sz val="11"/>
      <name val="Calibri"/>
      <scheme val="minor"/>
    </font>
    <font>
      <color rgb="FF006100"/>
      <sz val="11"/>
      <name val="Calibri"/>
      <scheme val="minor"/>
    </font>
    <font>
      <b/>
      <color theme="3"/>
      <sz val="15"/>
      <name val="Calibri"/>
      <scheme val="minor"/>
    </font>
    <font>
      <b/>
      <color theme="3"/>
      <sz val="13"/>
      <name val="Calibri"/>
      <scheme val="minor"/>
    </font>
    <font>
      <b/>
      <color theme="3"/>
      <sz val="11"/>
      <name val="Calibri"/>
      <scheme val="minor"/>
    </font>
    <font>
      <color rgb="FF3F3F76"/>
      <sz val="11"/>
      <name val="Calibri"/>
      <scheme val="minor"/>
    </font>
    <font>
      <color rgb="FFFA7D00"/>
      <sz val="11"/>
      <name val="Calibri"/>
      <scheme val="minor"/>
    </font>
    <font>
      <color rgb="FF9C6500"/>
      <sz val="11"/>
      <name val="Calibri"/>
      <scheme val="minor"/>
    </font>
    <font>
      <b/>
      <color rgb="FF3F3F3F"/>
      <sz val="11"/>
      <name val="Calibri"/>
      <scheme val="minor"/>
    </font>
    <font>
      <b/>
      <color theme="3"/>
      <sz val="18"/>
      <name val="Cambria"/>
      <scheme val="major"/>
    </font>
    <font>
      <b/>
      <color theme="1"/>
      <sz val="11"/>
      <name val="Calibri"/>
      <scheme val="minor"/>
    </font>
    <font>
      <color rgb="FFFF0000"/>
      <sz val="11"/>
      <name val="Calibri"/>
      <scheme val="minor"/>
    </font>
    <font>
      <color auto="1"/>
      <sz val="12"/>
      <name val="Calibri"/>
    </font>
    <font>
      <color auto="1"/>
      <sz val="10"/>
      <name val="Calibri"/>
    </font>
    <font>
      <b/>
      <color rgb="FF4178B8"/>
      <sz val="12"/>
      <name val="Calibri"/>
    </font>
    <font>
      <b/>
      <color rgb="FF4178B8"/>
      <sz val="14"/>
      <name val="Calibri"/>
    </font>
    <font>
      <b/>
      <color rgb="FFFFFFFF"/>
      <sz val="12"/>
      <name val="Calibri"/>
    </font>
    <font>
      <b/>
      <color rgb="FF000000"/>
      <sz val="10"/>
      <name val="Calibri"/>
    </font>
    <font>
      <b/>
      <color rgb="FF4178B8"/>
      <sz val="10"/>
      <name val="Calibri"/>
    </font>
    <font>
      <i/>
      <color rgb="FF000000"/>
      <sz val="10"/>
      <name val="Calibri"/>
    </font>
    <font>
      <i/>
      <color rgb="FF13AC59"/>
      <sz val="10"/>
      <name val="Calibri"/>
    </font>
    <font>
      <color rgb="FF000000"/>
      <sz val="10"/>
      <name val="Calibri"/>
    </font>
    <font>
      <color rgb="FF4178B8"/>
      <sz val="10"/>
      <name val="Calibri"/>
    </font>
    <font>
      <u/>
      <color rgb="FF000000"/>
      <sz val="10"/>
      <name val="Calibri"/>
    </font>
    <font>
      <u/>
      <color rgb="FF4178B8"/>
      <sz val="10"/>
      <name val="Calibri"/>
    </font>
    <font>
      <u/>
      <color rgb="FF13AC59"/>
      <sz val="10"/>
      <name val="Calibri"/>
    </font>
    <font>
      <i/>
      <color rgb="FF4178B8"/>
      <sz val="10"/>
      <name val="Calibri"/>
    </font>
    <font>
      <color rgb="FF13AC59"/>
      <sz val="10"/>
      <name val="Calibri"/>
    </font>
    <font>
      <b/>
      <color rgb="FF13AC59"/>
      <sz val="10"/>
      <name val="Calibri"/>
    </font>
    <font>
      <b/>
      <color rgb="FF8800CC"/>
      <sz val="10"/>
      <name val="Calibri"/>
    </font>
    <font>
      <color rgb="FF8800CC"/>
      <sz val="10"/>
      <name val="Calibri"/>
    </font>
    <font>
      <i/>
      <color rgb="FF8800CC"/>
      <sz val="10"/>
      <name val="Calibri"/>
    </font>
  </fonts>
  <fills count="37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5E5E5"/>
      </patternFill>
    </fill>
    <fill>
      <patternFill patternType="solid">
        <fgColor rgb="FFFFFFFF"/>
      </patternFill>
    </fill>
    <fill>
      <patternFill patternType="solid">
        <fgColor rgb="FF4178B8"/>
      </patternFill>
    </fill>
    <fill>
      <patternFill patternType="solid">
        <fgColor rgb="FFFCF3E3"/>
      </patternFill>
    </fill>
  </fills>
  <borders count="13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thick">
        <color theme="4"/>
      </bottom>
    </border>
    <border>
      <left/>
      <right/>
      <top/>
      <bottom style="thick">
        <color theme="4" tint="0.5"/>
      </bottom>
    </border>
    <border>
      <left/>
      <right/>
      <top/>
      <bottom style="medium">
        <color theme="4" tint="0.4"/>
      </bottom>
    </border>
    <border>
      <left/>
      <right/>
      <top/>
      <bottom style="double">
        <color rgb="FFFF800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 style="thin">
        <color theme="4"/>
      </top>
      <bottom style="double">
        <color theme="4"/>
      </bottom>
    </border>
    <border>
      <left style="medium">
        <color rgb="FFE0E0E0"/>
      </left>
      <right/>
      <top/>
      <bottom/>
    </border>
    <border>
      <left/>
      <right style="medium">
        <color rgb="FFE0E0E0"/>
      </right>
      <top/>
      <bottom/>
    </border>
    <border>
      <left/>
      <right/>
      <top style="medium">
        <color rgb="FFE0E0E0"/>
      </top>
      <bottom/>
    </border>
  </borders>
  <cellStyleXfs count="47">
    <xf numFmtId="0" fontId="0" fillId="0" borderId="0" applyFont="1"/>
    <xf numFmtId="0" fontId="1" fillId="2" borderId="0" applyFont="1" applyFill="1">
      <alignment vertical="top"/>
    </xf>
    <xf numFmtId="0" fontId="1" fillId="3" borderId="0" applyFont="1" applyFill="1">
      <alignment vertical="top"/>
    </xf>
    <xf numFmtId="0" fontId="1" fillId="4" borderId="0" applyFont="1" applyFill="1">
      <alignment vertical="top"/>
    </xf>
    <xf numFmtId="0" fontId="1" fillId="5" borderId="0" applyFont="1" applyFill="1">
      <alignment vertical="top"/>
    </xf>
    <xf numFmtId="0" fontId="1" fillId="6" borderId="0" applyFont="1" applyFill="1">
      <alignment vertical="top"/>
    </xf>
    <xf numFmtId="0" fontId="1" fillId="7" borderId="0" applyFont="1" applyFill="1">
      <alignment vertical="top"/>
    </xf>
    <xf numFmtId="0" fontId="1" fillId="8" borderId="0" applyFont="1" applyFill="1">
      <alignment vertical="top"/>
    </xf>
    <xf numFmtId="0" fontId="1" fillId="9" borderId="0" applyFont="1" applyFill="1">
      <alignment vertical="top"/>
    </xf>
    <xf numFmtId="0" fontId="1" fillId="10" borderId="0" applyFont="1" applyFill="1">
      <alignment vertical="top"/>
    </xf>
    <xf numFmtId="0" fontId="1" fillId="11" borderId="0" applyFont="1" applyFill="1">
      <alignment vertical="top"/>
    </xf>
    <xf numFmtId="0" fontId="1" fillId="12" borderId="0" applyFont="1" applyFill="1">
      <alignment vertical="top"/>
    </xf>
    <xf numFmtId="0" fontId="1" fillId="13" borderId="0" applyFont="1" applyFill="1">
      <alignment vertical="top"/>
    </xf>
    <xf numFmtId="0" fontId="2" fillId="14" borderId="0" applyFont="1" applyFill="1">
      <alignment vertical="top"/>
    </xf>
    <xf numFmtId="0" fontId="2" fillId="15" borderId="0" applyFont="1" applyFill="1">
      <alignment vertical="top"/>
    </xf>
    <xf numFmtId="0" fontId="2" fillId="16" borderId="0" applyFont="1" applyFill="1">
      <alignment vertical="top"/>
    </xf>
    <xf numFmtId="0" fontId="2" fillId="17" borderId="0" applyFont="1" applyFill="1">
      <alignment vertical="top"/>
    </xf>
    <xf numFmtId="0" fontId="2" fillId="18" borderId="0" applyFont="1" applyFill="1">
      <alignment vertical="top"/>
    </xf>
    <xf numFmtId="0" fontId="2" fillId="19" borderId="0" applyFont="1" applyFill="1">
      <alignment vertical="top"/>
    </xf>
    <xf numFmtId="0" fontId="2" fillId="20" borderId="0" applyFont="1" applyFill="1">
      <alignment vertical="top"/>
    </xf>
    <xf numFmtId="0" fontId="2" fillId="21" borderId="0" applyFont="1" applyFill="1">
      <alignment vertical="top"/>
    </xf>
    <xf numFmtId="0" fontId="2" fillId="22" borderId="0" applyFont="1" applyFill="1">
      <alignment vertical="top"/>
    </xf>
    <xf numFmtId="0" fontId="2" fillId="23" borderId="0" applyFont="1" applyFill="1">
      <alignment vertical="top"/>
    </xf>
    <xf numFmtId="0" fontId="2" fillId="24" borderId="0" applyFont="1" applyFill="1">
      <alignment vertical="top"/>
    </xf>
    <xf numFmtId="0" fontId="2" fillId="25" borderId="0" applyFont="1" applyFill="1">
      <alignment vertical="top"/>
    </xf>
    <xf numFmtId="0" fontId="3" fillId="26" borderId="0" applyFont="1" applyFill="1">
      <alignment vertical="top"/>
    </xf>
    <xf numFmtId="0" fontId="4" fillId="27" borderId="1" applyFont="1" applyFill="1" applyBorder="1">
      <alignment vertical="top"/>
    </xf>
    <xf numFmtId="0" fontId="5" fillId="28" borderId="2" applyFont="1" applyFill="1" applyBorder="1">
      <alignment vertical="top"/>
    </xf>
    <xf numFmtId="43" fontId="6" fillId="0" borderId="0" applyNumberFormat="1">
      <alignment vertical="top"/>
    </xf>
    <xf numFmtId="41" fontId="6" fillId="0" borderId="0" applyNumberFormat="1">
      <alignment vertical="top"/>
    </xf>
    <xf numFmtId="44" fontId="6" fillId="0" borderId="0" applyNumberFormat="1">
      <alignment vertical="top"/>
    </xf>
    <xf numFmtId="42" fontId="6" fillId="0" borderId="0" applyNumberFormat="1">
      <alignment vertical="top"/>
    </xf>
    <xf numFmtId="0" fontId="7" fillId="0" borderId="0" applyFont="1">
      <alignment vertical="top"/>
    </xf>
    <xf numFmtId="0" fontId="8" fillId="29" borderId="0" applyFont="1" applyFill="1">
      <alignment vertical="top"/>
    </xf>
    <xf numFmtId="0" fontId="9" fillId="0" borderId="3" applyFont="1" applyBorder="1">
      <alignment vertical="top"/>
    </xf>
    <xf numFmtId="0" fontId="10" fillId="0" borderId="4" applyFont="1" applyBorder="1">
      <alignment vertical="top"/>
    </xf>
    <xf numFmtId="0" fontId="11" fillId="0" borderId="5" applyFont="1" applyBorder="1">
      <alignment vertical="top"/>
    </xf>
    <xf numFmtId="0" fontId="11" fillId="0" borderId="0" applyFont="1">
      <alignment vertical="top"/>
    </xf>
    <xf numFmtId="0" fontId="12" fillId="30" borderId="1" applyFont="1" applyFill="1" applyBorder="1">
      <alignment vertical="top"/>
    </xf>
    <xf numFmtId="0" fontId="13" fillId="0" borderId="6" applyFont="1" applyBorder="1">
      <alignment vertical="top"/>
    </xf>
    <xf numFmtId="0" fontId="14" fillId="31" borderId="0" applyFont="1" applyFill="1">
      <alignment vertical="top"/>
    </xf>
    <xf numFmtId="0" fontId="6" fillId="32" borderId="7" applyFill="1" applyBorder="1">
      <alignment vertical="top"/>
    </xf>
    <xf numFmtId="0" fontId="15" fillId="27" borderId="8" applyFont="1" applyFill="1" applyBorder="1">
      <alignment vertical="top"/>
    </xf>
    <xf numFmtId="9" fontId="6" fillId="0" borderId="0" applyNumberFormat="1">
      <alignment vertical="top"/>
    </xf>
    <xf numFmtId="0" fontId="16" fillId="0" borderId="0" applyFont="1">
      <alignment vertical="top"/>
    </xf>
    <xf numFmtId="0" fontId="17" fillId="0" borderId="9" applyFont="1" applyBorder="1">
      <alignment vertical="top"/>
    </xf>
    <xf numFmtId="0" fontId="18" fillId="0" borderId="0" applyFont="1">
      <alignment vertical="top"/>
    </xf>
  </cellStyleXfs>
  <cellXfs count="112">
    <xf numFmtId="0" fontId="0" fillId="0" borderId="0" xfId="0" applyNumberFormat="1" applyFont="1"/>
    <xf numFmtId="0" fontId="0" fillId="0" borderId="0" xfId="0" applyFont="1"/>
    <xf numFmtId="0" fontId="1" fillId="2" borderId="0" xfId="1" applyFont="1" applyFill="1">
      <alignment vertical="top"/>
    </xf>
    <xf numFmtId="0" fontId="1" fillId="3" borderId="0" xfId="2" applyFont="1" applyFill="1">
      <alignment vertical="top"/>
    </xf>
    <xf numFmtId="0" fontId="1" fillId="4" borderId="0" xfId="3" applyFont="1" applyFill="1">
      <alignment vertical="top"/>
    </xf>
    <xf numFmtId="0" fontId="1" fillId="5" borderId="0" xfId="4" applyFont="1" applyFill="1">
      <alignment vertical="top"/>
    </xf>
    <xf numFmtId="0" fontId="1" fillId="6" borderId="0" xfId="5" applyFont="1" applyFill="1">
      <alignment vertical="top"/>
    </xf>
    <xf numFmtId="0" fontId="1" fillId="7" borderId="0" xfId="6" applyFont="1" applyFill="1">
      <alignment vertical="top"/>
    </xf>
    <xf numFmtId="0" fontId="1" fillId="8" borderId="0" xfId="7" applyFont="1" applyFill="1">
      <alignment vertical="top"/>
    </xf>
    <xf numFmtId="0" fontId="1" fillId="9" borderId="0" xfId="8" applyFont="1" applyFill="1">
      <alignment vertical="top"/>
    </xf>
    <xf numFmtId="0" fontId="1" fillId="10" borderId="0" xfId="9" applyFont="1" applyFill="1">
      <alignment vertical="top"/>
    </xf>
    <xf numFmtId="0" fontId="1" fillId="11" borderId="0" xfId="10" applyFont="1" applyFill="1">
      <alignment vertical="top"/>
    </xf>
    <xf numFmtId="0" fontId="1" fillId="12" borderId="0" xfId="11" applyFont="1" applyFill="1">
      <alignment vertical="top"/>
    </xf>
    <xf numFmtId="0" fontId="1" fillId="13" borderId="0" xfId="12" applyFont="1" applyFill="1">
      <alignment vertical="top"/>
    </xf>
    <xf numFmtId="0" fontId="2" fillId="14" borderId="0" xfId="13" applyFont="1" applyFill="1">
      <alignment vertical="top"/>
    </xf>
    <xf numFmtId="0" fontId="2" fillId="15" borderId="0" xfId="14" applyFont="1" applyFill="1">
      <alignment vertical="top"/>
    </xf>
    <xf numFmtId="0" fontId="2" fillId="16" borderId="0" xfId="15" applyFont="1" applyFill="1">
      <alignment vertical="top"/>
    </xf>
    <xf numFmtId="0" fontId="2" fillId="17" borderId="0" xfId="16" applyFont="1" applyFill="1">
      <alignment vertical="top"/>
    </xf>
    <xf numFmtId="0" fontId="2" fillId="18" borderId="0" xfId="17" applyFont="1" applyFill="1">
      <alignment vertical="top"/>
    </xf>
    <xf numFmtId="0" fontId="2" fillId="19" borderId="0" xfId="18" applyFont="1" applyFill="1">
      <alignment vertical="top"/>
    </xf>
    <xf numFmtId="0" fontId="2" fillId="20" borderId="0" xfId="19" applyFont="1" applyFill="1">
      <alignment vertical="top"/>
    </xf>
    <xf numFmtId="0" fontId="2" fillId="21" borderId="0" xfId="20" applyFont="1" applyFill="1">
      <alignment vertical="top"/>
    </xf>
    <xf numFmtId="0" fontId="2" fillId="22" borderId="0" xfId="21" applyFont="1" applyFill="1">
      <alignment vertical="top"/>
    </xf>
    <xf numFmtId="0" fontId="2" fillId="23" borderId="0" xfId="22" applyFont="1" applyFill="1">
      <alignment vertical="top"/>
    </xf>
    <xf numFmtId="0" fontId="2" fillId="24" borderId="0" xfId="23" applyFont="1" applyFill="1">
      <alignment vertical="top"/>
    </xf>
    <xf numFmtId="0" fontId="2" fillId="25" borderId="0" xfId="24" applyFont="1" applyFill="1">
      <alignment vertical="top"/>
    </xf>
    <xf numFmtId="0" fontId="3" fillId="26" borderId="0" xfId="25" applyFont="1" applyFill="1">
      <alignment vertical="top"/>
    </xf>
    <xf numFmtId="0" fontId="4" fillId="27" borderId="1" xfId="26" applyFont="1" applyFill="1" applyBorder="1">
      <alignment vertical="top"/>
    </xf>
    <xf numFmtId="0" fontId="5" fillId="28" borderId="2" xfId="27" applyFont="1" applyFill="1" applyBorder="1">
      <alignment vertical="top"/>
    </xf>
    <xf numFmtId="43" fontId="6" fillId="0" borderId="0" xfId="28" applyNumberFormat="1">
      <alignment vertical="top"/>
    </xf>
    <xf numFmtId="41" fontId="6" fillId="0" borderId="0" xfId="29" applyNumberFormat="1">
      <alignment vertical="top"/>
    </xf>
    <xf numFmtId="44" fontId="6" fillId="0" borderId="0" xfId="30" applyNumberFormat="1">
      <alignment vertical="top"/>
    </xf>
    <xf numFmtId="42" fontId="6" fillId="0" borderId="0" xfId="31" applyNumberFormat="1">
      <alignment vertical="top"/>
    </xf>
    <xf numFmtId="0" fontId="7" fillId="0" borderId="0" xfId="32" applyFont="1">
      <alignment vertical="top"/>
    </xf>
    <xf numFmtId="0" fontId="8" fillId="29" borderId="0" xfId="33" applyFont="1" applyFill="1">
      <alignment vertical="top"/>
    </xf>
    <xf numFmtId="0" fontId="9" fillId="0" borderId="3" xfId="34" applyFont="1" applyBorder="1">
      <alignment vertical="top"/>
    </xf>
    <xf numFmtId="0" fontId="10" fillId="0" borderId="4" xfId="35" applyFont="1" applyBorder="1">
      <alignment vertical="top"/>
    </xf>
    <xf numFmtId="0" fontId="11" fillId="0" borderId="5" xfId="36" applyFont="1" applyBorder="1">
      <alignment vertical="top"/>
    </xf>
    <xf numFmtId="0" fontId="11" fillId="0" borderId="0" xfId="37" applyFont="1">
      <alignment vertical="top"/>
    </xf>
    <xf numFmtId="0" fontId="12" fillId="30" borderId="1" xfId="38" applyFont="1" applyFill="1" applyBorder="1">
      <alignment vertical="top"/>
    </xf>
    <xf numFmtId="0" fontId="13" fillId="0" borderId="6" xfId="39" applyFont="1" applyBorder="1">
      <alignment vertical="top"/>
    </xf>
    <xf numFmtId="0" fontId="14" fillId="31" borderId="0" xfId="40" applyFont="1" applyFill="1">
      <alignment vertical="top"/>
    </xf>
    <xf numFmtId="0" fontId="6" fillId="32" borderId="7" xfId="41" applyFill="1" applyBorder="1">
      <alignment vertical="top"/>
    </xf>
    <xf numFmtId="0" fontId="15" fillId="27" borderId="8" xfId="42" applyFont="1" applyFill="1" applyBorder="1">
      <alignment vertical="top"/>
    </xf>
    <xf numFmtId="9" fontId="6" fillId="0" borderId="0" xfId="43" applyNumberFormat="1">
      <alignment vertical="top"/>
    </xf>
    <xf numFmtId="0" fontId="16" fillId="0" borderId="0" xfId="44" applyFont="1">
      <alignment vertical="top"/>
    </xf>
    <xf numFmtId="0" fontId="17" fillId="0" borderId="9" xfId="45" applyFont="1" applyBorder="1">
      <alignment vertical="top"/>
    </xf>
    <xf numFmtId="0" fontId="18" fillId="0" borderId="0" xfId="46" applyFont="1">
      <alignment vertical="top"/>
    </xf>
    <xf numFmtId="0" fontId="19" fillId="33" borderId="0" xfId="0" applyFont="1" applyFill="1"/>
    <xf numFmtId="0" fontId="20" fillId="33" borderId="0" xfId="0" applyFont="1" applyFill="1"/>
    <xf numFmtId="0" fontId="21" fillId="34" borderId="0" xfId="0" applyFont="1" applyFill="1">
      <alignment horizontal="left"/>
      <protection locked="0"/>
    </xf>
    <xf numFmtId="0" fontId="22" fillId="34" borderId="0" xfId="0" applyFont="1" applyFill="1">
      <alignment horizontal="left"/>
      <protection locked="0"/>
    </xf>
    <xf numFmtId="0" fontId="22" fillId="34" borderId="0" xfId="0" applyFont="1" applyFill="1">
      <alignment horizontal="left"/>
    </xf>
    <xf numFmtId="0" fontId="23" fillId="35" borderId="0" xfId="0" applyFont="1" applyFill="1">
      <alignment horizontal="left" vertical="center"/>
    </xf>
    <xf numFmtId="0" fontId="23" fillId="35" borderId="10" xfId="0" applyFont="1" applyFill="1" applyBorder="1">
      <alignment horizontal="center" vertical="center"/>
      <protection locked="0"/>
    </xf>
    <xf numFmtId="0" fontId="23" fillId="35" borderId="0" xfId="0" applyFont="1" applyFill="1">
      <alignment horizontal="center" vertical="center"/>
      <protection locked="0"/>
    </xf>
    <xf numFmtId="0" fontId="23" fillId="35" borderId="11" xfId="0" applyFont="1" applyFill="1" applyBorder="1">
      <alignment horizontal="center" vertical="center"/>
      <protection locked="0"/>
    </xf>
    <xf numFmtId="0" fontId="24" fillId="34" borderId="11" xfId="0" applyFont="1" applyFill="1" applyBorder="1">
      <alignment horizontal="left"/>
      <protection locked="0"/>
    </xf>
    <xf numFmtId="39" fontId="25" fillId="34" borderId="10" xfId="0" applyNumberFormat="1" applyFont="1" applyFill="1" applyBorder="1">
      <alignment horizontal="right"/>
    </xf>
    <xf numFmtId="39" fontId="25" fillId="34" borderId="0" xfId="0" applyNumberFormat="1" applyFont="1" applyFill="1">
      <alignment horizontal="right"/>
    </xf>
    <xf numFmtId="39" fontId="24" fillId="34" borderId="0" xfId="0" applyNumberFormat="1" applyFont="1" applyFill="1">
      <alignment horizontal="right"/>
    </xf>
    <xf numFmtId="39" fontId="24" fillId="34" borderId="11" xfId="0" applyNumberFormat="1" applyFont="1" applyFill="1" applyBorder="1">
      <alignment horizontal="right"/>
    </xf>
    <xf numFmtId="0" fontId="26" fillId="34" borderId="11" xfId="0" applyFont="1" applyFill="1" applyBorder="1">
      <alignment horizontal="left" indent="2"/>
      <protection locked="0"/>
    </xf>
    <xf numFmtId="171" fontId="26" fillId="34" borderId="10" xfId="0" applyNumberFormat="1" applyFont="1" applyFill="1" applyBorder="1">
      <alignment horizontal="right"/>
    </xf>
    <xf numFmtId="171" fontId="26" fillId="34" borderId="0" xfId="0" applyNumberFormat="1" applyFont="1" applyFill="1">
      <alignment horizontal="right"/>
    </xf>
    <xf numFmtId="171" fontId="27" fillId="34" borderId="0" xfId="0" applyNumberFormat="1" applyFont="1" applyFill="1">
      <alignment horizontal="right"/>
    </xf>
    <xf numFmtId="171" fontId="27" fillId="34" borderId="11" xfId="0" applyNumberFormat="1" applyFont="1" applyFill="1" applyBorder="1">
      <alignment horizontal="right"/>
    </xf>
    <xf numFmtId="0" fontId="28" fillId="34" borderId="11" xfId="0" applyFont="1" applyFill="1" applyBorder="1">
      <alignment horizontal="left"/>
      <protection locked="0"/>
    </xf>
    <xf numFmtId="39" fontId="29" fillId="34" borderId="10" xfId="0" applyNumberFormat="1" applyFont="1" applyFill="1" applyBorder="1">
      <alignment horizontal="right"/>
    </xf>
    <xf numFmtId="39" fontId="29" fillId="34" borderId="0" xfId="0" applyNumberFormat="1" applyFont="1" applyFill="1">
      <alignment horizontal="right"/>
    </xf>
    <xf numFmtId="39" fontId="28" fillId="34" borderId="0" xfId="0" applyNumberFormat="1" applyFont="1" applyFill="1">
      <alignment horizontal="right"/>
    </xf>
    <xf numFmtId="39" fontId="28" fillId="34" borderId="11" xfId="0" applyNumberFormat="1" applyFont="1" applyFill="1" applyBorder="1">
      <alignment horizontal="right"/>
    </xf>
    <xf numFmtId="171" fontId="26" fillId="34" borderId="11" xfId="0" applyNumberFormat="1" applyFont="1" applyFill="1" applyBorder="1">
      <alignment horizontal="right"/>
    </xf>
    <xf numFmtId="0" fontId="30" fillId="34" borderId="11" xfId="0" applyFont="1" applyFill="1" applyBorder="1">
      <alignment horizontal="left"/>
      <protection locked="0"/>
    </xf>
    <xf numFmtId="39" fontId="31" fillId="34" borderId="10" xfId="0" applyNumberFormat="1" applyFont="1" applyFill="1" applyBorder="1">
      <alignment horizontal="right"/>
    </xf>
    <xf numFmtId="39" fontId="31" fillId="34" borderId="0" xfId="0" applyNumberFormat="1" applyFont="1" applyFill="1">
      <alignment horizontal="right"/>
    </xf>
    <xf numFmtId="39" fontId="30" fillId="34" borderId="0" xfId="0" applyNumberFormat="1" applyFont="1" applyFill="1">
      <alignment horizontal="right"/>
    </xf>
    <xf numFmtId="39" fontId="30" fillId="34" borderId="11" xfId="0" applyNumberFormat="1" applyFont="1" applyFill="1" applyBorder="1">
      <alignment horizontal="right"/>
    </xf>
    <xf numFmtId="0" fontId="24" fillId="34" borderId="11" xfId="0" applyFont="1" applyFill="1" applyBorder="1">
      <alignment horizontal="left" indent="1"/>
      <protection locked="0"/>
    </xf>
    <xf numFmtId="39" fontId="24" fillId="34" borderId="10" xfId="0" applyNumberFormat="1" applyFont="1" applyFill="1" applyBorder="1">
      <alignment horizontal="right"/>
    </xf>
    <xf numFmtId="39" fontId="32" fillId="34" borderId="10" xfId="0" applyNumberFormat="1" applyFont="1" applyFill="1" applyBorder="1">
      <alignment horizontal="right"/>
    </xf>
    <xf numFmtId="39" fontId="32" fillId="34" borderId="0" xfId="0" applyNumberFormat="1" applyFont="1" applyFill="1">
      <alignment horizontal="right"/>
    </xf>
    <xf numFmtId="171" fontId="33" fillId="34" borderId="0" xfId="0" applyNumberFormat="1" applyFont="1" applyFill="1">
      <alignment horizontal="right"/>
    </xf>
    <xf numFmtId="171" fontId="33" fillId="34" borderId="11" xfId="0" applyNumberFormat="1" applyFont="1" applyFill="1" applyBorder="1">
      <alignment horizontal="right"/>
    </xf>
    <xf numFmtId="39" fontId="28" fillId="34" borderId="10" xfId="0" applyNumberFormat="1" applyFont="1" applyFill="1" applyBorder="1">
      <alignment horizontal="right"/>
    </xf>
    <xf numFmtId="0" fontId="28" fillId="34" borderId="11" xfId="0" applyFont="1" applyFill="1" applyBorder="1">
      <alignment horizontal="left" indent="1"/>
      <protection locked="0"/>
    </xf>
    <xf numFmtId="0" fontId="0" fillId="34" borderId="12" xfId="0" applyFont="1" applyFill="1" applyBorder="1"/>
    <xf numFmtId="0" fontId="24" fillId="34" borderId="11" xfId="0" applyFont="1" applyFill="1" applyBorder="1">
      <alignment horizontal="left" wrapText="1" indent="1"/>
      <protection locked="0"/>
    </xf>
    <xf numFmtId="39" fontId="34" fillId="34" borderId="0" xfId="0" applyNumberFormat="1" applyFont="1" applyFill="1">
      <alignment horizontal="right"/>
    </xf>
    <xf numFmtId="39" fontId="34" fillId="34" borderId="11" xfId="0" applyNumberFormat="1" applyFont="1" applyFill="1" applyBorder="1">
      <alignment horizontal="right"/>
    </xf>
    <xf numFmtId="0" fontId="30" fillId="34" borderId="11" xfId="0" applyFont="1" applyFill="1" applyBorder="1">
      <alignment horizontal="left" indent="1"/>
      <protection locked="0"/>
    </xf>
    <xf numFmtId="39" fontId="32" fillId="34" borderId="11" xfId="0" applyNumberFormat="1" applyFont="1" applyFill="1" applyBorder="1">
      <alignment horizontal="right"/>
    </xf>
    <xf numFmtId="0" fontId="28" fillId="34" borderId="11" xfId="0" applyFont="1" applyFill="1" applyBorder="1">
      <alignment horizontal="left" wrapText="1"/>
      <protection locked="0"/>
    </xf>
    <xf numFmtId="39" fontId="35" fillId="34" borderId="10" xfId="0" applyNumberFormat="1" applyFont="1" applyFill="1" applyBorder="1">
      <alignment horizontal="right"/>
    </xf>
    <xf numFmtId="39" fontId="35" fillId="34" borderId="0" xfId="0" applyNumberFormat="1" applyFont="1" applyFill="1">
      <alignment horizontal="right"/>
    </xf>
    <xf numFmtId="39" fontId="36" fillId="34" borderId="0" xfId="0" applyNumberFormat="1" applyFont="1" applyFill="1">
      <alignment horizontal="right"/>
    </xf>
    <xf numFmtId="39" fontId="36" fillId="34" borderId="11" xfId="0" applyNumberFormat="1" applyFont="1" applyFill="1" applyBorder="1">
      <alignment horizontal="right"/>
    </xf>
    <xf numFmtId="39" fontId="34" fillId="34" borderId="10" xfId="0" applyNumberFormat="1" applyFont="1" applyFill="1" applyBorder="1">
      <alignment horizontal="right"/>
    </xf>
    <xf numFmtId="39" fontId="37" fillId="34" borderId="0" xfId="0" applyNumberFormat="1" applyFont="1" applyFill="1">
      <alignment horizontal="right"/>
    </xf>
    <xf numFmtId="39" fontId="37" fillId="34" borderId="11" xfId="0" applyNumberFormat="1" applyFont="1" applyFill="1" applyBorder="1">
      <alignment horizontal="right"/>
    </xf>
    <xf numFmtId="39" fontId="34" fillId="36" borderId="10" xfId="0" applyNumberFormat="1" applyFont="1" applyFill="1" applyBorder="1">
      <alignment horizontal="right"/>
    </xf>
    <xf numFmtId="39" fontId="24" fillId="36" borderId="10" xfId="0" applyNumberFormat="1" applyFont="1" applyFill="1" applyBorder="1">
      <alignment horizontal="right"/>
    </xf>
    <xf numFmtId="39" fontId="28" fillId="36" borderId="10" xfId="0" applyNumberFormat="1" applyFont="1" applyFill="1" applyBorder="1">
      <alignment horizontal="right"/>
    </xf>
    <xf numFmtId="0" fontId="19" fillId="33" borderId="0" xfId="0" applyFont="1" applyFill="1"/>
    <xf numFmtId="171" fontId="27" fillId="34" borderId="10" xfId="0" applyNumberFormat="1" applyFont="1" applyFill="1" applyBorder="1">
      <alignment horizontal="right"/>
    </xf>
    <xf numFmtId="39" fontId="29" fillId="34" borderId="11" xfId="0" applyNumberFormat="1" applyFont="1" applyFill="1" applyBorder="1">
      <alignment horizontal="right"/>
    </xf>
    <xf numFmtId="0" fontId="19" fillId="33" borderId="0" xfId="0" applyFont="1" applyFill="1"/>
    <xf numFmtId="39" fontId="37" fillId="34" borderId="10" xfId="0" applyNumberFormat="1" applyFont="1" applyFill="1" applyBorder="1">
      <alignment horizontal="right"/>
    </xf>
    <xf numFmtId="39" fontId="35" fillId="34" borderId="11" xfId="0" applyNumberFormat="1" applyFont="1" applyFill="1" applyBorder="1">
      <alignment horizontal="right"/>
    </xf>
    <xf numFmtId="171" fontId="38" fillId="34" borderId="10" xfId="0" applyNumberFormat="1" applyFont="1" applyFill="1" applyBorder="1">
      <alignment horizontal="right"/>
    </xf>
    <xf numFmtId="171" fontId="38" fillId="34" borderId="0" xfId="0" applyNumberFormat="1" applyFont="1" applyFill="1">
      <alignment horizontal="right"/>
    </xf>
    <xf numFmtId="0" fontId="19" fillId="33" borderId="0" xfId="0" applyFont="1" applyFill="1"/>
  </cellXfs>
  <cellStyles count="47">
    <cellStyle name="Normal" xfId="0" builtinId="0"/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Comma" xfId="28" builtinId="3"/>
    <cellStyle name="Comma [0]" xfId="29" builtinId="6"/>
    <cellStyle name="Currency" xfId="30" builtinId="4"/>
    <cellStyle name="Currency [0]" xfId="31" builtinId="7"/>
    <cellStyle name="Explanatory Text" xfId="32" builtinId="53"/>
    <cellStyle name="Good" xfId="33" builtinId="26"/>
    <cellStyle name="Heading 1" xfId="34" builtinId="16"/>
    <cellStyle name="Heading 2" xfId="35" builtinId="17"/>
    <cellStyle name="Heading 3" xfId="36" builtinId="18"/>
    <cellStyle name="Heading 4" xfId="37" builtinId="19"/>
    <cellStyle name="Input" xfId="38" builtinId="20"/>
    <cellStyle name="Linked Cell" xfId="39" builtinId="24"/>
    <cellStyle name="Neutral" xfId="40" builtinId="28"/>
    <cellStyle name="Note" xfId="41" builtinId="10"/>
    <cellStyle name="Output" xfId="42" builtinId="21"/>
    <cellStyle name="Percent" xfId="43" builtinId="5"/>
    <cellStyle name="Title" xfId="44" builtinId="15"/>
    <cellStyle name="Total" xfId="45" builtinId="25"/>
    <cellStyle name="Warning Text" xfId="46" builtinId="1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2007">
  <a:themeElements>
    <a:clrScheme name="Office2007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2007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2007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54678DC5-C609-928E-A2C4-14BE40DF67DC}" mc:Ignorable="x14ac">
  <dimension ref="A1:AH112"/>
  <sheetViews>
    <sheetView topLeftCell="A1" showGridLines="0" workbookViewId="0" tabSelected="1">
      <selection activeCell="A1" sqref="A1"/>
    </sheetView>
  </sheetViews>
  <sheetFormatPr defaultColWidth="3.53125" customHeight="1" defaultRowHeight="17.4"/>
  <cols>
    <col min="1" max="1" width="27.50390625" customWidth="1"/>
    <col min="2" max="12" width="12.125" customWidth="1"/>
  </cols>
  <sheetData>
    <row s="48" customFormat="1" customHeight="1" ht="17.4">
      <c s="49" t="s">
        <v>0</v>
      </c>
    </row>
    <row r="3" customHeight="1" ht="20.625">
      <c s="50" t="s">
        <v>1</v>
      </c>
    </row>
    <row r="5" customHeight="1" ht="20.625">
      <c s="50" t="s">
        <v>2</v>
      </c>
    </row>
    <row r="7" customHeight="1" ht="17.4">
      <c s="51" t="s">
        <v>2</v>
      </c>
      <c s="52"/>
      <c s="52"/>
      <c s="52"/>
      <c s="52"/>
      <c s="52"/>
      <c s="52"/>
      <c s="52"/>
      <c s="52"/>
      <c s="52"/>
      <c s="52"/>
      <c s="52"/>
    </row>
    <row customHeight="1" ht="21.375">
      <c s="53" t="s">
        <v>3</v>
      </c>
      <c s="54">
        <v>2014</v>
      </c>
      <c s="55">
        <v>2015</v>
      </c>
      <c s="55">
        <v>2016</v>
      </c>
      <c s="55">
        <v>2017</v>
      </c>
      <c s="55">
        <v>2018</v>
      </c>
      <c s="55">
        <v>2019</v>
      </c>
      <c s="55">
        <v>2020</v>
      </c>
      <c s="55">
        <v>2021</v>
      </c>
      <c s="55">
        <v>2022</v>
      </c>
      <c s="55">
        <v>2023</v>
      </c>
      <c s="56">
        <v>2024</v>
      </c>
    </row>
    <row customHeight="1" ht="21.375">
      <c s="57" t="s">
        <v>4</v>
      </c>
      <c s="58">
        <v>0.29744</v>
      </c>
      <c s="59">
        <v>0.56595</v>
      </c>
      <c s="59">
        <v>4.75</v>
      </c>
      <c s="59">
        <v>24.43</v>
      </c>
      <c s="59">
        <v>50.96</v>
      </c>
      <c s="60">
        <f>F9*(1+G10)</f>
        <v>101.92</v>
      </c>
      <c s="60">
        <f>G9*(1+H10)</f>
        <v>183.456</v>
      </c>
      <c s="60">
        <f>H9*(1+I10)</f>
        <v>293.5296</v>
      </c>
      <c s="60">
        <f>I9*(1+J10)</f>
        <v>410.94144</v>
      </c>
      <c s="60">
        <f>J9*(1+K10)</f>
        <v>493.129728</v>
      </c>
      <c s="61">
        <f>K9*(1+L10)</f>
        <v>542.4427008</v>
      </c>
    </row>
    <row customHeight="1" ht="21.375">
      <c s="62" t="s">
        <v>5</v>
      </c>
      <c s="63"/>
      <c s="64">
        <f>C9/B9-1</f>
        <v>0.902736686390532</v>
      </c>
      <c s="64">
        <f>D9/C9-1</f>
        <v>7.39296757664105</v>
      </c>
      <c s="64">
        <f>E9/D9-1</f>
        <v>4.14315789473684</v>
      </c>
      <c s="64">
        <f>F9/E9-1</f>
        <v>1.08595988538682</v>
      </c>
      <c s="65">
        <f>假设!G14</f>
        <v>1</v>
      </c>
      <c s="65">
        <f>假设!H14</f>
        <v>0.8</v>
      </c>
      <c s="65">
        <f>假设!I14</f>
        <v>0.6</v>
      </c>
      <c s="65">
        <f>假设!J14</f>
        <v>0.4</v>
      </c>
      <c s="65">
        <f>假设!K14</f>
        <v>0.2</v>
      </c>
      <c s="66">
        <f>假设!L14</f>
        <v>0.1</v>
      </c>
    </row>
    <row customHeight="1" ht="21.375">
      <c s="67" t="s">
        <v>6</v>
      </c>
      <c s="68">
        <v>0</v>
      </c>
      <c s="69">
        <v>0</v>
      </c>
      <c s="69">
        <v>0</v>
      </c>
      <c s="69">
        <v>0</v>
      </c>
      <c s="69">
        <v>0</v>
      </c>
      <c s="70">
        <f>G9*G12</f>
        <v>0</v>
      </c>
      <c s="70">
        <f>H9*H12</f>
        <v>0</v>
      </c>
      <c s="70">
        <f>I9*I12</f>
        <v>0</v>
      </c>
      <c s="70">
        <f>J9*J12</f>
        <v>0</v>
      </c>
      <c s="70">
        <f>K9*K12</f>
        <v>0</v>
      </c>
      <c s="71">
        <f>L9*L12</f>
        <v>0</v>
      </c>
    </row>
    <row customHeight="1" ht="21.375">
      <c s="62" t="s">
        <v>7</v>
      </c>
      <c s="63">
        <f>B11/B9</f>
        <v>0</v>
      </c>
      <c s="64">
        <f>C11/C9</f>
        <v>0</v>
      </c>
      <c s="64">
        <f>D11/D9</f>
        <v>0</v>
      </c>
      <c s="64">
        <f>E11/E9</f>
        <v>0</v>
      </c>
      <c s="64">
        <f>F11/F9</f>
        <v>0</v>
      </c>
      <c s="64">
        <f>AVERAGE(B12,C12,D12,E12,F12,G12,H12,I12,J12,K12,L12)</f>
        <v>0</v>
      </c>
      <c s="64">
        <f>AVERAGE(B12,C12,D12,E12,F12,G12,H12,I12,J12,K12,L12)</f>
        <v>0</v>
      </c>
      <c s="64">
        <f>AVERAGE(B12,C12,D12,E12,F12,G12,H12,I12,J12,K12,L12)</f>
        <v>0</v>
      </c>
      <c s="64">
        <f>AVERAGE(B12,C12,D12,E12,F12,G12,H12,I12,J12,K12,L12)</f>
        <v>0</v>
      </c>
      <c s="64">
        <f>AVERAGE(B12,C12,D12,E12,F12,G12,H12,I12,J12,K12,L12)</f>
        <v>0</v>
      </c>
      <c s="72">
        <f>AVERAGE(B12,C12,D12,E12,F12,G12,H12,I12,J12,K12,L12)</f>
        <v>0</v>
      </c>
    </row>
    <row customHeight="1" ht="21.375">
      <c s="73" t="s">
        <v>8</v>
      </c>
      <c s="74">
        <v>0.1378</v>
      </c>
      <c s="75">
        <v>0.18602</v>
      </c>
      <c s="75">
        <v>2.88</v>
      </c>
      <c s="75">
        <v>17.9</v>
      </c>
      <c s="75">
        <v>37.65</v>
      </c>
      <c s="76">
        <f>G9*G14</f>
        <v>61.152</v>
      </c>
      <c s="76">
        <f>H9*H14</f>
        <v>110.0736</v>
      </c>
      <c s="76">
        <f>I9*I14</f>
        <v>176.11776</v>
      </c>
      <c s="76">
        <f>J9*J14</f>
        <v>246.564864</v>
      </c>
      <c s="76">
        <f>K9*K14</f>
        <v>295.8778368</v>
      </c>
      <c s="77">
        <f>L9*L14</f>
        <v>325.46562048</v>
      </c>
    </row>
    <row customHeight="1" ht="21.375">
      <c s="62" t="s">
        <v>7</v>
      </c>
      <c s="63">
        <f>B13/B9</f>
        <v>0.463286713286713</v>
      </c>
      <c s="64">
        <f>C13/C9</f>
        <v>0.328686279706688</v>
      </c>
      <c s="64">
        <f>D13/D9</f>
        <v>0.606315789473684</v>
      </c>
      <c s="64">
        <f>E13/E9</f>
        <v>0.732705689725747</v>
      </c>
      <c s="64">
        <f>F13/F9</f>
        <v>0.738814756671899</v>
      </c>
      <c s="65">
        <f>假设!G15</f>
        <v>0.6</v>
      </c>
      <c s="65">
        <f>假设!H15</f>
        <v>0.6</v>
      </c>
      <c s="65">
        <f>假设!I15</f>
        <v>0.6</v>
      </c>
      <c s="65">
        <f>假设!J15</f>
        <v>0.6</v>
      </c>
      <c s="65">
        <f>假设!K15</f>
        <v>0.6</v>
      </c>
      <c s="66">
        <f>假设!L15</f>
        <v>0.6</v>
      </c>
    </row>
    <row customHeight="1" ht="21.375">
      <c s="78" t="s">
        <v>9</v>
      </c>
      <c s="79">
        <f>B9-B11-B13</f>
        <v>0.15964</v>
      </c>
      <c s="60">
        <f>C9-C11-C13</f>
        <v>0.37993</v>
      </c>
      <c s="60">
        <f>D9-D11-D13</f>
        <v>1.87</v>
      </c>
      <c s="60">
        <f>E9-E11-E13</f>
        <v>6.53</v>
      </c>
      <c s="60">
        <f>F9-F11-F13</f>
        <v>13.31</v>
      </c>
      <c s="60">
        <f>G9-G11-G13</f>
        <v>40.768</v>
      </c>
      <c s="60">
        <f>H9-H11-H13</f>
        <v>73.3824</v>
      </c>
      <c s="60">
        <f>I9-I11-I13</f>
        <v>117.41184</v>
      </c>
      <c s="60">
        <f>J9-J11-J13</f>
        <v>164.376576</v>
      </c>
      <c s="60">
        <f>K9-K11-K13</f>
        <v>197.2518912</v>
      </c>
      <c s="61">
        <f>L9-L11-L13</f>
        <v>216.97708032</v>
      </c>
    </row>
    <row customHeight="1" ht="21.375">
      <c s="73" t="s">
        <v>10</v>
      </c>
      <c s="80">
        <f>'Data Prepare'!B5</f>
        <v>2.01336</v>
      </c>
      <c s="81">
        <f>'Data Prepare'!C5</f>
        <v>2.7488</v>
      </c>
      <c s="81">
        <f>'Data Prepare'!D5</f>
        <v>4.10679</v>
      </c>
      <c s="81">
        <f>'Data Prepare'!E5</f>
        <v>7.98855</v>
      </c>
      <c s="81">
        <f>'Data Prepare'!F5</f>
        <v>14.29502</v>
      </c>
      <c s="76">
        <f>G9*G17</f>
        <v>20.384</v>
      </c>
      <c s="76">
        <f>H9*H17</f>
        <v>36.6912</v>
      </c>
      <c s="76">
        <f>I9*I17</f>
        <v>58.70592</v>
      </c>
      <c s="76">
        <f>J9*J17</f>
        <v>82.188288</v>
      </c>
      <c s="76">
        <f>K9*K17</f>
        <v>98.6259456</v>
      </c>
      <c s="77">
        <f>L9*L17</f>
        <v>108.48854016</v>
      </c>
    </row>
    <row customHeight="1" ht="21.375">
      <c s="62" t="s">
        <v>7</v>
      </c>
      <c s="63">
        <f>B16/B9</f>
        <v>6.76896180742335</v>
      </c>
      <c s="64">
        <f>C16/C9</f>
        <v>4.85696616308861</v>
      </c>
      <c s="64">
        <f>D16/D9</f>
        <v>0.864587368421053</v>
      </c>
      <c s="64">
        <f>E16/E9</f>
        <v>0.326997544003275</v>
      </c>
      <c s="64">
        <f>F16/F9</f>
        <v>0.280514521193093</v>
      </c>
      <c s="65">
        <f>假设!G16</f>
        <v>0.2</v>
      </c>
      <c s="65">
        <f>假设!H16</f>
        <v>0.2</v>
      </c>
      <c s="65">
        <f>假设!I16</f>
        <v>0.2</v>
      </c>
      <c s="65">
        <f>假设!J16</f>
        <v>0.2</v>
      </c>
      <c s="65">
        <f>假设!K16</f>
        <v>0.2</v>
      </c>
      <c s="66">
        <f>假设!L16</f>
        <v>0.2</v>
      </c>
    </row>
    <row customHeight="1" ht="21.375">
      <c s="78" t="s">
        <v>11</v>
      </c>
      <c s="79">
        <f>B15-B16</f>
        <v>-1.85372</v>
      </c>
      <c s="60">
        <f>C15-C16</f>
        <v>-2.36887</v>
      </c>
      <c s="60">
        <f>D15-D16</f>
        <v>-2.23679</v>
      </c>
      <c s="60">
        <f>E15-E16</f>
        <v>-1.45855</v>
      </c>
      <c s="60">
        <f>F15-F16</f>
        <v>-0.985019999999999</v>
      </c>
      <c s="60">
        <f>G15-G16</f>
        <v>20.384</v>
      </c>
      <c s="60">
        <f>H15-H16</f>
        <v>36.6912</v>
      </c>
      <c s="60">
        <f>I15-I16</f>
        <v>58.70592</v>
      </c>
      <c s="60">
        <f>J15-J16</f>
        <v>82.188288</v>
      </c>
      <c s="60">
        <f>K15-K16</f>
        <v>98.6259456</v>
      </c>
      <c s="61">
        <f>L15-L16</f>
        <v>108.48854016</v>
      </c>
    </row>
    <row customHeight="1" ht="21.375">
      <c s="67" t="s">
        <v>12</v>
      </c>
      <c s="68">
        <v>0</v>
      </c>
      <c s="69">
        <v>0</v>
      </c>
      <c s="69">
        <v>0.06886</v>
      </c>
      <c s="69">
        <v>0.10126</v>
      </c>
      <c s="69">
        <v>0.27966</v>
      </c>
      <c s="70">
        <f>AVERAGE(B19,C19,D19,E19,F19)</f>
        <v>0.089956</v>
      </c>
      <c s="70">
        <f>AVERAGE(B19,C19,D19,E19,F19)</f>
        <v>0.089956</v>
      </c>
      <c s="70">
        <f>AVERAGE(B19,C19,D19,E19,F19)</f>
        <v>0.089956</v>
      </c>
      <c s="70">
        <f>AVERAGE(B19,C19,D19,E19,F19)</f>
        <v>0.089956</v>
      </c>
      <c s="70">
        <f>AVERAGE(B19,C19,D19,E19,F19)</f>
        <v>0.089956</v>
      </c>
      <c s="71">
        <f>AVERAGE(B19,C19,D19,E19,F19)</f>
        <v>0.089956</v>
      </c>
    </row>
    <row customHeight="1" ht="21.375">
      <c s="62" t="s">
        <v>13</v>
      </c>
      <c s="63">
        <f>B19/B47</f>
      </c>
      <c s="64">
        <f>C19/C47</f>
      </c>
      <c s="64">
        <f>D19/D47</f>
        <v>0.03443</v>
      </c>
      <c s="64">
        <f>E19/E47</f>
      </c>
      <c s="64">
        <f>F19/F47</f>
        <v>0.016450588235294</v>
      </c>
      <c s="64">
        <f>G19/G47</f>
        <v>0.004233223529412</v>
      </c>
      <c s="64">
        <f>H19/H47</f>
        <v>0.00352768627451</v>
      </c>
      <c s="64">
        <f>I19/I47</f>
        <v>0.003023731092437</v>
      </c>
      <c s="64">
        <f>J19/J47</f>
        <v>0.002645764705882</v>
      </c>
      <c s="64">
        <f>K19/K47</f>
        <v>0.002351790849673</v>
      </c>
      <c s="72">
        <f>L19/L47</f>
        <v>0.002116611764706</v>
      </c>
    </row>
    <row customHeight="1" ht="21.375">
      <c s="73" t="s">
        <v>14</v>
      </c>
      <c s="80">
        <f>'Data Prepare'!B11</f>
        <v>0.82738</v>
      </c>
      <c s="81">
        <f>'Data Prepare'!C11</f>
        <v>0.14702</v>
      </c>
      <c s="81">
        <f>'Data Prepare'!D11</f>
        <v>0.17354</v>
      </c>
      <c s="81">
        <f>'Data Prepare'!E11</f>
        <v>0.52393</v>
      </c>
      <c s="81">
        <f>'Data Prepare'!F11</f>
        <v>0.67014</v>
      </c>
      <c s="76">
        <f>AVERAGE(B21,C21,D21,E21,F21)</f>
        <v>0.468402</v>
      </c>
      <c s="76">
        <f>AVERAGE(B21,C21,D21,E21,F21)</f>
        <v>0.468402</v>
      </c>
      <c s="76">
        <f>AVERAGE(B21,C21,D21,E21,F21)</f>
        <v>0.468402</v>
      </c>
      <c s="76">
        <f>AVERAGE(B21,C21,D21,E21,F21)</f>
        <v>0.468402</v>
      </c>
      <c s="76">
        <f>AVERAGE(B21,C21,D21,E21,F21)</f>
        <v>0.468402</v>
      </c>
      <c s="77">
        <f>AVERAGE(B21,C21,D21,E21,F21)</f>
        <v>0.468402</v>
      </c>
    </row>
    <row customHeight="1" ht="21.375">
      <c s="78" t="s">
        <v>15</v>
      </c>
      <c s="79">
        <f>B18-B19+B21</f>
        <v>-1.02634</v>
      </c>
      <c s="60">
        <f>C18-C19+C21</f>
        <v>-2.22185</v>
      </c>
      <c s="60">
        <f>D18-D19+D21</f>
        <v>-2.13211</v>
      </c>
      <c s="60">
        <f>E18-E19+E21</f>
        <v>-1.03588</v>
      </c>
      <c s="60">
        <f>F18-F19+F21</f>
        <v>-0.594539999999999</v>
      </c>
      <c s="60">
        <f>G18-G19+G21</f>
        <v>20.762446</v>
      </c>
      <c s="60">
        <f>H18-H19+H21</f>
        <v>37.069646</v>
      </c>
      <c s="60">
        <f>I18-I19+I21</f>
        <v>59.084366</v>
      </c>
      <c s="60">
        <f>J18-J19+J21</f>
        <v>82.566734</v>
      </c>
      <c s="60">
        <f>K18-K19+K21</f>
        <v>99.0043916</v>
      </c>
      <c s="61">
        <f>L18-L19+L21</f>
        <v>108.86698616</v>
      </c>
    </row>
    <row customHeight="1" ht="21.375">
      <c s="73" t="s">
        <v>16</v>
      </c>
      <c s="74">
        <v>0.30934</v>
      </c>
      <c s="75">
        <v>0.01851</v>
      </c>
      <c s="75">
        <v>0.1554</v>
      </c>
      <c s="75">
        <v>0.13889</v>
      </c>
      <c s="75">
        <v>0.30934</v>
      </c>
      <c s="76">
        <f>G22*G24</f>
        <v>2.0762446</v>
      </c>
      <c s="76">
        <f>H22*H24</f>
        <v>3.7069646</v>
      </c>
      <c s="76">
        <f>I22*I24</f>
        <v>5.9084366</v>
      </c>
      <c s="76">
        <f>J22*J24</f>
        <v>8.2566734</v>
      </c>
      <c s="76">
        <f>K22*K24</f>
        <v>9.90043916</v>
      </c>
      <c s="77">
        <f>L22*L24</f>
        <v>10.886698616</v>
      </c>
    </row>
    <row customHeight="1" ht="21.375">
      <c s="62" t="s">
        <v>17</v>
      </c>
      <c s="63">
        <f>B23/B22</f>
        <v>-0.301401095153653</v>
      </c>
      <c s="64">
        <f>C23/C22</f>
        <v>-0.008330895424984</v>
      </c>
      <c s="64">
        <f>D23/D22</f>
        <v>-0.072885545304886</v>
      </c>
      <c s="64">
        <f>E23/E22</f>
        <v>-0.134079236977256</v>
      </c>
      <c s="64">
        <f>F23/F22</f>
        <v>-0.520301409493054</v>
      </c>
      <c s="82">
        <v>0.1</v>
      </c>
      <c s="82">
        <v>0.1</v>
      </c>
      <c s="82">
        <v>0.1</v>
      </c>
      <c s="82">
        <v>0.1</v>
      </c>
      <c s="82">
        <v>0.1</v>
      </c>
      <c s="83">
        <v>0.1</v>
      </c>
    </row>
    <row customHeight="1" ht="21.375">
      <c s="57" t="s">
        <v>18</v>
      </c>
      <c s="79">
        <f>B22-B23</f>
        <v>-1.33568</v>
      </c>
      <c s="60">
        <f>C22-C23</f>
        <v>-2.24036</v>
      </c>
      <c s="60">
        <f>D22-D23</f>
        <v>-2.28751</v>
      </c>
      <c s="60">
        <f>E22-E23</f>
        <v>-1.17477</v>
      </c>
      <c s="60">
        <f>F22-F23</f>
        <v>-0.903879999999999</v>
      </c>
      <c s="60">
        <f>G22-G23</f>
        <v>18.6862014</v>
      </c>
      <c s="60">
        <f>H22-H23</f>
        <v>33.3626814</v>
      </c>
      <c s="60">
        <f>I22-I23</f>
        <v>53.1759294</v>
      </c>
      <c s="60">
        <f>J22-J23</f>
        <v>74.3100606</v>
      </c>
      <c s="60">
        <f>K22-K23</f>
        <v>89.10395244</v>
      </c>
      <c s="61">
        <f>L22-L23</f>
        <v>97.980287544</v>
      </c>
    </row>
    <row customHeight="1" ht="21.375">
      <c s="67" t="s">
        <v>19</v>
      </c>
      <c s="84">
        <f>B25-B27</f>
        <v>-1.30684</v>
      </c>
      <c s="70">
        <f>C25-C27</f>
        <v>-2.16676</v>
      </c>
      <c s="70">
        <f>D25-D27</f>
        <v>-2.27724</v>
      </c>
      <c s="70">
        <f>E25-E27</f>
        <v>-1.15417</v>
      </c>
      <c s="70">
        <f>F25-F27</f>
        <v>-0.805729999999999</v>
      </c>
      <c s="70">
        <f>G25-G27</f>
        <v>17.9946018050838</v>
      </c>
      <c s="70">
        <f>H25-H27</f>
        <v>32.1278869948857</v>
      </c>
      <c s="70">
        <f>I25-I27</f>
        <v>51.2078220011184</v>
      </c>
      <c s="70">
        <f>J25-J27</f>
        <v>71.5597526744331</v>
      </c>
      <c s="70">
        <f>K25-K27</f>
        <v>85.8061041457535</v>
      </c>
      <c s="71">
        <f>L25-L27</f>
        <v>94.3539150285457</v>
      </c>
    </row>
    <row customHeight="1" ht="21.375">
      <c s="85" t="s">
        <v>20</v>
      </c>
      <c s="68">
        <v>-0.02884</v>
      </c>
      <c s="69">
        <v>-0.0736</v>
      </c>
      <c s="69">
        <v>-0.01027</v>
      </c>
      <c s="69">
        <v>-0.0206</v>
      </c>
      <c s="69">
        <v>-0.09815</v>
      </c>
      <c s="70">
        <f>G25*G28</f>
        <v>0.691599594916204</v>
      </c>
      <c s="70">
        <f>H25*H28</f>
        <v>1.23479440511427</v>
      </c>
      <c s="70">
        <f>I25*I28</f>
        <v>1.96810739888165</v>
      </c>
      <c s="70">
        <f>J25*J28</f>
        <v>2.75030792556686</v>
      </c>
      <c s="70">
        <f>K25*K28</f>
        <v>3.29784829424651</v>
      </c>
      <c s="71">
        <f>L25*L28</f>
        <v>3.6263725154543</v>
      </c>
    </row>
    <row customHeight="1" ht="21.375">
      <c s="62" t="s">
        <v>21</v>
      </c>
      <c s="63">
        <f>B27/B25</f>
        <v>0.021591998083373</v>
      </c>
      <c s="64">
        <f>C27/C25</f>
        <v>0.032851863093431</v>
      </c>
      <c s="64">
        <f>D27/D25</f>
        <v>0.004489597859681</v>
      </c>
      <c s="64">
        <f>E27/E25</f>
        <v>0.017535347344587</v>
      </c>
      <c s="64">
        <f>F27/F25</f>
        <v>0.108587423109262</v>
      </c>
      <c s="64">
        <f>AVERAGE(B28,C28,D28,E28,F28,G28,H28,I28,J28,K28,L28)</f>
        <v>0.037011245898067</v>
      </c>
      <c s="64">
        <f>AVERAGE(B28,C28,D28,E28,F28,G28,H28,I28,J28,K28,L28)</f>
        <v>0.037011245898067</v>
      </c>
      <c s="64">
        <f>AVERAGE(B28,C28,D28,E28,F28,G28,H28,I28,J28,K28,L28)</f>
        <v>0.037011245898067</v>
      </c>
      <c s="64">
        <f>AVERAGE(B28,C28,D28,E28,F28,G28,H28,I28,J28,K28,L28)</f>
        <v>0.037011245898067</v>
      </c>
      <c s="64">
        <f>AVERAGE(B28,C28,D28,E28,F28,G28,H28,I28,J28,K28,L28)</f>
        <v>0.037011245898067</v>
      </c>
      <c s="72">
        <f>AVERAGE(B28,C28,D28,E28,F28,G28,H28,I28,J28,K28,L28)</f>
        <v>0.037011245898067</v>
      </c>
    </row>
    <row customHeight="1" ht="17.4">
      <c s="86"/>
      <c s="86"/>
      <c s="86"/>
      <c s="86"/>
      <c s="86"/>
      <c s="86"/>
      <c s="86"/>
      <c s="86"/>
      <c s="86"/>
      <c s="86"/>
      <c s="86"/>
      <c s="86"/>
    </row>
    <row customHeight="1" ht="20.625">
      <c s="50" t="s">
        <v>22</v>
      </c>
    </row>
    <row r="32" customHeight="1" ht="17.4">
      <c s="51" t="s">
        <v>22</v>
      </c>
      <c s="52"/>
      <c s="52"/>
      <c s="52"/>
      <c s="52"/>
      <c s="52"/>
      <c s="52"/>
      <c s="52"/>
      <c s="52"/>
      <c s="52"/>
      <c s="52"/>
      <c s="52"/>
    </row>
    <row customHeight="1" ht="21.375">
      <c s="53" t="s">
        <v>3</v>
      </c>
      <c s="54">
        <v>2014</v>
      </c>
      <c s="55">
        <v>2015</v>
      </c>
      <c s="55">
        <v>2016</v>
      </c>
      <c s="55">
        <v>2017</v>
      </c>
      <c s="55">
        <v>2018</v>
      </c>
      <c s="55">
        <v>2019</v>
      </c>
      <c s="55">
        <v>2020</v>
      </c>
      <c s="55">
        <v>2021</v>
      </c>
      <c s="55">
        <v>2022</v>
      </c>
      <c s="55">
        <v>2023</v>
      </c>
      <c s="56">
        <v>2024</v>
      </c>
    </row>
    <row customHeight="1" ht="21.375">
      <c s="87" t="s">
        <v>23</v>
      </c>
      <c s="79">
        <f>B40+B45</f>
        <v>14.09244</v>
      </c>
      <c s="60">
        <f>C40+C45</f>
        <v>13.48476</v>
      </c>
      <c s="60">
        <f>D40+D45</f>
        <v>16.79824</v>
      </c>
      <c s="60">
        <f>E40+E45</f>
        <v>31.10715</v>
      </c>
      <c s="60">
        <f>F40+F45</f>
        <v>59.81258</v>
      </c>
      <c s="60">
        <f>G40+G45</f>
        <v>101.240725061482</v>
      </c>
      <c s="60">
        <f>H40+H45</f>
        <v>163.135451390668</v>
      </c>
      <c s="60">
        <f>I40+I45</f>
        <v>249.379283945068</v>
      </c>
      <c s="60">
        <f>J40+J45</f>
        <v>357.923611243095</v>
      </c>
      <c s="60">
        <f>K40+K45</f>
        <v>475.663285371714</v>
      </c>
      <c s="61">
        <f>L40+L45</f>
        <v>597.053985928886</v>
      </c>
    </row>
    <row customHeight="1" ht="21.375">
      <c s="85" t="s">
        <v>24</v>
      </c>
      <c s="68">
        <v>12.18</v>
      </c>
      <c s="69">
        <v>10.21</v>
      </c>
      <c s="69">
        <v>5.71</v>
      </c>
      <c s="69">
        <v>13.99</v>
      </c>
      <c s="69">
        <v>2.82</v>
      </c>
      <c s="88">
        <f>G78</f>
        <v>25.2168715096339</v>
      </c>
      <c s="88">
        <f>H78</f>
        <v>61.9185129973409</v>
      </c>
      <c s="88">
        <f>I78</f>
        <v>118.141796515745</v>
      </c>
      <c s="88">
        <f>J78</f>
        <v>195.424226842043</v>
      </c>
      <c s="88">
        <f>K78</f>
        <v>287.860474090452</v>
      </c>
      <c s="89">
        <f>L78</f>
        <v>389.508986519497</v>
      </c>
    </row>
    <row customHeight="1" ht="21.375">
      <c s="85" t="s">
        <v>25</v>
      </c>
      <c s="68">
        <v>0.0107</v>
      </c>
      <c s="69">
        <v>0.00106</v>
      </c>
      <c s="69">
        <v>0.38501</v>
      </c>
      <c s="69">
        <v>0.91373</v>
      </c>
      <c s="69">
        <v>3.65</v>
      </c>
      <c s="88">
        <f>细项分解!G33</f>
        <v>4.64608647448431</v>
      </c>
      <c s="88">
        <f>细项分解!H33</f>
        <v>8.36295565407175</v>
      </c>
      <c s="88">
        <f>细项分解!I33</f>
        <v>13.3807290465148</v>
      </c>
      <c s="88">
        <f>细项分解!J33</f>
        <v>18.7330206651207</v>
      </c>
      <c s="88">
        <f>细项分解!K33</f>
        <v>22.4796247981449</v>
      </c>
      <c s="89">
        <f>细项分解!L33</f>
        <v>24.7275872779594</v>
      </c>
    </row>
    <row customHeight="1" ht="21.375">
      <c s="85" t="s">
        <v>26</v>
      </c>
      <c s="68">
        <v>0</v>
      </c>
      <c s="69">
        <v>0</v>
      </c>
      <c s="69">
        <v>1.52</v>
      </c>
      <c s="69">
        <v>4.42</v>
      </c>
      <c s="69">
        <v>5.96</v>
      </c>
      <c s="88">
        <f>细项分解!G35</f>
        <v>12.5948570773639</v>
      </c>
      <c s="88">
        <f>细项分解!H35</f>
        <v>22.6707427392551</v>
      </c>
      <c s="88">
        <f>细项分解!I35</f>
        <v>36.2731883828081</v>
      </c>
      <c s="88">
        <f>细项分解!J35</f>
        <v>50.7824637359314</v>
      </c>
      <c s="88">
        <f>细项分解!K35</f>
        <v>60.9389564831176</v>
      </c>
      <c s="89">
        <f>细项分解!L35</f>
        <v>67.0328521314294</v>
      </c>
    </row>
    <row customHeight="1" ht="21.375">
      <c s="85" t="s">
        <v>27</v>
      </c>
      <c s="68">
        <v>0</v>
      </c>
      <c s="69">
        <v>0</v>
      </c>
      <c s="69">
        <v>0.103</v>
      </c>
      <c s="69">
        <v>0.041</v>
      </c>
      <c s="69">
        <v>17.37</v>
      </c>
      <c s="88">
        <f>细项分解!G74</f>
        <v>21.7125</v>
      </c>
      <c s="88">
        <f>细项分解!H74</f>
        <v>26.055</v>
      </c>
      <c s="88">
        <f>细项分解!I74</f>
        <v>30.3975</v>
      </c>
      <c s="88">
        <f>细项分解!J74</f>
        <v>34.74</v>
      </c>
      <c s="88">
        <f>细项分解!K74</f>
        <v>39.0825</v>
      </c>
      <c s="89">
        <f>细项分解!L74</f>
        <v>43.425</v>
      </c>
    </row>
    <row customHeight="1" ht="21.375">
      <c s="90" t="s">
        <v>28</v>
      </c>
      <c s="74">
        <v>0.14994</v>
      </c>
      <c s="75">
        <v>0.14824</v>
      </c>
      <c s="75">
        <v>0.39835</v>
      </c>
      <c s="75">
        <v>0.78924</v>
      </c>
      <c s="75">
        <v>3.23</v>
      </c>
      <c s="81">
        <f>细项分解!G78</f>
        <v>4.000015</v>
      </c>
      <c s="81">
        <f>细项分解!H78</f>
        <v>4.77003</v>
      </c>
      <c s="81">
        <f>细项分解!I78</f>
        <v>5.540045</v>
      </c>
      <c s="81">
        <f>细项分解!J78</f>
        <v>6.31006</v>
      </c>
      <c s="81">
        <f>细项分解!K78</f>
        <v>7.080075</v>
      </c>
      <c s="91">
        <f>细项分解!L78</f>
        <v>7.85009</v>
      </c>
    </row>
    <row customHeight="1" ht="21.375">
      <c s="87" t="s">
        <v>29</v>
      </c>
      <c s="79">
        <f>SUM(B35,B36,B37,B38,B39)</f>
        <v>12.34064</v>
      </c>
      <c s="60">
        <f>SUM(C35,C36,C37,C38,C39)</f>
        <v>10.3593</v>
      </c>
      <c s="60">
        <f>SUM(D35,D36,D37,D38,D39)</f>
        <v>8.11636</v>
      </c>
      <c s="60">
        <f>SUM(E35,E36,E37,E38,E39)</f>
        <v>20.15397</v>
      </c>
      <c s="60">
        <f>SUM(F35,F36,F37,F38,F39)</f>
        <v>33.03</v>
      </c>
      <c s="60">
        <f>SUM(G35,G36,G37,G38,G39)</f>
        <v>68.1703300614821</v>
      </c>
      <c s="60">
        <f>SUM(H35,H36,H37,H38,H39)</f>
        <v>123.777241390668</v>
      </c>
      <c s="60">
        <f>SUM(I35,I36,I37,I38,I39)</f>
        <v>203.733258945068</v>
      </c>
      <c s="60">
        <f>SUM(J35,J36,J37,J38,J39)</f>
        <v>305.989771243095</v>
      </c>
      <c s="60">
        <f>SUM(K35,K36,K37,K38,K39)</f>
        <v>417.441630371714</v>
      </c>
      <c s="61">
        <f>SUM(L35,L36,L37,L38,L39)</f>
        <v>532.544515928886</v>
      </c>
    </row>
    <row customHeight="1" ht="21.375">
      <c s="85" t="s">
        <v>30</v>
      </c>
      <c s="68">
        <v>0.0418</v>
      </c>
      <c s="69">
        <v>0.06546</v>
      </c>
      <c s="69">
        <v>0.05065</v>
      </c>
      <c s="69">
        <v>0.06274</v>
      </c>
      <c s="69">
        <v>0.0888</v>
      </c>
      <c s="88">
        <f>细项分解!G45</f>
        <v>0.13067</v>
      </c>
      <c s="88">
        <f>细项分解!H45</f>
        <v>0.17254</v>
      </c>
      <c s="88">
        <f>细项分解!I45</f>
        <v>0.21441</v>
      </c>
      <c s="88">
        <f>细项分解!J45</f>
        <v>0.25628</v>
      </c>
      <c s="88">
        <f>细项分解!K45</f>
        <v>0.29815</v>
      </c>
      <c s="89">
        <f>细项分解!L45</f>
        <v>0.34002</v>
      </c>
    </row>
    <row customHeight="1" ht="21.375">
      <c s="85" t="s">
        <v>31</v>
      </c>
      <c s="68">
        <v>1.71</v>
      </c>
      <c s="69">
        <v>1.96</v>
      </c>
      <c s="69">
        <v>5.67</v>
      </c>
      <c s="69">
        <v>10.14</v>
      </c>
      <c s="69">
        <v>26.03</v>
      </c>
      <c s="88">
        <f>细项分解!G76</f>
        <v>32.11</v>
      </c>
      <c s="88">
        <f>细项分解!H76</f>
        <v>38.19</v>
      </c>
      <c s="88">
        <f>细项分解!I76</f>
        <v>44.27</v>
      </c>
      <c s="88">
        <f>细项分解!J76</f>
        <v>50.35</v>
      </c>
      <c s="88">
        <f>细项分解!K76</f>
        <v>56.43</v>
      </c>
      <c s="89">
        <f>细项分解!L76</f>
        <v>62.51</v>
      </c>
    </row>
    <row customHeight="1" ht="21.375">
      <c s="85" t="s">
        <v>32</v>
      </c>
      <c s="68">
        <v>0</v>
      </c>
      <c s="69">
        <v>0</v>
      </c>
      <c s="69">
        <v>0.19123</v>
      </c>
      <c s="69">
        <v>0.19123</v>
      </c>
      <c s="69">
        <v>0.27006</v>
      </c>
      <c s="88">
        <f>细项分解!G9</f>
        <v>0.337575</v>
      </c>
      <c s="88">
        <f>细项分解!H9</f>
        <v>0.40509</v>
      </c>
      <c s="88">
        <f>细项分解!I9</f>
        <v>0.472605</v>
      </c>
      <c s="88">
        <f>细项分解!J9</f>
        <v>0.54012</v>
      </c>
      <c s="88">
        <f>细项分解!K9</f>
        <v>0.607635</v>
      </c>
      <c s="89">
        <f>细项分解!L9</f>
        <v>0.67515</v>
      </c>
    </row>
    <row customHeight="1" ht="21.375">
      <c s="90" t="s">
        <v>33</v>
      </c>
      <c s="74">
        <v>0</v>
      </c>
      <c s="75">
        <v>1.1</v>
      </c>
      <c s="75">
        <v>2.77</v>
      </c>
      <c s="75">
        <v>0.55921</v>
      </c>
      <c s="75">
        <v>0.39372</v>
      </c>
      <c s="81">
        <f>细项分解!G11</f>
        <v>0.49215</v>
      </c>
      <c s="81">
        <f>细项分解!H11</f>
        <v>0.59058</v>
      </c>
      <c s="81">
        <f>细项分解!I11</f>
        <v>0.68901</v>
      </c>
      <c s="81">
        <f>细项分解!J11</f>
        <v>0.78744</v>
      </c>
      <c s="81">
        <f>细项分解!K11</f>
        <v>0.88587</v>
      </c>
      <c s="91">
        <f>细项分解!L11</f>
        <v>0.9843</v>
      </c>
    </row>
    <row customHeight="1" ht="21.375">
      <c s="78" t="s">
        <v>34</v>
      </c>
      <c s="79">
        <f>SUM(B41,B42,B43,B44)</f>
        <v>1.7518</v>
      </c>
      <c s="60">
        <f>SUM(C41,C42,C43,C44)</f>
        <v>3.12546</v>
      </c>
      <c s="60">
        <f>SUM(D41,D42,D43,D44)</f>
        <v>8.68188</v>
      </c>
      <c s="60">
        <f>SUM(E41,E42,E43,E44)</f>
        <v>10.95318</v>
      </c>
      <c s="60">
        <f>SUM(F41,F42,F43,F44)</f>
        <v>26.78258</v>
      </c>
      <c s="60">
        <f>SUM(G41,G42,G43,G44)</f>
        <v>33.070395</v>
      </c>
      <c s="60">
        <f>SUM(H41,H42,H43,H44)</f>
        <v>39.35821</v>
      </c>
      <c s="60">
        <f>SUM(I41,I42,I43,I44)</f>
        <v>45.646025</v>
      </c>
      <c s="60">
        <f>SUM(J41,J42,J43,J44)</f>
        <v>51.93384</v>
      </c>
      <c s="60">
        <f>SUM(K41,K42,K43,K44)</f>
        <v>58.221655</v>
      </c>
      <c s="61">
        <f>SUM(L41,L42,L43,L44)</f>
        <v>64.50947</v>
      </c>
    </row>
    <row customHeight="1" ht="21.375">
      <c s="57" t="s">
        <v>35</v>
      </c>
      <c s="79">
        <f>B51+B54</f>
        <v>1.41359</v>
      </c>
      <c s="60">
        <f>C51+C54</f>
        <v>1.9277</v>
      </c>
      <c s="60">
        <f>D51+D54</f>
        <v>5.60566</v>
      </c>
      <c s="60">
        <f>E51+E54</f>
        <v>5.87682</v>
      </c>
      <c s="60">
        <f>F51+F54</f>
        <v>32.45677</v>
      </c>
      <c s="60">
        <f>G51+G54</f>
        <v>45.1987136614818</v>
      </c>
      <c s="60">
        <f>H51+H54</f>
        <v>63.7307585906672</v>
      </c>
      <c s="60">
        <f>I51+I54</f>
        <v>86.7986617450676</v>
      </c>
      <c s="60">
        <f>J51+J54</f>
        <v>111.032928443095</v>
      </c>
      <c s="60">
        <f>K51+K54</f>
        <v>129.668650131713</v>
      </c>
      <c s="61">
        <f>L51+L54</f>
        <v>143.079063144885</v>
      </c>
    </row>
    <row customHeight="1" ht="21.375">
      <c s="92" t="s">
        <v>36</v>
      </c>
      <c s="84">
        <f>B49+B52</f>
        <v>0</v>
      </c>
      <c s="70">
        <f>C49+C52</f>
        <v>0</v>
      </c>
      <c s="70">
        <f>D49+D52</f>
        <v>2</v>
      </c>
      <c s="70">
        <f>E49+E52</f>
        <v>0</v>
      </c>
      <c s="70">
        <f>F49+F52</f>
        <v>17</v>
      </c>
      <c s="70">
        <f>G49+G52</f>
        <v>21.25</v>
      </c>
      <c s="70">
        <f>H49+H52</f>
        <v>25.5</v>
      </c>
      <c s="70">
        <f>I49+I52</f>
        <v>29.75</v>
      </c>
      <c s="70">
        <f>J49+J52</f>
        <v>34</v>
      </c>
      <c s="70">
        <f>K49+K52</f>
        <v>38.25</v>
      </c>
      <c s="71">
        <f>L49+L52</f>
        <v>42.5</v>
      </c>
    </row>
    <row customHeight="1" ht="21.375">
      <c s="85" t="s">
        <v>37</v>
      </c>
      <c s="68">
        <v>0.03653</v>
      </c>
      <c s="69">
        <v>0.03751</v>
      </c>
      <c s="69">
        <v>1.26</v>
      </c>
      <c s="69">
        <v>3.23</v>
      </c>
      <c s="69">
        <v>9.03</v>
      </c>
      <c s="88">
        <f>细项分解!G37</f>
        <v>16.1994936614818</v>
      </c>
      <c s="88">
        <f>细项分解!H37</f>
        <v>29.1590885906672</v>
      </c>
      <c s="88">
        <f>细项分解!I37</f>
        <v>46.6545417450676</v>
      </c>
      <c s="88">
        <f>细项分解!J37</f>
        <v>65.3163584430946</v>
      </c>
      <c s="88">
        <f>细项分解!K37</f>
        <v>78.3796301317135</v>
      </c>
      <c s="89">
        <f>细项分解!L37</f>
        <v>86.2175931448848</v>
      </c>
    </row>
    <row customHeight="1" ht="21.375">
      <c s="85" t="s">
        <v>38</v>
      </c>
      <c s="68">
        <v>0</v>
      </c>
      <c s="69">
        <v>0</v>
      </c>
      <c s="69">
        <v>0</v>
      </c>
      <c s="69">
        <v>0</v>
      </c>
      <c s="69">
        <v>17</v>
      </c>
      <c s="88">
        <f>细项分解!G20</f>
        <v>21.25</v>
      </c>
      <c s="88">
        <f>细项分解!H20</f>
        <v>25.5</v>
      </c>
      <c s="88">
        <f>细项分解!I20</f>
        <v>29.75</v>
      </c>
      <c s="88">
        <f>细项分解!J20</f>
        <v>34</v>
      </c>
      <c s="88">
        <f>细项分解!K20</f>
        <v>38.25</v>
      </c>
      <c s="89">
        <f>细项分解!L20</f>
        <v>42.5</v>
      </c>
    </row>
    <row customHeight="1" ht="21.375">
      <c s="90" t="s">
        <v>39</v>
      </c>
      <c s="74">
        <v>1.18</v>
      </c>
      <c s="75">
        <v>1.82</v>
      </c>
      <c s="75">
        <v>2.28</v>
      </c>
      <c s="75">
        <v>2.57</v>
      </c>
      <c s="75">
        <v>6.31</v>
      </c>
      <c s="81">
        <f>细项分解!G80</f>
        <v>7.5925</v>
      </c>
      <c s="81">
        <f>细项分解!H80</f>
        <v>8.875</v>
      </c>
      <c s="81">
        <f>细项分解!I80</f>
        <v>10.1575</v>
      </c>
      <c s="81">
        <f>细项分解!J80</f>
        <v>11.44</v>
      </c>
      <c s="81">
        <f>细项分解!K80</f>
        <v>12.7225</v>
      </c>
      <c s="91">
        <f>细项分解!L80</f>
        <v>14.005</v>
      </c>
    </row>
    <row customHeight="1" ht="21.375">
      <c s="87" t="s">
        <v>40</v>
      </c>
      <c s="79">
        <f>SUM(B48,B49,B50)</f>
        <v>1.21653</v>
      </c>
      <c s="60">
        <f>SUM(C48,C49,C50)</f>
        <v>1.85751</v>
      </c>
      <c s="60">
        <f>SUM(D48,D49,D50)</f>
        <v>3.54</v>
      </c>
      <c s="60">
        <f>SUM(E48,E49,E50)</f>
        <v>5.8</v>
      </c>
      <c s="60">
        <f>SUM(F48,F49,F50)</f>
        <v>32.34</v>
      </c>
      <c s="60">
        <f>SUM(G48,G49,G50)</f>
        <v>45.0419936614818</v>
      </c>
      <c s="60">
        <f>SUM(H48,H49,H50)</f>
        <v>63.5340885906672</v>
      </c>
      <c s="60">
        <f>SUM(I48,I49,I50)</f>
        <v>86.5620417450676</v>
      </c>
      <c s="60">
        <f>SUM(J48,J49,J50)</f>
        <v>110.756358443095</v>
      </c>
      <c s="60">
        <f>SUM(K48,K49,K50)</f>
        <v>129.352130131713</v>
      </c>
      <c s="61">
        <f>SUM(L48,L49,L50)</f>
        <v>142.722593144885</v>
      </c>
    </row>
    <row customHeight="1" ht="21.375">
      <c s="85" t="s">
        <v>41</v>
      </c>
      <c s="68">
        <v>0</v>
      </c>
      <c s="69">
        <v>0</v>
      </c>
      <c s="69">
        <v>2</v>
      </c>
      <c s="69">
        <v>0</v>
      </c>
      <c s="69">
        <v>0</v>
      </c>
      <c s="88">
        <f>细项分解!G22</f>
        <v>0</v>
      </c>
      <c s="88">
        <f>细项分解!H22</f>
        <v>0</v>
      </c>
      <c s="88">
        <f>细项分解!I22</f>
        <v>0</v>
      </c>
      <c s="88">
        <f>细项分解!J22</f>
        <v>0</v>
      </c>
      <c s="88">
        <f>细项分解!K22</f>
        <v>0</v>
      </c>
      <c s="89">
        <f>细项分解!L22</f>
        <v>0</v>
      </c>
    </row>
    <row customHeight="1" ht="21.375">
      <c s="90" t="s">
        <v>42</v>
      </c>
      <c s="74">
        <v>0.19706</v>
      </c>
      <c s="75">
        <v>0.07019</v>
      </c>
      <c s="75">
        <v>0.06566</v>
      </c>
      <c s="75">
        <v>0.07682</v>
      </c>
      <c s="75">
        <v>0.11677</v>
      </c>
      <c s="81">
        <f>细项分解!G82</f>
        <v>0.15672</v>
      </c>
      <c s="81">
        <f>细项分解!H82</f>
        <v>0.19667</v>
      </c>
      <c s="81">
        <f>细项分解!I82</f>
        <v>0.23662</v>
      </c>
      <c s="81">
        <f>细项分解!J82</f>
        <v>0.27657</v>
      </c>
      <c s="81">
        <f>细项分解!K82</f>
        <v>0.31652</v>
      </c>
      <c s="91">
        <f>细项分解!L82</f>
        <v>0.35647</v>
      </c>
    </row>
    <row customHeight="1" ht="21.375">
      <c s="78" t="s">
        <v>43</v>
      </c>
      <c s="79">
        <f>SUM(B52,B53)</f>
        <v>0.19706</v>
      </c>
      <c s="60">
        <f>SUM(C52,C53)</f>
        <v>0.07019</v>
      </c>
      <c s="60">
        <f>SUM(D52,D53)</f>
        <v>2.06566</v>
      </c>
      <c s="60">
        <f>SUM(E52,E53)</f>
        <v>0.07682</v>
      </c>
      <c s="60">
        <f>SUM(F52,F53)</f>
        <v>0.11677</v>
      </c>
      <c s="60">
        <f>SUM(G52,G53)</f>
        <v>0.15672</v>
      </c>
      <c s="60">
        <f>SUM(H52,H53)</f>
        <v>0.19667</v>
      </c>
      <c s="60">
        <f>SUM(I52,I53)</f>
        <v>0.23662</v>
      </c>
      <c s="60">
        <f>SUM(J52,J53)</f>
        <v>0.27657</v>
      </c>
      <c s="60">
        <f>SUM(K52,K53)</f>
        <v>0.31652</v>
      </c>
      <c s="61">
        <f>SUM(L52,L53)</f>
        <v>0.35647</v>
      </c>
    </row>
    <row customHeight="1" ht="21.375">
      <c s="57" t="s">
        <v>44</v>
      </c>
      <c s="93">
        <f>'Data Prepare'!B39</f>
        <v>12.67342</v>
      </c>
      <c s="94">
        <f>'Data Prepare'!C39</f>
        <v>11.55216</v>
      </c>
      <c s="94">
        <f>'Data Prepare'!D39</f>
        <v>11.19307</v>
      </c>
      <c s="94">
        <f>'Data Prepare'!E39</f>
        <v>25.23426</v>
      </c>
      <c s="94">
        <f>'Data Prepare'!F39</f>
        <v>27.36307</v>
      </c>
      <c s="95">
        <f>F55+G25+细项分解!G24-G73</f>
        <v>56.0492714</v>
      </c>
      <c s="95">
        <f>G55+H25+细项分解!H24-H73</f>
        <v>99.4119528</v>
      </c>
      <c s="95">
        <f>H55+I25+细项分解!I24-I73</f>
        <v>162.5878822</v>
      </c>
      <c s="95">
        <f>I55+J25+细项分解!J24-J73</f>
        <v>246.8979428</v>
      </c>
      <c s="95">
        <f>J55+K25+细项分解!K24-K73</f>
        <v>346.00189524</v>
      </c>
      <c s="96">
        <f>K55+L25+细项分解!L24-L73</f>
        <v>453.982182784</v>
      </c>
    </row>
    <row customHeight="1" ht="21.375">
      <c s="67" t="s">
        <v>45</v>
      </c>
      <c s="84">
        <f>B34-B46-B55</f>
        <v>0.00543</v>
      </c>
      <c s="70">
        <f>C34-C46-C55</f>
        <v>0.004899999999999</v>
      </c>
      <c s="70">
        <f>D34-D46-D55</f>
        <v>-0.000490000000001</v>
      </c>
      <c s="70">
        <f>E34-E46-E55</f>
        <v>-0.003929999999997</v>
      </c>
      <c s="70">
        <f>F34-F46-F55</f>
        <v>-0.007260000000002</v>
      </c>
      <c s="70">
        <f>G34-G46-G55</f>
        <v>-0.007259999999803</v>
      </c>
      <c s="70">
        <f>H34-H46-H55</f>
        <v>-0.007259999999178</v>
      </c>
      <c s="70">
        <f>I34-I46-I55</f>
        <v>-0.007259999999604</v>
      </c>
      <c s="70">
        <f>J34-J46-J55</f>
        <v>-0.007259999999974</v>
      </c>
      <c s="70">
        <f>K34-K46-K55</f>
        <v>-0.007259999999008</v>
      </c>
      <c s="71">
        <f>L34-L46-L55</f>
        <v>-0.007259999998951</v>
      </c>
    </row>
    <row customHeight="1" ht="17.4">
      <c s="86"/>
      <c s="86"/>
      <c s="86"/>
      <c s="86"/>
      <c s="86"/>
      <c s="86"/>
      <c s="86"/>
      <c s="86"/>
      <c s="86"/>
      <c s="86"/>
      <c s="86"/>
      <c s="86"/>
    </row>
    <row customHeight="1" ht="20.625">
      <c s="50" t="s">
        <v>46</v>
      </c>
    </row>
    <row r="60" customHeight="1" ht="17.4">
      <c s="51" t="s">
        <v>46</v>
      </c>
      <c s="52"/>
      <c s="52"/>
      <c s="52"/>
      <c s="52"/>
      <c s="52"/>
      <c s="52"/>
      <c s="52"/>
      <c s="52"/>
      <c s="52"/>
      <c s="52"/>
      <c s="52"/>
    </row>
    <row customHeight="1" ht="21.375">
      <c s="53" t="s">
        <v>3</v>
      </c>
      <c s="54">
        <v>2014</v>
      </c>
      <c s="55">
        <v>2015</v>
      </c>
      <c s="55">
        <v>2016</v>
      </c>
      <c s="55">
        <v>2017</v>
      </c>
      <c s="55">
        <v>2018</v>
      </c>
      <c s="55">
        <v>2019</v>
      </c>
      <c s="55">
        <v>2020</v>
      </c>
      <c s="55">
        <v>2021</v>
      </c>
      <c s="55">
        <v>2022</v>
      </c>
      <c s="55">
        <v>2023</v>
      </c>
      <c s="56">
        <v>2024</v>
      </c>
    </row>
    <row customHeight="1" ht="21.375">
      <c s="57" t="s">
        <v>47</v>
      </c>
      <c s="79">
        <f>B63-B64</f>
        <v>-0.55387</v>
      </c>
      <c s="60">
        <f>C63-C64</f>
        <v>-1.17</v>
      </c>
      <c s="60">
        <f>D63-D64</f>
        <v>-2.26</v>
      </c>
      <c s="60">
        <f>E63-E64</f>
        <v>-0.702719999999999</v>
      </c>
      <c s="60">
        <f>F63-F64</f>
        <v>3.96</v>
      </c>
      <c s="60">
        <f>G63-G64</f>
        <v>17.8563055096339</v>
      </c>
      <c s="60">
        <f>H63-H64</f>
        <v>32.161075487707</v>
      </c>
      <c s="60">
        <f>I63-I64</f>
        <v>51.682717518404</v>
      </c>
      <c s="60">
        <f>J63-J64</f>
        <v>72.741864326298</v>
      </c>
      <c s="60">
        <f>K63-K64</f>
        <v>87.895681248409</v>
      </c>
      <c s="61">
        <f>L63-L64</f>
        <v>97.107946429045</v>
      </c>
    </row>
    <row customHeight="1" ht="21.375">
      <c s="85" t="s">
        <v>48</v>
      </c>
      <c s="97">
        <f>'Data Prepare'!B26</f>
        <v>0.29744</v>
      </c>
      <c s="88">
        <f>'Data Prepare'!C26</f>
        <v>0.57559</v>
      </c>
      <c s="88">
        <f>'Data Prepare'!D26</f>
        <v>4.36605</v>
      </c>
      <c s="88">
        <f>'Data Prepare'!E26</f>
        <v>23.90128</v>
      </c>
      <c s="88">
        <f>'Data Prepare'!F26</f>
        <v>48.22373</v>
      </c>
      <c s="88">
        <f>细项分解!G58</f>
        <v>100.923913525516</v>
      </c>
      <c s="88">
        <f>细项分解!H58</f>
        <v>179.739130820413</v>
      </c>
      <c s="88">
        <f>细项分解!I58</f>
        <v>288.511826607557</v>
      </c>
      <c s="88">
        <f>细项分解!J58</f>
        <v>405.589148381394</v>
      </c>
      <c s="88">
        <f>细项分解!K58</f>
        <v>489.383123866976</v>
      </c>
      <c s="89">
        <f>细项分解!L58</f>
        <v>540.194738320185</v>
      </c>
    </row>
    <row customHeight="1" ht="21.375">
      <c s="85" t="s">
        <v>49</v>
      </c>
      <c s="97">
        <f>'Data Prepare'!B27</f>
        <v>0.85131</v>
      </c>
      <c s="88">
        <f>'Data Prepare'!C27</f>
        <v>1.74559</v>
      </c>
      <c s="88">
        <f>'Data Prepare'!D27</f>
        <v>6.62605</v>
      </c>
      <c s="88">
        <f>'Data Prepare'!E27</f>
        <v>24.604</v>
      </c>
      <c s="88">
        <f>'Data Prepare'!F27</f>
        <v>44.26373</v>
      </c>
      <c s="88">
        <f>细项分解!G68</f>
        <v>83.0676080158821</v>
      </c>
      <c s="88">
        <f>细项分解!H68</f>
        <v>147.578055332706</v>
      </c>
      <c s="88">
        <f>细项分解!I68</f>
        <v>236.829109089153</v>
      </c>
      <c s="88">
        <f>细项分解!J68</f>
        <v>332.847284055096</v>
      </c>
      <c s="88">
        <f>细项分解!K68</f>
        <v>401.487442618567</v>
      </c>
      <c s="89">
        <f>细项分解!L68</f>
        <v>443.08679189114</v>
      </c>
    </row>
    <row customHeight="1" ht="21.375">
      <c s="57" t="s">
        <v>50</v>
      </c>
      <c s="79">
        <f>-B66-B67+B68</f>
        <v>0.35177</v>
      </c>
      <c s="60">
        <f>-C66-C67+C68</f>
        <v>-4.21</v>
      </c>
      <c s="60">
        <f>-D66-D67+D68</f>
        <v>-1.59</v>
      </c>
      <c s="60">
        <f>-E66-E67+E68</f>
        <v>-12.11</v>
      </c>
      <c s="60">
        <f>-F66-F67+F68</f>
        <v>-23.96</v>
      </c>
      <c s="60">
        <f>-G66-G67+G68</f>
        <v>-11.41033</v>
      </c>
      <c s="60">
        <f>-H66-H67+H68</f>
        <v>-11.41033</v>
      </c>
      <c s="60">
        <f>-I66-I67+I68</f>
        <v>-11.41033</v>
      </c>
      <c s="60">
        <f>-J66-J67+J68</f>
        <v>-11.41033</v>
      </c>
      <c s="60">
        <f>-K66-K67+K68</f>
        <v>-11.41033</v>
      </c>
      <c s="61">
        <f>-L66-L67+L68</f>
        <v>-11.41033</v>
      </c>
    </row>
    <row customHeight="1" ht="21.375">
      <c s="85" t="s">
        <v>51</v>
      </c>
      <c s="97">
        <f>'Data Prepare'!B16</f>
        <v>0.03363</v>
      </c>
      <c s="88">
        <f>'Data Prepare'!C16</f>
        <v>0.08736</v>
      </c>
      <c s="88">
        <f>'Data Prepare'!D16</f>
        <v>0.02064</v>
      </c>
      <c s="88">
        <f>'Data Prepare'!E16</f>
        <v>0.05718</v>
      </c>
      <c s="88">
        <f>'Data Prepare'!F16</f>
        <v>0.06054</v>
      </c>
      <c s="88">
        <f>细项分解!G48</f>
        <v>0.05187</v>
      </c>
      <c s="88">
        <f>细项分解!H48</f>
        <v>0.05187</v>
      </c>
      <c s="88">
        <f>细项分解!I48</f>
        <v>0.05187</v>
      </c>
      <c s="88">
        <f>细项分解!J48</f>
        <v>0.05187</v>
      </c>
      <c s="88">
        <f>细项分解!K48</f>
        <v>0.05187</v>
      </c>
      <c s="89">
        <f>细项分解!L48</f>
        <v>0.05187</v>
      </c>
    </row>
    <row customHeight="1" ht="21.375">
      <c s="85" t="s">
        <v>52</v>
      </c>
      <c s="97">
        <f>'Data Prepare'!B19</f>
        <v>0</v>
      </c>
      <c s="88">
        <f>'Data Prepare'!C19</f>
        <v>0</v>
      </c>
      <c s="88">
        <f>'Data Prepare'!D19</f>
        <v>3.5</v>
      </c>
      <c s="88">
        <f>'Data Prepare'!E19</f>
        <v>5.39</v>
      </c>
      <c s="88">
        <f>'Data Prepare'!F19</f>
        <v>32.75</v>
      </c>
      <c s="88">
        <f>细项分解!G13</f>
        <v>11.35846</v>
      </c>
      <c s="88">
        <f>细项分解!H13</f>
        <v>11.35846</v>
      </c>
      <c s="88">
        <f>细项分解!I13</f>
        <v>11.35846</v>
      </c>
      <c s="88">
        <f>细项分解!J13</f>
        <v>11.35846</v>
      </c>
      <c s="88">
        <f>细项分解!K13</f>
        <v>11.35846</v>
      </c>
      <c s="89">
        <f>细项分解!L13</f>
        <v>11.35846</v>
      </c>
    </row>
    <row customHeight="1" ht="21.375">
      <c s="85" t="s">
        <v>53</v>
      </c>
      <c s="97">
        <f>'Data Prepare'!B30</f>
        <v>0.3854</v>
      </c>
      <c s="88">
        <f>'Data Prepare'!C30</f>
        <v>-4.12264</v>
      </c>
      <c s="88">
        <f>'Data Prepare'!D30</f>
        <v>1.93064</v>
      </c>
      <c s="88">
        <f>'Data Prepare'!E30</f>
        <v>-6.66282</v>
      </c>
      <c s="88">
        <f>'Data Prepare'!F30</f>
        <v>8.85054</v>
      </c>
      <c s="70">
        <f>0</f>
        <v>0</v>
      </c>
      <c s="70">
        <f>0</f>
        <v>0</v>
      </c>
      <c s="70">
        <f>0</f>
        <v>0</v>
      </c>
      <c s="70">
        <f>0</f>
        <v>0</v>
      </c>
      <c s="70">
        <f>0</f>
        <v>0</v>
      </c>
      <c s="71">
        <f>0</f>
        <v>0</v>
      </c>
    </row>
    <row customHeight="1" ht="21.375">
      <c s="57" t="s">
        <v>54</v>
      </c>
      <c s="79">
        <f>B70+B71+B72-B73+B74</f>
        <v>10.61</v>
      </c>
      <c s="60">
        <f>C70+C71+C72-C73+C74</f>
        <v>0</v>
      </c>
      <c s="60">
        <f>D70+D71+D72-D73+D74</f>
        <v>1.93</v>
      </c>
      <c s="60">
        <f>E70+E71+E72-E73+E74</f>
        <v>12.48</v>
      </c>
      <c s="60">
        <f>F70+F71+F72-F73+F74</f>
        <v>17.08</v>
      </c>
      <c s="60">
        <f>G70+G71+G72-G73+G74</f>
        <v>15.482494</v>
      </c>
      <c s="60">
        <f>H70+H71+H72-H73+H74</f>
        <v>15.482494</v>
      </c>
      <c s="60">
        <f>I70+I71+I72-I73+I74</f>
        <v>15.482494</v>
      </c>
      <c s="60">
        <f>J70+J71+J72-J73+J74</f>
        <v>15.482494</v>
      </c>
      <c s="60">
        <f>K70+K71+K72-K73+K74</f>
        <v>15.482494</v>
      </c>
      <c s="61">
        <f>L70+L71+L72-L73+L74</f>
        <v>15.482494</v>
      </c>
    </row>
    <row customHeight="1" ht="21.375">
      <c s="85" t="s">
        <v>55</v>
      </c>
      <c s="97">
        <f>'Data Prepare'!B34</f>
        <v>0</v>
      </c>
      <c s="88">
        <f>'Data Prepare'!C34</f>
        <v>0</v>
      </c>
      <c s="88">
        <f>'Data Prepare'!D34</f>
        <v>1.99265</v>
      </c>
      <c s="88">
        <f>'Data Prepare'!E34</f>
        <v>-2</v>
      </c>
      <c s="88">
        <f>'Data Prepare'!F34</f>
        <v>17</v>
      </c>
      <c s="88">
        <f>细项分解!G23</f>
        <v>4.25</v>
      </c>
      <c s="88">
        <f>细项分解!H23</f>
        <v>4.25</v>
      </c>
      <c s="88">
        <f>细项分解!I23</f>
        <v>4.25</v>
      </c>
      <c s="88">
        <f>细项分解!J23</f>
        <v>4.25</v>
      </c>
      <c s="88">
        <f>细项分解!K23</f>
        <v>4.25</v>
      </c>
      <c s="89">
        <f>细项分解!L23</f>
        <v>4.25</v>
      </c>
    </row>
    <row customHeight="1" ht="21.375">
      <c s="85" t="s">
        <v>56</v>
      </c>
      <c s="68">
        <v>10.61</v>
      </c>
      <c s="69">
        <v>0</v>
      </c>
      <c s="69">
        <v>0.0017</v>
      </c>
      <c s="69">
        <v>14.69</v>
      </c>
      <c s="69">
        <v>0.52979</v>
      </c>
      <c s="88">
        <f>假设!G29</f>
        <v>10</v>
      </c>
      <c s="88">
        <f>假设!H29</f>
        <v>10</v>
      </c>
      <c s="88">
        <f>假设!I29</f>
        <v>10</v>
      </c>
      <c s="88">
        <f>假设!J29</f>
        <v>10</v>
      </c>
      <c s="88">
        <f>假设!K29</f>
        <v>10</v>
      </c>
      <c s="89">
        <f>假设!L29</f>
        <v>10</v>
      </c>
    </row>
    <row customHeight="1" ht="21.375">
      <c s="85" t="s">
        <v>57</v>
      </c>
      <c s="97">
        <f>'Data Prepare'!B31</f>
        <v>0.14874</v>
      </c>
      <c s="88">
        <f>'Data Prepare'!C31</f>
        <v>0.14164</v>
      </c>
      <c s="88">
        <f>'Data Prepare'!D31</f>
        <v>0.02504</v>
      </c>
      <c s="88">
        <f>'Data Prepare'!E31</f>
        <v>-0.01592</v>
      </c>
      <c s="88">
        <f>'Data Prepare'!F31</f>
        <v>0.21862</v>
      </c>
      <c s="70">
        <f>-G19</f>
        <v>-0.089956</v>
      </c>
      <c s="70">
        <f>-H19</f>
        <v>-0.089956</v>
      </c>
      <c s="70">
        <f>-I19</f>
        <v>-0.089956</v>
      </c>
      <c s="70">
        <f>-J19</f>
        <v>-0.089956</v>
      </c>
      <c s="70">
        <f>-K19</f>
        <v>-0.089956</v>
      </c>
      <c s="71">
        <f>-L19</f>
        <v>-0.089956</v>
      </c>
    </row>
    <row customHeight="1" ht="21.375">
      <c s="85" t="s">
        <v>58</v>
      </c>
      <c s="68">
        <v>0</v>
      </c>
      <c s="69">
        <v>0</v>
      </c>
      <c s="69">
        <v>0</v>
      </c>
      <c s="69">
        <v>0</v>
      </c>
      <c s="69">
        <v>0</v>
      </c>
      <c s="88">
        <f>细项分解!G25</f>
        <v>0</v>
      </c>
      <c s="88">
        <f>细项分解!H25</f>
        <v>0</v>
      </c>
      <c s="88">
        <f>细项分解!I25</f>
        <v>0</v>
      </c>
      <c s="88">
        <f>细项分解!J25</f>
        <v>0</v>
      </c>
      <c s="88">
        <f>细项分解!K25</f>
        <v>0</v>
      </c>
      <c s="89">
        <f>细项分解!L25</f>
        <v>0</v>
      </c>
    </row>
    <row customHeight="1" ht="21.375">
      <c s="85" t="s">
        <v>59</v>
      </c>
      <c s="97">
        <f>'Data Prepare'!B24</f>
        <v>-0.14874</v>
      </c>
      <c s="88">
        <f>'Data Prepare'!C24</f>
        <v>-0.14164</v>
      </c>
      <c s="88">
        <f>'Data Prepare'!D24</f>
        <v>-0.08939</v>
      </c>
      <c s="88">
        <f>'Data Prepare'!E24</f>
        <v>-0.194079999999999</v>
      </c>
      <c s="88">
        <f>'Data Prepare'!F24</f>
        <v>-0.668410000000002</v>
      </c>
      <c s="88">
        <f>细项分解!G84</f>
        <v>1.32245</v>
      </c>
      <c s="88">
        <f>细项分解!H84</f>
        <v>1.32245</v>
      </c>
      <c s="88">
        <f>细项分解!I84</f>
        <v>1.32245</v>
      </c>
      <c s="88">
        <f>细项分解!J84</f>
        <v>1.32245</v>
      </c>
      <c s="88">
        <f>细项分解!K84</f>
        <v>1.32245</v>
      </c>
      <c s="89">
        <f>细项分解!L84</f>
        <v>1.32245</v>
      </c>
    </row>
    <row customHeight="1" ht="21.375">
      <c s="57" t="s">
        <v>60</v>
      </c>
      <c s="79">
        <f>B62+B65+B69</f>
        <v>10.4079</v>
      </c>
      <c s="60">
        <f>C62+C65+C69</f>
        <v>-5.38</v>
      </c>
      <c s="60">
        <f>D62+D65+D69</f>
        <v>-1.92</v>
      </c>
      <c s="60">
        <f>E62+E65+E69</f>
        <v>-0.332719999999998</v>
      </c>
      <c s="60">
        <f>F62+F65+F69</f>
        <v>-2.92</v>
      </c>
      <c s="60">
        <f>G62+G65+G69</f>
        <v>21.9284695096339</v>
      </c>
      <c s="60">
        <f>H62+H65+H69</f>
        <v>36.233239487707</v>
      </c>
      <c s="60">
        <f>I62+I65+I69</f>
        <v>55.754881518404</v>
      </c>
      <c s="60">
        <f>J62+J65+J69</f>
        <v>76.814028326298</v>
      </c>
      <c s="60">
        <f>K62+K65+K69</f>
        <v>91.967845248409</v>
      </c>
      <c s="61">
        <f>L62+L65+L69</f>
        <v>101.180110429045</v>
      </c>
    </row>
    <row customHeight="1" ht="21.375">
      <c s="67" t="s">
        <v>61</v>
      </c>
      <c s="84"/>
      <c s="70">
        <f>B35</f>
        <v>12.18</v>
      </c>
      <c s="70">
        <f>C35</f>
        <v>10.21</v>
      </c>
      <c s="70">
        <f>D35</f>
        <v>5.71</v>
      </c>
      <c s="70">
        <f>E35</f>
        <v>13.99</v>
      </c>
      <c s="70">
        <f>F35</f>
        <v>2.82</v>
      </c>
      <c s="70">
        <f>G35</f>
        <v>25.2168715096339</v>
      </c>
      <c s="70">
        <f>H35</f>
        <v>61.9185129973409</v>
      </c>
      <c s="70">
        <f>I35</f>
        <v>118.141796515745</v>
      </c>
      <c s="70">
        <f>J35</f>
        <v>195.424226842043</v>
      </c>
      <c s="71">
        <f>K35</f>
        <v>287.860474090452</v>
      </c>
    </row>
    <row customHeight="1" ht="21.375">
      <c s="67" t="s">
        <v>62</v>
      </c>
      <c s="97">
        <f>'Data Prepare'!B37</f>
        <v>0</v>
      </c>
      <c s="88">
        <f>'Data Prepare'!C37</f>
        <v>3.41</v>
      </c>
      <c s="88">
        <f>'Data Prepare'!D37</f>
        <v>-2.58</v>
      </c>
      <c s="88">
        <f>'Data Prepare'!E37</f>
        <v>8.61272</v>
      </c>
      <c s="88">
        <f>'Data Prepare'!F37</f>
        <v>-8.25</v>
      </c>
      <c s="88">
        <f>G21</f>
        <v>0.468402</v>
      </c>
      <c s="88">
        <f>H21</f>
        <v>0.468402</v>
      </c>
      <c s="88">
        <f>I21</f>
        <v>0.468402</v>
      </c>
      <c s="88">
        <f>J21</f>
        <v>0.468402</v>
      </c>
      <c s="88">
        <f>K21</f>
        <v>0.468402</v>
      </c>
      <c s="89">
        <f>L21</f>
        <v>0.468402</v>
      </c>
    </row>
    <row customHeight="1" ht="21.375">
      <c s="85" t="s">
        <v>63</v>
      </c>
      <c s="84">
        <f>B76+B75+B77</f>
        <v>10.4079</v>
      </c>
      <c s="70">
        <f>C76+C75+C77</f>
        <v>10.21</v>
      </c>
      <c s="70">
        <f>D76+D75+D77</f>
        <v>5.71</v>
      </c>
      <c s="70">
        <f>E76+E75+E77</f>
        <v>13.99</v>
      </c>
      <c s="70">
        <f>F76+F75+F77</f>
        <v>2.82</v>
      </c>
      <c s="70">
        <f>G76+G75+G77</f>
        <v>25.2168715096339</v>
      </c>
      <c s="70">
        <f>H76+H75+H77</f>
        <v>61.9185129973409</v>
      </c>
      <c s="70">
        <f>I76+I75+I77</f>
        <v>118.141796515745</v>
      </c>
      <c s="70">
        <f>J76+J75+J77</f>
        <v>195.424226842043</v>
      </c>
      <c s="70">
        <f>K76+K75+K77</f>
        <v>287.860474090452</v>
      </c>
      <c s="71">
        <f>L76+L75+L77</f>
        <v>389.508986519497</v>
      </c>
    </row>
    <row customHeight="1" ht="17.4">
      <c s="86"/>
      <c s="86"/>
      <c s="86"/>
      <c s="86"/>
      <c s="86"/>
      <c s="86"/>
      <c s="86"/>
      <c s="86"/>
      <c s="86"/>
      <c s="86"/>
      <c s="86"/>
      <c s="86"/>
    </row>
    <row customHeight="1" ht="20.625">
      <c s="50" t="s">
        <v>64</v>
      </c>
    </row>
    <row r="82" customHeight="1" ht="17.4">
      <c s="51" t="s">
        <v>64</v>
      </c>
      <c s="52"/>
      <c s="52"/>
      <c s="52"/>
      <c s="52"/>
      <c s="52"/>
      <c s="52"/>
      <c s="52"/>
      <c s="52"/>
      <c s="52"/>
      <c s="52"/>
      <c s="52"/>
    </row>
    <row customHeight="1" ht="21.375">
      <c s="53" t="s">
        <v>3</v>
      </c>
      <c s="54">
        <v>2014</v>
      </c>
      <c s="55">
        <v>2015</v>
      </c>
      <c s="55">
        <v>2016</v>
      </c>
      <c s="55">
        <v>2017</v>
      </c>
      <c s="55">
        <v>2018</v>
      </c>
      <c s="55">
        <v>2019</v>
      </c>
      <c s="55">
        <v>2020</v>
      </c>
      <c s="55">
        <v>2021</v>
      </c>
      <c s="55">
        <v>2022</v>
      </c>
      <c s="55">
        <v>2023</v>
      </c>
      <c s="56">
        <v>2024</v>
      </c>
    </row>
    <row customHeight="1" ht="21.375">
      <c s="67" t="s">
        <v>65</v>
      </c>
      <c s="97">
        <f>B18</f>
        <v>-1.85372</v>
      </c>
      <c s="88">
        <f>C18</f>
        <v>-2.36887</v>
      </c>
      <c s="88">
        <f>D18</f>
        <v>-2.23679</v>
      </c>
      <c s="88">
        <f>E18</f>
        <v>-1.45855</v>
      </c>
      <c s="88">
        <f>F18</f>
        <v>-0.985019999999999</v>
      </c>
      <c s="88">
        <f>G18</f>
        <v>20.384</v>
      </c>
      <c s="88">
        <f>H18</f>
        <v>36.6912</v>
      </c>
      <c s="88">
        <f>I18</f>
        <v>58.70592</v>
      </c>
      <c s="88">
        <f>J18</f>
        <v>82.188288</v>
      </c>
      <c s="88">
        <f>K18</f>
        <v>98.6259456</v>
      </c>
      <c s="89">
        <f>L18</f>
        <v>108.48854016</v>
      </c>
    </row>
    <row customHeight="1" ht="21.375">
      <c s="67" t="s">
        <v>66</v>
      </c>
      <c s="97">
        <f>细项分解!B46</f>
        <v>0.01</v>
      </c>
      <c s="88">
        <f>细项分解!C46</f>
        <v>0.01</v>
      </c>
      <c s="88">
        <f>细项分解!D46</f>
        <v>0.01</v>
      </c>
      <c s="88">
        <f>细项分解!E46</f>
        <v>0.01</v>
      </c>
      <c s="88">
        <f>细项分解!F46</f>
        <v>0.01</v>
      </c>
      <c s="88">
        <f>细项分解!G46</f>
        <v>0.01</v>
      </c>
      <c s="88">
        <f>细项分解!H46</f>
        <v>0.01</v>
      </c>
      <c s="88">
        <f>细项分解!I46</f>
        <v>0.01</v>
      </c>
      <c s="88">
        <f>细项分解!J46</f>
        <v>0.01</v>
      </c>
      <c s="88">
        <f>细项分解!K46</f>
        <v>0.01</v>
      </c>
      <c s="89">
        <f>细项分解!L46</f>
        <v>0.01</v>
      </c>
    </row>
    <row customHeight="1" ht="21.375">
      <c s="67" t="s">
        <v>67</v>
      </c>
      <c s="84"/>
      <c s="98">
        <f>细项分解!C39-细项分解!B39</f>
        <v>-0.01062</v>
      </c>
      <c s="98">
        <f>细项分解!D39-细项分解!C39</f>
        <v>0.68146</v>
      </c>
      <c s="98">
        <f>细项分解!E39-细项分解!D39</f>
        <v>1.45872</v>
      </c>
      <c s="98">
        <f>细项分解!F39-细项分解!E39</f>
        <v>-1.52373</v>
      </c>
      <c s="98">
        <f>细项分解!G39-细项分解!F39</f>
        <v>0.46144989036641</v>
      </c>
      <c s="98">
        <f>细项分解!H39-细项分解!G39</f>
        <v>0.83315991229324</v>
      </c>
      <c s="98">
        <f>细项分解!I39-细项分解!H39</f>
        <v>1.12476588159566</v>
      </c>
      <c s="98">
        <f>细项分解!J39-细项分解!I39</f>
        <v>1.1997502737022</v>
      </c>
      <c s="98">
        <f>细项分解!K39-细项分解!J39</f>
        <v>0.839825191591499</v>
      </c>
      <c s="99">
        <f>细项分解!L39-细项分解!K39</f>
        <v>0.503895114954981</v>
      </c>
    </row>
    <row customHeight="1" ht="21.375">
      <c s="67" t="s">
        <v>68</v>
      </c>
      <c s="97">
        <f>细项分解!B12</f>
        <v>0.03363</v>
      </c>
      <c s="88">
        <f>细项分解!C12</f>
        <v>1.43736</v>
      </c>
      <c s="88">
        <f>细项分解!D12</f>
        <v>5.40064</v>
      </c>
      <c s="88">
        <f>细项分解!E12</f>
        <v>2.31639</v>
      </c>
      <c s="88">
        <f>细项分解!F12</f>
        <v>15.78505</v>
      </c>
      <c s="88">
        <f>细项分解!G12</f>
        <v>6.2303</v>
      </c>
      <c s="88">
        <f>细项分解!H12</f>
        <v>6.2303</v>
      </c>
      <c s="88">
        <f>细项分解!I12</f>
        <v>6.2303</v>
      </c>
      <c s="88">
        <f>细项分解!J12</f>
        <v>6.2303</v>
      </c>
      <c s="88">
        <f>细项分解!K12</f>
        <v>6.2303</v>
      </c>
      <c s="89">
        <f>细项分解!L12</f>
        <v>6.2303</v>
      </c>
    </row>
    <row customHeight="1" ht="21.375">
      <c s="67" t="s">
        <v>64</v>
      </c>
      <c s="84">
        <f>B84-B23+B85-B86-B87</f>
        <v>-2.18669</v>
      </c>
      <c s="70">
        <f>C84-C23+C85-C86-C87</f>
        <v>-3.80412</v>
      </c>
      <c s="70">
        <f>D84-D23+D85-D86-D87</f>
        <v>-8.46429</v>
      </c>
      <c s="70">
        <f>E84-E23+E85-E86-E87</f>
        <v>-5.36255</v>
      </c>
      <c s="70">
        <f>F84-F23+F85-F86-F87</f>
        <v>-15.54568</v>
      </c>
      <c s="70">
        <f>G84-G23+G85-G86-G87</f>
        <v>11.6260055096336</v>
      </c>
      <c s="70">
        <f>H84-H23+H85-H86-H87</f>
        <v>25.9307754877068</v>
      </c>
      <c s="70">
        <f>I84-I23+I85-I86-I87</f>
        <v>45.4524175184043</v>
      </c>
      <c s="70">
        <f>J84-J23+J85-J86-J87</f>
        <v>66.5115643262978</v>
      </c>
      <c s="70">
        <f>K84-K23+K85-K86-K87</f>
        <v>81.6653812484085</v>
      </c>
      <c s="71">
        <f>L84-L23+L85-L86-L87</f>
        <v>90.877646429045</v>
      </c>
    </row>
    <row customHeight="1" ht="21.375">
      <c s="67" t="s">
        <v>69</v>
      </c>
      <c s="100">
        <f>假设!B8</f>
        <v>0.05</v>
      </c>
      <c s="70"/>
      <c s="70"/>
      <c s="70"/>
      <c s="70"/>
      <c s="70"/>
      <c s="70"/>
      <c s="70"/>
      <c s="70"/>
      <c s="70"/>
      <c s="71"/>
    </row>
    <row customHeight="1" ht="21.375">
      <c s="67" t="s">
        <v>70</v>
      </c>
      <c s="100">
        <f>假设!B7</f>
        <v>0.1</v>
      </c>
      <c s="70"/>
      <c s="70"/>
      <c s="70"/>
      <c s="70"/>
      <c s="70"/>
      <c s="70"/>
      <c s="70"/>
      <c s="70"/>
      <c s="70"/>
      <c s="71"/>
    </row>
    <row customHeight="1" ht="21.375">
      <c s="57" t="s">
        <v>71</v>
      </c>
      <c s="101">
        <f>NPV(B90,B88:L88)+L88*(1+B89)/(POWER(1+B90,6)*(B90-B89))</f>
        <v>1185.0708713413</v>
      </c>
      <c s="60"/>
      <c s="60"/>
      <c s="60"/>
      <c s="60"/>
      <c s="60"/>
      <c s="60"/>
      <c s="60"/>
      <c s="60"/>
      <c s="60"/>
      <c s="61"/>
    </row>
    <row customHeight="1" ht="21.375">
      <c s="85" t="s">
        <v>72</v>
      </c>
      <c s="102">
        <f>B91-F47</f>
        <v>1168.0708713413</v>
      </c>
      <c s="70"/>
      <c s="70"/>
      <c s="70"/>
      <c s="70"/>
      <c s="70"/>
      <c s="70"/>
      <c s="70"/>
      <c s="70"/>
      <c s="70"/>
      <c s="71"/>
    </row>
    <row customHeight="1" ht="21.375">
      <c s="85" t="s">
        <v>73</v>
      </c>
      <c s="68">
        <v>120.28</v>
      </c>
      <c s="70"/>
      <c s="70"/>
      <c s="70"/>
      <c s="70"/>
      <c s="70"/>
      <c s="70"/>
      <c s="70"/>
      <c s="70"/>
      <c s="70"/>
      <c s="71"/>
    </row>
    <row customHeight="1" ht="21.375">
      <c s="78" t="s">
        <v>74</v>
      </c>
      <c s="101">
        <f>B92/B93</f>
        <v>9.71126431111822</v>
      </c>
      <c s="60"/>
      <c s="60"/>
      <c s="60"/>
      <c s="60"/>
      <c s="60"/>
      <c s="60"/>
      <c s="60"/>
      <c s="60"/>
      <c s="60"/>
      <c s="61"/>
    </row>
    <row customHeight="1" ht="17.4">
      <c s="86"/>
      <c s="86"/>
      <c s="86"/>
      <c s="86"/>
      <c s="86"/>
      <c s="86"/>
      <c s="86"/>
      <c s="86"/>
      <c s="86"/>
      <c s="86"/>
      <c s="86"/>
      <c s="86"/>
    </row>
  </sheetData>
  <sheetProtection sheet="1" objects="1"/>
  <mergeCells count="9">
    <mergeCell ref="A3:L3"/>
    <mergeCell ref="A5:L5"/>
    <mergeCell ref="A7:L7"/>
    <mergeCell ref="A30:L30"/>
    <mergeCell ref="A32:L32"/>
    <mergeCell ref="A58:L58"/>
    <mergeCell ref="A60:L60"/>
    <mergeCell ref="A80:L80"/>
    <mergeCell ref="A82:L82"/>
  </mergeCel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902E4F57-5ED8-53C9-D2F5-F025AF1A4F1F}" mc:Ignorable="x14ac">
  <dimension ref="A1:AH47"/>
  <sheetViews>
    <sheetView topLeftCell="A1" showGridLines="0" workbookViewId="0">
      <selection activeCell="A1" sqref="A1"/>
    </sheetView>
  </sheetViews>
  <sheetFormatPr defaultColWidth="3.53125" customHeight="1" defaultRowHeight="17.4"/>
  <cols>
    <col min="1" max="1" width="27.50390625" customWidth="1"/>
    <col min="2" max="12" width="12.125" customWidth="1"/>
  </cols>
  <sheetData>
    <row s="103" customFormat="1" customHeight="1" ht="17.4">
      <c s="49" t="s">
        <v>0</v>
      </c>
    </row>
    <row r="3" customHeight="1" ht="20.625">
      <c s="50" t="s">
        <v>75</v>
      </c>
    </row>
    <row r="5" customHeight="1" ht="17.4">
      <c s="51" t="s">
        <v>75</v>
      </c>
      <c s="52"/>
      <c s="52"/>
      <c s="52"/>
      <c s="52"/>
      <c s="52"/>
      <c s="52"/>
      <c s="52"/>
      <c s="52"/>
      <c s="52"/>
      <c s="52"/>
      <c s="52"/>
    </row>
    <row customHeight="1" ht="21.375">
      <c s="53" t="s">
        <v>3</v>
      </c>
      <c s="54">
        <v>2014</v>
      </c>
      <c s="55">
        <v>2015</v>
      </c>
      <c s="55">
        <v>2016</v>
      </c>
      <c s="55">
        <v>2017</v>
      </c>
      <c s="55">
        <v>2018</v>
      </c>
      <c s="55">
        <v>2019</v>
      </c>
      <c s="55">
        <v>2020</v>
      </c>
      <c s="55">
        <v>2021</v>
      </c>
      <c s="55">
        <v>2022</v>
      </c>
      <c s="55">
        <v>2023</v>
      </c>
      <c s="56">
        <v>2024</v>
      </c>
    </row>
    <row customHeight="1" ht="21.375">
      <c s="67" t="s">
        <v>70</v>
      </c>
      <c s="68">
        <v>0.1</v>
      </c>
      <c s="70"/>
      <c s="70"/>
      <c s="70"/>
      <c s="70"/>
      <c s="70"/>
      <c s="70"/>
      <c s="70"/>
      <c s="70"/>
      <c s="70"/>
      <c s="71"/>
    </row>
    <row customHeight="1" ht="21.375">
      <c s="67" t="s">
        <v>69</v>
      </c>
      <c s="68">
        <v>0.05</v>
      </c>
      <c s="70"/>
      <c s="70"/>
      <c s="70"/>
      <c s="70"/>
      <c s="70"/>
      <c s="70"/>
      <c s="70"/>
      <c s="70"/>
      <c s="70"/>
      <c s="71"/>
    </row>
    <row customHeight="1" ht="17.4">
      <c s="86"/>
      <c s="86"/>
      <c s="86"/>
      <c s="86"/>
      <c s="86"/>
      <c s="86"/>
      <c s="86"/>
      <c s="86"/>
      <c s="86"/>
      <c s="86"/>
      <c s="86"/>
      <c s="86"/>
    </row>
    <row customHeight="1" ht="20.625">
      <c s="50" t="s">
        <v>76</v>
      </c>
    </row>
    <row r="12" customHeight="1" ht="17.4">
      <c s="51" t="s">
        <v>76</v>
      </c>
      <c s="52"/>
      <c s="52"/>
      <c s="52"/>
      <c s="52"/>
      <c s="52"/>
      <c s="52"/>
      <c s="52"/>
      <c s="52"/>
      <c s="52"/>
      <c s="52"/>
      <c s="52"/>
    </row>
    <row customHeight="1" ht="21.375">
      <c s="53" t="s">
        <v>3</v>
      </c>
      <c s="54">
        <v>2014</v>
      </c>
      <c s="55">
        <v>2015</v>
      </c>
      <c s="55">
        <v>2016</v>
      </c>
      <c s="55">
        <v>2017</v>
      </c>
      <c s="55">
        <v>2018</v>
      </c>
      <c s="55">
        <v>2019</v>
      </c>
      <c s="55">
        <v>2020</v>
      </c>
      <c s="55">
        <v>2021</v>
      </c>
      <c s="55">
        <v>2022</v>
      </c>
      <c s="55">
        <v>2023</v>
      </c>
      <c s="56">
        <v>2024</v>
      </c>
    </row>
    <row customHeight="1" ht="21.375">
      <c s="62" t="s">
        <v>77</v>
      </c>
      <c s="104">
        <f>DCF模型!B10</f>
        <v>0</v>
      </c>
      <c s="65">
        <f>DCF模型!C10</f>
        <v>0.902736686390532</v>
      </c>
      <c s="65">
        <f>DCF模型!D10</f>
        <v>7.39296757664105</v>
      </c>
      <c s="65">
        <f>DCF模型!E10</f>
        <v>4.14315789473684</v>
      </c>
      <c s="65">
        <f>DCF模型!F10</f>
        <v>1.08595988538682</v>
      </c>
      <c s="82">
        <v>1</v>
      </c>
      <c s="82">
        <v>0.8</v>
      </c>
      <c s="82">
        <v>0.6</v>
      </c>
      <c s="82">
        <v>0.4</v>
      </c>
      <c s="82">
        <v>0.2</v>
      </c>
      <c s="83">
        <v>0.1</v>
      </c>
    </row>
    <row customHeight="1" ht="21.375">
      <c s="62" t="s">
        <v>78</v>
      </c>
      <c s="104">
        <f>DCF模型!B14</f>
        <v>0.463286713286713</v>
      </c>
      <c s="65">
        <f>DCF模型!C14</f>
        <v>0.328686279706688</v>
      </c>
      <c s="65">
        <f>DCF模型!D14</f>
        <v>0.606315789473684</v>
      </c>
      <c s="65">
        <f>DCF模型!E14</f>
        <v>0.732705689725747</v>
      </c>
      <c s="65">
        <f>DCF模型!F14</f>
        <v>0.738814756671899</v>
      </c>
      <c s="82">
        <v>0.6</v>
      </c>
      <c s="82">
        <v>0.6</v>
      </c>
      <c s="82">
        <v>0.6</v>
      </c>
      <c s="82">
        <v>0.6</v>
      </c>
      <c s="82">
        <v>0.6</v>
      </c>
      <c s="83">
        <v>0.6</v>
      </c>
    </row>
    <row customHeight="1" ht="21.375">
      <c s="62" t="s">
        <v>79</v>
      </c>
      <c s="104">
        <f>DCF模型!B17</f>
        <v>6.76896180742335</v>
      </c>
      <c s="65">
        <f>DCF模型!C17</f>
        <v>4.85696616308861</v>
      </c>
      <c s="65">
        <f>DCF模型!D17</f>
        <v>0.864587368421053</v>
      </c>
      <c s="65">
        <f>DCF模型!E17</f>
        <v>0.326997544003275</v>
      </c>
      <c s="65">
        <f>DCF模型!F17</f>
        <v>0.280514521193093</v>
      </c>
      <c s="82">
        <v>0.2</v>
      </c>
      <c s="82">
        <v>0.2</v>
      </c>
      <c s="82">
        <v>0.2</v>
      </c>
      <c s="82">
        <v>0.2</v>
      </c>
      <c s="82">
        <v>0.2</v>
      </c>
      <c s="83">
        <v>0.2</v>
      </c>
    </row>
    <row customHeight="1" ht="21.375">
      <c s="62" t="s">
        <v>17</v>
      </c>
      <c s="104">
        <f>DCF模型!B24</f>
        <v>-0.301401095153653</v>
      </c>
      <c s="65">
        <f>DCF模型!C24</f>
        <v>-0.008330895424984</v>
      </c>
      <c s="65">
        <f>DCF模型!D24</f>
        <v>-0.072885545304886</v>
      </c>
      <c s="65">
        <f>DCF模型!E24</f>
        <v>-0.134079236977256</v>
      </c>
      <c s="65">
        <f>DCF模型!F24</f>
        <v>-0.520301409493054</v>
      </c>
      <c s="82">
        <v>0.1</v>
      </c>
      <c s="82">
        <v>0.1</v>
      </c>
      <c s="82">
        <v>0.1</v>
      </c>
      <c s="82">
        <v>0.1</v>
      </c>
      <c s="82">
        <v>0.1</v>
      </c>
      <c s="83">
        <v>0.1</v>
      </c>
    </row>
    <row customHeight="1" ht="17.4">
      <c s="86"/>
      <c s="86"/>
      <c s="86"/>
      <c s="86"/>
      <c s="86"/>
      <c s="86"/>
      <c s="86"/>
      <c s="86"/>
      <c s="86"/>
      <c s="86"/>
      <c s="86"/>
      <c s="86"/>
    </row>
    <row customHeight="1" ht="20.625">
      <c s="50" t="s">
        <v>80</v>
      </c>
    </row>
    <row r="21" customHeight="1" ht="17.4">
      <c s="51" t="s">
        <v>80</v>
      </c>
      <c s="52"/>
      <c s="52"/>
      <c s="52"/>
      <c s="52"/>
      <c s="52"/>
      <c s="52"/>
      <c s="52"/>
      <c s="52"/>
      <c s="52"/>
      <c s="52"/>
      <c s="52"/>
    </row>
    <row customHeight="1" ht="21.375">
      <c s="53" t="s">
        <v>3</v>
      </c>
      <c s="54">
        <v>2014</v>
      </c>
      <c s="55">
        <v>2015</v>
      </c>
      <c s="55">
        <v>2016</v>
      </c>
      <c s="55">
        <v>2017</v>
      </c>
      <c s="55">
        <v>2018</v>
      </c>
      <c s="55">
        <v>2019</v>
      </c>
      <c s="55">
        <v>2020</v>
      </c>
      <c s="55">
        <v>2021</v>
      </c>
      <c s="55">
        <v>2022</v>
      </c>
      <c s="55">
        <v>2023</v>
      </c>
      <c s="56">
        <v>2024</v>
      </c>
    </row>
    <row customHeight="1" ht="21.375">
      <c s="67" t="s">
        <v>81</v>
      </c>
      <c s="84"/>
      <c s="70"/>
      <c s="70"/>
      <c s="70"/>
      <c s="70"/>
      <c s="69">
        <v>2</v>
      </c>
      <c s="69">
        <v>2</v>
      </c>
      <c s="69">
        <v>2</v>
      </c>
      <c s="69">
        <v>2</v>
      </c>
      <c s="69">
        <v>2</v>
      </c>
      <c s="105">
        <v>2</v>
      </c>
    </row>
    <row customHeight="1" ht="17.4">
      <c s="86"/>
      <c s="86"/>
      <c s="86"/>
      <c s="86"/>
      <c s="86"/>
      <c s="86"/>
      <c s="86"/>
      <c s="86"/>
      <c s="86"/>
      <c s="86"/>
      <c s="86"/>
      <c s="86"/>
    </row>
    <row customHeight="1" ht="20.625">
      <c s="50" t="s">
        <v>82</v>
      </c>
    </row>
    <row r="27" customHeight="1" ht="17.4">
      <c s="51" t="s">
        <v>82</v>
      </c>
      <c s="52"/>
      <c s="52"/>
      <c s="52"/>
      <c s="52"/>
      <c s="52"/>
      <c s="52"/>
      <c s="52"/>
      <c s="52"/>
      <c s="52"/>
      <c s="52"/>
      <c s="52"/>
    </row>
    <row customHeight="1" ht="21.375">
      <c s="53" t="s">
        <v>3</v>
      </c>
      <c s="54">
        <v>2014</v>
      </c>
      <c s="55">
        <v>2015</v>
      </c>
      <c s="55">
        <v>2016</v>
      </c>
      <c s="55">
        <v>2017</v>
      </c>
      <c s="55">
        <v>2018</v>
      </c>
      <c s="55">
        <v>2019</v>
      </c>
      <c s="55">
        <v>2020</v>
      </c>
      <c s="55">
        <v>2021</v>
      </c>
      <c s="55">
        <v>2022</v>
      </c>
      <c s="55">
        <v>2023</v>
      </c>
      <c s="56">
        <v>2024</v>
      </c>
    </row>
    <row customHeight="1" ht="21.375">
      <c s="67" t="s">
        <v>56</v>
      </c>
      <c s="97">
        <f>DCF模型!B71</f>
        <v>10.61</v>
      </c>
      <c s="88">
        <f>DCF模型!C71</f>
        <v>0</v>
      </c>
      <c s="88">
        <f>DCF模型!D71</f>
        <v>0.0017</v>
      </c>
      <c s="88">
        <f>DCF模型!E71</f>
        <v>14.69</v>
      </c>
      <c s="88">
        <f>DCF模型!F71</f>
        <v>0.52979</v>
      </c>
      <c s="69">
        <v>10</v>
      </c>
      <c s="69">
        <v>10</v>
      </c>
      <c s="69">
        <v>10</v>
      </c>
      <c s="69">
        <v>10</v>
      </c>
      <c s="69">
        <v>10</v>
      </c>
      <c s="105">
        <v>10</v>
      </c>
    </row>
    <row customHeight="1" ht="17.4">
      <c s="86"/>
      <c s="86"/>
      <c s="86"/>
      <c s="86"/>
      <c s="86"/>
      <c s="86"/>
      <c s="86"/>
      <c s="86"/>
      <c s="86"/>
      <c s="86"/>
      <c s="86"/>
      <c s="86"/>
    </row>
  </sheetData>
  <sheetProtection sheet="1" objects="1"/>
  <mergeCells count="8">
    <mergeCell ref="A3:L3"/>
    <mergeCell ref="A5:L5"/>
    <mergeCell ref="A10:L10"/>
    <mergeCell ref="A12:L12"/>
    <mergeCell ref="A19:L19"/>
    <mergeCell ref="A21:L21"/>
    <mergeCell ref="A25:L25"/>
    <mergeCell ref="A27:L27"/>
  </mergeCel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BF354341-B984-B2D9-40E6-45CCFB27DF07}" mc:Ignorable="x14ac">
  <dimension ref="A1:AH102"/>
  <sheetViews>
    <sheetView topLeftCell="A1" showGridLines="0" workbookViewId="0">
      <selection activeCell="A1" sqref="A1"/>
    </sheetView>
  </sheetViews>
  <sheetFormatPr defaultColWidth="3.53125" customHeight="1" defaultRowHeight="17.4"/>
  <cols>
    <col min="1" max="1" width="27.50390625" customWidth="1"/>
    <col min="2" max="12" width="12.125" customWidth="1"/>
  </cols>
  <sheetData>
    <row s="106" customFormat="1" customHeight="1" ht="17.4">
      <c s="49" t="s">
        <v>0</v>
      </c>
    </row>
    <row r="3" customHeight="1" ht="20.625">
      <c s="50" t="s">
        <v>68</v>
      </c>
    </row>
    <row r="5" customHeight="1" ht="17.4">
      <c s="51" t="s">
        <v>68</v>
      </c>
      <c s="52"/>
      <c s="52"/>
      <c s="52"/>
      <c s="52"/>
      <c s="52"/>
      <c s="52"/>
      <c s="52"/>
      <c s="52"/>
      <c s="52"/>
      <c s="52"/>
      <c s="52"/>
    </row>
    <row customHeight="1" ht="21.375">
      <c s="53" t="s">
        <v>3</v>
      </c>
      <c s="54">
        <v>2014</v>
      </c>
      <c s="55">
        <v>2015</v>
      </c>
      <c s="55">
        <v>2016</v>
      </c>
      <c s="55">
        <v>2017</v>
      </c>
      <c s="55">
        <v>2018</v>
      </c>
      <c s="55">
        <v>2019</v>
      </c>
      <c s="55">
        <v>2020</v>
      </c>
      <c s="55">
        <v>2021</v>
      </c>
      <c s="55">
        <v>2022</v>
      </c>
      <c s="55">
        <v>2023</v>
      </c>
      <c s="56">
        <v>2024</v>
      </c>
    </row>
    <row customHeight="1" ht="21.375">
      <c s="67" t="s">
        <v>51</v>
      </c>
      <c s="97">
        <f>B48</f>
        <v>0.03363</v>
      </c>
      <c s="88">
        <f>C48</f>
        <v>0.08736</v>
      </c>
      <c s="88">
        <f>D48</f>
        <v>0.02064</v>
      </c>
      <c s="88">
        <f>E48</f>
        <v>0.05718</v>
      </c>
      <c s="88">
        <f>F48</f>
        <v>0.06054</v>
      </c>
      <c s="88">
        <f>G48</f>
        <v>0.05187</v>
      </c>
      <c s="88">
        <f>H48</f>
        <v>0.05187</v>
      </c>
      <c s="88">
        <f>I48</f>
        <v>0.05187</v>
      </c>
      <c s="88">
        <f>J48</f>
        <v>0.05187</v>
      </c>
      <c s="88">
        <f>K48</f>
        <v>0.05187</v>
      </c>
      <c s="89">
        <f>L48</f>
        <v>0.05187</v>
      </c>
    </row>
    <row customHeight="1" ht="21.375">
      <c s="67" t="s">
        <v>83</v>
      </c>
      <c s="84"/>
      <c s="98">
        <f>DCF模型!C43-DCF模型!B43</f>
        <v>0</v>
      </c>
      <c s="98">
        <f>DCF模型!D43-DCF模型!C43</f>
        <v>0.19123</v>
      </c>
      <c s="98">
        <f>DCF模型!E43-DCF模型!D43</f>
        <v>0</v>
      </c>
      <c s="98">
        <f>DCF模型!F43-DCF模型!E43</f>
        <v>0.07883</v>
      </c>
      <c s="70">
        <f>AVERAGE(B8,C8,D8,E8,F8)</f>
        <v>0.067515</v>
      </c>
      <c s="70">
        <f>AVERAGE(B8,C8,D8,E8,F8)</f>
        <v>0.067515</v>
      </c>
      <c s="70">
        <f>AVERAGE(B8,C8,D8,E8,F8)</f>
        <v>0.067515</v>
      </c>
      <c s="70">
        <f>AVERAGE(B8,C8,D8,E8,F8)</f>
        <v>0.067515</v>
      </c>
      <c s="70">
        <f>AVERAGE(B8,C8,D8,E8,F8)</f>
        <v>0.067515</v>
      </c>
      <c s="71">
        <f>AVERAGE(B8,C8,D8,E8,F8)</f>
        <v>0.067515</v>
      </c>
    </row>
    <row customHeight="1" ht="21.375">
      <c s="85" t="s">
        <v>84</v>
      </c>
      <c s="97">
        <f>DCF模型!B43</f>
        <v>0</v>
      </c>
      <c s="88">
        <f>DCF模型!C43</f>
        <v>0</v>
      </c>
      <c s="88">
        <f>DCF模型!D43</f>
        <v>0.19123</v>
      </c>
      <c s="88">
        <f>DCF模型!E43</f>
        <v>0.19123</v>
      </c>
      <c s="88">
        <f>DCF模型!F43</f>
        <v>0.27006</v>
      </c>
      <c s="70">
        <f>F9+G8</f>
        <v>0.337575</v>
      </c>
      <c s="70">
        <f>G9+H8</f>
        <v>0.40509</v>
      </c>
      <c s="70">
        <f>H9+I8</f>
        <v>0.472605</v>
      </c>
      <c s="70">
        <f>I9+J8</f>
        <v>0.54012</v>
      </c>
      <c s="70">
        <f>J9+K8</f>
        <v>0.607635</v>
      </c>
      <c s="71">
        <f>K9+L8</f>
        <v>0.67515</v>
      </c>
    </row>
    <row customHeight="1" ht="21.375">
      <c s="67" t="s">
        <v>85</v>
      </c>
      <c s="84"/>
      <c s="98">
        <f>DCF模型!C44-DCF模型!B44</f>
        <v>1.1</v>
      </c>
      <c s="98">
        <f>DCF模型!D44-DCF模型!C44</f>
        <v>1.67</v>
      </c>
      <c s="98">
        <f>DCF模型!E44-DCF模型!D44</f>
        <v>-2.21079</v>
      </c>
      <c s="98">
        <f>DCF模型!F44-DCF模型!E44</f>
        <v>-0.16549</v>
      </c>
      <c s="70">
        <f>AVERAGE(B10,C10,D10,E10,F10)</f>
        <v>0.09843</v>
      </c>
      <c s="70">
        <f>AVERAGE(B10,C10,D10,E10,F10)</f>
        <v>0.09843</v>
      </c>
      <c s="70">
        <f>AVERAGE(B10,C10,D10,E10,F10)</f>
        <v>0.09843</v>
      </c>
      <c s="70">
        <f>AVERAGE(B10,C10,D10,E10,F10)</f>
        <v>0.09843</v>
      </c>
      <c s="70">
        <f>AVERAGE(B10,C10,D10,E10,F10)</f>
        <v>0.09843</v>
      </c>
      <c s="71">
        <f>AVERAGE(B10,C10,D10,E10,F10)</f>
        <v>0.09843</v>
      </c>
    </row>
    <row customHeight="1" ht="21.375">
      <c s="85" t="s">
        <v>33</v>
      </c>
      <c s="107">
        <f>DCF模型!B44</f>
        <v>0</v>
      </c>
      <c s="98">
        <f>DCF模型!C44</f>
        <v>1.1</v>
      </c>
      <c s="98">
        <f>DCF模型!D44</f>
        <v>2.77</v>
      </c>
      <c s="98">
        <f>DCF模型!E44</f>
        <v>0.55921</v>
      </c>
      <c s="98">
        <f>DCF模型!F44</f>
        <v>0.39372</v>
      </c>
      <c s="70">
        <f>F11+G10</f>
        <v>0.49215</v>
      </c>
      <c s="70">
        <f>G11+H10</f>
        <v>0.59058</v>
      </c>
      <c s="70">
        <f>H11+I10</f>
        <v>0.68901</v>
      </c>
      <c s="70">
        <f>I11+J10</f>
        <v>0.78744</v>
      </c>
      <c s="70">
        <f>J11+K10</f>
        <v>0.88587</v>
      </c>
      <c s="71">
        <f>K11+L10</f>
        <v>0.9843</v>
      </c>
    </row>
    <row customHeight="1" ht="21.375">
      <c s="57" t="s">
        <v>68</v>
      </c>
      <c s="79">
        <f>B7+B10+B77</f>
        <v>0.03363</v>
      </c>
      <c s="60">
        <f>C7+C10+C77</f>
        <v>1.43736</v>
      </c>
      <c s="60">
        <f>D7+D10+D77</f>
        <v>5.40064</v>
      </c>
      <c s="60">
        <f>E7+E10+E77</f>
        <v>2.31639</v>
      </c>
      <c s="60">
        <f>F7+F10+F77</f>
        <v>15.78505</v>
      </c>
      <c s="60">
        <f>G7+G10+G77</f>
        <v>6.2303</v>
      </c>
      <c s="60">
        <f>H7+H10+H77</f>
        <v>6.2303</v>
      </c>
      <c s="60">
        <f>I7+I10+I77</f>
        <v>6.2303</v>
      </c>
      <c s="60">
        <f>J7+J10+J77</f>
        <v>6.2303</v>
      </c>
      <c s="60">
        <f>K7+K10+K77</f>
        <v>6.2303</v>
      </c>
      <c s="61">
        <f>L7+L10+L77</f>
        <v>6.2303</v>
      </c>
    </row>
    <row customHeight="1" ht="21.375">
      <c s="67" t="s">
        <v>86</v>
      </c>
      <c s="97">
        <f>DCF模型!B67</f>
        <v>0</v>
      </c>
      <c s="88">
        <f>DCF模型!C67</f>
        <v>0</v>
      </c>
      <c s="88">
        <f>DCF模型!D67</f>
        <v>3.5</v>
      </c>
      <c s="88">
        <f>DCF模型!E67</f>
        <v>5.39</v>
      </c>
      <c s="88">
        <f>DCF模型!F67</f>
        <v>32.75</v>
      </c>
      <c s="70">
        <f>G75+G77+G10+G79+G8</f>
        <v>11.35846</v>
      </c>
      <c s="70">
        <f>H75+H77+H10+H79+H8</f>
        <v>11.35846</v>
      </c>
      <c s="70">
        <f>I75+I77+I10+I79+I8</f>
        <v>11.35846</v>
      </c>
      <c s="70">
        <f>J75+J77+J10+J79+J8</f>
        <v>11.35846</v>
      </c>
      <c s="70">
        <f>K75+K77+K10+K79+K8</f>
        <v>11.35846</v>
      </c>
      <c s="71">
        <f>L75+L77+L10+L79+L8</f>
        <v>11.35846</v>
      </c>
    </row>
    <row customHeight="1" ht="17.4">
      <c s="86"/>
      <c s="86"/>
      <c s="86"/>
      <c s="86"/>
      <c s="86"/>
      <c s="86"/>
      <c s="86"/>
      <c s="86"/>
      <c s="86"/>
      <c s="86"/>
      <c s="86"/>
      <c s="86"/>
    </row>
    <row customHeight="1" ht="20.625">
      <c s="50" t="s">
        <v>87</v>
      </c>
    </row>
    <row r="17" customHeight="1" ht="17.4">
      <c s="51" t="s">
        <v>87</v>
      </c>
      <c s="52"/>
      <c s="52"/>
      <c s="52"/>
      <c s="52"/>
      <c s="52"/>
      <c s="52"/>
      <c s="52"/>
      <c s="52"/>
      <c s="52"/>
      <c s="52"/>
      <c s="52"/>
    </row>
    <row customHeight="1" ht="21.375">
      <c s="53" t="s">
        <v>3</v>
      </c>
      <c s="54">
        <v>2014</v>
      </c>
      <c s="55">
        <v>2015</v>
      </c>
      <c s="55">
        <v>2016</v>
      </c>
      <c s="55">
        <v>2017</v>
      </c>
      <c s="55">
        <v>2018</v>
      </c>
      <c s="55">
        <v>2019</v>
      </c>
      <c s="55">
        <v>2020</v>
      </c>
      <c s="55">
        <v>2021</v>
      </c>
      <c s="55">
        <v>2022</v>
      </c>
      <c s="55">
        <v>2023</v>
      </c>
      <c s="56">
        <v>2024</v>
      </c>
    </row>
    <row customHeight="1" ht="21.375">
      <c s="67" t="s">
        <v>88</v>
      </c>
      <c s="84"/>
      <c s="98">
        <f>DCF模型!C49-DCF模型!B49</f>
        <v>0</v>
      </c>
      <c s="98">
        <f>DCF模型!D49-DCF模型!C49</f>
        <v>0</v>
      </c>
      <c s="98">
        <f>DCF模型!E49-DCF模型!D49</f>
        <v>0</v>
      </c>
      <c s="98">
        <f>DCF模型!F49-DCF模型!E49</f>
        <v>17</v>
      </c>
      <c s="70">
        <f>AVERAGE(B19,C19,D19,E19,F19)</f>
        <v>4.25</v>
      </c>
      <c s="70">
        <f>AVERAGE(B19,C19,D19,E19,F19)</f>
        <v>4.25</v>
      </c>
      <c s="70">
        <f>AVERAGE(B19,C19,D19,E19,F19)</f>
        <v>4.25</v>
      </c>
      <c s="70">
        <f>AVERAGE(B19,C19,D19,E19,F19)</f>
        <v>4.25</v>
      </c>
      <c s="70">
        <f>AVERAGE(B19,C19,D19,E19,F19)</f>
        <v>4.25</v>
      </c>
      <c s="71">
        <f>AVERAGE(B19,C19,D19,E19,F19)</f>
        <v>4.25</v>
      </c>
    </row>
    <row customHeight="1" ht="21.375">
      <c s="85" t="s">
        <v>38</v>
      </c>
      <c s="97">
        <f>DCF模型!B49</f>
        <v>0</v>
      </c>
      <c s="88">
        <f>DCF模型!C49</f>
        <v>0</v>
      </c>
      <c s="88">
        <f>DCF模型!D49</f>
        <v>0</v>
      </c>
      <c s="88">
        <f>DCF模型!E49</f>
        <v>0</v>
      </c>
      <c s="88">
        <f>DCF模型!F49</f>
        <v>17</v>
      </c>
      <c s="70">
        <f>F20+G19</f>
        <v>21.25</v>
      </c>
      <c s="70">
        <f>G20+H19</f>
        <v>25.5</v>
      </c>
      <c s="70">
        <f>H20+I19</f>
        <v>29.75</v>
      </c>
      <c s="70">
        <f>I20+J19</f>
        <v>34</v>
      </c>
      <c s="70">
        <f>J20+K19</f>
        <v>38.25</v>
      </c>
      <c s="71">
        <f>K20+L19</f>
        <v>42.5</v>
      </c>
    </row>
    <row customHeight="1" ht="21.375">
      <c s="67" t="s">
        <v>89</v>
      </c>
      <c s="84"/>
      <c s="98">
        <f>DCF模型!C52-DCF模型!B52</f>
        <v>0</v>
      </c>
      <c s="98">
        <f>DCF模型!D52-DCF模型!C52</f>
        <v>2</v>
      </c>
      <c s="98">
        <f>DCF模型!E52-DCF模型!D52</f>
        <v>-2</v>
      </c>
      <c s="98">
        <f>DCF模型!F52-DCF模型!E52</f>
        <v>0</v>
      </c>
      <c s="70">
        <f>AVERAGE(B21,C21,D21,E21,F21)</f>
        <v>0</v>
      </c>
      <c s="70">
        <f>AVERAGE(B21,C21,D21,E21,F21)</f>
        <v>0</v>
      </c>
      <c s="70">
        <f>AVERAGE(B21,C21,D21,E21,F21)</f>
        <v>0</v>
      </c>
      <c s="70">
        <f>AVERAGE(B21,C21,D21,E21,F21)</f>
        <v>0</v>
      </c>
      <c s="70">
        <f>AVERAGE(B21,C21,D21,E21,F21)</f>
        <v>0</v>
      </c>
      <c s="71">
        <f>AVERAGE(B21,C21,D21,E21,F21)</f>
        <v>0</v>
      </c>
    </row>
    <row customHeight="1" ht="21.375">
      <c s="85" t="s">
        <v>41</v>
      </c>
      <c s="97">
        <f>DCF模型!B52</f>
        <v>0</v>
      </c>
      <c s="88">
        <f>DCF模型!C52</f>
        <v>0</v>
      </c>
      <c s="88">
        <f>DCF模型!D52</f>
        <v>2</v>
      </c>
      <c s="88">
        <f>DCF模型!E52</f>
        <v>0</v>
      </c>
      <c s="88">
        <f>DCF模型!F52</f>
        <v>0</v>
      </c>
      <c s="70">
        <f>F22+G21</f>
        <v>0</v>
      </c>
      <c s="70">
        <f>G22+H21</f>
        <v>0</v>
      </c>
      <c s="70">
        <f>H22+I21</f>
        <v>0</v>
      </c>
      <c s="70">
        <f>I22+J21</f>
        <v>0</v>
      </c>
      <c s="70">
        <f>J22+K21</f>
        <v>0</v>
      </c>
      <c s="71">
        <f>K22+L21</f>
        <v>0</v>
      </c>
    </row>
    <row customHeight="1" ht="21.375">
      <c s="57" t="s">
        <v>55</v>
      </c>
      <c s="79">
        <f>B19+B21</f>
        <v>0</v>
      </c>
      <c s="60">
        <f>C19+C21</f>
        <v>0</v>
      </c>
      <c s="60">
        <f>D19+D21</f>
        <v>2</v>
      </c>
      <c s="60">
        <f>E19+E21</f>
        <v>-2</v>
      </c>
      <c s="60">
        <f>F19+F21</f>
        <v>17</v>
      </c>
      <c s="60">
        <f>G19+G21</f>
        <v>4.25</v>
      </c>
      <c s="60">
        <f>H19+H21</f>
        <v>4.25</v>
      </c>
      <c s="60">
        <f>I19+I21</f>
        <v>4.25</v>
      </c>
      <c s="60">
        <f>J19+J21</f>
        <v>4.25</v>
      </c>
      <c s="60">
        <f>K19+K21</f>
        <v>4.25</v>
      </c>
      <c s="61">
        <f>L19+L21</f>
        <v>4.25</v>
      </c>
    </row>
    <row customHeight="1" ht="21.375">
      <c s="78" t="s">
        <v>56</v>
      </c>
      <c s="93">
        <f>DCF模型!B71</f>
        <v>10.61</v>
      </c>
      <c s="94">
        <f>DCF模型!C71</f>
        <v>0</v>
      </c>
      <c s="94">
        <f>DCF模型!D71</f>
        <v>0.0017</v>
      </c>
      <c s="94">
        <f>DCF模型!E71</f>
        <v>14.69</v>
      </c>
      <c s="94">
        <f>DCF模型!F71</f>
        <v>0.52979</v>
      </c>
      <c s="94">
        <f>假设!G29</f>
        <v>10</v>
      </c>
      <c s="94">
        <f>假设!H29</f>
        <v>10</v>
      </c>
      <c s="94">
        <f>假设!I29</f>
        <v>10</v>
      </c>
      <c s="94">
        <f>假设!J29</f>
        <v>10</v>
      </c>
      <c s="94">
        <f>假设!K29</f>
        <v>10</v>
      </c>
      <c s="108">
        <f>假设!L29</f>
        <v>10</v>
      </c>
    </row>
    <row customHeight="1" ht="21.375">
      <c s="67" t="s">
        <v>90</v>
      </c>
      <c s="97">
        <f>DCF模型!B73</f>
        <v>0</v>
      </c>
      <c s="88">
        <f>DCF模型!C73</f>
        <v>0</v>
      </c>
      <c s="88">
        <f>DCF模型!D73</f>
        <v>0</v>
      </c>
      <c s="88">
        <f>DCF模型!E73</f>
        <v>0</v>
      </c>
      <c s="88">
        <f>DCF模型!F73</f>
        <v>0</v>
      </c>
      <c s="70">
        <f>AVERAGE(B25,C25,D25,E25,F25)</f>
        <v>0</v>
      </c>
      <c s="70">
        <f>AVERAGE(B25,C25,D25,E25,F25)</f>
        <v>0</v>
      </c>
      <c s="70">
        <f>AVERAGE(B25,C25,D25,E25,F25)</f>
        <v>0</v>
      </c>
      <c s="70">
        <f>AVERAGE(B25,C25,D25,E25,F25)</f>
        <v>0</v>
      </c>
      <c s="70">
        <f>AVERAGE(B25,C25,D25,E25,F25)</f>
        <v>0</v>
      </c>
      <c s="71">
        <f>AVERAGE(B25,C25,D25,E25,F25)</f>
        <v>0</v>
      </c>
    </row>
    <row customHeight="1" ht="21.375">
      <c s="85" t="s">
        <v>81</v>
      </c>
      <c s="84">
        <f>0</f>
        <v>0</v>
      </c>
      <c s="70">
        <f>0</f>
        <v>0</v>
      </c>
      <c s="70">
        <f>0</f>
        <v>0</v>
      </c>
      <c s="70">
        <f>0</f>
        <v>0</v>
      </c>
      <c s="70">
        <f>0</f>
        <v>0</v>
      </c>
      <c s="88">
        <f>假设!G23</f>
        <v>2</v>
      </c>
      <c s="88">
        <f>假设!H23</f>
        <v>2</v>
      </c>
      <c s="88">
        <f>假设!I23</f>
        <v>2</v>
      </c>
      <c s="88">
        <f>假设!J23</f>
        <v>2</v>
      </c>
      <c s="88">
        <f>假设!K23</f>
        <v>2</v>
      </c>
      <c s="89">
        <f>假设!L23</f>
        <v>2</v>
      </c>
    </row>
    <row customHeight="1" ht="21.375">
      <c s="85" t="s">
        <v>91</v>
      </c>
      <c s="107">
        <f>MAX(B26-DCF模型!B78,0)</f>
        <v>0</v>
      </c>
      <c s="98">
        <f>MAX(C26-DCF模型!C78,0)</f>
        <v>0</v>
      </c>
      <c s="98">
        <f>MAX(D26-DCF模型!D78,0)</f>
        <v>0</v>
      </c>
      <c s="98">
        <f>MAX(E26-DCF模型!E78,0)</f>
        <v>0</v>
      </c>
      <c s="98">
        <f>MAX(F26-DCF模型!F78,0)</f>
        <v>0</v>
      </c>
      <c s="98">
        <f>MAX(G26-DCF模型!G78,0)</f>
        <v>0</v>
      </c>
      <c s="98">
        <f>MAX(H26-DCF模型!H78,0)</f>
        <v>0</v>
      </c>
      <c s="98">
        <f>MAX(I26-DCF模型!I78,0)</f>
        <v>0</v>
      </c>
      <c s="98">
        <f>MAX(J26-DCF模型!J78,0)</f>
        <v>0</v>
      </c>
      <c s="98">
        <f>MAX(K26-DCF模型!K78,0)</f>
        <v>0</v>
      </c>
      <c s="99">
        <f>MAX(L26-DCF模型!L78,0)</f>
        <v>0</v>
      </c>
    </row>
    <row customHeight="1" ht="17.4">
      <c s="86"/>
      <c s="86"/>
      <c s="86"/>
      <c s="86"/>
      <c s="86"/>
      <c s="86"/>
      <c s="86"/>
      <c s="86"/>
      <c s="86"/>
      <c s="86"/>
      <c s="86"/>
      <c s="86"/>
    </row>
    <row customHeight="1" ht="20.625">
      <c s="50" t="s">
        <v>92</v>
      </c>
    </row>
    <row r="31" customHeight="1" ht="17.4">
      <c s="51" t="s">
        <v>92</v>
      </c>
      <c s="52"/>
      <c s="52"/>
      <c s="52"/>
      <c s="52"/>
      <c s="52"/>
      <c s="52"/>
      <c s="52"/>
      <c s="52"/>
      <c s="52"/>
      <c s="52"/>
      <c s="52"/>
    </row>
    <row customHeight="1" ht="21.375">
      <c s="53" t="s">
        <v>3</v>
      </c>
      <c s="54">
        <v>2014</v>
      </c>
      <c s="55">
        <v>2015</v>
      </c>
      <c s="55">
        <v>2016</v>
      </c>
      <c s="55">
        <v>2017</v>
      </c>
      <c s="55">
        <v>2018</v>
      </c>
      <c s="55">
        <v>2019</v>
      </c>
      <c s="55">
        <v>2020</v>
      </c>
      <c s="55">
        <v>2021</v>
      </c>
      <c s="55">
        <v>2022</v>
      </c>
      <c s="55">
        <v>2023</v>
      </c>
      <c s="56">
        <v>2024</v>
      </c>
    </row>
    <row customHeight="1" ht="21.375">
      <c s="67" t="s">
        <v>25</v>
      </c>
      <c s="97">
        <f>DCF模型!B36</f>
        <v>0.0107</v>
      </c>
      <c s="88">
        <f>DCF模型!C36</f>
        <v>0.00106</v>
      </c>
      <c s="88">
        <f>DCF模型!D36</f>
        <v>0.38501</v>
      </c>
      <c s="88">
        <f>DCF模型!E36</f>
        <v>0.91373</v>
      </c>
      <c s="88">
        <f>DCF模型!F36</f>
        <v>3.65</v>
      </c>
      <c s="98">
        <f>DCF模型!G9*G34</f>
        <v>4.64608647448431</v>
      </c>
      <c s="98">
        <f>DCF模型!H9*H34</f>
        <v>8.36295565407175</v>
      </c>
      <c s="98">
        <f>DCF模型!I9*I34</f>
        <v>13.3807290465148</v>
      </c>
      <c s="98">
        <f>DCF模型!J9*J34</f>
        <v>18.7330206651207</v>
      </c>
      <c s="98">
        <f>DCF模型!K9*K34</f>
        <v>22.4796247981449</v>
      </c>
      <c s="99">
        <f>DCF模型!L9*L34</f>
        <v>24.7275872779594</v>
      </c>
    </row>
    <row customHeight="1" ht="21.375">
      <c s="62" t="s">
        <v>7</v>
      </c>
      <c s="109">
        <f>B33/DCF模型!B9</f>
        <v>0.035973641742873</v>
      </c>
      <c s="110">
        <f>C33/DCF模型!C9</f>
        <v>0.001872956974998</v>
      </c>
      <c s="110">
        <f>D33/DCF模型!D9</f>
        <v>0.081054736842105</v>
      </c>
      <c s="110">
        <f>E33/DCF模型!E9</f>
        <v>0.03740196479738</v>
      </c>
      <c s="110">
        <f>F33/DCF模型!F9</f>
        <v>0.071624803767661</v>
      </c>
      <c s="64">
        <f>AVERAGE(B34,C34,D34,E34,F34)</f>
        <v>0.045585620825003</v>
      </c>
      <c s="64">
        <f>AVERAGE(B34,C34,D34,E34,F34)</f>
        <v>0.045585620825003</v>
      </c>
      <c s="64">
        <f>AVERAGE(B34,C34,D34,E34,F34)</f>
        <v>0.045585620825003</v>
      </c>
      <c s="64">
        <f>AVERAGE(B34,C34,D34,E34,F34)</f>
        <v>0.045585620825003</v>
      </c>
      <c s="64">
        <f>AVERAGE(B34,C34,D34,E34,F34)</f>
        <v>0.045585620825003</v>
      </c>
      <c s="72">
        <f>AVERAGE(B34,C34,D34,E34,F34)</f>
        <v>0.045585620825003</v>
      </c>
    </row>
    <row customHeight="1" ht="21.375">
      <c s="67" t="s">
        <v>26</v>
      </c>
      <c s="97">
        <f>DCF模型!B37</f>
        <v>0</v>
      </c>
      <c s="88">
        <f>DCF模型!C37</f>
        <v>0</v>
      </c>
      <c s="88">
        <f>DCF模型!D37</f>
        <v>1.52</v>
      </c>
      <c s="88">
        <f>DCF模型!E37</f>
        <v>4.42</v>
      </c>
      <c s="88">
        <f>DCF模型!F37</f>
        <v>5.96</v>
      </c>
      <c s="98">
        <f>DCF模型!G9*G36</f>
        <v>12.5948570773639</v>
      </c>
      <c s="98">
        <f>DCF模型!H9*H36</f>
        <v>22.6707427392551</v>
      </c>
      <c s="98">
        <f>DCF模型!I9*I36</f>
        <v>36.2731883828081</v>
      </c>
      <c s="98">
        <f>DCF模型!J9*J36</f>
        <v>50.7824637359314</v>
      </c>
      <c s="98">
        <f>DCF模型!K9*K36</f>
        <v>60.9389564831176</v>
      </c>
      <c s="99">
        <f>DCF模型!L9*L36</f>
        <v>67.0328521314294</v>
      </c>
    </row>
    <row customHeight="1" ht="21.375">
      <c s="62" t="s">
        <v>7</v>
      </c>
      <c s="109">
        <f>B35/DCF模型!B9</f>
        <v>0</v>
      </c>
      <c s="110">
        <f>C35/DCF模型!C9</f>
        <v>0</v>
      </c>
      <c s="110">
        <f>D35/DCF模型!D9</f>
        <v>0.32</v>
      </c>
      <c s="110">
        <f>E35/DCF模型!E9</f>
        <v>0.180925092099877</v>
      </c>
      <c s="110">
        <f>F35/DCF模型!F9</f>
        <v>0.116954474097331</v>
      </c>
      <c s="64">
        <f>AVERAGE(B36,C36,D36,E36,F36)</f>
        <v>0.123575913239442</v>
      </c>
      <c s="64">
        <f>AVERAGE(B36,C36,D36,E36,F36)</f>
        <v>0.123575913239442</v>
      </c>
      <c s="64">
        <f>AVERAGE(B36,C36,D36,E36,F36)</f>
        <v>0.123575913239442</v>
      </c>
      <c s="64">
        <f>AVERAGE(B36,C36,D36,E36,F36)</f>
        <v>0.123575913239442</v>
      </c>
      <c s="64">
        <f>AVERAGE(B36,C36,D36,E36,F36)</f>
        <v>0.123575913239442</v>
      </c>
      <c s="72">
        <f>AVERAGE(B36,C36,D36,E36,F36)</f>
        <v>0.123575913239442</v>
      </c>
    </row>
    <row customHeight="1" ht="21.375">
      <c s="67" t="s">
        <v>37</v>
      </c>
      <c s="97">
        <f>DCF模型!B48</f>
        <v>0.03653</v>
      </c>
      <c s="88">
        <f>DCF模型!C48</f>
        <v>0.03751</v>
      </c>
      <c s="88">
        <f>DCF模型!D48</f>
        <v>1.26</v>
      </c>
      <c s="88">
        <f>DCF模型!E48</f>
        <v>3.23</v>
      </c>
      <c s="88">
        <f>DCF模型!F48</f>
        <v>9.03</v>
      </c>
      <c s="98">
        <f>DCF模型!G13*G38</f>
        <v>16.1994936614818</v>
      </c>
      <c s="98">
        <f>DCF模型!H13*H38</f>
        <v>29.1590885906672</v>
      </c>
      <c s="98">
        <f>DCF模型!I13*I38</f>
        <v>46.6545417450676</v>
      </c>
      <c s="98">
        <f>DCF模型!J13*J38</f>
        <v>65.3163584430946</v>
      </c>
      <c s="98">
        <f>DCF模型!K13*K38</f>
        <v>78.3796301317135</v>
      </c>
      <c s="99">
        <f>DCF模型!L13*L38</f>
        <v>86.2175931448848</v>
      </c>
    </row>
    <row customHeight="1" ht="21.375">
      <c s="62" t="s">
        <v>93</v>
      </c>
      <c s="109">
        <f>B37/DCF模型!B13</f>
        <v>0.265094339622642</v>
      </c>
      <c s="110">
        <f>C37/DCF模型!C13</f>
        <v>0.201644984410278</v>
      </c>
      <c s="110">
        <f>D37/DCF模型!D13</f>
        <v>0.4375</v>
      </c>
      <c s="110">
        <f>E37/DCF模型!E13</f>
        <v>0.180446927374302</v>
      </c>
      <c s="110">
        <f>F37/DCF模型!F13</f>
        <v>0.239840637450199</v>
      </c>
      <c s="64">
        <f>AVERAGE(B38,C38,D38,E38,F38)</f>
        <v>0.264905377771484</v>
      </c>
      <c s="64">
        <f>AVERAGE(B38,C38,D38,E38,F38)</f>
        <v>0.264905377771484</v>
      </c>
      <c s="64">
        <f>AVERAGE(B38,C38,D38,E38,F38)</f>
        <v>0.264905377771484</v>
      </c>
      <c s="64">
        <f>AVERAGE(B38,C38,D38,E38,F38)</f>
        <v>0.264905377771484</v>
      </c>
      <c s="64">
        <f>AVERAGE(B38,C38,D38,E38,F38)</f>
        <v>0.264905377771484</v>
      </c>
      <c s="72">
        <f>AVERAGE(B38,C38,D38,E38,F38)</f>
        <v>0.264905377771484</v>
      </c>
    </row>
    <row customHeight="1" ht="21.375">
      <c s="78" t="s">
        <v>94</v>
      </c>
      <c s="79">
        <f>B33+B35-B37</f>
        <v>-0.02583</v>
      </c>
      <c s="60">
        <f>C33+C35-C37</f>
        <v>-0.03645</v>
      </c>
      <c s="60">
        <f>D33+D35-D37</f>
        <v>0.64501</v>
      </c>
      <c s="60">
        <f>E33+E35-E37</f>
        <v>2.10373</v>
      </c>
      <c s="60">
        <f>F33+F35-F37</f>
        <v>0.58</v>
      </c>
      <c s="60">
        <f>G33+G35-G37</f>
        <v>1.04144989036641</v>
      </c>
      <c s="60">
        <f>H33+H35-H37</f>
        <v>1.87460980265965</v>
      </c>
      <c s="60">
        <f>I33+I35-I37</f>
        <v>2.99937568425531</v>
      </c>
      <c s="60">
        <f>J33+J35-J37</f>
        <v>4.19912595795751</v>
      </c>
      <c s="60">
        <f>K33+K35-K37</f>
        <v>5.03895114954901</v>
      </c>
      <c s="61">
        <f>L33+L35-L37</f>
        <v>5.54284626450399</v>
      </c>
    </row>
    <row customHeight="1" ht="17.4">
      <c s="86"/>
      <c s="86"/>
      <c s="86"/>
      <c s="86"/>
      <c s="86"/>
      <c s="86"/>
      <c s="86"/>
      <c s="86"/>
      <c s="86"/>
      <c s="86"/>
      <c s="86"/>
      <c s="86"/>
    </row>
    <row customHeight="1" ht="20.625">
      <c s="50" t="s">
        <v>30</v>
      </c>
    </row>
    <row r="43" customHeight="1" ht="17.4">
      <c s="51" t="s">
        <v>30</v>
      </c>
      <c s="52"/>
      <c s="52"/>
      <c s="52"/>
      <c s="52"/>
      <c s="52"/>
      <c s="52"/>
      <c s="52"/>
      <c s="52"/>
      <c s="52"/>
      <c s="52"/>
      <c s="52"/>
    </row>
    <row customHeight="1" ht="21.375">
      <c s="53" t="s">
        <v>3</v>
      </c>
      <c s="54">
        <v>2014</v>
      </c>
      <c s="55">
        <v>2015</v>
      </c>
      <c s="55">
        <v>2016</v>
      </c>
      <c s="55">
        <v>2017</v>
      </c>
      <c s="55">
        <v>2018</v>
      </c>
      <c s="55">
        <v>2019</v>
      </c>
      <c s="55">
        <v>2020</v>
      </c>
      <c s="55">
        <v>2021</v>
      </c>
      <c s="55">
        <v>2022</v>
      </c>
      <c s="55">
        <v>2023</v>
      </c>
      <c s="56">
        <v>2024</v>
      </c>
    </row>
    <row customHeight="1" ht="21.375">
      <c s="67" t="s">
        <v>95</v>
      </c>
      <c s="97">
        <f>DCF模型!B41</f>
        <v>0.0418</v>
      </c>
      <c s="88">
        <f>DCF模型!C41</f>
        <v>0.06546</v>
      </c>
      <c s="88">
        <f>DCF模型!D41</f>
        <v>0.05065</v>
      </c>
      <c s="88">
        <f>DCF模型!E41</f>
        <v>0.06274</v>
      </c>
      <c s="88">
        <f>DCF模型!F41</f>
        <v>0.0888</v>
      </c>
      <c s="70">
        <f>F45-G46+G48</f>
        <v>0.13067</v>
      </c>
      <c s="70">
        <f>G45-H46+H48</f>
        <v>0.17254</v>
      </c>
      <c s="70">
        <f>H45-I46+I48</f>
        <v>0.21441</v>
      </c>
      <c s="70">
        <f>I45-J46+J48</f>
        <v>0.25628</v>
      </c>
      <c s="70">
        <f>J45-K46+K48</f>
        <v>0.29815</v>
      </c>
      <c s="71">
        <f>K45-L46+L48</f>
        <v>0.34002</v>
      </c>
    </row>
    <row customHeight="1" ht="21.375">
      <c s="67" t="s">
        <v>96</v>
      </c>
      <c s="68">
        <v>0.01</v>
      </c>
      <c s="69">
        <v>0.01</v>
      </c>
      <c s="69">
        <v>0.01</v>
      </c>
      <c s="69">
        <v>0.01</v>
      </c>
      <c s="69">
        <v>0.01</v>
      </c>
      <c s="70">
        <f>AVERAGE(B46,C46,D46,E46,F46)</f>
        <v>0.01</v>
      </c>
      <c s="70">
        <f>AVERAGE(B46,C46,D46,E46,F46)</f>
        <v>0.01</v>
      </c>
      <c s="70">
        <f>AVERAGE(B46,C46,D46,E46,F46)</f>
        <v>0.01</v>
      </c>
      <c s="70">
        <f>AVERAGE(B46,C46,D46,E46,F46)</f>
        <v>0.01</v>
      </c>
      <c s="70">
        <f>AVERAGE(B46,C46,D46,E46,F46)</f>
        <v>0.01</v>
      </c>
      <c s="71">
        <f>AVERAGE(B46,C46,D46,E46,F46)</f>
        <v>0.01</v>
      </c>
    </row>
    <row customHeight="1" ht="21.375">
      <c s="85" t="s">
        <v>97</v>
      </c>
      <c s="84"/>
      <c s="70">
        <f>C46/B45</f>
        <v>0.239234449760766</v>
      </c>
      <c s="70">
        <f>D46/C45</f>
        <v>0.152765047357165</v>
      </c>
      <c s="70">
        <f>E46/D45</f>
        <v>0.197433366238894</v>
      </c>
      <c s="70">
        <f>F46/E45</f>
        <v>0.15938795027096</v>
      </c>
      <c s="70">
        <f>G46/F45</f>
        <v>0.112612612612613</v>
      </c>
      <c s="70">
        <f>H46/G45</f>
        <v>0.076528659983164</v>
      </c>
      <c s="70">
        <f>I46/H45</f>
        <v>0.05795757505506</v>
      </c>
      <c s="70">
        <f>J46/I45</f>
        <v>0.046639615689567</v>
      </c>
      <c s="70">
        <f>K46/J45</f>
        <v>0.039019822069611</v>
      </c>
      <c s="71">
        <f>L46/K45</f>
        <v>0.033540164346805</v>
      </c>
    </row>
    <row customHeight="1" ht="21.375">
      <c s="67" t="s">
        <v>51</v>
      </c>
      <c s="97">
        <f>'Data Prepare'!B16</f>
        <v>0.03363</v>
      </c>
      <c s="88">
        <f>'Data Prepare'!C16</f>
        <v>0.08736</v>
      </c>
      <c s="88">
        <f>'Data Prepare'!D16</f>
        <v>0.02064</v>
      </c>
      <c s="88">
        <f>'Data Prepare'!E16</f>
        <v>0.05718</v>
      </c>
      <c s="88">
        <f>'Data Prepare'!F16</f>
        <v>0.06054</v>
      </c>
      <c s="70">
        <f>AVERAGE(B48,C48,D48,E48,F48)</f>
        <v>0.05187</v>
      </c>
      <c s="70">
        <f>AVERAGE(B48,C48,D48,E48,F48)</f>
        <v>0.05187</v>
      </c>
      <c s="70">
        <f>AVERAGE(B48,C48,D48,E48,F48)</f>
        <v>0.05187</v>
      </c>
      <c s="70">
        <f>AVERAGE(B48,C48,D48,E48,F48)</f>
        <v>0.05187</v>
      </c>
      <c s="70">
        <f>AVERAGE(B48,C48,D48,E48,F48)</f>
        <v>0.05187</v>
      </c>
      <c s="71">
        <f>AVERAGE(B48,C48,D48,E48,F48)</f>
        <v>0.05187</v>
      </c>
    </row>
    <row customHeight="1" ht="21.375">
      <c s="62" t="s">
        <v>98</v>
      </c>
      <c s="63"/>
      <c s="64">
        <f>C48/B45</f>
        <v>2.08995215311005</v>
      </c>
      <c s="64">
        <f>D48/C45</f>
        <v>0.315307057745188</v>
      </c>
      <c s="64">
        <f>E48/D45</f>
        <v>1.128923988154</v>
      </c>
      <c s="64">
        <f>F48/E45</f>
        <v>0.964934650940389</v>
      </c>
      <c s="64">
        <f>G48/F45</f>
        <v>0.584121621621622</v>
      </c>
      <c s="64">
        <f>H48/G45</f>
        <v>0.39695415933267</v>
      </c>
      <c s="64">
        <f>I48/H45</f>
        <v>0.300625941810595</v>
      </c>
      <c s="64">
        <f>J48/I45</f>
        <v>0.241919686581783</v>
      </c>
      <c s="64">
        <f>K48/J45</f>
        <v>0.202395817075074</v>
      </c>
      <c s="72">
        <f>L48/K45</f>
        <v>0.173972832466879</v>
      </c>
    </row>
    <row customHeight="1" ht="17.4">
      <c s="86"/>
      <c s="86"/>
      <c s="86"/>
      <c s="86"/>
      <c s="86"/>
      <c s="86"/>
      <c s="86"/>
      <c s="86"/>
      <c s="86"/>
      <c s="86"/>
      <c s="86"/>
      <c s="86"/>
    </row>
    <row customHeight="1" ht="20.625">
      <c s="50" t="s">
        <v>99</v>
      </c>
    </row>
    <row r="53" customHeight="1" ht="17.4">
      <c s="51" t="s">
        <v>100</v>
      </c>
      <c s="52"/>
      <c s="52"/>
      <c s="52"/>
      <c s="52"/>
      <c s="52"/>
      <c s="52"/>
      <c s="52"/>
      <c s="52"/>
      <c s="52"/>
      <c s="52"/>
      <c s="52"/>
    </row>
    <row customHeight="1" ht="21.375">
      <c s="53" t="s">
        <v>3</v>
      </c>
      <c s="54">
        <v>2014</v>
      </c>
      <c s="55">
        <v>2015</v>
      </c>
      <c s="55">
        <v>2016</v>
      </c>
      <c s="55">
        <v>2017</v>
      </c>
      <c s="55">
        <v>2018</v>
      </c>
      <c s="55">
        <v>2019</v>
      </c>
      <c s="55">
        <v>2020</v>
      </c>
      <c s="55">
        <v>2021</v>
      </c>
      <c s="55">
        <v>2022</v>
      </c>
      <c s="55">
        <v>2023</v>
      </c>
      <c s="56">
        <v>2024</v>
      </c>
    </row>
    <row customHeight="1" ht="21.375">
      <c s="78" t="s">
        <v>4</v>
      </c>
      <c s="93">
        <f>DCF模型!B9</f>
        <v>0.29744</v>
      </c>
      <c s="94">
        <f>DCF模型!C9</f>
        <v>0.56595</v>
      </c>
      <c s="94">
        <f>DCF模型!D9</f>
        <v>4.75</v>
      </c>
      <c s="94">
        <f>DCF模型!E9</f>
        <v>24.43</v>
      </c>
      <c s="94">
        <f>DCF模型!F9</f>
        <v>50.96</v>
      </c>
      <c s="94">
        <f>DCF模型!G9</f>
        <v>101.92</v>
      </c>
      <c s="94">
        <f>DCF模型!H9</f>
        <v>183.456</v>
      </c>
      <c s="94">
        <f>DCF模型!I9</f>
        <v>293.5296</v>
      </c>
      <c s="94">
        <f>DCF模型!J9</f>
        <v>410.94144</v>
      </c>
      <c s="94">
        <f>DCF模型!K9</f>
        <v>493.129728</v>
      </c>
      <c s="108">
        <f>DCF模型!L9</f>
        <v>542.4427008</v>
      </c>
    </row>
    <row customHeight="1" ht="21.375">
      <c s="85" t="s">
        <v>6</v>
      </c>
      <c s="97">
        <f>DCF模型!B11</f>
        <v>0</v>
      </c>
      <c s="88">
        <f>DCF模型!C11</f>
        <v>0</v>
      </c>
      <c s="88">
        <f>DCF模型!D11</f>
        <v>0</v>
      </c>
      <c s="88">
        <f>DCF模型!E11</f>
        <v>0</v>
      </c>
      <c s="88">
        <f>DCF模型!F11</f>
        <v>0</v>
      </c>
      <c s="88">
        <f>DCF模型!G11</f>
        <v>0</v>
      </c>
      <c s="88">
        <f>DCF模型!H11</f>
        <v>0</v>
      </c>
      <c s="88">
        <f>DCF模型!I11</f>
        <v>0</v>
      </c>
      <c s="88">
        <f>DCF模型!J11</f>
        <v>0</v>
      </c>
      <c s="88">
        <f>DCF模型!K11</f>
        <v>0</v>
      </c>
      <c s="89">
        <f>DCF模型!L11</f>
        <v>0</v>
      </c>
    </row>
    <row customHeight="1" ht="21.375">
      <c s="85" t="s">
        <v>101</v>
      </c>
      <c s="84"/>
      <c s="70">
        <f>C33-B33</f>
        <v>-0.00964</v>
      </c>
      <c s="70">
        <f>D33-C33</f>
        <v>0.38395</v>
      </c>
      <c s="70">
        <f>E33-D33</f>
        <v>0.52872</v>
      </c>
      <c s="70">
        <f>F33-E33</f>
        <v>2.73627</v>
      </c>
      <c s="70">
        <f>G33-F33</f>
        <v>0.99608647448431</v>
      </c>
      <c s="70">
        <f>H33-G33</f>
        <v>3.71686917958744</v>
      </c>
      <c s="70">
        <f>I33-H33</f>
        <v>5.01777339244305</v>
      </c>
      <c s="70">
        <f>J33-I33</f>
        <v>5.3522916186059</v>
      </c>
      <c s="70">
        <f>K33-J33</f>
        <v>3.7466041330242</v>
      </c>
      <c s="71">
        <f>L33-K33</f>
        <v>2.2479624798145</v>
      </c>
    </row>
    <row customHeight="1" ht="21.375">
      <c s="57" t="s">
        <v>102</v>
      </c>
      <c s="79">
        <f>B55-B56-B57</f>
        <v>0.29744</v>
      </c>
      <c s="60">
        <f>C55-C56-C57</f>
        <v>0.57559</v>
      </c>
      <c s="60">
        <f>D55-D56-D57</f>
        <v>4.36605</v>
      </c>
      <c s="60">
        <f>E55-E56-E57</f>
        <v>23.90128</v>
      </c>
      <c s="60">
        <f>F55-F56-F57</f>
        <v>48.22373</v>
      </c>
      <c s="60">
        <f>G55-G56-G57</f>
        <v>100.923913525516</v>
      </c>
      <c s="60">
        <f>H55-H56-H57</f>
        <v>179.739130820413</v>
      </c>
      <c s="60">
        <f>I55-I56-I57</f>
        <v>288.511826607557</v>
      </c>
      <c s="60">
        <f>J55-J56-J57</f>
        <v>405.589148381394</v>
      </c>
      <c s="60">
        <f>K55-K56-K57</f>
        <v>489.383123866976</v>
      </c>
      <c s="61">
        <f>L55-L56-L57</f>
        <v>540.194738320185</v>
      </c>
    </row>
    <row customHeight="1" ht="21.375">
      <c s="85" t="s">
        <v>8</v>
      </c>
      <c s="97">
        <f>DCF模型!B13</f>
        <v>0.1378</v>
      </c>
      <c s="88">
        <f>DCF模型!C13</f>
        <v>0.18602</v>
      </c>
      <c s="88">
        <f>DCF模型!D13</f>
        <v>2.88</v>
      </c>
      <c s="88">
        <f>DCF模型!E13</f>
        <v>17.9</v>
      </c>
      <c s="88">
        <f>DCF模型!F13</f>
        <v>37.65</v>
      </c>
      <c s="88">
        <f>DCF模型!G13</f>
        <v>61.152</v>
      </c>
      <c s="88">
        <f>DCF模型!H13</f>
        <v>110.0736</v>
      </c>
      <c s="88">
        <f>DCF模型!I13</f>
        <v>176.11776</v>
      </c>
      <c s="88">
        <f>DCF模型!J13</f>
        <v>246.564864</v>
      </c>
      <c s="88">
        <f>DCF模型!K13</f>
        <v>295.8778368</v>
      </c>
      <c s="89">
        <f>DCF模型!L13</f>
        <v>325.46562048</v>
      </c>
    </row>
    <row customHeight="1" ht="21.375">
      <c s="85" t="s">
        <v>10</v>
      </c>
      <c s="97">
        <f>DCF模型!B16</f>
        <v>2.01336</v>
      </c>
      <c s="88">
        <f>DCF模型!C16</f>
        <v>2.7488</v>
      </c>
      <c s="88">
        <f>DCF模型!D16</f>
        <v>4.10679</v>
      </c>
      <c s="88">
        <f>DCF模型!E16</f>
        <v>7.98855</v>
      </c>
      <c s="88">
        <f>DCF模型!F16</f>
        <v>14.29502</v>
      </c>
      <c s="88">
        <f>DCF模型!G16</f>
        <v>20.384</v>
      </c>
      <c s="88">
        <f>DCF模型!H16</f>
        <v>36.6912</v>
      </c>
      <c s="88">
        <f>DCF模型!I16</f>
        <v>58.70592</v>
      </c>
      <c s="88">
        <f>DCF模型!J16</f>
        <v>82.188288</v>
      </c>
      <c s="88">
        <f>DCF模型!K16</f>
        <v>98.6259456</v>
      </c>
      <c s="89">
        <f>DCF模型!L16</f>
        <v>108.48854016</v>
      </c>
    </row>
    <row customHeight="1" ht="21.375">
      <c s="85" t="s">
        <v>16</v>
      </c>
      <c s="97">
        <f>DCF模型!B23</f>
        <v>0.30934</v>
      </c>
      <c s="88">
        <f>DCF模型!C23</f>
        <v>0.01851</v>
      </c>
      <c s="88">
        <f>DCF模型!D23</f>
        <v>0.1554</v>
      </c>
      <c s="88">
        <f>DCF模型!E23</f>
        <v>0.13889</v>
      </c>
      <c s="88">
        <f>DCF模型!F23</f>
        <v>0.30934</v>
      </c>
      <c s="88">
        <f>DCF模型!G23</f>
        <v>2.0762446</v>
      </c>
      <c s="88">
        <f>DCF模型!H23</f>
        <v>3.7069646</v>
      </c>
      <c s="88">
        <f>DCF模型!I23</f>
        <v>5.9084366</v>
      </c>
      <c s="88">
        <f>DCF模型!J23</f>
        <v>8.2566734</v>
      </c>
      <c s="88">
        <f>DCF模型!K23</f>
        <v>9.90043916</v>
      </c>
      <c s="89">
        <f>DCF模型!L23</f>
        <v>10.886698616</v>
      </c>
    </row>
    <row customHeight="1" ht="21.375">
      <c s="85" t="s">
        <v>103</v>
      </c>
      <c s="84"/>
      <c s="70">
        <f>C35-B35</f>
        <v>0</v>
      </c>
      <c s="70">
        <f>D35-C35</f>
        <v>1.52</v>
      </c>
      <c s="70">
        <f>E35-D35</f>
        <v>2.9</v>
      </c>
      <c s="70">
        <f>F35-E35</f>
        <v>1.54</v>
      </c>
      <c s="70">
        <f>G35-F35</f>
        <v>6.6348570773639</v>
      </c>
      <c s="70">
        <f>H35-G35</f>
        <v>10.0758856618912</v>
      </c>
      <c s="70">
        <f>I35-H35</f>
        <v>13.602445643553</v>
      </c>
      <c s="70">
        <f>J35-I35</f>
        <v>14.5092753531233</v>
      </c>
      <c s="70">
        <f>K35-J35</f>
        <v>10.1564927471862</v>
      </c>
      <c s="71">
        <f>L35-K35</f>
        <v>6.09389564831179</v>
      </c>
    </row>
    <row customHeight="1" ht="21.375">
      <c s="85" t="s">
        <v>96</v>
      </c>
      <c s="97">
        <f>B46</f>
        <v>0.01</v>
      </c>
      <c s="88">
        <f>C46</f>
        <v>0.01</v>
      </c>
      <c s="88">
        <f>D46</f>
        <v>0.01</v>
      </c>
      <c s="88">
        <f>E46</f>
        <v>0.01</v>
      </c>
      <c s="88">
        <f>F46</f>
        <v>0.01</v>
      </c>
      <c s="88">
        <f>G46</f>
        <v>0.01</v>
      </c>
      <c s="88">
        <f>H46</f>
        <v>0.01</v>
      </c>
      <c s="88">
        <f>I46</f>
        <v>0.01</v>
      </c>
      <c s="88">
        <f>J46</f>
        <v>0.01</v>
      </c>
      <c s="88">
        <f>K46</f>
        <v>0.01</v>
      </c>
      <c s="89">
        <f>L46</f>
        <v>0.01</v>
      </c>
    </row>
    <row customHeight="1" ht="21.375">
      <c s="85" t="s">
        <v>104</v>
      </c>
      <c s="84"/>
      <c s="70">
        <f>C37-B37</f>
        <v>0.00098</v>
      </c>
      <c s="70">
        <f>D37-C37</f>
        <v>1.22249</v>
      </c>
      <c s="70">
        <f>E37-D37</f>
        <v>1.97</v>
      </c>
      <c s="70">
        <f>F37-E37</f>
        <v>5.8</v>
      </c>
      <c s="70">
        <f>G37-F37</f>
        <v>7.1694936614818</v>
      </c>
      <c s="70">
        <f>H37-G37</f>
        <v>12.9595949291854</v>
      </c>
      <c s="70">
        <f>I37-H37</f>
        <v>17.4954531544004</v>
      </c>
      <c s="70">
        <f>J37-I37</f>
        <v>18.661816698027</v>
      </c>
      <c s="70">
        <f>K37-J37</f>
        <v>13.0632716886189</v>
      </c>
      <c s="71">
        <f>L37-K37</f>
        <v>7.8379630131713</v>
      </c>
    </row>
    <row customHeight="1" ht="21.375">
      <c s="57" t="s">
        <v>105</v>
      </c>
      <c s="79">
        <f>B59+B60+B61+B62-B63-B64</f>
        <v>2.4505</v>
      </c>
      <c s="60">
        <f>C59+C60+C61+C62-C63-C64</f>
        <v>2.94235</v>
      </c>
      <c s="60">
        <f>D59+D60+D61+D62-D63-D64</f>
        <v>7.4297</v>
      </c>
      <c s="60">
        <f>E59+E60+E61+E62-E63-E64</f>
        <v>26.94744</v>
      </c>
      <c s="60">
        <f>F59+F60+F61+F62-F63-F64</f>
        <v>47.98436</v>
      </c>
      <c s="60">
        <f>G59+G60+G61+G62-G63-G64</f>
        <v>83.0676080158821</v>
      </c>
      <c s="60">
        <f>H59+H60+H61+H62-H63-H64</f>
        <v>147.578055332706</v>
      </c>
      <c s="60">
        <f>I59+I60+I61+I62-I63-I64</f>
        <v>236.829109089153</v>
      </c>
      <c s="60">
        <f>J59+J60+J61+J62-J63-J64</f>
        <v>332.847284055096</v>
      </c>
      <c s="60">
        <f>K59+K60+K61+K62-K63-K64</f>
        <v>401.487442618567</v>
      </c>
      <c s="61">
        <f>L59+L60+L61+L62-L63-L64</f>
        <v>443.08679189114</v>
      </c>
    </row>
    <row customHeight="1" ht="21.375">
      <c s="67" t="s">
        <v>106</v>
      </c>
      <c s="107">
        <f>B58-B65-'Data Prepare'!B25</f>
        <v>-1.59919</v>
      </c>
      <c s="98">
        <f>C58-C65-'Data Prepare'!C25</f>
        <v>-1.19676</v>
      </c>
      <c s="98">
        <f>D58-D65-'Data Prepare'!D25</f>
        <v>-0.80365</v>
      </c>
      <c s="98">
        <f>E58-E65-'Data Prepare'!E25</f>
        <v>-2.34344</v>
      </c>
      <c s="98">
        <f>F58-F65-'Data Prepare'!F25</f>
        <v>-3.72063</v>
      </c>
      <c s="70">
        <f>0</f>
        <v>0</v>
      </c>
      <c s="70">
        <f>0</f>
        <v>0</v>
      </c>
      <c s="70">
        <f>0</f>
        <v>0</v>
      </c>
      <c s="70">
        <f>0</f>
        <v>0</v>
      </c>
      <c s="70">
        <f>0</f>
        <v>0</v>
      </c>
      <c s="71">
        <f>0</f>
        <v>0</v>
      </c>
    </row>
    <row customHeight="1" ht="21.375">
      <c s="57" t="s">
        <v>48</v>
      </c>
      <c s="79">
        <f>B58-B66</f>
        <v>1.89663</v>
      </c>
      <c s="60">
        <f>C58-C66</f>
        <v>1.77235</v>
      </c>
      <c s="60">
        <f>D58-D66</f>
        <v>5.1697</v>
      </c>
      <c s="60">
        <f>E58-E66</f>
        <v>26.24472</v>
      </c>
      <c s="60">
        <f>F58-F66</f>
        <v>51.94436</v>
      </c>
      <c s="60">
        <f>G58-G66</f>
        <v>100.923913525516</v>
      </c>
      <c s="60">
        <f>H58-H66</f>
        <v>179.739130820413</v>
      </c>
      <c s="60">
        <f>I58-I66</f>
        <v>288.511826607557</v>
      </c>
      <c s="60">
        <f>J58-J66</f>
        <v>405.589148381394</v>
      </c>
      <c s="60">
        <f>K58-K66</f>
        <v>489.383123866976</v>
      </c>
      <c s="61">
        <f>L58-L66</f>
        <v>540.194738320185</v>
      </c>
    </row>
    <row customHeight="1" ht="21.375">
      <c s="57" t="s">
        <v>49</v>
      </c>
      <c s="93">
        <f>B65</f>
        <v>2.4505</v>
      </c>
      <c s="94">
        <f>C65</f>
        <v>2.94235</v>
      </c>
      <c s="94">
        <f>D65</f>
        <v>7.4297</v>
      </c>
      <c s="94">
        <f>E65</f>
        <v>26.94744</v>
      </c>
      <c s="94">
        <f>F65</f>
        <v>47.98436</v>
      </c>
      <c s="94">
        <f>G65</f>
        <v>83.0676080158821</v>
      </c>
      <c s="94">
        <f>H65</f>
        <v>147.578055332706</v>
      </c>
      <c s="94">
        <f>I65</f>
        <v>236.829109089153</v>
      </c>
      <c s="94">
        <f>J65</f>
        <v>332.847284055096</v>
      </c>
      <c s="94">
        <f>K65</f>
        <v>401.487442618567</v>
      </c>
      <c s="108">
        <f>L65</f>
        <v>443.08679189114</v>
      </c>
    </row>
    <row customHeight="1" ht="17.4">
      <c s="86"/>
      <c s="86"/>
      <c s="86"/>
      <c s="86"/>
      <c s="86"/>
      <c s="86"/>
      <c s="86"/>
      <c s="86"/>
      <c s="86"/>
      <c s="86"/>
      <c s="86"/>
      <c s="86"/>
    </row>
    <row customHeight="1" ht="20.625">
      <c s="50" t="s">
        <v>107</v>
      </c>
    </row>
    <row r="72" customHeight="1" ht="17.4">
      <c s="51" t="s">
        <v>107</v>
      </c>
      <c s="52"/>
      <c s="52"/>
      <c s="52"/>
      <c s="52"/>
      <c s="52"/>
      <c s="52"/>
      <c s="52"/>
      <c s="52"/>
      <c s="52"/>
      <c s="52"/>
      <c s="52"/>
    </row>
    <row customHeight="1" ht="21.375">
      <c s="53" t="s">
        <v>3</v>
      </c>
      <c s="54">
        <v>2014</v>
      </c>
      <c s="55">
        <v>2015</v>
      </c>
      <c s="55">
        <v>2016</v>
      </c>
      <c s="55">
        <v>2017</v>
      </c>
      <c s="55">
        <v>2018</v>
      </c>
      <c s="55">
        <v>2019</v>
      </c>
      <c s="55">
        <v>2020</v>
      </c>
      <c s="55">
        <v>2021</v>
      </c>
      <c s="55">
        <v>2022</v>
      </c>
      <c s="55">
        <v>2023</v>
      </c>
      <c s="56">
        <v>2024</v>
      </c>
    </row>
    <row customHeight="1" ht="21.375">
      <c s="67" t="s">
        <v>27</v>
      </c>
      <c s="97">
        <f>DCF模型!B38</f>
        <v>0</v>
      </c>
      <c s="88">
        <f>DCF模型!C38</f>
        <v>0</v>
      </c>
      <c s="88">
        <f>DCF模型!D38</f>
        <v>0.103</v>
      </c>
      <c s="88">
        <f>DCF模型!E38</f>
        <v>0.041</v>
      </c>
      <c s="88">
        <f>DCF模型!F38</f>
        <v>17.37</v>
      </c>
      <c s="70">
        <f>F74+G75</f>
        <v>21.7125</v>
      </c>
      <c s="70">
        <f>G74+H75</f>
        <v>26.055</v>
      </c>
      <c s="70">
        <f>H74+I75</f>
        <v>30.3975</v>
      </c>
      <c s="70">
        <f>I74+J75</f>
        <v>34.74</v>
      </c>
      <c s="70">
        <f>J74+K75</f>
        <v>39.0825</v>
      </c>
      <c s="71">
        <f>K74+L75</f>
        <v>43.425</v>
      </c>
    </row>
    <row customHeight="1" ht="21.375">
      <c s="85" t="s">
        <v>108</v>
      </c>
      <c s="84"/>
      <c s="70">
        <f>C74-B74</f>
        <v>0</v>
      </c>
      <c s="70">
        <f>D74-C74</f>
        <v>0.103</v>
      </c>
      <c s="70">
        <f>E74-D74</f>
        <v>-0.062</v>
      </c>
      <c s="70">
        <f>F74-E74</f>
        <v>17.329</v>
      </c>
      <c s="70">
        <f>AVERAGE(B75,C75,D75,E75,F75)</f>
        <v>4.3425</v>
      </c>
      <c s="70">
        <f>AVERAGE(B75,C75,D75,E75,F75)</f>
        <v>4.3425</v>
      </c>
      <c s="70">
        <f>AVERAGE(B75,C75,D75,E75,F75)</f>
        <v>4.3425</v>
      </c>
      <c s="70">
        <f>AVERAGE(B75,C75,D75,E75,F75)</f>
        <v>4.3425</v>
      </c>
      <c s="70">
        <f>AVERAGE(B75,C75,D75,E75,F75)</f>
        <v>4.3425</v>
      </c>
      <c s="71">
        <f>AVERAGE(B75,C75,D75,E75,F75)</f>
        <v>4.3425</v>
      </c>
    </row>
    <row customHeight="1" ht="21.375">
      <c s="67" t="s">
        <v>109</v>
      </c>
      <c s="97">
        <f>DCF模型!B42</f>
        <v>1.71</v>
      </c>
      <c s="88">
        <f>DCF模型!C42</f>
        <v>1.96</v>
      </c>
      <c s="88">
        <f>DCF模型!D42</f>
        <v>5.67</v>
      </c>
      <c s="88">
        <f>DCF模型!E42</f>
        <v>10.14</v>
      </c>
      <c s="88">
        <f>DCF模型!F42</f>
        <v>26.03</v>
      </c>
      <c s="70">
        <f>F76+G77</f>
        <v>32.11</v>
      </c>
      <c s="70">
        <f>G76+H77</f>
        <v>38.19</v>
      </c>
      <c s="70">
        <f>H76+I77</f>
        <v>44.27</v>
      </c>
      <c s="70">
        <f>I76+J77</f>
        <v>50.35</v>
      </c>
      <c s="70">
        <f>J76+K77</f>
        <v>56.43</v>
      </c>
      <c s="71">
        <f>K76+L77</f>
        <v>62.51</v>
      </c>
    </row>
    <row customHeight="1" ht="21.375">
      <c s="85" t="s">
        <v>110</v>
      </c>
      <c s="84"/>
      <c s="70">
        <f>C76-B76</f>
        <v>0.25</v>
      </c>
      <c s="70">
        <f>D76-C76</f>
        <v>3.71</v>
      </c>
      <c s="70">
        <f>E76-D76</f>
        <v>4.47</v>
      </c>
      <c s="70">
        <f>F76-E76</f>
        <v>15.89</v>
      </c>
      <c s="70">
        <f>AVERAGE(B77,C77,D77,E77,F77)</f>
        <v>6.08</v>
      </c>
      <c s="70">
        <f>AVERAGE(B77,C77,D77,E77,F77)</f>
        <v>6.08</v>
      </c>
      <c s="70">
        <f>AVERAGE(B77,C77,D77,E77,F77)</f>
        <v>6.08</v>
      </c>
      <c s="70">
        <f>AVERAGE(B77,C77,D77,E77,F77)</f>
        <v>6.08</v>
      </c>
      <c s="70">
        <f>AVERAGE(B77,C77,D77,E77,F77)</f>
        <v>6.08</v>
      </c>
      <c s="71">
        <f>AVERAGE(B77,C77,D77,E77,F77)</f>
        <v>6.08</v>
      </c>
    </row>
    <row customHeight="1" ht="21.375">
      <c s="67" t="s">
        <v>28</v>
      </c>
      <c s="97">
        <f>DCF模型!B39</f>
        <v>0.14994</v>
      </c>
      <c s="88">
        <f>DCF模型!C39</f>
        <v>0.14824</v>
      </c>
      <c s="88">
        <f>DCF模型!D39</f>
        <v>0.39835</v>
      </c>
      <c s="88">
        <f>DCF模型!E39</f>
        <v>0.78924</v>
      </c>
      <c s="88">
        <f>DCF模型!F39</f>
        <v>3.23</v>
      </c>
      <c s="70">
        <f>F78+G79</f>
        <v>4.000015</v>
      </c>
      <c s="70">
        <f>G78+H79</f>
        <v>4.77003</v>
      </c>
      <c s="70">
        <f>H78+I79</f>
        <v>5.540045</v>
      </c>
      <c s="70">
        <f>I78+J79</f>
        <v>6.31006</v>
      </c>
      <c s="70">
        <f>J78+K79</f>
        <v>7.080075</v>
      </c>
      <c s="71">
        <f>K78+L79</f>
        <v>7.85009</v>
      </c>
    </row>
    <row customHeight="1" ht="21.375">
      <c s="85" t="s">
        <v>111</v>
      </c>
      <c s="84"/>
      <c s="70">
        <f>C78-B78</f>
        <v>-0.0017</v>
      </c>
      <c s="70">
        <f>D78-C78</f>
        <v>0.25011</v>
      </c>
      <c s="70">
        <f>E78-D78</f>
        <v>0.39089</v>
      </c>
      <c s="70">
        <f>F78-E78</f>
        <v>2.44076</v>
      </c>
      <c s="70">
        <f>AVERAGE(B79,C79,D79,E79,F79)</f>
        <v>0.770015</v>
      </c>
      <c s="70">
        <f>AVERAGE(B79,C79,D79,E79,F79)</f>
        <v>0.770015</v>
      </c>
      <c s="70">
        <f>AVERAGE(B79,C79,D79,E79,F79)</f>
        <v>0.770015</v>
      </c>
      <c s="70">
        <f>AVERAGE(B79,C79,D79,E79,F79)</f>
        <v>0.770015</v>
      </c>
      <c s="70">
        <f>AVERAGE(B79,C79,D79,E79,F79)</f>
        <v>0.770015</v>
      </c>
      <c s="71">
        <f>AVERAGE(B79,C79,D79,E79,F79)</f>
        <v>0.770015</v>
      </c>
    </row>
    <row customHeight="1" ht="21.375">
      <c s="67" t="s">
        <v>39</v>
      </c>
      <c s="97">
        <f>DCF模型!B50</f>
        <v>1.18</v>
      </c>
      <c s="88">
        <f>DCF模型!C50</f>
        <v>1.82</v>
      </c>
      <c s="88">
        <f>DCF模型!D50</f>
        <v>2.28</v>
      </c>
      <c s="88">
        <f>DCF模型!E50</f>
        <v>2.57</v>
      </c>
      <c s="88">
        <f>DCF模型!F50</f>
        <v>6.31</v>
      </c>
      <c s="70">
        <f>F80+G81</f>
        <v>7.5925</v>
      </c>
      <c s="70">
        <f>G80+H81</f>
        <v>8.875</v>
      </c>
      <c s="70">
        <f>H80+I81</f>
        <v>10.1575</v>
      </c>
      <c s="70">
        <f>I80+J81</f>
        <v>11.44</v>
      </c>
      <c s="70">
        <f>J80+K81</f>
        <v>12.7225</v>
      </c>
      <c s="71">
        <f>K80+L81</f>
        <v>14.005</v>
      </c>
    </row>
    <row customHeight="1" ht="21.375">
      <c s="85" t="s">
        <v>112</v>
      </c>
      <c s="84"/>
      <c s="70">
        <f>C80-B80</f>
        <v>0.64</v>
      </c>
      <c s="70">
        <f>D80-C80</f>
        <v>0.46</v>
      </c>
      <c s="70">
        <f>E80-D80</f>
        <v>0.29</v>
      </c>
      <c s="70">
        <f>F80-E80</f>
        <v>3.74</v>
      </c>
      <c s="70">
        <f>AVERAGE(B81,C81,D81,E81,F81)</f>
        <v>1.2825</v>
      </c>
      <c s="70">
        <f>AVERAGE(B81,C81,D81,E81,F81)</f>
        <v>1.2825</v>
      </c>
      <c s="70">
        <f>AVERAGE(B81,C81,D81,E81,F81)</f>
        <v>1.2825</v>
      </c>
      <c s="70">
        <f>AVERAGE(B81,C81,D81,E81,F81)</f>
        <v>1.2825</v>
      </c>
      <c s="70">
        <f>AVERAGE(B81,C81,D81,E81,F81)</f>
        <v>1.2825</v>
      </c>
      <c s="71">
        <f>AVERAGE(B81,C81,D81,E81,F81)</f>
        <v>1.2825</v>
      </c>
    </row>
    <row customHeight="1" ht="21.375">
      <c s="67" t="s">
        <v>42</v>
      </c>
      <c s="97">
        <f>DCF模型!B53</f>
        <v>0.19706</v>
      </c>
      <c s="88">
        <f>DCF模型!C53</f>
        <v>0.07019</v>
      </c>
      <c s="88">
        <f>DCF模型!D53</f>
        <v>0.06566</v>
      </c>
      <c s="88">
        <f>DCF模型!E53</f>
        <v>0.07682</v>
      </c>
      <c s="88">
        <f>DCF模型!F53</f>
        <v>0.11677</v>
      </c>
      <c s="70">
        <f>F82+G83</f>
        <v>0.15672</v>
      </c>
      <c s="70">
        <f>G82+H83</f>
        <v>0.19667</v>
      </c>
      <c s="70">
        <f>H82+I83</f>
        <v>0.23662</v>
      </c>
      <c s="70">
        <f>I82+J83</f>
        <v>0.27657</v>
      </c>
      <c s="70">
        <f>J82+K83</f>
        <v>0.31652</v>
      </c>
      <c s="71">
        <f>K82+L83</f>
        <v>0.35647</v>
      </c>
    </row>
    <row customHeight="1" ht="21.375">
      <c s="85" t="s">
        <v>113</v>
      </c>
      <c s="84"/>
      <c s="70">
        <f>C82-B82</f>
        <v>-0.12687</v>
      </c>
      <c s="70">
        <f>D82-C82</f>
        <v>-0.00453</v>
      </c>
      <c s="70">
        <f>E82-D82</f>
        <v>0.01116</v>
      </c>
      <c s="70">
        <f>F82-E82</f>
        <v>0.03995</v>
      </c>
      <c s="70">
        <f>F83</f>
        <v>0.03995</v>
      </c>
      <c s="70">
        <f>G83</f>
        <v>0.03995</v>
      </c>
      <c s="70">
        <f>H83</f>
        <v>0.03995</v>
      </c>
      <c s="70">
        <f>I83</f>
        <v>0.03995</v>
      </c>
      <c s="70">
        <f>J83</f>
        <v>0.03995</v>
      </c>
      <c s="71">
        <f>K83</f>
        <v>0.03995</v>
      </c>
    </row>
    <row customHeight="1" ht="21.375">
      <c s="78" t="s">
        <v>114</v>
      </c>
      <c s="79">
        <f>B83+B81</f>
        <v>0</v>
      </c>
      <c s="60">
        <f>C83+C81</f>
        <v>0.51313</v>
      </c>
      <c s="60">
        <f>D83+D81</f>
        <v>0.45547</v>
      </c>
      <c s="60">
        <f>E83+E81</f>
        <v>0.30116</v>
      </c>
      <c s="60">
        <f>F83+F81</f>
        <v>3.77995</v>
      </c>
      <c s="60">
        <f>G83+G81</f>
        <v>1.32245</v>
      </c>
      <c s="60">
        <f>H83+H81</f>
        <v>1.32245</v>
      </c>
      <c s="60">
        <f>I83+I81</f>
        <v>1.32245</v>
      </c>
      <c s="60">
        <f>J83+J81</f>
        <v>1.32245</v>
      </c>
      <c s="60">
        <f>K83+K81</f>
        <v>1.32245</v>
      </c>
      <c s="61">
        <f>L83+L81</f>
        <v>1.32245</v>
      </c>
    </row>
    <row customHeight="1" ht="17.4">
      <c s="86"/>
      <c s="86"/>
      <c s="86"/>
      <c s="86"/>
      <c s="86"/>
      <c s="86"/>
      <c s="86"/>
      <c s="86"/>
      <c s="86"/>
      <c s="86"/>
      <c s="86"/>
      <c s="86"/>
    </row>
  </sheetData>
  <sheetProtection sheet="1" objects="1"/>
  <mergeCells count="12">
    <mergeCell ref="A3:L3"/>
    <mergeCell ref="A5:L5"/>
    <mergeCell ref="A15:L15"/>
    <mergeCell ref="A17:L17"/>
    <mergeCell ref="A29:L29"/>
    <mergeCell ref="A31:L31"/>
    <mergeCell ref="A41:L41"/>
    <mergeCell ref="A43:L43"/>
    <mergeCell ref="A51:L51"/>
    <mergeCell ref="A53:L53"/>
    <mergeCell ref="A70:L70"/>
    <mergeCell ref="A72:L72"/>
  </mergeCel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39E1630C-57CC-A813-1DB9-16598C98DCB9}" mc:Ignorable="x14ac">
  <dimension ref="A1:AB63"/>
  <sheetViews>
    <sheetView topLeftCell="A1" showGridLines="0" workbookViewId="0">
      <selection activeCell="A1" sqref="A1"/>
    </sheetView>
  </sheetViews>
  <sheetFormatPr defaultColWidth="3.53125" customHeight="1" defaultRowHeight="17.4"/>
  <cols>
    <col min="1" max="1" width="27.50390625" customWidth="1"/>
    <col min="2" max="6" width="12.125" customWidth="1"/>
  </cols>
  <sheetData>
    <row s="111" customFormat="1" customHeight="1" ht="17.4">
      <c s="49" t="s">
        <v>0</v>
      </c>
    </row>
    <row r="3" customHeight="1" ht="17.4">
      <c s="51" t="s">
        <v>115</v>
      </c>
      <c s="52"/>
      <c s="52"/>
      <c s="52"/>
      <c s="52"/>
      <c s="52"/>
    </row>
    <row customHeight="1" ht="21.375">
      <c s="53" t="s">
        <v>3</v>
      </c>
      <c s="54">
        <v>2014</v>
      </c>
      <c s="55">
        <v>2015</v>
      </c>
      <c s="55">
        <v>2016</v>
      </c>
      <c s="55">
        <v>2017</v>
      </c>
      <c s="56">
        <v>2018</v>
      </c>
    </row>
    <row customHeight="1" ht="21.375">
      <c s="67" t="s">
        <v>10</v>
      </c>
      <c s="84">
        <f>SUM(B6,B7,B8,B9)</f>
        <v>2.01336</v>
      </c>
      <c s="70">
        <f>SUM(C6,C7,C8,C9)</f>
        <v>2.7488</v>
      </c>
      <c s="70">
        <f>SUM(D6,D7,D8,D9)</f>
        <v>4.10679</v>
      </c>
      <c s="70">
        <f>SUM(E6,E7,E8,E9)</f>
        <v>7.98855</v>
      </c>
      <c s="71">
        <f>SUM(F6,F7,F8,F9)</f>
        <v>14.29502</v>
      </c>
    </row>
    <row customHeight="1" ht="21.375">
      <c s="85" t="s">
        <v>116</v>
      </c>
      <c s="68">
        <v>0.54014</v>
      </c>
      <c s="69">
        <v>0.80787</v>
      </c>
      <c s="69">
        <v>1.13</v>
      </c>
      <c s="69">
        <v>2.01</v>
      </c>
      <c s="105">
        <v>4.55</v>
      </c>
    </row>
    <row customHeight="1" ht="21.375">
      <c s="85" t="s">
        <v>117</v>
      </c>
      <c s="68">
        <v>0.58951</v>
      </c>
      <c s="69">
        <v>0.91797</v>
      </c>
      <c s="69">
        <v>1.64</v>
      </c>
      <c s="69">
        <v>4.6</v>
      </c>
      <c s="105">
        <v>7.53</v>
      </c>
    </row>
    <row customHeight="1" ht="21.375">
      <c s="85" t="s">
        <v>118</v>
      </c>
      <c s="68">
        <v>0.3413</v>
      </c>
      <c s="69">
        <v>0.76153</v>
      </c>
      <c s="69">
        <v>1.09</v>
      </c>
      <c s="69">
        <v>1.26</v>
      </c>
      <c s="105">
        <v>2.19</v>
      </c>
    </row>
    <row customHeight="1" ht="21.375">
      <c s="85" t="s">
        <v>119</v>
      </c>
      <c s="68">
        <v>0.54241</v>
      </c>
      <c s="69">
        <v>0.26143</v>
      </c>
      <c s="69">
        <v>0.24679</v>
      </c>
      <c s="69">
        <v>0.11855</v>
      </c>
      <c s="105">
        <v>0.02502</v>
      </c>
    </row>
    <row customHeight="1" ht="21.375">
      <c s="67" t="s">
        <v>3</v>
      </c>
      <c s="84"/>
      <c s="70"/>
      <c s="70"/>
      <c s="70"/>
      <c s="71"/>
    </row>
    <row customHeight="1" ht="21.375">
      <c s="67" t="s">
        <v>14</v>
      </c>
      <c s="84">
        <f>SUM(B12,B13,B14)</f>
        <v>0.82738</v>
      </c>
      <c s="70">
        <f>SUM(C12,C13,C14)</f>
        <v>0.14702</v>
      </c>
      <c s="70">
        <f>SUM(D12,D13,D14)</f>
        <v>0.17354</v>
      </c>
      <c s="70">
        <f>SUM(E12,E13,E14)</f>
        <v>0.52393</v>
      </c>
      <c s="71">
        <f>SUM(F12,F13,F14)</f>
        <v>0.67014</v>
      </c>
    </row>
    <row customHeight="1" ht="21.375">
      <c s="85" t="s">
        <v>120</v>
      </c>
      <c s="68">
        <v>0</v>
      </c>
      <c s="69">
        <v>0</v>
      </c>
      <c s="69">
        <v>0</v>
      </c>
      <c s="69">
        <v>0</v>
      </c>
      <c s="105">
        <v>0.26248</v>
      </c>
    </row>
    <row customHeight="1" ht="21.375">
      <c s="85" t="s">
        <v>121</v>
      </c>
      <c s="68">
        <v>0.82738</v>
      </c>
      <c s="69">
        <v>0.14702</v>
      </c>
      <c s="69">
        <v>0.12787</v>
      </c>
      <c s="69">
        <v>0.52389</v>
      </c>
      <c s="105">
        <v>0.28334</v>
      </c>
    </row>
    <row customHeight="1" ht="21.375">
      <c s="85" t="s">
        <v>122</v>
      </c>
      <c s="68">
        <v>0</v>
      </c>
      <c s="69">
        <v>0</v>
      </c>
      <c s="69">
        <v>0.04567</v>
      </c>
      <c s="69">
        <v>0.00004</v>
      </c>
      <c s="105">
        <v>0.12432</v>
      </c>
    </row>
    <row customHeight="1" ht="21.375">
      <c s="67" t="s">
        <v>3</v>
      </c>
      <c s="84"/>
      <c s="70"/>
      <c s="70"/>
      <c s="70"/>
      <c s="71"/>
    </row>
    <row customHeight="1" ht="21.375">
      <c s="67" t="s">
        <v>51</v>
      </c>
      <c s="84">
        <f>B17-B18</f>
        <v>0.03363</v>
      </c>
      <c s="70">
        <f>C17-C18</f>
        <v>0.08736</v>
      </c>
      <c s="70">
        <f>D17-D18</f>
        <v>0.02064</v>
      </c>
      <c s="70">
        <f>E17-E18</f>
        <v>0.05718</v>
      </c>
      <c s="71">
        <f>F17-F18</f>
        <v>0.06054</v>
      </c>
    </row>
    <row customHeight="1" ht="21.375">
      <c s="85" t="s">
        <v>123</v>
      </c>
      <c s="68">
        <v>0.03481</v>
      </c>
      <c s="69">
        <v>0.08736</v>
      </c>
      <c s="69">
        <v>0.0214</v>
      </c>
      <c s="69">
        <v>0.05731</v>
      </c>
      <c s="105">
        <v>0.06102</v>
      </c>
    </row>
    <row customHeight="1" ht="21.375">
      <c s="85" t="s">
        <v>124</v>
      </c>
      <c s="68">
        <v>0.00118</v>
      </c>
      <c s="69">
        <v>0</v>
      </c>
      <c s="69">
        <v>0.00076</v>
      </c>
      <c s="69">
        <v>0.00013</v>
      </c>
      <c s="105">
        <v>0.00048</v>
      </c>
    </row>
    <row customHeight="1" ht="21.375">
      <c s="67" t="s">
        <v>52</v>
      </c>
      <c s="84">
        <f>B20-B21</f>
        <v>0</v>
      </c>
      <c s="70">
        <f>C20-C21</f>
        <v>0</v>
      </c>
      <c s="70">
        <f>D20-D21</f>
        <v>3.5</v>
      </c>
      <c s="70">
        <f>E20-E21</f>
        <v>5.39</v>
      </c>
      <c s="71">
        <f>F20-F21</f>
        <v>32.75</v>
      </c>
    </row>
    <row customHeight="1" ht="21.375">
      <c s="67" t="s">
        <v>125</v>
      </c>
      <c s="68">
        <v>0</v>
      </c>
      <c s="69">
        <v>0</v>
      </c>
      <c s="69">
        <v>3.5</v>
      </c>
      <c s="69">
        <v>5.39</v>
      </c>
      <c s="105">
        <v>32.75</v>
      </c>
    </row>
    <row customHeight="1" ht="21.375">
      <c s="67" t="s">
        <v>126</v>
      </c>
      <c s="68">
        <v>0</v>
      </c>
      <c s="69">
        <v>0</v>
      </c>
      <c s="69">
        <v>0</v>
      </c>
      <c s="69">
        <v>0</v>
      </c>
      <c s="105">
        <v>0</v>
      </c>
    </row>
    <row customHeight="1" ht="21.375">
      <c s="67" t="s">
        <v>3</v>
      </c>
      <c s="84"/>
      <c s="70"/>
      <c s="70"/>
      <c s="70"/>
      <c s="71"/>
    </row>
    <row customHeight="1" ht="21.375">
      <c s="67" t="s">
        <v>127</v>
      </c>
      <c s="68">
        <v>10.61</v>
      </c>
      <c s="69">
        <v>0</v>
      </c>
      <c s="69">
        <v>1.93</v>
      </c>
      <c s="69">
        <v>12.48</v>
      </c>
      <c s="105">
        <v>17.08</v>
      </c>
    </row>
    <row customHeight="1" ht="21.375">
      <c s="67" t="s">
        <v>128</v>
      </c>
      <c s="107">
        <f>B23-DCF模型!B70-DCF模型!B71-DCF模型!B72+DCF模型!B73</f>
        <v>-0.14874</v>
      </c>
      <c s="98">
        <f>C23-DCF模型!C70-DCF模型!C71-DCF模型!C72+DCF模型!C73</f>
        <v>-0.14164</v>
      </c>
      <c s="98">
        <f>D23-DCF模型!D70-DCF模型!D71-DCF模型!D72+DCF模型!D73</f>
        <v>-0.08939</v>
      </c>
      <c s="98">
        <f>E23-DCF模型!E70-DCF模型!E71-DCF模型!E72+DCF模型!E73</f>
        <v>-0.194079999999999</v>
      </c>
      <c s="99">
        <f>F23-DCF模型!F70-DCF模型!F71-DCF模型!F72+DCF模型!F73</f>
        <v>-0.668410000000002</v>
      </c>
    </row>
    <row customHeight="1" ht="21.375">
      <c s="67" t="s">
        <v>100</v>
      </c>
      <c s="68">
        <v>-0.55387</v>
      </c>
      <c s="69">
        <v>-1.17</v>
      </c>
      <c s="69">
        <v>-2.26</v>
      </c>
      <c s="69">
        <v>-0.70272</v>
      </c>
      <c s="105">
        <v>3.96</v>
      </c>
    </row>
    <row customHeight="1" ht="21.375">
      <c s="67" t="s">
        <v>48</v>
      </c>
      <c s="97">
        <f>细项分解!B58</f>
        <v>0.29744</v>
      </c>
      <c s="88">
        <f>细项分解!C58</f>
        <v>0.57559</v>
      </c>
      <c s="88">
        <f>细项分解!D58</f>
        <v>4.36605</v>
      </c>
      <c s="88">
        <f>细项分解!E58</f>
        <v>23.90128</v>
      </c>
      <c s="89">
        <f>细项分解!F58</f>
        <v>48.22373</v>
      </c>
    </row>
    <row customHeight="1" ht="21.375">
      <c s="67" t="s">
        <v>49</v>
      </c>
      <c s="84">
        <f>-B25+B26</f>
        <v>0.85131</v>
      </c>
      <c s="70">
        <f>-C25+C26</f>
        <v>1.74559</v>
      </c>
      <c s="70">
        <f>-D25+D26</f>
        <v>6.62605</v>
      </c>
      <c s="70">
        <f>-E25+E26</f>
        <v>24.604</v>
      </c>
      <c s="71">
        <f>-F25+F26</f>
        <v>44.26373</v>
      </c>
    </row>
    <row customHeight="1" ht="21.375">
      <c s="67" t="s">
        <v>129</v>
      </c>
      <c s="97">
        <f>细项分解!B66</f>
        <v>-1.59919</v>
      </c>
      <c s="88">
        <f>细项分解!C66</f>
        <v>-1.19676</v>
      </c>
      <c s="88">
        <f>细项分解!D66</f>
        <v>-0.80365</v>
      </c>
      <c s="88">
        <f>细项分解!E66</f>
        <v>-2.34344</v>
      </c>
      <c s="89">
        <f>细项分解!F66</f>
        <v>-3.72063</v>
      </c>
    </row>
    <row customHeight="1" ht="21.375">
      <c s="67" t="s">
        <v>130</v>
      </c>
      <c s="68">
        <v>0.35177</v>
      </c>
      <c s="69">
        <v>-4.21</v>
      </c>
      <c s="69">
        <v>-1.59</v>
      </c>
      <c s="69">
        <v>-12.11</v>
      </c>
      <c s="105">
        <v>-23.96</v>
      </c>
    </row>
    <row customHeight="1" ht="21.375">
      <c s="67" t="s">
        <v>53</v>
      </c>
      <c s="84">
        <f>B29+B19+B16</f>
        <v>0.3854</v>
      </c>
      <c s="70">
        <f>C29+C19+C16</f>
        <v>-4.12264</v>
      </c>
      <c s="70">
        <f>D29+D19+D16</f>
        <v>1.93064</v>
      </c>
      <c s="70">
        <f>E29+E19+E16</f>
        <v>-6.66282</v>
      </c>
      <c s="71">
        <f>F29+F19+F16</f>
        <v>8.85054</v>
      </c>
    </row>
    <row customHeight="1" ht="21.375">
      <c s="67" t="s">
        <v>57</v>
      </c>
      <c s="84">
        <f>B32-B33</f>
        <v>0.14874</v>
      </c>
      <c s="70">
        <f>C32-C33</f>
        <v>0.14164</v>
      </c>
      <c s="70">
        <f>D32-D33</f>
        <v>0.02504</v>
      </c>
      <c s="70">
        <f>E32-E33</f>
        <v>-0.01592</v>
      </c>
      <c s="71">
        <f>F32-F33</f>
        <v>0.21862</v>
      </c>
    </row>
    <row customHeight="1" ht="21.375">
      <c s="67" t="s">
        <v>131</v>
      </c>
      <c s="68">
        <v>0.14874</v>
      </c>
      <c s="69">
        <v>0.14164</v>
      </c>
      <c s="69">
        <v>0.09088</v>
      </c>
      <c s="69">
        <v>0.08836</v>
      </c>
      <c s="105">
        <v>0.32486</v>
      </c>
    </row>
    <row customHeight="1" ht="21.375">
      <c s="67" t="s">
        <v>132</v>
      </c>
      <c s="68">
        <v>0</v>
      </c>
      <c s="69">
        <v>0</v>
      </c>
      <c s="69">
        <v>0.06584</v>
      </c>
      <c s="69">
        <v>0.10428</v>
      </c>
      <c s="105">
        <v>0.10624</v>
      </c>
    </row>
    <row customHeight="1" ht="21.375">
      <c s="67" t="s">
        <v>133</v>
      </c>
      <c s="84">
        <f>B35-B36</f>
        <v>0</v>
      </c>
      <c s="70">
        <f>C35-C36</f>
        <v>0</v>
      </c>
      <c s="70">
        <f>D35-D36</f>
        <v>1.99265</v>
      </c>
      <c s="70">
        <f>E35-E36</f>
        <v>-2</v>
      </c>
      <c s="71">
        <f>F35-F36</f>
        <v>17</v>
      </c>
    </row>
    <row customHeight="1" ht="21.375">
      <c s="67" t="s">
        <v>134</v>
      </c>
      <c s="68">
        <v>0</v>
      </c>
      <c s="69">
        <v>0</v>
      </c>
      <c s="69">
        <v>2</v>
      </c>
      <c s="69">
        <v>5.96</v>
      </c>
      <c s="105">
        <v>23.04</v>
      </c>
    </row>
    <row customHeight="1" ht="21.375">
      <c s="67" t="s">
        <v>135</v>
      </c>
      <c s="68">
        <v>0</v>
      </c>
      <c s="69">
        <v>0</v>
      </c>
      <c s="69">
        <v>0.00735</v>
      </c>
      <c s="69">
        <v>7.96</v>
      </c>
      <c s="105">
        <v>6.04</v>
      </c>
    </row>
    <row customHeight="1" ht="21.375">
      <c s="67" t="s">
        <v>62</v>
      </c>
      <c s="84"/>
      <c s="98">
        <f>DCF模型!C35-DCF模型!B35-DCF模型!C75</f>
        <v>3.41</v>
      </c>
      <c s="98">
        <f>DCF模型!D35-DCF模型!C35-DCF模型!D75</f>
        <v>-2.58</v>
      </c>
      <c s="98">
        <f>DCF模型!E35-DCF模型!D35-DCF模型!E75</f>
        <v>8.61272</v>
      </c>
      <c s="99">
        <f>DCF模型!F35-DCF模型!E35-DCF模型!F75</f>
        <v>-8.25</v>
      </c>
    </row>
    <row customHeight="1" ht="21.375">
      <c s="67" t="s">
        <v>3</v>
      </c>
      <c s="84"/>
      <c s="70"/>
      <c s="70"/>
      <c s="70"/>
      <c s="71"/>
    </row>
    <row customHeight="1" ht="21.375">
      <c s="67" t="s">
        <v>44</v>
      </c>
      <c s="84">
        <f>SUM(B40,B41,B42,B43,B44,B45)</f>
        <v>12.67342</v>
      </c>
      <c s="70">
        <f>SUM(C40,C41,C42,C43,C44,C45)</f>
        <v>11.55216</v>
      </c>
      <c s="70">
        <f>SUM(D40,D41,D42,D43,D44,D45)</f>
        <v>11.19307</v>
      </c>
      <c s="70">
        <f>SUM(E40,E41,E42,E43,E44,E45)</f>
        <v>25.23426</v>
      </c>
      <c s="71">
        <f>SUM(F40,F41,F42,F43,F44,F45)</f>
        <v>27.36307</v>
      </c>
    </row>
    <row customHeight="1" ht="21.375">
      <c s="67" t="s">
        <v>136</v>
      </c>
      <c s="68">
        <v>0.72305</v>
      </c>
      <c s="69">
        <v>0.72305</v>
      </c>
      <c s="69">
        <v>0.72481</v>
      </c>
      <c s="69">
        <v>0.86617</v>
      </c>
      <c s="105">
        <v>1.03</v>
      </c>
    </row>
    <row customHeight="1" ht="21.375">
      <c s="67" t="s">
        <v>137</v>
      </c>
      <c s="68">
        <v>18.64</v>
      </c>
      <c s="69">
        <v>18.64</v>
      </c>
      <c s="69">
        <v>19.07</v>
      </c>
      <c s="69">
        <v>72.56</v>
      </c>
      <c s="105">
        <v>199.67</v>
      </c>
    </row>
    <row customHeight="1" ht="21.375">
      <c s="67" t="s">
        <v>138</v>
      </c>
      <c s="68">
        <v>0.95766</v>
      </c>
      <c s="69">
        <v>1.83</v>
      </c>
      <c s="69">
        <v>3.03</v>
      </c>
      <c s="69">
        <v>-35.59</v>
      </c>
      <c s="105">
        <v>-159.95</v>
      </c>
    </row>
    <row customHeight="1" ht="21.375">
      <c s="67" t="s">
        <v>139</v>
      </c>
      <c s="68">
        <v>-7.06</v>
      </c>
      <c s="69">
        <v>-8.98</v>
      </c>
      <c s="69">
        <v>-11.05</v>
      </c>
      <c s="69">
        <v>-12.03</v>
      </c>
      <c s="105">
        <v>-12.81</v>
      </c>
    </row>
    <row customHeight="1" ht="21.375">
      <c s="67" t="s">
        <v>20</v>
      </c>
      <c s="68">
        <v>-0.58729</v>
      </c>
      <c s="69">
        <v>-0.66089</v>
      </c>
      <c s="69">
        <v>-0.58174</v>
      </c>
      <c s="69">
        <v>-0.57191</v>
      </c>
      <c s="105">
        <v>-0.57693</v>
      </c>
    </row>
    <row customHeight="1" ht="21.375">
      <c s="67" t="s">
        <v>140</v>
      </c>
      <c s="68">
        <v>0</v>
      </c>
      <c s="69">
        <v>0</v>
      </c>
      <c s="69">
        <v>0</v>
      </c>
      <c s="69">
        <v>0</v>
      </c>
      <c s="105">
        <v>0</v>
      </c>
    </row>
    <row customHeight="1" ht="17.4">
      <c s="86"/>
      <c s="86"/>
      <c s="86"/>
      <c s="86"/>
      <c s="86"/>
      <c s="86"/>
    </row>
  </sheetData>
  <sheetProtection sheet="1" objects="1"/>
  <mergeCells count="1">
    <mergeCell ref="A3:F3"/>
  </mergeCells>
</worksheet>
</file>