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DCF模型" sheetId="1" r:id="rId2"/>
    <sheet name="FS-利润表" sheetId="2" r:id="rId3"/>
    <sheet name="FS-资产负债表" sheetId="3" r:id="rId4"/>
    <sheet name="FS-现金流量表" sheetId="4" r:id="rId5"/>
    <sheet name="收入成本预测" sheetId="5" r:id="rId6"/>
    <sheet name="CAPEX" sheetId="6" r:id="rId7"/>
    <sheet name="融资计划" sheetId="7" r:id="rId8"/>
    <sheet name="其他科目预测" sheetId="8" r:id="rId9"/>
    <sheet name="data" sheetId="9" r:id="rId10"/>
  </sheets>
  <calcPr calcId="0"/>
</workbook>
</file>

<file path=xl/sharedStrings.xml><?xml version="1.0" encoding="utf-8"?>
<sst xmlns="http://schemas.openxmlformats.org/spreadsheetml/2006/main" count="518" uniqueCount="403">
  <si>
    <t>此工作表由逻辑式生成，只可修改标识为灰色背景的“事实”及浅蓝色背景的“假设”数据；无背景色的数据不可修改。</t>
  </si>
  <si>
    <t>自由现金流</t>
  </si>
  <si>
    <t/>
  </si>
  <si>
    <t>营业收入</t>
  </si>
  <si>
    <t>增长率</t>
  </si>
  <si>
    <t>EBITDA</t>
  </si>
  <si>
    <t>%营业收入</t>
  </si>
  <si>
    <t>EBIT</t>
  </si>
  <si>
    <t>有效税率</t>
  </si>
  <si>
    <t>EBIT*(1-有效税率)</t>
  </si>
  <si>
    <t>(加)折旧摊销</t>
  </si>
  <si>
    <t>(减)营运资金增加</t>
  </si>
  <si>
    <t>(减)CAPEX</t>
  </si>
  <si>
    <t>无杠杆自由现金流</t>
  </si>
  <si>
    <t>折现系数</t>
  </si>
  <si>
    <t>WACC</t>
  </si>
  <si>
    <t>预测期净现值</t>
  </si>
  <si>
    <t>企业价值</t>
  </si>
  <si>
    <t>永续增长率</t>
  </si>
  <si>
    <t>终期预测收入增长率差异</t>
  </si>
  <si>
    <t>终期预测营业利润率</t>
  </si>
  <si>
    <t>终期预测营业利润率差异</t>
  </si>
  <si>
    <t>终值</t>
  </si>
  <si>
    <t>终值现值</t>
  </si>
  <si>
    <t>EV</t>
  </si>
  <si>
    <t>Implied EV/EBITDA</t>
  </si>
  <si>
    <t>总负债</t>
  </si>
  <si>
    <t>现金</t>
  </si>
  <si>
    <t>净负债</t>
  </si>
  <si>
    <t>少数股东权益</t>
  </si>
  <si>
    <t>股权价值</t>
  </si>
  <si>
    <t>股数</t>
  </si>
  <si>
    <t>隐含股价</t>
  </si>
  <si>
    <t>市值</t>
  </si>
  <si>
    <t>股价（市场价）</t>
  </si>
  <si>
    <t>普通股数</t>
  </si>
  <si>
    <t>企业价值 EV (按市值计算）</t>
  </si>
  <si>
    <t>净负债/EBITDA （FY20）</t>
  </si>
  <si>
    <t>估值</t>
  </si>
  <si>
    <t>隐含EV/收入</t>
  </si>
  <si>
    <t>隐含EV/EBITDA</t>
  </si>
  <si>
    <t>隐含EV/EBIT</t>
  </si>
  <si>
    <t>隐含PE</t>
  </si>
  <si>
    <t>WACC计算表</t>
  </si>
  <si>
    <t>无风险利率</t>
  </si>
  <si>
    <t>股权风险溢价</t>
  </si>
  <si>
    <t>Beta</t>
  </si>
  <si>
    <t>股权成本</t>
  </si>
  <si>
    <t>债权成本</t>
  </si>
  <si>
    <t>债权成本*(1-有效税率)</t>
  </si>
  <si>
    <t>账面股权%(股权+债权)</t>
  </si>
  <si>
    <t>债权%(股权+债权)</t>
  </si>
  <si>
    <t>利润表</t>
  </si>
  <si>
    <t>其他业务收入</t>
  </si>
  <si>
    <t>营业总收入</t>
  </si>
  <si>
    <t>营业成本</t>
  </si>
  <si>
    <t>营业税金及附加</t>
  </si>
  <si>
    <t>毛利</t>
  </si>
  <si>
    <t>销售费用</t>
  </si>
  <si>
    <t>管理费用</t>
  </si>
  <si>
    <t>其他成本费用</t>
  </si>
  <si>
    <t>财务费用</t>
  </si>
  <si>
    <t>资产减值损失</t>
  </si>
  <si>
    <t>非经常性损益</t>
  </si>
  <si>
    <t>税前利润</t>
  </si>
  <si>
    <t>所得税</t>
  </si>
  <si>
    <t>净利润</t>
  </si>
  <si>
    <t>少数股东损益</t>
  </si>
  <si>
    <t>归属于母公司所有者的净利润</t>
  </si>
  <si>
    <t>EPS</t>
  </si>
  <si>
    <t>资产负债表</t>
  </si>
  <si>
    <t>现金及现金等价物</t>
  </si>
  <si>
    <t>短期投资</t>
  </si>
  <si>
    <t>现金和短期投资合计</t>
  </si>
  <si>
    <t>应收账款</t>
  </si>
  <si>
    <t>其他应收款项</t>
  </si>
  <si>
    <t>应收款项合计</t>
  </si>
  <si>
    <t>存货</t>
  </si>
  <si>
    <t>预付款项</t>
  </si>
  <si>
    <t>其他流动资产</t>
  </si>
  <si>
    <t>流动资产合计</t>
  </si>
  <si>
    <t>PP&amp;E</t>
  </si>
  <si>
    <t>无形资产和待摊费用</t>
  </si>
  <si>
    <t>长期投资</t>
  </si>
  <si>
    <t>其他非流动资产</t>
  </si>
  <si>
    <t>非流动资产合计</t>
  </si>
  <si>
    <t>总资产</t>
  </si>
  <si>
    <t>应付账款</t>
  </si>
  <si>
    <t>其他应付款项</t>
  </si>
  <si>
    <t>短期借款</t>
  </si>
  <si>
    <t>其他流动负债</t>
  </si>
  <si>
    <t>流动负债合计</t>
  </si>
  <si>
    <t>资本性负债</t>
  </si>
  <si>
    <t>其他非流动负债</t>
  </si>
  <si>
    <t>非流动负债合计</t>
  </si>
  <si>
    <t>负债合计</t>
  </si>
  <si>
    <t>股本</t>
  </si>
  <si>
    <t>各项公积</t>
  </si>
  <si>
    <t>未分配利润</t>
  </si>
  <si>
    <t>所有者权益合计</t>
  </si>
  <si>
    <t>其中：少数股东权益</t>
  </si>
  <si>
    <t>其中：归属于母公司所有者权益</t>
  </si>
  <si>
    <t>负债和所有者权益合计</t>
  </si>
  <si>
    <t>checker</t>
  </si>
  <si>
    <t>现金流量表</t>
  </si>
  <si>
    <t>经营活动现金流量</t>
  </si>
  <si>
    <t>(加)财务费用</t>
  </si>
  <si>
    <t>(减)其他经营性资产增加</t>
  </si>
  <si>
    <t>(加)其他经营性负债增加</t>
  </si>
  <si>
    <t>经营活动现金流量净值</t>
  </si>
  <si>
    <t>投资活动现金流量</t>
  </si>
  <si>
    <t>（减）CAPEX</t>
  </si>
  <si>
    <t>（减）其他投资增加</t>
  </si>
  <si>
    <t>投资活动现金流量净值</t>
  </si>
  <si>
    <t>筹资活动现金流量</t>
  </si>
  <si>
    <t>（加）借款净增加</t>
  </si>
  <si>
    <t>（减）利息支出</t>
  </si>
  <si>
    <t>（加）股权融资和股息支付</t>
  </si>
  <si>
    <t>筹资活动现金流量净值</t>
  </si>
  <si>
    <t>现金和现金等价物的变化</t>
  </si>
  <si>
    <t>现金和现金等价物的变化（调整前）</t>
  </si>
  <si>
    <t>期初现金和现金等价物余额</t>
  </si>
  <si>
    <t>期末现金和现金等价物余额（调整前）</t>
  </si>
  <si>
    <t>期末现金和现金等价物余额</t>
  </si>
  <si>
    <t>收入成本预测</t>
  </si>
  <si>
    <t>调整前增长率</t>
  </si>
  <si>
    <t>终期收入增长率</t>
  </si>
  <si>
    <t>终期收入增长率差异</t>
  </si>
  <si>
    <t>收入增长率调整项</t>
  </si>
  <si>
    <t>调整前成本率</t>
  </si>
  <si>
    <t>%营业总收入</t>
  </si>
  <si>
    <t>调整前销售费用率</t>
  </si>
  <si>
    <t>调整前管理费用率</t>
  </si>
  <si>
    <t>财务性负债</t>
  </si>
  <si>
    <t>%财务性负债</t>
  </si>
  <si>
    <t>固定资产和无形资产</t>
  </si>
  <si>
    <t>%固定资产和无形资产</t>
  </si>
  <si>
    <t>净利率</t>
  </si>
  <si>
    <t>少数股东损益占比</t>
  </si>
  <si>
    <t>调整前终期营业利润率</t>
  </si>
  <si>
    <t>终期营业利润率差异</t>
  </si>
  <si>
    <t>净利率调整项</t>
  </si>
  <si>
    <t>终期营业成本率</t>
  </si>
  <si>
    <t>终期销售费用率</t>
  </si>
  <si>
    <t>终期管理费用率</t>
  </si>
  <si>
    <t>营业成本率调整项</t>
  </si>
  <si>
    <t>销售费用率调整项</t>
  </si>
  <si>
    <t>管理费用率调整项</t>
  </si>
  <si>
    <t>营运资金预测</t>
  </si>
  <si>
    <t>应收帐款</t>
  </si>
  <si>
    <t>%营业成本</t>
  </si>
  <si>
    <t>应付款项</t>
  </si>
  <si>
    <t>CAPEX</t>
  </si>
  <si>
    <t>折旧</t>
  </si>
  <si>
    <t>折旧率</t>
  </si>
  <si>
    <t>新增固定资产</t>
  </si>
  <si>
    <t>新增固定资产%营业收入</t>
  </si>
  <si>
    <t>摊销</t>
  </si>
  <si>
    <t>摊销率</t>
  </si>
  <si>
    <t>新增无形资产和待摊费用</t>
  </si>
  <si>
    <t>新增无形资产%营业收入</t>
  </si>
  <si>
    <t>股东权益变动表</t>
  </si>
  <si>
    <t>股东权益合计</t>
  </si>
  <si>
    <t>其中：股本</t>
  </si>
  <si>
    <t>增发股票数</t>
  </si>
  <si>
    <t>其中：各项公积</t>
  </si>
  <si>
    <t>其中：未分配利润</t>
  </si>
  <si>
    <t>少数股东权益占比</t>
  </si>
  <si>
    <t>股权融资净额</t>
  </si>
  <si>
    <t>债权融资</t>
  </si>
  <si>
    <t>现金和现金等价物</t>
  </si>
  <si>
    <t>现金和现金等价物占收入比</t>
  </si>
  <si>
    <t>维持现金占收入比</t>
  </si>
  <si>
    <t>最高现金占收入比</t>
  </si>
  <si>
    <t>维持现金</t>
  </si>
  <si>
    <t>最高现金</t>
  </si>
  <si>
    <t>为保持维持现金而新增借款</t>
  </si>
  <si>
    <t>超过最高现金而偿还借款</t>
  </si>
  <si>
    <t>短期借款（调整前）</t>
  </si>
  <si>
    <t>资本性负债（调整前）</t>
  </si>
  <si>
    <t>投资</t>
  </si>
  <si>
    <t>其他杂项科目</t>
  </si>
  <si>
    <t>balance_cn.csv</t>
  </si>
  <si>
    <t>货币资金</t>
  </si>
  <si>
    <t>交易性金融资产</t>
  </si>
  <si>
    <t>应收票据</t>
  </si>
  <si>
    <t>其他应收款</t>
  </si>
  <si>
    <t>应收关联公司款</t>
  </si>
  <si>
    <t>应收利息</t>
  </si>
  <si>
    <t>应收股利</t>
  </si>
  <si>
    <t>消耗性生物资产消耗性生物资产</t>
  </si>
  <si>
    <t>一年内到期的非流动资产</t>
  </si>
  <si>
    <t>可供出售金融资产</t>
  </si>
  <si>
    <t>持有至到期投资</t>
  </si>
  <si>
    <t>长期应收款</t>
  </si>
  <si>
    <t>长期股权投资</t>
  </si>
  <si>
    <t>投资性房地产</t>
  </si>
  <si>
    <t>固定资产</t>
  </si>
  <si>
    <t>在建工程</t>
  </si>
  <si>
    <t>工程物资</t>
  </si>
  <si>
    <t>固定资产清理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</si>
  <si>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</si>
  <si>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</si>
  <si>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</si>
  <si>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</si>
  <si>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</si>
  <si>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</si>
  <si>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</si>
  <si>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资产总计</t>
  </si>
  <si>
    <t>交易性金融负债</t>
  </si>
  <si>
    <t>应付票据</t>
  </si>
  <si>
    <t>预收款项</t>
  </si>
  <si>
    <t>应付职工薪酬</t>
  </si>
  <si>
    <t>应交税费</t>
  </si>
  <si>
    <t>应付利息</t>
  </si>
  <si>
    <t>应付股利</t>
  </si>
  <si>
    <t>其他应付款</t>
  </si>
  <si>
    <t>应付关联公司款</t>
  </si>
  <si>
    <t>一年内到期的非流动负债</t>
  </si>
  <si>
    <t>长期借款</t>
  </si>
  <si>
    <t>应付债券</t>
  </si>
  <si>
    <t>长期应付款</t>
  </si>
  <si>
    <t>专项应付款</t>
  </si>
  <si>
    <t>预计负债</t>
  </si>
  <si>
    <t>递延所得税负债</t>
  </si>
  <si>
    <t>实收资本（或股本）</t>
  </si>
  <si>
    <t>资本公积</t>
  </si>
  <si>
    <t>专项储备</t>
  </si>
  <si>
    <t>盈余公积</t>
  </si>
  <si>
    <t>库存股</t>
  </si>
  <si>
    <t>归属于母公司所有者权益</t>
  </si>
  <si>
    <t>外币报表折算价差</t>
  </si>
  <si>
    <t>非正常经营项目收益调整</t>
  </si>
  <si>
    <t>所有者权益（或股东权益）合计</t>
  </si>
  <si>
    <t>负债和所有者权益（或股东权益）合计</t>
  </si>
  <si>
    <t>其他综合收益</t>
  </si>
  <si>
    <t>递延收益_非流动负债</t>
  </si>
  <si>
    <t>结算备付金</t>
  </si>
  <si>
    <t>拆出资金</t>
  </si>
  <si>
    <t>发放贷款及垫款_流动资产</t>
  </si>
  <si>
    <t>衍生金融资产</t>
  </si>
  <si>
    <t>应收保费</t>
  </si>
  <si>
    <t>应收分保账款</t>
  </si>
  <si>
    <t>应收分保合同准备金</t>
  </si>
  <si>
    <t>买入返售金融资产</t>
  </si>
  <si>
    <t>划分为持有待售的资产</t>
  </si>
  <si>
    <t>发放贷款及垫款_非流动资产</t>
  </si>
  <si>
    <t>向中央银行借款</t>
  </si>
  <si>
    <t>吸收存款及同业存放</t>
  </si>
  <si>
    <t>拆入资金</t>
  </si>
  <si>
    <t>衍生金融负债</t>
  </si>
  <si>
    <t>卖出回购金融资产款</t>
  </si>
  <si>
    <t>应付手续费及佣金</t>
  </si>
  <si>
    <t>应付分保账款</t>
  </si>
  <si>
    <t>保险合同准备金</t>
  </si>
  <si>
    <t>代理买卖证券款</t>
  </si>
  <si>
    <t>代理承销证券款</t>
  </si>
  <si>
    <t>划分为持有待售的负债</t>
  </si>
  <si>
    <t>预计负债_流动负债</t>
  </si>
  <si>
    <t>递延收益_流动负债</t>
  </si>
  <si>
    <t>优先股_非流动负债</t>
  </si>
  <si>
    <t>永续债_非流动负债</t>
  </si>
  <si>
    <t>长期应付职工薪酬</t>
  </si>
  <si>
    <t>其他权益工具</t>
  </si>
  <si>
    <t>其中：优先股_所有者权益</t>
  </si>
  <si>
    <t>永续债_所有者权益</t>
  </si>
  <si>
    <t>总资产误差项</t>
  </si>
  <si>
    <t>其他流动资产杂项</t>
  </si>
  <si>
    <t>其他非流动资产杂项</t>
  </si>
  <si>
    <t>总负债误差项</t>
  </si>
  <si>
    <t>其他流动负债杂项</t>
  </si>
  <si>
    <t>其他非流动负债杂项</t>
  </si>
  <si>
    <t>其他应计入所有者权益的杂项</t>
  </si>
  <si>
    <t>资产负债表配平误差项</t>
  </si>
  <si>
    <t>cashflow_cn.csv</t>
  </si>
  <si>
    <t>销售商品、提供劳务收到的现金</t>
  </si>
  <si>
    <t>收到的税费返还</t>
  </si>
  <si>
    <t>经营活动现金流入小计</t>
  </si>
  <si>
    <t>购买商品、接受劳务支付的现金</t>
  </si>
  <si>
    <t>支付给职工以及为职工支付的现金</t>
  </si>
  <si>
    <t>支付的各项税费</t>
  </si>
  <si>
    <t>经营活动现金流出小计</t>
  </si>
  <si>
    <t>经营活动现金流量净额</t>
  </si>
  <si>
    <t>收回投资收到的现金</t>
  </si>
  <si>
    <t>取得投资收益收到的现金</t>
  </si>
  <si>
    <t>处置固定资产、无形资产和其他长期资产收回的</t>
  </si>
  <si>
    <t>处置子公司及其他营业单位收到的现金净额</t>
  </si>
  <si>
    <t>投资活动现金流入小计</t>
  </si>
  <si>
    <t>购建固定资产、无形资产和其他长期资产支付的</t>
  </si>
  <si>
    <t>投资支付的现金</t>
  </si>
  <si>
    <t>质押贷款净增加额</t>
  </si>
  <si>
    <t>取得子公司及其他营业单位支付的现金净额</t>
  </si>
  <si>
    <t>投资活动现金流出小计</t>
  </si>
  <si>
    <t>投资活动现金流量净额</t>
  </si>
  <si>
    <t>吸收投资收到的现金</t>
  </si>
  <si>
    <t>取得借款收到的现金</t>
  </si>
  <si>
    <t>发行债券收到的现金</t>
  </si>
  <si>
    <t>筹资活动现金流入小计</t>
  </si>
  <si>
    <t>偿还债务支付的现金</t>
  </si>
  <si>
    <t>分配股利、利润或偿付利息支付的现金</t>
  </si>
  <si>
    <t>筹资活动现金流出小计</t>
  </si>
  <si>
    <t>筹资活动现金流量净额</t>
  </si>
  <si>
    <t>汇率变动对现金的影响</t>
  </si>
  <si>
    <t>其他原因对现金的影响</t>
  </si>
  <si>
    <t>现金及现金等价物净增加额</t>
  </si>
  <si>
    <t>期初现金及现金等价物余额</t>
  </si>
  <si>
    <t>期末现金及现金等价物余额</t>
  </si>
  <si>
    <t>资产减值准备</t>
  </si>
  <si>
    <t>固定资产折旧、油气资产折耗、生产性生物资产折旧</t>
  </si>
  <si>
    <t>无形资产摊销</t>
  </si>
  <si>
    <t>长期待摊费用摊销</t>
  </si>
  <si>
    <t>处置固定资产、无形资产和其他长期资产的损失</t>
  </si>
  <si>
    <t>固定资产报废损失</t>
  </si>
  <si>
    <t>公允价值变动损失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</si>
  <si>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</si>
  <si>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</si>
  <si>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</si>
  <si>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</si>
  <si>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</si>
  <si>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</si>
  <si>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其他</t>
  </si>
  <si>
    <t>经营活动现金流量净额_间接法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</si>
  <si>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</si>
  <si>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</si>
  <si>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</si>
  <si>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</si>
  <si>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</si>
  <si>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</si>
  <si>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</si>
  <si>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其他原因对现金的影响_间接法</t>
  </si>
  <si>
    <t>现金及现金等价物净增加额_间接法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</si>
  <si>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</si>
  <si>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</si>
  <si>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</si>
  <si>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</si>
  <si>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</si>
  <si>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</si>
  <si>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处置以公允价值计量且其变动计入当期损益的金</t>
  </si>
  <si>
    <t>收取利息、手续费及佣金的现金</t>
  </si>
  <si>
    <t>拆入资金净增加额</t>
  </si>
  <si>
    <t>回购业务资金净增加额</t>
  </si>
  <si>
    <t>客户贷款及垫款净增加额</t>
  </si>
  <si>
    <t>存放中央银行和同业款项净增加额</t>
  </si>
  <si>
    <t>支付原保险合同赔付款项的现金</t>
  </si>
  <si>
    <t>支付利息、手续费及佣金的现金</t>
  </si>
  <si>
    <t>支付保单红利的现金</t>
  </si>
  <si>
    <t>子公司吸收少数股东投资收到的现金</t>
  </si>
  <si>
    <t>子公司支付给少数股东的股利、利润</t>
  </si>
  <si>
    <t>投资性房地产的折旧及摊销</t>
  </si>
  <si>
    <t>收到其他与经营活动有关的现金</t>
  </si>
  <si>
    <t>支付其他与经营活动有关的现金</t>
  </si>
  <si>
    <t>经营活动现金流量净额误差项</t>
  </si>
  <si>
    <t>收到其他与投资活动有关的现金</t>
  </si>
  <si>
    <t>支付其他与投资活动有关的现金</t>
  </si>
  <si>
    <t>投资活动现金流量净额误差项</t>
  </si>
  <si>
    <t>收到其他与筹资活动有关的现金</t>
  </si>
  <si>
    <t>支付其他与筹资活动有关的现金</t>
  </si>
  <si>
    <t>筹资活动现金流量净额误差项</t>
  </si>
  <si>
    <t>影响现金和现金等价物的其他杂项</t>
  </si>
  <si>
    <t>income_cn.csv</t>
  </si>
  <si>
    <t>营业总成本</t>
  </si>
  <si>
    <t>堪探费用</t>
  </si>
  <si>
    <t>公允价值变动净收益</t>
  </si>
  <si>
    <t>投资收益</t>
  </si>
  <si>
    <t>对联营企业和合营企业的投资收益</t>
  </si>
  <si>
    <t>汇兑收益</t>
  </si>
  <si>
    <t>影响营业利润的其他科目</t>
  </si>
  <si>
    <t>营业利润</t>
  </si>
  <si>
    <t>补贴收入</t>
  </si>
  <si>
    <t>营业外收入</t>
  </si>
  <si>
    <t>营业外支出</t>
  </si>
  <si>
    <t>非流动资产处置净损失</t>
  </si>
  <si>
    <t>影响利润总额的其他科目</t>
  </si>
  <si>
    <t>利润总额</t>
  </si>
  <si>
    <t>影响净利润的其他科目</t>
  </si>
  <si>
    <t>每股收益</t>
  </si>
  <si>
    <t>基本每股收益</t>
  </si>
  <si>
    <t>稀释每股收益</t>
  </si>
  <si>
    <t>综合收益总额</t>
  </si>
  <si>
    <t>归属于母公司所有者的综合收益总额</t>
  </si>
  <si>
    <t>归属于少数股东的综合收益总额</t>
  </si>
  <si>
    <t>利息收入</t>
  </si>
  <si>
    <t>已赚保费</t>
  </si>
  <si>
    <t>手续费及佣金收入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</si>
  <si>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</si>
  <si>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</si>
  <si>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</si>
  <si>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</si>
  <si>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</si>
  <si>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</si>
  <si>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</si>
  <si>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非流动资产处置利得</t>
  </si>
  <si>
    <t>其他收益</t>
  </si>
  <si>
    <t>应计入营业总收入的其他杂项</t>
  </si>
  <si>
    <t>其他业务成本</t>
  </si>
  <si>
    <t>应计入营业总成本的其他杂项</t>
  </si>
  <si>
    <t>其他营业收支</t>
  </si>
  <si>
    <t>影响营业利润的其他杂项</t>
  </si>
  <si>
    <t>影响利润总额的其他杂项</t>
  </si>
  <si>
    <t>影响净利润的其他杂项</t>
  </si>
  <si>
    <t>归属于母公司所有者的净利润误差项</t>
  </si>
  <si>
    <t>影响综合收益总额的其他杂项</t>
  </si>
  <si>
    <t>营业外收支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</si>
</sst>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71" formatCode="#,##0.00%;(#,##0.00%)"/>
  </numFmts>
  <fonts count="34">
    <font>
      <color rgb="FF000000"/>
      <sz val="12"/>
      <name val="Calibri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2"/>
      <name val="Calibri"/>
    </font>
    <font>
      <color auto="1"/>
      <sz val="10"/>
      <name val="Calibri"/>
    </font>
    <font>
      <b/>
      <color rgb="FF4178B8"/>
      <sz val="14"/>
      <name val="Calibri"/>
    </font>
    <font>
      <b/>
      <color rgb="FFFFFFFF"/>
      <sz val="12"/>
      <name val="Calibri"/>
    </font>
    <font>
      <b/>
      <color rgb="FF000000"/>
      <sz val="10"/>
      <name val="Calibri"/>
    </font>
    <font>
      <b/>
      <color rgb="FF13AC59"/>
      <sz val="10"/>
      <name val="Calibri"/>
    </font>
    <font>
      <i/>
      <color rgb="FF000000"/>
      <sz val="10"/>
      <name val="Calibri"/>
    </font>
    <font>
      <b/>
      <color rgb="FF8800CC"/>
      <sz val="10"/>
      <name val="Calibri"/>
    </font>
    <font>
      <i/>
      <color rgb="FF13AC59"/>
      <sz val="10"/>
      <name val="Calibri"/>
    </font>
    <font>
      <color rgb="FF000000"/>
      <sz val="10"/>
      <name val="Calibri"/>
    </font>
    <font>
      <color rgb="FF13AC59"/>
      <sz val="10"/>
      <name val="Calibri"/>
    </font>
    <font>
      <color rgb="FF8800CC"/>
      <sz val="10"/>
      <name val="Calibri"/>
    </font>
    <font>
      <i/>
      <color rgb="FF8800CC"/>
      <sz val="10"/>
      <name val="Calibri"/>
    </font>
    <font>
      <u/>
      <color rgb="FF000000"/>
      <sz val="10"/>
      <name val="Calibri"/>
    </font>
    <font>
      <color rgb="FF4178B8"/>
      <sz val="10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CF3E3"/>
      </patternFill>
    </fill>
  </fills>
  <borders count="14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/>
    </border>
    <border>
      <left style="medium">
        <color rgb="FFE0E0E0"/>
      </left>
      <right style="medium">
        <color rgb="FFE0E0E0"/>
      </right>
      <top/>
      <bottom/>
    </border>
  </borders>
  <cellStyleXfs count="47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115">
    <xf numFmtId="0" fontId="0" fillId="0" borderId="0" xfId="0" applyNumberFormat="1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/>
    <xf numFmtId="0" fontId="20" fillId="33" borderId="0" xfId="0" applyFont="1" applyFill="1"/>
    <xf numFmtId="0" fontId="21" fillId="34" borderId="0" xfId="0" applyFont="1" applyFill="1">
      <alignment horizontal="left"/>
      <protection locked="0"/>
    </xf>
    <xf numFmtId="0" fontId="21" fillId="34" borderId="0" xfId="0" applyFont="1" applyFill="1">
      <alignment horizontal="left"/>
    </xf>
    <xf numFmtId="0" fontId="22" fillId="35" borderId="0" xfId="0" applyFont="1" applyFill="1">
      <alignment horizontal="left" vertical="center"/>
    </xf>
    <xf numFmtId="0" fontId="22" fillId="35" borderId="10" xfId="0" applyFont="1" applyFill="1" applyBorder="1">
      <alignment horizontal="center" vertical="center"/>
      <protection locked="0"/>
    </xf>
    <xf numFmtId="0" fontId="22" fillId="35" borderId="0" xfId="0" applyFont="1" applyFill="1">
      <alignment horizontal="center" vertical="center"/>
      <protection locked="0"/>
    </xf>
    <xf numFmtId="0" fontId="22" fillId="35" borderId="11" xfId="0" applyFont="1" applyFill="1" applyBorder="1">
      <alignment horizontal="center" vertical="center"/>
      <protection locked="0"/>
    </xf>
    <xf numFmtId="0" fontId="23" fillId="34" borderId="11" xfId="0" applyFont="1" applyFill="1" applyBorder="1">
      <alignment horizontal="left" indent="1"/>
      <protection locked="0"/>
    </xf>
    <xf numFmtId="39" fontId="24" fillId="34" borderId="10" xfId="0" applyNumberFormat="1" applyFont="1" applyFill="1" applyBorder="1">
      <alignment horizontal="right"/>
    </xf>
    <xf numFmtId="39" fontId="24" fillId="34" borderId="0" xfId="0" applyNumberFormat="1" applyFont="1" applyFill="1">
      <alignment horizontal="right"/>
    </xf>
    <xf numFmtId="39" fontId="24" fillId="34" borderId="11" xfId="0" applyNumberFormat="1" applyFont="1" applyFill="1" applyBorder="1">
      <alignment horizontal="right"/>
    </xf>
    <xf numFmtId="0" fontId="25" fillId="34" borderId="11" xfId="0" applyFont="1" applyFill="1" applyBorder="1">
      <alignment horizontal="left" indent="2"/>
      <protection locked="0"/>
    </xf>
    <xf numFmtId="171" fontId="25" fillId="34" borderId="10" xfId="0" applyNumberFormat="1" applyFont="1" applyFill="1" applyBorder="1">
      <alignment horizontal="right"/>
    </xf>
    <xf numFmtId="171" fontId="25" fillId="34" borderId="0" xfId="0" applyNumberFormat="1" applyFont="1" applyFill="1">
      <alignment horizontal="right"/>
    </xf>
    <xf numFmtId="171" fontId="25" fillId="34" borderId="11" xfId="0" applyNumberFormat="1" applyFont="1" applyFill="1" applyBorder="1">
      <alignment horizontal="right"/>
    </xf>
    <xf numFmtId="39" fontId="26" fillId="34" borderId="10" xfId="0" applyNumberFormat="1" applyFont="1" applyFill="1" applyBorder="1">
      <alignment horizontal="right"/>
    </xf>
    <xf numFmtId="39" fontId="26" fillId="34" borderId="0" xfId="0" applyNumberFormat="1" applyFont="1" applyFill="1">
      <alignment horizontal="right"/>
    </xf>
    <xf numFmtId="39" fontId="26" fillId="34" borderId="11" xfId="0" applyNumberFormat="1" applyFont="1" applyFill="1" applyBorder="1">
      <alignment horizontal="right"/>
    </xf>
    <xf numFmtId="171" fontId="27" fillId="34" borderId="10" xfId="0" applyNumberFormat="1" applyFont="1" applyFill="1" applyBorder="1">
      <alignment horizontal="right"/>
    </xf>
    <xf numFmtId="171" fontId="27" fillId="34" borderId="0" xfId="0" applyNumberFormat="1" applyFont="1" applyFill="1">
      <alignment horizontal="right"/>
    </xf>
    <xf numFmtId="171" fontId="27" fillId="34" borderId="11" xfId="0" applyNumberFormat="1" applyFont="1" applyFill="1" applyBorder="1">
      <alignment horizontal="right"/>
    </xf>
    <xf numFmtId="0" fontId="28" fillId="34" borderId="11" xfId="0" applyFont="1" applyFill="1" applyBorder="1">
      <alignment horizontal="left"/>
      <protection locked="0"/>
    </xf>
    <xf numFmtId="39" fontId="28" fillId="34" borderId="10" xfId="0" applyNumberFormat="1" applyFont="1" applyFill="1" applyBorder="1">
      <alignment horizontal="right"/>
    </xf>
    <xf numFmtId="39" fontId="28" fillId="34" borderId="0" xfId="0" applyNumberFormat="1" applyFont="1" applyFill="1">
      <alignment horizontal="right"/>
    </xf>
    <xf numFmtId="39" fontId="28" fillId="34" borderId="11" xfId="0" applyNumberFormat="1" applyFont="1" applyFill="1" applyBorder="1">
      <alignment horizontal="right"/>
    </xf>
    <xf numFmtId="39" fontId="29" fillId="34" borderId="10" xfId="0" applyNumberFormat="1" applyFont="1" applyFill="1" applyBorder="1">
      <alignment horizontal="right"/>
    </xf>
    <xf numFmtId="39" fontId="29" fillId="34" borderId="0" xfId="0" applyNumberFormat="1" applyFont="1" applyFill="1">
      <alignment horizontal="right"/>
    </xf>
    <xf numFmtId="39" fontId="29" fillId="34" borderId="11" xfId="0" applyNumberFormat="1" applyFont="1" applyFill="1" applyBorder="1">
      <alignment horizontal="right"/>
    </xf>
    <xf numFmtId="39" fontId="23" fillId="34" borderId="10" xfId="0" applyNumberFormat="1" applyFont="1" applyFill="1" applyBorder="1">
      <alignment horizontal="right"/>
    </xf>
    <xf numFmtId="39" fontId="23" fillId="34" borderId="0" xfId="0" applyNumberFormat="1" applyFont="1" applyFill="1">
      <alignment horizontal="right"/>
    </xf>
    <xf numFmtId="39" fontId="23" fillId="34" borderId="11" xfId="0" applyNumberFormat="1" applyFont="1" applyFill="1" applyBorder="1">
      <alignment horizontal="right"/>
    </xf>
    <xf numFmtId="39" fontId="29" fillId="36" borderId="10" xfId="0" applyNumberFormat="1" applyFont="1" applyFill="1" applyBorder="1">
      <alignment horizontal="right"/>
    </xf>
    <xf numFmtId="39" fontId="23" fillId="36" borderId="10" xfId="0" applyNumberFormat="1" applyFont="1" applyFill="1" applyBorder="1">
      <alignment horizontal="right"/>
    </xf>
    <xf numFmtId="0" fontId="0" fillId="34" borderId="12" xfId="0" applyFont="1" applyFill="1" applyBorder="1"/>
    <xf numFmtId="0" fontId="22" fillId="35" borderId="13" xfId="0" applyFont="1" applyFill="1" applyBorder="1">
      <alignment horizontal="center" vertical="center"/>
      <protection locked="0"/>
    </xf>
    <xf numFmtId="39" fontId="29" fillId="36" borderId="13" xfId="0" applyNumberFormat="1" applyFont="1" applyFill="1" applyBorder="1">
      <alignment horizontal="right"/>
    </xf>
    <xf numFmtId="39" fontId="28" fillId="36" borderId="13" xfId="0" applyNumberFormat="1" applyFont="1" applyFill="1" applyBorder="1">
      <alignment horizontal="right"/>
    </xf>
    <xf numFmtId="39" fontId="23" fillId="36" borderId="13" xfId="0" applyNumberFormat="1" applyFont="1" applyFill="1" applyBorder="1">
      <alignment horizontal="right"/>
    </xf>
    <xf numFmtId="39" fontId="30" fillId="36" borderId="13" xfId="0" applyNumberFormat="1" applyFont="1" applyFill="1" applyBorder="1">
      <alignment horizontal="right"/>
    </xf>
    <xf numFmtId="39" fontId="30" fillId="34" borderId="10" xfId="0" applyNumberFormat="1" applyFont="1" applyFill="1" applyBorder="1">
      <alignment horizontal="right"/>
    </xf>
    <xf numFmtId="39" fontId="30" fillId="34" borderId="0" xfId="0" applyNumberFormat="1" applyFont="1" applyFill="1">
      <alignment horizontal="right"/>
    </xf>
    <xf numFmtId="39" fontId="30" fillId="34" borderId="11" xfId="0" applyNumberFormat="1" applyFont="1" applyFill="1" applyBorder="1">
      <alignment horizontal="right"/>
    </xf>
    <xf numFmtId="171" fontId="25" fillId="36" borderId="13" xfId="0" applyNumberFormat="1" applyFont="1" applyFill="1" applyBorder="1">
      <alignment horizontal="right"/>
    </xf>
    <xf numFmtId="171" fontId="31" fillId="36" borderId="13" xfId="0" applyNumberFormat="1" applyFont="1" applyFill="1" applyBorder="1">
      <alignment horizontal="right"/>
    </xf>
    <xf numFmtId="0" fontId="19" fillId="33" borderId="0" xfId="0" applyFont="1" applyFill="1"/>
    <xf numFmtId="0" fontId="19" fillId="33" borderId="0" xfId="0" applyFont="1" applyFill="1"/>
    <xf numFmtId="0" fontId="28" fillId="34" borderId="11" xfId="0" applyFont="1" applyFill="1" applyBorder="1">
      <alignment horizontal="left" indent="1"/>
      <protection locked="0"/>
    </xf>
    <xf numFmtId="0" fontId="23" fillId="34" borderId="11" xfId="0" applyFont="1" applyFill="1" applyBorder="1">
      <alignment horizontal="left"/>
      <protection locked="0"/>
    </xf>
    <xf numFmtId="0" fontId="19" fillId="33" borderId="0" xfId="0" applyFont="1" applyFill="1"/>
    <xf numFmtId="0" fontId="32" fillId="34" borderId="11" xfId="0" applyFont="1" applyFill="1" applyBorder="1">
      <alignment horizontal="left"/>
      <protection locked="0"/>
    </xf>
    <xf numFmtId="39" fontId="32" fillId="34" borderId="10" xfId="0" applyNumberFormat="1" applyFont="1" applyFill="1" applyBorder="1">
      <alignment horizontal="right"/>
    </xf>
    <xf numFmtId="39" fontId="32" fillId="34" borderId="0" xfId="0" applyNumberFormat="1" applyFont="1" applyFill="1">
      <alignment horizontal="right"/>
    </xf>
    <xf numFmtId="39" fontId="32" fillId="34" borderId="11" xfId="0" applyNumberFormat="1" applyFont="1" applyFill="1" applyBorder="1">
      <alignment horizontal="right"/>
    </xf>
    <xf numFmtId="0" fontId="19" fillId="33" borderId="0" xfId="0" applyFont="1" applyFill="1"/>
    <xf numFmtId="171" fontId="27" fillId="36" borderId="10" xfId="0" applyNumberFormat="1" applyFont="1" applyFill="1" applyBorder="1">
      <alignment horizontal="right"/>
    </xf>
    <xf numFmtId="171" fontId="31" fillId="36" borderId="10" xfId="0" applyNumberFormat="1" applyFont="1" applyFill="1" applyBorder="1">
      <alignment horizontal="right"/>
    </xf>
    <xf numFmtId="171" fontId="25" fillId="36" borderId="10" xfId="0" applyNumberFormat="1" applyFont="1" applyFill="1" applyBorder="1">
      <alignment horizontal="right"/>
    </xf>
    <xf numFmtId="171" fontId="31" fillId="34" borderId="10" xfId="0" applyNumberFormat="1" applyFont="1" applyFill="1" applyBorder="1">
      <alignment horizontal="right"/>
    </xf>
    <xf numFmtId="171" fontId="31" fillId="34" borderId="0" xfId="0" applyNumberFormat="1" applyFont="1" applyFill="1">
      <alignment horizontal="right"/>
    </xf>
    <xf numFmtId="0" fontId="19" fillId="33" borderId="0" xfId="0" applyFont="1" applyFill="1"/>
    <xf numFmtId="0" fontId="19" fillId="33" borderId="0" xfId="0" applyFont="1" applyFill="1"/>
    <xf numFmtId="0" fontId="19" fillId="33" borderId="0" xfId="0" applyFont="1" applyFill="1"/>
    <xf numFmtId="0" fontId="19" fillId="33" borderId="0" xfId="0" applyFont="1" applyFill="1"/>
    <xf numFmtId="39" fontId="33" fillId="34" borderId="10" xfId="0" applyNumberFormat="1" applyFont="1" applyFill="1" applyBorder="1">
      <alignment horizontal="right"/>
    </xf>
    <xf numFmtId="39" fontId="33" fillId="34" borderId="0" xfId="0" applyNumberFormat="1" applyFont="1" applyFill="1">
      <alignment horizontal="right"/>
    </xf>
    <xf numFmtId="39" fontId="33" fillId="34" borderId="11" xfId="0" applyNumberFormat="1" applyFont="1" applyFill="1" applyBorder="1">
      <alignment horizontal="right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1931AB8D-C2B6-747F-7CE4-1DDBBE786751}" mc:Ignorable="x14ac">
  <dimension ref="A1:AG86"/>
  <sheetViews>
    <sheetView topLeftCell="A1" showGridLines="0" workbookViewId="0" tabSelected="1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48" customFormat="1" customHeight="1" ht="17.4">
      <c s="49" t="s">
        <v>0</v>
      </c>
    </row>
    <row r="3" customHeight="1" ht="17.4">
      <c s="50" t="s">
        <v>1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56" t="s">
        <v>3</v>
      </c>
      <c s="57">
        <f>'FS-利润表'!B7</f>
        <v>322.1721353094</v>
      </c>
      <c s="58">
        <f>'FS-利润表'!C7</f>
        <v>334.4685902528</v>
      </c>
      <c s="58">
        <f>'FS-利润表'!D7</f>
        <v>401.5508439384</v>
      </c>
      <c s="58">
        <f>'FS-利润表'!E7</f>
        <v>610.6275686417</v>
      </c>
      <c s="58">
        <f>'FS-利润表'!F7</f>
        <v>771.9938408803</v>
      </c>
      <c s="58">
        <f>'FS-利润表'!G7</f>
        <v>974.376301255916</v>
      </c>
      <c s="58">
        <f>'FS-利润表'!H7</f>
        <v>1181.51267791704</v>
      </c>
      <c s="58">
        <f>'FS-利润表'!I7</f>
        <v>1378.75992376288</v>
      </c>
      <c s="58">
        <f>'FS-利润表'!J7</f>
        <v>1555.06123852343</v>
      </c>
      <c s="59">
        <f>'FS-利润表'!K7</f>
        <v>1710.15737743013</v>
      </c>
    </row>
    <row customHeight="1" ht="21.375">
      <c s="60" t="s">
        <v>4</v>
      </c>
      <c s="61"/>
      <c s="62">
        <f>C5/B5-1</f>
        <v>0.038167344707174</v>
      </c>
      <c s="62">
        <f>D5/C5-1</f>
        <v>0.200563687116023</v>
      </c>
      <c s="62">
        <f>E5/D5-1</f>
        <v>0.520673104936553</v>
      </c>
      <c s="62">
        <f>F5/E5-1</f>
        <v>0.264262998471472</v>
      </c>
      <c s="62">
        <f>G5/F5-1</f>
        <v>0.262155537594498</v>
      </c>
      <c s="62">
        <f>H5/G5-1</f>
        <v>0.212583553596426</v>
      </c>
      <c s="62">
        <f>I5/H5-1</f>
        <v>0.166944671464363</v>
      </c>
      <c s="62">
        <f>J5/I5-1</f>
        <v>0.127869480191586</v>
      </c>
      <c s="63">
        <f>K5/J5-1</f>
        <v>0.099736354469209</v>
      </c>
    </row>
    <row customHeight="1" ht="21.375">
      <c s="56" t="s">
        <v>5</v>
      </c>
      <c s="64">
        <f>B9+CAPEX!B6+CAPEX!B11</f>
        <v>227.3394168771</v>
      </c>
      <c s="65">
        <f>C9+CAPEX!C6+CAPEX!C11</f>
        <v>229.3546224904</v>
      </c>
      <c s="65">
        <f>D9+CAPEX!D6+CAPEX!D11</f>
        <v>251.7897213023</v>
      </c>
      <c s="65">
        <f>E9+CAPEX!E6+CAPEX!E11</f>
        <v>400.2081327534</v>
      </c>
      <c s="65">
        <f>F9+CAPEX!F6+CAPEX!F11</f>
        <v>525.2850110212</v>
      </c>
      <c s="65">
        <f>G9+CAPEX!G6+CAPEX!G11</f>
        <v>647.826128099956</v>
      </c>
      <c s="65">
        <f>H9+CAPEX!H6+CAPEX!H11</f>
        <v>681.618109064868</v>
      </c>
      <c s="65">
        <f>I9+CAPEX!I6+CAPEX!I11</f>
        <v>674.995794255657</v>
      </c>
      <c s="65">
        <f>J9+CAPEX!J6+CAPEX!J11</f>
        <v>626.120786376465</v>
      </c>
      <c s="66">
        <f>K9+CAPEX!K6+CAPEX!K11</f>
        <v>540.185419334571</v>
      </c>
    </row>
    <row customHeight="1" ht="21.375">
      <c s="60" t="s">
        <v>6</v>
      </c>
      <c s="61">
        <f>B7/B5</f>
        <v>0.705645808439557</v>
      </c>
      <c s="62">
        <f>C7/C5</f>
        <v>0.685728433623761</v>
      </c>
      <c s="62">
        <f>D7/D5</f>
        <v>0.627043187937929</v>
      </c>
      <c s="62">
        <f>E7/E5</f>
        <v>0.65540462518526</v>
      </c>
      <c s="62">
        <f>F7/F5</f>
        <v>0.68042642726556</v>
      </c>
      <c s="62">
        <f>G7/G5</f>
        <v>0.664862360943041</v>
      </c>
      <c s="62">
        <f>H7/H5</f>
        <v>0.576902915901447</v>
      </c>
      <c s="62">
        <f>I7/I5</f>
        <v>0.489567315253459</v>
      </c>
      <c s="62">
        <f>J7/J5</f>
        <v>0.402634166980448</v>
      </c>
      <c s="63">
        <f>K7/K5</f>
        <v>0.315868835502328</v>
      </c>
    </row>
    <row customHeight="1" ht="21.375">
      <c s="56" t="s">
        <v>7</v>
      </c>
      <c s="57">
        <f>'FS-利润表'!B14</f>
        <v>219.7714172705</v>
      </c>
      <c s="58">
        <f>'FS-利润表'!C14</f>
        <v>220.8731555131</v>
      </c>
      <c s="58">
        <f>'FS-利润表'!D14</f>
        <v>242.4477745803</v>
      </c>
      <c s="58">
        <f>'FS-利润表'!E14</f>
        <v>388.9497873415</v>
      </c>
      <c s="58">
        <f>'FS-利润表'!F14</f>
        <v>513.530756057</v>
      </c>
      <c s="58">
        <f>'FS-利润表'!G14</f>
        <v>633.046837205463</v>
      </c>
      <c s="58">
        <f>'FS-利润表'!H14</f>
        <v>664.33008843246</v>
      </c>
      <c s="58">
        <f>'FS-利润表'!I14</f>
        <v>654.700296902762</v>
      </c>
      <c s="58">
        <f>'FS-利润表'!J14</f>
        <v>602.467427553006</v>
      </c>
      <c s="59">
        <f>'FS-利润表'!K14</f>
        <v>513.047213229033</v>
      </c>
    </row>
    <row customHeight="1" ht="21.375">
      <c s="60" t="s">
        <v>6</v>
      </c>
      <c s="61">
        <f>B9/B5</f>
        <v>0.682155261687797</v>
      </c>
      <c s="62">
        <f>C9/C5</f>
        <v>0.660370396353686</v>
      </c>
      <c s="62">
        <f>D9/D5</f>
        <v>0.603778520802942</v>
      </c>
      <c s="62">
        <f>E9/E5</f>
        <v>0.63696728958159</v>
      </c>
      <c s="62">
        <f>F9/F5</f>
        <v>0.665200586926217</v>
      </c>
      <c s="62">
        <f>G9/G5</f>
        <v>0.649694411070447</v>
      </c>
      <c s="62">
        <f>H9/H5</f>
        <v>0.562270808302834</v>
      </c>
      <c s="62">
        <f>I9/I5</f>
        <v>0.474847205535224</v>
      </c>
      <c s="62">
        <f>J9/J5</f>
        <v>0.387423602767608</v>
      </c>
      <c s="63">
        <f>K9/K5</f>
        <v>0.3</v>
      </c>
    </row>
    <row customHeight="1" ht="21.375">
      <c s="60" t="s">
        <v>8</v>
      </c>
      <c s="67">
        <f>收入成本预测!B36</f>
        <v>0.256506861443664</v>
      </c>
      <c s="68">
        <f>收入成本预测!C36</f>
        <v>0.252103907826945</v>
      </c>
      <c s="68">
        <f>收入成本预测!D36</f>
        <v>0.251576417056315</v>
      </c>
      <c s="68">
        <f>收入成本预测!E36</f>
        <v>0.251133782161434</v>
      </c>
      <c s="68">
        <f>收入成本预测!F36</f>
        <v>0.25566493662783</v>
      </c>
      <c s="68">
        <f>收入成本预测!G36</f>
        <v>0.25</v>
      </c>
      <c s="68">
        <f>收入成本预测!H36</f>
        <v>0.25</v>
      </c>
      <c s="68">
        <f>收入成本预测!I36</f>
        <v>0.25</v>
      </c>
      <c s="68">
        <f>收入成本预测!J36</f>
        <v>0.25</v>
      </c>
      <c s="69">
        <f>收入成本预测!K36</f>
        <v>0.25</v>
      </c>
    </row>
    <row customHeight="1" ht="21.375">
      <c s="70" t="s">
        <v>9</v>
      </c>
      <c s="71">
        <f>B9*(1-B11)</f>
        <v>163.398540791418</v>
      </c>
      <c s="72">
        <f>C9*(1-C11)</f>
        <v>165.190169874179</v>
      </c>
      <c s="72">
        <f>D9*(1-D11)</f>
        <v>181.453632128111</v>
      </c>
      <c s="72">
        <f>E9*(1-E11)</f>
        <v>291.271356175544</v>
      </c>
      <c s="72">
        <f>F9*(1-F11)</f>
        <v>382.238947853245</v>
      </c>
      <c s="72">
        <f>G9*(1-G11)</f>
        <v>474.785127904097</v>
      </c>
      <c s="72">
        <f>H9*(1-H11)</f>
        <v>498.247566324345</v>
      </c>
      <c s="72">
        <f>I9*(1-I11)</f>
        <v>491.025222677071</v>
      </c>
      <c s="72">
        <f>J9*(1-J11)</f>
        <v>451.850570664755</v>
      </c>
      <c s="73">
        <f>K9*(1-K11)</f>
        <v>384.785409921775</v>
      </c>
    </row>
    <row customHeight="1" ht="21.375">
      <c s="70" t="s">
        <v>10</v>
      </c>
      <c s="74">
        <f>'FS-现金流量表'!B7</f>
        <v>7.5679996066</v>
      </c>
      <c s="75">
        <f>'FS-现金流量表'!C7</f>
        <v>8.4814669773</v>
      </c>
      <c s="75">
        <f>'FS-现金流量表'!D7</f>
        <v>9.341946722</v>
      </c>
      <c s="75">
        <f>'FS-现金流量表'!E7</f>
        <v>11.2583454119</v>
      </c>
      <c s="75">
        <f>'FS-现金流量表'!F7</f>
        <v>11.7542549642</v>
      </c>
      <c s="75">
        <f>'FS-现金流量表'!G7</f>
        <v>14.779290894493</v>
      </c>
      <c s="75">
        <f>'FS-现金流量表'!H7</f>
        <v>17.2880206324078</v>
      </c>
      <c s="75">
        <f>'FS-现金流量表'!I7</f>
        <v>20.2954973528946</v>
      </c>
      <c s="75">
        <f>'FS-现金流量表'!J7</f>
        <v>23.6533588234586</v>
      </c>
      <c s="76">
        <f>'FS-现金流量表'!K7</f>
        <v>27.1382061055381</v>
      </c>
    </row>
    <row customHeight="1" ht="21.375">
      <c s="70" t="s">
        <v>11</v>
      </c>
      <c s="74">
        <f>'FS-现金流量表'!B9</f>
        <v>0</v>
      </c>
      <c s="75">
        <f>'FS-现金流量表'!C9</f>
        <v>-75.6964219934</v>
      </c>
      <c s="75">
        <f>'FS-现金流量表'!D9</f>
        <v>83.7765823905</v>
      </c>
      <c s="75">
        <f>'FS-现金流量表'!E9</f>
        <v>33.4400918688</v>
      </c>
      <c s="75">
        <f>'FS-现金流量表'!F9</f>
        <v>9.21860725350001</v>
      </c>
      <c s="75">
        <f>'FS-现金流量表'!G9</f>
        <v>138.826896223617</v>
      </c>
      <c s="75">
        <f>'FS-现金流量表'!H9</f>
        <v>-14.562044951216</v>
      </c>
      <c s="75">
        <f>'FS-现金流量表'!I9</f>
        <v>-17.702155423251</v>
      </c>
      <c s="75">
        <f>'FS-现金流量表'!J9</f>
        <v>-20.0661876118976</v>
      </c>
      <c s="76">
        <f>'FS-现金流量表'!K9</f>
        <v>-21.8801030765929</v>
      </c>
    </row>
    <row customHeight="1" ht="21.375">
      <c s="70" t="s">
        <v>12</v>
      </c>
      <c s="74">
        <f>'FS-现金流量表'!B14</f>
        <v>0</v>
      </c>
      <c s="75">
        <f>'FS-现金流量表'!C14</f>
        <v>-20.8137611564</v>
      </c>
      <c s="75">
        <f>'FS-现金流量表'!D14</f>
        <v>-39.1021235508</v>
      </c>
      <c s="75">
        <f>'FS-现金流量表'!E14</f>
        <v>-18.3337624568</v>
      </c>
      <c s="75">
        <f>'FS-现金流量表'!F14</f>
        <v>-12.1099358879</v>
      </c>
      <c s="75">
        <f>'FS-现金流量表'!G14</f>
        <v>-38.9810975936457</v>
      </c>
      <c s="75">
        <f>'FS-现金流量表'!H14</f>
        <v>-46.3917343362414</v>
      </c>
      <c s="75">
        <f>'FS-现金流量表'!I14</f>
        <v>-52.5806535919999</v>
      </c>
      <c s="75">
        <f>'FS-现金流量表'!J14</f>
        <v>-56.6137381393142</v>
      </c>
      <c s="76">
        <f>'FS-现金流量表'!K14</f>
        <v>-57.7460129021003</v>
      </c>
    </row>
    <row customHeight="1" ht="21.375">
      <c s="60" t="s">
        <v>6</v>
      </c>
      <c s="61">
        <f>B15/B5</f>
        <v>0</v>
      </c>
      <c s="62">
        <f>C15/C5</f>
        <v>-0.062229344587091</v>
      </c>
      <c s="62">
        <f>D15/D5</f>
        <v>-0.097377764587138</v>
      </c>
      <c s="62">
        <f>E15/E5</f>
        <v>-0.030024459094735</v>
      </c>
      <c s="62">
        <f>F15/F5</f>
        <v>-0.015686570600215</v>
      </c>
      <c s="62">
        <f>G15/G5</f>
        <v>-0.040006204526322</v>
      </c>
      <c s="62">
        <f>H15/H5</f>
        <v>-0.039264694491496</v>
      </c>
      <c s="62">
        <f>I15/I5</f>
        <v>-0.038136192302789</v>
      </c>
      <c s="62">
        <f>J15/J5</f>
        <v>-0.03640611490842</v>
      </c>
      <c s="63">
        <f>K15/K5</f>
        <v>-0.03376649053719</v>
      </c>
    </row>
    <row customHeight="1" ht="21.375">
      <c s="56" t="s">
        <v>13</v>
      </c>
      <c s="77">
        <f>B12+SUM(B13,B14,B15)</f>
        <v>170.966540398018</v>
      </c>
      <c s="78">
        <f>C12+SUM(C13,C14,C15)</f>
        <v>77.161453701679</v>
      </c>
      <c s="78">
        <f>D12+SUM(D13,D14,D15)</f>
        <v>235.470037689811</v>
      </c>
      <c s="78">
        <f>E12+SUM(E13,E14,E15)</f>
        <v>317.636030999444</v>
      </c>
      <c s="78">
        <f>F12+SUM(F13,F14,F15)</f>
        <v>391.101874183045</v>
      </c>
      <c s="78">
        <f>G12+SUM(G13,G14,G15)</f>
        <v>589.410217428561</v>
      </c>
      <c s="78">
        <f>H12+SUM(H13,H14,H15)</f>
        <v>454.581807669295</v>
      </c>
      <c s="78">
        <f>I12+SUM(I13,I14,I15)</f>
        <v>441.037911014715</v>
      </c>
      <c s="78">
        <f>J12+SUM(J13,J14,J15)</f>
        <v>398.824003737002</v>
      </c>
      <c s="79">
        <f>K12+SUM(K13,K14,K15)</f>
        <v>332.29750004862</v>
      </c>
    </row>
    <row customHeight="1" ht="21.375">
      <c s="70" t="s">
        <v>14</v>
      </c>
      <c s="71"/>
      <c s="72"/>
      <c s="72"/>
      <c s="72"/>
      <c s="72"/>
      <c s="72">
        <f>1/POWER(1+B19,2019-2018)</f>
        <v>0.921658986175115</v>
      </c>
      <c s="72">
        <f>1/POWER(1+B19,2020-2018)</f>
        <v>0.849455286797341</v>
      </c>
      <c s="72">
        <f>1/POWER(1+B19,2021-2018)</f>
        <v>0.782908098430729</v>
      </c>
      <c s="72">
        <f>1/POWER(1+B19,2022-2018)</f>
        <v>0.721574284267953</v>
      </c>
      <c s="73">
        <f>1/POWER(1+B19,2023-2018)</f>
        <v>0.665045423288436</v>
      </c>
    </row>
    <row customHeight="1" ht="21.375">
      <c s="70" t="s">
        <v>15</v>
      </c>
      <c s="80">
        <f>B68</f>
        <v>0.085</v>
      </c>
      <c s="72"/>
      <c s="72"/>
      <c s="72"/>
      <c s="72"/>
      <c s="72"/>
      <c s="72"/>
      <c s="72"/>
      <c s="72"/>
      <c s="73"/>
    </row>
    <row customHeight="1" ht="21.375">
      <c s="56" t="s">
        <v>16</v>
      </c>
      <c s="81">
        <f>SUM(G17*G18,H17*H18,I17*I18,J17*J18,K17*K18)</f>
        <v>1783.44837211436</v>
      </c>
      <c s="78"/>
      <c s="78"/>
      <c s="78"/>
      <c s="78"/>
      <c s="78"/>
      <c s="78"/>
      <c s="78"/>
      <c s="78"/>
      <c s="79"/>
    </row>
    <row customHeight="1" ht="17.4">
      <c s="82"/>
      <c s="82"/>
      <c s="82"/>
      <c s="82"/>
      <c s="82"/>
      <c s="82"/>
      <c s="82"/>
      <c s="82"/>
      <c s="82"/>
      <c s="82"/>
      <c s="82"/>
    </row>
    <row customHeight="1" ht="17.4">
      <c s="50" t="s">
        <v>17</v>
      </c>
      <c s="51"/>
    </row>
    <row customHeight="1" ht="21.375">
      <c s="52" t="s">
        <v>2</v>
      </c>
      <c s="83" t="s">
        <v>2</v>
      </c>
    </row>
    <row customHeight="1" ht="21.375">
      <c s="70" t="s">
        <v>16</v>
      </c>
      <c s="84">
        <f>B20</f>
        <v>1783.44837211436</v>
      </c>
    </row>
    <row customHeight="1" ht="21.375">
      <c s="70" t="s">
        <v>18</v>
      </c>
      <c s="85">
        <f>0.02</f>
        <v>0.02</v>
      </c>
    </row>
    <row customHeight="1" ht="21.375">
      <c s="70" t="s">
        <v>19</v>
      </c>
      <c s="84">
        <f>收入成本预测!B9</f>
        <v>-0.226811290601985</v>
      </c>
    </row>
    <row customHeight="1" ht="21.375">
      <c s="70" t="s">
        <v>20</v>
      </c>
      <c s="85">
        <f>0.3</f>
        <v>0.3</v>
      </c>
    </row>
    <row customHeight="1" ht="21.375">
      <c s="70" t="s">
        <v>21</v>
      </c>
      <c s="84">
        <f>收入成本预测!B44</f>
        <v>-0.349694411070447</v>
      </c>
    </row>
    <row customHeight="1" ht="21.375">
      <c s="70" t="s">
        <v>22</v>
      </c>
      <c s="85">
        <f>K17*(1+B25)/(B19-B25)</f>
        <v>5214.51461614757</v>
      </c>
    </row>
    <row customHeight="1" ht="21.375">
      <c s="70" t="s">
        <v>23</v>
      </c>
      <c s="85">
        <f>B29/POWER(1+B19,2023-2018)</f>
        <v>3467.8890801396</v>
      </c>
    </row>
    <row customHeight="1" ht="21.375">
      <c s="56" t="s">
        <v>24</v>
      </c>
      <c s="86">
        <f>B24+B30</f>
        <v>5251.33745225396</v>
      </c>
    </row>
    <row customHeight="1" ht="21.375">
      <c s="56" t="s">
        <v>25</v>
      </c>
      <c s="86">
        <f>B31/G7</f>
        <v>8.10609085443325</v>
      </c>
    </row>
    <row customHeight="1" ht="21.375">
      <c s="70" t="s">
        <v>26</v>
      </c>
      <c s="87">
        <f>'FS-资产负债表'!F29</f>
        <v>424.3818681348</v>
      </c>
    </row>
    <row customHeight="1" ht="21.375">
      <c s="70" t="s">
        <v>27</v>
      </c>
      <c s="87">
        <f>'FS-资产负债表'!F5</f>
        <v>1120.7479142006</v>
      </c>
    </row>
    <row customHeight="1" ht="21.375">
      <c s="70" t="s">
        <v>28</v>
      </c>
      <c s="85">
        <f>B33-B34</f>
        <v>-696.3660460658</v>
      </c>
    </row>
    <row customHeight="1" ht="21.375">
      <c s="70" t="s">
        <v>29</v>
      </c>
      <c s="87">
        <f>'FS-资产负债表'!F34</f>
        <v>45.6992359048</v>
      </c>
    </row>
    <row customHeight="1" ht="21.375">
      <c s="56" t="s">
        <v>30</v>
      </c>
      <c s="86">
        <f>B31-B35</f>
        <v>5947.70349831976</v>
      </c>
    </row>
    <row customHeight="1" ht="21.375">
      <c s="70" t="s">
        <v>31</v>
      </c>
      <c s="87">
        <f>'FS-资产负债表'!F30</f>
        <v>12.561978</v>
      </c>
    </row>
    <row customHeight="1" ht="21.375">
      <c s="56" t="s">
        <v>32</v>
      </c>
      <c s="86">
        <f>B37/B38</f>
        <v>473.468708376958</v>
      </c>
    </row>
    <row customHeight="1" ht="17.4">
      <c s="82"/>
      <c s="82"/>
    </row>
    <row customHeight="1" ht="17.4">
      <c s="50" t="s">
        <v>33</v>
      </c>
      <c s="51"/>
    </row>
    <row customHeight="1" ht="21.375">
      <c s="52" t="s">
        <v>2</v>
      </c>
      <c s="83" t="s">
        <v>2</v>
      </c>
    </row>
    <row customHeight="1" ht="21.375">
      <c s="70" t="s">
        <v>34</v>
      </c>
      <c s="85">
        <f>8.6</f>
        <v>8.6</v>
      </c>
    </row>
    <row customHeight="1" ht="21.375">
      <c s="70" t="s">
        <v>35</v>
      </c>
      <c s="84">
        <f>B38</f>
        <v>12.561978</v>
      </c>
    </row>
    <row customHeight="1" ht="21.375">
      <c s="70" t="s">
        <v>33</v>
      </c>
      <c s="85">
        <f>B43*B44</f>
        <v>108.0330108</v>
      </c>
    </row>
    <row customHeight="1" ht="21.375">
      <c s="70" t="s">
        <v>28</v>
      </c>
      <c s="84">
        <f>B35</f>
        <v>-696.3660460658</v>
      </c>
    </row>
    <row customHeight="1" ht="21.375">
      <c s="70" t="s">
        <v>36</v>
      </c>
      <c s="85">
        <f>B45+B46</f>
        <v>-588.3330352658</v>
      </c>
    </row>
    <row customHeight="1" ht="21.375">
      <c s="70" t="s">
        <v>37</v>
      </c>
      <c s="85">
        <f>B46/H7</f>
        <v>-1.02163665666272</v>
      </c>
    </row>
    <row customHeight="1" ht="17.4">
      <c s="82"/>
      <c s="82"/>
    </row>
    <row customHeight="1" ht="17.4">
      <c s="50" t="s">
        <v>38</v>
      </c>
      <c s="51"/>
      <c s="51"/>
      <c s="51"/>
    </row>
    <row customHeight="1" ht="21.375">
      <c s="52" t="s">
        <v>2</v>
      </c>
      <c s="53">
        <v>2019</v>
      </c>
      <c s="54">
        <v>2020</v>
      </c>
      <c s="55">
        <v>2021</v>
      </c>
    </row>
    <row customHeight="1" ht="21.375">
      <c s="70" t="s">
        <v>39</v>
      </c>
      <c s="71">
        <f>MAX(B31/G5,0)</f>
        <v>5.38943470349729</v>
      </c>
      <c s="72">
        <f>MAX(B31/H5,0)</f>
        <v>4.44458832342947</v>
      </c>
      <c s="73">
        <f>MAX(B31/I5,0)</f>
        <v>3.80873955048108</v>
      </c>
    </row>
    <row customHeight="1" ht="21.375">
      <c s="70" t="s">
        <v>40</v>
      </c>
      <c s="71">
        <f>MAX(B31/G7,0)</f>
        <v>8.10609085443325</v>
      </c>
      <c s="72">
        <f>MAX(B31/H7,0)</f>
        <v>7.70422232393213</v>
      </c>
      <c s="73">
        <f>MAX(B31/I7,0)</f>
        <v>7.77980766242374</v>
      </c>
    </row>
    <row customHeight="1" ht="21.375">
      <c s="70" t="s">
        <v>41</v>
      </c>
      <c s="71">
        <f>MAX(B31/G9,0)</f>
        <v>8.29533794914068</v>
      </c>
      <c s="72">
        <f>MAX(B31/H9,0)</f>
        <v>7.90471114238542</v>
      </c>
      <c s="73">
        <f>MAX(B31/I9,0)</f>
        <v>8.02097918253106</v>
      </c>
    </row>
    <row customHeight="1" ht="21.375">
      <c s="70" t="s">
        <v>42</v>
      </c>
      <c s="88">
        <f>MAX(B39*B38/'FS-利润表'!G20,0)</f>
        <v>12.5274141950584</v>
      </c>
      <c s="89">
        <f>MAX(B39*B38/'FS-利润表'!H20,0)</f>
        <v>11.9375202910662</v>
      </c>
      <c s="90">
        <f>MAX(B39*B38/'FS-利润表'!I20,0)</f>
        <v>12.1131475011321</v>
      </c>
    </row>
    <row customHeight="1" ht="17.4">
      <c s="82"/>
      <c s="82"/>
      <c s="82"/>
      <c s="82"/>
    </row>
    <row customHeight="1" ht="17.4">
      <c s="50" t="s">
        <v>43</v>
      </c>
      <c s="51"/>
    </row>
    <row customHeight="1" ht="21.375">
      <c s="52" t="s">
        <v>2</v>
      </c>
      <c s="83" t="s">
        <v>2</v>
      </c>
    </row>
    <row customHeight="1" ht="21.375">
      <c s="60" t="s">
        <v>44</v>
      </c>
      <c s="91">
        <f>0.015</f>
        <v>0.015</v>
      </c>
    </row>
    <row customHeight="1" ht="21.375">
      <c s="60" t="s">
        <v>45</v>
      </c>
      <c s="91">
        <f>0.07</f>
        <v>0.07</v>
      </c>
    </row>
    <row customHeight="1" ht="21.375">
      <c s="70" t="s">
        <v>46</v>
      </c>
      <c s="85">
        <f>1</f>
        <v>1</v>
      </c>
    </row>
    <row customHeight="1" ht="21.375">
      <c s="60" t="s">
        <v>47</v>
      </c>
      <c s="91">
        <f>B59+B60*B61</f>
        <v>0.085</v>
      </c>
    </row>
    <row customHeight="1" ht="21.375">
      <c s="60" t="s">
        <v>48</v>
      </c>
      <c s="91">
        <f>0.0475</f>
        <v>0.0475</v>
      </c>
    </row>
    <row customHeight="1" ht="21.375">
      <c s="60" t="s">
        <v>8</v>
      </c>
      <c s="92">
        <f>收入成本预测!G36</f>
        <v>0.25</v>
      </c>
    </row>
    <row customHeight="1" ht="21.375">
      <c s="60" t="s">
        <v>49</v>
      </c>
      <c s="91">
        <f>B63*(1-B64)</f>
        <v>0.035625</v>
      </c>
    </row>
    <row customHeight="1" ht="21.375">
      <c s="60" t="s">
        <v>50</v>
      </c>
      <c s="92">
        <f>'FS-资产负债表'!F33/('FS-资产负债表'!F26+'FS-资产负债表'!F33)</f>
        <v>1</v>
      </c>
    </row>
    <row customHeight="1" ht="21.375">
      <c s="60" t="s">
        <v>51</v>
      </c>
      <c s="91">
        <f>1-B66</f>
        <v>0</v>
      </c>
    </row>
    <row customHeight="1" ht="21.375">
      <c s="60" t="s">
        <v>15</v>
      </c>
      <c s="91">
        <f>B66*B62+B67*B65</f>
        <v>0.085</v>
      </c>
    </row>
    <row customHeight="1" ht="17.4">
      <c s="82"/>
      <c s="82"/>
    </row>
  </sheetData>
  <sheetProtection sheet="1" objects="1"/>
  <mergeCells count="5">
    <mergeCell ref="A3:K3"/>
    <mergeCell ref="A22:B22"/>
    <mergeCell ref="A41:B41"/>
    <mergeCell ref="A50:D50"/>
    <mergeCell ref="A57:B5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439AF3BC-7FA1-9C54-42C2-98A0571EEF95}" mc:Ignorable="x14ac">
  <dimension ref="A1:AG41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93" customFormat="1" customHeight="1" ht="17.4">
      <c s="49" t="s">
        <v>0</v>
      </c>
    </row>
    <row r="3" customHeight="1" ht="17.4">
      <c s="50" t="s">
        <v>52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70" t="s">
        <v>3</v>
      </c>
      <c s="74">
        <f>data!B201</f>
        <v>315.7392853094</v>
      </c>
      <c s="75">
        <f>data!C201</f>
        <v>326.5958372528</v>
      </c>
      <c s="75">
        <f>data!D201</f>
        <v>388.6218999384</v>
      </c>
      <c s="75">
        <f>data!E201</f>
        <v>582.1786131417</v>
      </c>
      <c s="75">
        <f>data!F201</f>
        <v>736.3887238803</v>
      </c>
      <c s="75">
        <f>收入成本预测!G5</f>
        <v>918.137775205946</v>
      </c>
      <c s="75">
        <f>收入成本预测!H5</f>
        <v>1092.68354101874</v>
      </c>
      <c s="75">
        <f>收入成本预测!I5</f>
        <v>1238.45369391812</v>
      </c>
      <c s="75">
        <f>收入成本预测!J5</f>
        <v>1333.44658796357</v>
      </c>
      <c s="76">
        <f>收入成本预测!K5</f>
        <v>1360.11551972284</v>
      </c>
    </row>
    <row customHeight="1" ht="21.375">
      <c s="70" t="s">
        <v>53</v>
      </c>
      <c s="88">
        <f>data!B255+data!B246</f>
        <v>6.43285000000003</v>
      </c>
      <c s="89">
        <f>data!C255+data!C246</f>
        <v>7.87275300000003</v>
      </c>
      <c s="89">
        <f>data!D255+data!D246</f>
        <v>12.928944</v>
      </c>
      <c s="89">
        <f>data!E255+data!E246</f>
        <v>28.4489555000001</v>
      </c>
      <c s="89">
        <f>data!F255+data!F246</f>
        <v>35.605117</v>
      </c>
      <c s="75">
        <f>收入成本预测!G11</f>
        <v>56.2385260499701</v>
      </c>
      <c s="75">
        <f>收入成本预测!H11</f>
        <v>88.8291368983049</v>
      </c>
      <c s="75">
        <f>收入成本预测!I11</f>
        <v>140.306229844763</v>
      </c>
      <c s="75">
        <f>收入成本预测!J11</f>
        <v>221.614650559856</v>
      </c>
      <c s="76">
        <f>收入成本预测!K11</f>
        <v>350.041857707292</v>
      </c>
    </row>
    <row customHeight="1" ht="21.375">
      <c s="56" t="s">
        <v>54</v>
      </c>
      <c s="77">
        <f>B5+B6</f>
        <v>322.1721353094</v>
      </c>
      <c s="78">
        <f>C5+C6</f>
        <v>334.4685902528</v>
      </c>
      <c s="78">
        <f>D5+D6</f>
        <v>401.5508439384</v>
      </c>
      <c s="78">
        <f>E5+E6</f>
        <v>610.6275686417</v>
      </c>
      <c s="78">
        <f>F5+F6</f>
        <v>771.9938408803</v>
      </c>
      <c s="78">
        <f>G5+G6</f>
        <v>974.376301255916</v>
      </c>
      <c s="78">
        <f>H5+H6</f>
        <v>1181.51267791704</v>
      </c>
      <c s="78">
        <f>I5+I6</f>
        <v>1378.75992376288</v>
      </c>
      <c s="78">
        <f>J5+J6</f>
        <v>1555.06123852343</v>
      </c>
      <c s="79">
        <f>K5+K6</f>
        <v>1710.15737743013</v>
      </c>
    </row>
    <row customHeight="1" ht="21.375">
      <c s="70" t="s">
        <v>55</v>
      </c>
      <c s="88">
        <f>data!B203+data!B207+data!B247</f>
        <v>23.9784437219</v>
      </c>
      <c s="89">
        <f>data!C203+data!C207+data!C247</f>
        <v>26.1255924117</v>
      </c>
      <c s="89">
        <f>data!D203+data!D207+data!D247</f>
        <v>35.3313872923</v>
      </c>
      <c s="89">
        <f>data!E203+data!E207+data!E247</f>
        <v>60.7569954703</v>
      </c>
      <c s="89">
        <f>data!F203+data!F207+data!F247</f>
        <v>66.5936400096</v>
      </c>
      <c s="75">
        <f>收入成本预测!G14</f>
        <v>83.0727233204881</v>
      </c>
      <c s="75">
        <f>收入成本预测!H14</f>
        <v>140.192177545789</v>
      </c>
      <c s="75">
        <f>收入成本预测!I14</f>
        <v>209.643637258948</v>
      </c>
      <c s="75">
        <f>收入成本预测!J14</f>
        <v>288.38580451443</v>
      </c>
      <c s="76">
        <f>收入成本预测!K14</f>
        <v>374.263319635751</v>
      </c>
    </row>
    <row customHeight="1" ht="21.375">
      <c s="70" t="s">
        <v>56</v>
      </c>
      <c s="74">
        <f>data!B204</f>
        <v>27.8899443605</v>
      </c>
      <c s="75">
        <f>data!C204</f>
        <v>34.491706374</v>
      </c>
      <c s="75">
        <f>data!D204</f>
        <v>65.0892634326</v>
      </c>
      <c s="75">
        <f>data!E204</f>
        <v>84.0421447069</v>
      </c>
      <c s="75">
        <f>data!F204</f>
        <v>112.8892684697</v>
      </c>
      <c s="75">
        <f>收入成本预测!G17</f>
        <v>123.872509625354</v>
      </c>
      <c s="75">
        <f>收入成本预测!H17</f>
        <v>150.205767914419</v>
      </c>
      <c s="75">
        <f>收入成本预测!I17</f>
        <v>175.281820490944</v>
      </c>
      <c s="75">
        <f>收入成本预测!J17</f>
        <v>197.695015764156</v>
      </c>
      <c s="76">
        <f>收入成本预测!K17</f>
        <v>217.412395933206</v>
      </c>
    </row>
    <row customHeight="1" ht="21.375">
      <c s="56" t="s">
        <v>57</v>
      </c>
      <c s="77">
        <f>B7-B8-B9</f>
        <v>270.303747227</v>
      </c>
      <c s="78">
        <f>C7-C8-C9</f>
        <v>273.8512914671</v>
      </c>
      <c s="78">
        <f>D7-D8-D9</f>
        <v>301.1301932135</v>
      </c>
      <c s="78">
        <f>E7-E8-E9</f>
        <v>465.8284284645</v>
      </c>
      <c s="78">
        <f>F7-F8-F9</f>
        <v>592.510932401</v>
      </c>
      <c s="78">
        <f>G7-G8-G9</f>
        <v>767.431068310074</v>
      </c>
      <c s="78">
        <f>H7-H8-H9</f>
        <v>891.114732456832</v>
      </c>
      <c s="78">
        <f>I7-I8-I9</f>
        <v>993.834466012988</v>
      </c>
      <c s="78">
        <f>J7-J8-J9</f>
        <v>1068.98041824484</v>
      </c>
      <c s="79">
        <f>K7-K8-K9</f>
        <v>1118.48166186117</v>
      </c>
    </row>
    <row customHeight="1" ht="21.375">
      <c s="70" t="s">
        <v>58</v>
      </c>
      <c s="74">
        <f>data!B205</f>
        <v>16.7473345106</v>
      </c>
      <c s="75">
        <f>data!C205</f>
        <v>14.8496151921</v>
      </c>
      <c s="75">
        <f>data!D205</f>
        <v>16.810520229</v>
      </c>
      <c s="75">
        <f>data!E205</f>
        <v>29.8606854499</v>
      </c>
      <c s="75">
        <f>data!F205</f>
        <v>25.7207687216</v>
      </c>
      <c s="75">
        <f>收入成本预测!G19</f>
        <v>42.9628138159667</v>
      </c>
      <c s="75">
        <f>收入成本预测!H19</f>
        <v>72.5033462442088</v>
      </c>
      <c s="75">
        <f>收入成本预测!I19</f>
        <v>108.421635829974</v>
      </c>
      <c s="75">
        <f>收入成本预测!J19</f>
        <v>149.144811091868</v>
      </c>
      <c s="76">
        <f>收入成本预测!K19</f>
        <v>193.558182240197</v>
      </c>
    </row>
    <row customHeight="1" ht="21.375">
      <c s="70" t="s">
        <v>59</v>
      </c>
      <c s="74">
        <f>data!B206</f>
        <v>33.7849954459</v>
      </c>
      <c s="75">
        <f>data!C206</f>
        <v>38.1285207619</v>
      </c>
      <c s="75">
        <f>data!D206</f>
        <v>41.8718984042</v>
      </c>
      <c s="75">
        <f>data!E206</f>
        <v>47.0179556731</v>
      </c>
      <c s="75">
        <f>data!F206</f>
        <v>53.2594076224</v>
      </c>
      <c s="75">
        <f>收入成本预测!G22</f>
        <v>91.4214172886445</v>
      </c>
      <c s="75">
        <f>收入成本预测!H22</f>
        <v>154.281297780163</v>
      </c>
      <c s="75">
        <f>收入成本预测!I22</f>
        <v>230.712533280252</v>
      </c>
      <c s="75">
        <f>收入成本预测!J22</f>
        <v>317.368179599966</v>
      </c>
      <c s="76">
        <f>收入成本预测!K22</f>
        <v>411.87626639194</v>
      </c>
    </row>
    <row customHeight="1" ht="21.375">
      <c s="70" t="s">
        <v>60</v>
      </c>
      <c s="74">
        <f>data!B248</f>
        <v>1e-15</v>
      </c>
      <c s="75">
        <f>data!C248</f>
        <v>1.4e-14</v>
      </c>
      <c s="75">
        <f>data!D248</f>
        <v>5e-15</v>
      </c>
      <c s="75">
        <f>data!E248</f>
        <v>1e-15</v>
      </c>
      <c s="75">
        <f>data!F248</f>
        <v>1.2e-14</v>
      </c>
      <c s="75">
        <f>收入成本预测!G25</f>
        <v>1.5e-14</v>
      </c>
      <c s="75">
        <f>收入成本预测!H25</f>
        <v>1.8e-14</v>
      </c>
      <c s="75">
        <f>收入成本预测!I25</f>
        <v>2.1e-14</v>
      </c>
      <c s="75">
        <f>收入成本预测!J25</f>
        <v>2.3e-14</v>
      </c>
      <c s="76">
        <f>收入成本预测!K25</f>
        <v>2.6e-14</v>
      </c>
    </row>
    <row customHeight="1" ht="21.375">
      <c s="56" t="s">
        <v>7</v>
      </c>
      <c s="77">
        <f>B10-SUM(B11,B12,B13)</f>
        <v>219.7714172705</v>
      </c>
      <c s="78">
        <f>C10-SUM(C11,C12,C13)</f>
        <v>220.8731555131</v>
      </c>
      <c s="78">
        <f>D10-SUM(D11,D12,D13)</f>
        <v>242.4477745803</v>
      </c>
      <c s="78">
        <f>E10-SUM(E11,E12,E13)</f>
        <v>388.9497873415</v>
      </c>
      <c s="78">
        <f>F10-SUM(F11,F12,F13)</f>
        <v>513.530756057</v>
      </c>
      <c s="78">
        <f>G10-SUM(G11,G12,G13)</f>
        <v>633.046837205463</v>
      </c>
      <c s="78">
        <f>H10-SUM(H11,H12,H13)</f>
        <v>664.33008843246</v>
      </c>
      <c s="78">
        <f>I10-SUM(I11,I12,I13)</f>
        <v>654.700296902762</v>
      </c>
      <c s="78">
        <f>J10-SUM(J11,J12,J13)</f>
        <v>602.467427553006</v>
      </c>
      <c s="79">
        <f>K10-SUM(K11,K12,K13)</f>
        <v>513.047213229033</v>
      </c>
    </row>
    <row customHeight="1" ht="21.375">
      <c s="70" t="s">
        <v>61</v>
      </c>
      <c s="74">
        <f>data!B208</f>
        <v>-1.2316879384</v>
      </c>
      <c s="75">
        <f>data!C208</f>
        <v>-0.6726680097</v>
      </c>
      <c s="75">
        <f>data!D208</f>
        <v>-0.3317518852</v>
      </c>
      <c s="75">
        <f>data!E208</f>
        <v>-0.5572234619</v>
      </c>
      <c s="75">
        <f>data!F208</f>
        <v>-0.0352120923</v>
      </c>
      <c s="75">
        <f>收入成本预测!G27</f>
        <v>0</v>
      </c>
      <c s="75">
        <f>收入成本预测!H27</f>
        <v>0</v>
      </c>
      <c s="75">
        <f>收入成本预测!I27</f>
        <v>0</v>
      </c>
      <c s="75">
        <f>收入成本预测!J27</f>
        <v>0</v>
      </c>
      <c s="76">
        <f>收入成本预测!K27</f>
        <v>0</v>
      </c>
    </row>
    <row customHeight="1" ht="21.375">
      <c s="70" t="s">
        <v>62</v>
      </c>
      <c s="74">
        <f>data!B209</f>
        <v>0.0043274588</v>
      </c>
      <c s="75">
        <f>data!C209</f>
        <v>-0.0054031339</v>
      </c>
      <c s="75">
        <f>data!D209</f>
        <v>0.1232749622</v>
      </c>
      <c s="75">
        <f>data!E209</f>
        <v>-0.0805370395</v>
      </c>
      <c s="75">
        <f>data!F209</f>
        <v>0.0128968501</v>
      </c>
      <c s="75">
        <f>收入成本预测!G30</f>
        <v>0.013458759235748</v>
      </c>
      <c s="75">
        <f>收入成本预测!H30</f>
        <v>0.01529459475677</v>
      </c>
      <c s="75">
        <f>收入成本预测!I30</f>
        <v>0.017331112749926</v>
      </c>
      <c s="75">
        <f>收入成本预测!J30</f>
        <v>0.019410223194393</v>
      </c>
      <c s="76">
        <f>收入成本预测!K30</f>
        <v>0.0213409355258</v>
      </c>
    </row>
    <row customHeight="1" ht="21.375">
      <c s="70" t="s">
        <v>63</v>
      </c>
      <c s="88">
        <f>data!B249+data!B256+data!B251+data!B223+data!B252</f>
        <v>-2.17535540929998</v>
      </c>
      <c s="89">
        <f>data!C249+data!C256+data!C251+data!C223+data!C252</f>
        <v>-1.53407642959997</v>
      </c>
      <c s="89">
        <f>data!D249+data!D256+data!D251+data!D223+data!D252</f>
        <v>-3.07744209999998</v>
      </c>
      <c s="89">
        <f>data!E249+data!E256+data!E251+data!E223+data!E252</f>
        <v>-1.99935389999998</v>
      </c>
      <c s="89">
        <f>data!F249+data!F256+data!F251+data!F223+data!F252</f>
        <v>-5.15384134999999</v>
      </c>
      <c s="75">
        <f>收入成本预测!G33</f>
        <v>0</v>
      </c>
      <c s="75">
        <f>收入成本预测!H33</f>
        <v>0</v>
      </c>
      <c s="75">
        <f>收入成本预测!I33</f>
        <v>0</v>
      </c>
      <c s="75">
        <f>收入成本预测!J33</f>
        <v>0</v>
      </c>
      <c s="76">
        <f>收入成本预测!K33</f>
        <v>0</v>
      </c>
    </row>
    <row customHeight="1" ht="21.375">
      <c s="56" t="s">
        <v>64</v>
      </c>
      <c s="77">
        <f>B14-B15-B16+B17</f>
        <v>218.8234223408</v>
      </c>
      <c s="78">
        <f>C14-C15-C16+C17</f>
        <v>220.0171502271</v>
      </c>
      <c s="78">
        <f>D14-D15-D16+D17</f>
        <v>239.5788094033</v>
      </c>
      <c s="78">
        <f>E14-E15-E16+E17</f>
        <v>387.5881939429</v>
      </c>
      <c s="78">
        <f>F14-F15-F16+F17</f>
        <v>508.3992299492</v>
      </c>
      <c s="78">
        <f>G14-G15-G16+G17</f>
        <v>633.033378446227</v>
      </c>
      <c s="78">
        <f>H14-H15-H16+H17</f>
        <v>664.314793837703</v>
      </c>
      <c s="78">
        <f>I14-I15-I16+I17</f>
        <v>654.682965790012</v>
      </c>
      <c s="78">
        <f>J14-J15-J16+J17</f>
        <v>602.448017329812</v>
      </c>
      <c s="79">
        <f>K14-K15-K16+K17</f>
        <v>513.025872293507</v>
      </c>
    </row>
    <row customHeight="1" ht="21.375">
      <c s="70" t="s">
        <v>65</v>
      </c>
      <c s="74">
        <f>data!B222</f>
        <v>56.129709275</v>
      </c>
      <c s="75">
        <f>data!C222</f>
        <v>55.4671833612</v>
      </c>
      <c s="75">
        <f>data!D222</f>
        <v>60.2723784723</v>
      </c>
      <c s="75">
        <f>data!E222</f>
        <v>97.336489066</v>
      </c>
      <c s="75">
        <f>data!F222</f>
        <v>129.9798569066</v>
      </c>
      <c s="75">
        <f>收入成本预测!G35</f>
        <v>158.258344611557</v>
      </c>
      <c s="75">
        <f>收入成本预测!H35</f>
        <v>166.078698459426</v>
      </c>
      <c s="75">
        <f>收入成本预测!I35</f>
        <v>163.670741447503</v>
      </c>
      <c s="75">
        <f>收入成本预测!J35</f>
        <v>150.612004332453</v>
      </c>
      <c s="76">
        <f>收入成本预测!K35</f>
        <v>128.25646806694</v>
      </c>
    </row>
    <row customHeight="1" ht="21.375">
      <c s="56" t="s">
        <v>66</v>
      </c>
      <c s="77">
        <f>B18-B19</f>
        <v>162.6937130658</v>
      </c>
      <c s="78">
        <f>C18-C19</f>
        <v>164.5499668659</v>
      </c>
      <c s="78">
        <f>D18-D19</f>
        <v>179.306430931</v>
      </c>
      <c s="78">
        <f>E18-E19</f>
        <v>290.2517048769</v>
      </c>
      <c s="78">
        <f>F18-F19</f>
        <v>378.4193730426</v>
      </c>
      <c s="78">
        <f>G18-G19</f>
        <v>474.77503383467</v>
      </c>
      <c s="78">
        <f>H18-H19</f>
        <v>498.236095378277</v>
      </c>
      <c s="78">
        <f>I18-I19</f>
        <v>491.012224342509</v>
      </c>
      <c s="78">
        <f>J18-J19</f>
        <v>451.836012997359</v>
      </c>
      <c s="79">
        <f>K18-K19</f>
        <v>384.769404226567</v>
      </c>
    </row>
    <row customHeight="1" ht="21.375">
      <c s="70" t="s">
        <v>67</v>
      </c>
      <c s="88">
        <f>data!B226+data!B253</f>
        <v>9.19567187559999</v>
      </c>
      <c s="89">
        <f>data!C226+data!C253</f>
        <v>9.5190634884</v>
      </c>
      <c s="89">
        <f>data!D226+data!D253</f>
        <v>12.1228037572</v>
      </c>
      <c s="89">
        <f>data!E226+data!E253</f>
        <v>19.2706298026</v>
      </c>
      <c s="89">
        <f>data!F226+data!F253</f>
        <v>26.2599249359</v>
      </c>
      <c s="75">
        <f>收入成本预测!G39</f>
        <v>0</v>
      </c>
      <c s="75">
        <f>收入成本预测!H39</f>
        <v>0</v>
      </c>
      <c s="75">
        <f>收入成本预测!I39</f>
        <v>0</v>
      </c>
      <c s="75">
        <f>收入成本预测!J39</f>
        <v>0</v>
      </c>
      <c s="76">
        <f>收入成本预测!K39</f>
        <v>0</v>
      </c>
    </row>
    <row customHeight="1" ht="21.375">
      <c s="56" t="s">
        <v>68</v>
      </c>
      <c s="77">
        <f>B20-B21</f>
        <v>153.4980411902</v>
      </c>
      <c s="78">
        <f>C20-C21</f>
        <v>155.0309033775</v>
      </c>
      <c s="78">
        <f>D20-D21</f>
        <v>167.1836271738</v>
      </c>
      <c s="78">
        <f>E20-E21</f>
        <v>270.9810750743</v>
      </c>
      <c s="78">
        <f>F20-F21</f>
        <v>352.1594481067</v>
      </c>
      <c s="78">
        <f>G20-G21</f>
        <v>474.77503383467</v>
      </c>
      <c s="78">
        <f>H20-H21</f>
        <v>498.236095378277</v>
      </c>
      <c s="78">
        <f>I20-I21</f>
        <v>491.012224342509</v>
      </c>
      <c s="78">
        <f>J20-J21</f>
        <v>451.836012997359</v>
      </c>
      <c s="79">
        <f>K20-K21</f>
        <v>384.769404226567</v>
      </c>
    </row>
    <row customHeight="1" ht="21.375">
      <c s="70" t="s">
        <v>69</v>
      </c>
      <c s="88">
        <f>B20/'FS-资产负债表'!B30</f>
        <v>14.2464096316981</v>
      </c>
      <c s="89">
        <f>C20/'FS-资产负债表'!C30</f>
        <v>13.0990491199634</v>
      </c>
      <c s="89">
        <f>D20/'FS-资产负债表'!D30</f>
        <v>14.2737418367553</v>
      </c>
      <c s="89">
        <f>E20/'FS-资产负债表'!E30</f>
        <v>23.1055734118385</v>
      </c>
      <c s="89">
        <f>F20/'FS-资产负债表'!F30</f>
        <v>30.1241868949778</v>
      </c>
      <c s="89">
        <f>G20/'FS-资产负债表'!G30</f>
        <v>37.7946079697536</v>
      </c>
      <c s="89">
        <f>H20/'FS-资产负债表'!H30</f>
        <v>39.6622327612958</v>
      </c>
      <c s="89">
        <f>I20/'FS-资产负债表'!I30</f>
        <v>39.0871743560217</v>
      </c>
      <c s="89">
        <f>J20/'FS-资产负债表'!J30</f>
        <v>35.9685403841146</v>
      </c>
      <c s="90">
        <f>K20/'FS-资产负债表'!K30</f>
        <v>30.6296830185952</v>
      </c>
    </row>
    <row customHeight="1" ht="17.4">
      <c s="82"/>
      <c s="82"/>
      <c s="82"/>
      <c s="82"/>
      <c s="82"/>
      <c s="82"/>
      <c s="82"/>
      <c s="82"/>
      <c s="82"/>
      <c s="82"/>
      <c s="82"/>
    </row>
  </sheetData>
  <sheetProtection sheet="1" objects="1"/>
  <mergeCells count="1">
    <mergeCell ref="A3:K3"/>
  </mergeCel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1360EAD-2748-8569-F14D-5B33204E4A5C}" mc:Ignorable="x14ac">
  <dimension ref="A1:AG55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94" customFormat="1" customHeight="1" ht="17.4">
      <c s="49" t="s">
        <v>0</v>
      </c>
    </row>
    <row r="3" customHeight="1" ht="17.4">
      <c s="50" t="s">
        <v>70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70" t="s">
        <v>71</v>
      </c>
      <c s="74">
        <f>data!B5</f>
        <v>277.1071768021</v>
      </c>
      <c s="75">
        <f>data!C5</f>
        <v>368.0074989506</v>
      </c>
      <c s="75">
        <f>data!D5</f>
        <v>668.5496211822</v>
      </c>
      <c s="75">
        <f>data!E5</f>
        <v>878.6886991334</v>
      </c>
      <c s="75">
        <f>data!F5</f>
        <v>1120.7479142006</v>
      </c>
      <c s="75">
        <f>'FS-现金流量表'!G26</f>
        <v>1631.27039055709</v>
      </c>
      <c s="75">
        <f>'FS-现金流量表'!H26</f>
        <v>2085.84072728032</v>
      </c>
      <c s="75">
        <f>'FS-现金流量表'!I26</f>
        <v>2526.86563996047</v>
      </c>
      <c s="75">
        <f>'FS-现金流量表'!J26</f>
        <v>2925.67524459363</v>
      </c>
      <c s="76">
        <f>'FS-现金流量表'!K26</f>
        <v>3257.9564454921</v>
      </c>
    </row>
    <row customHeight="1" ht="21.375">
      <c s="70" t="s">
        <v>72</v>
      </c>
      <c s="74">
        <f>data!B6</f>
        <v>0</v>
      </c>
      <c s="75">
        <f>data!C6</f>
        <v>0</v>
      </c>
      <c s="75">
        <f>data!D6</f>
        <v>0</v>
      </c>
      <c s="75">
        <f>data!E6</f>
        <v>0</v>
      </c>
      <c s="75">
        <f>data!F6</f>
        <v>0</v>
      </c>
      <c s="75">
        <f>其他科目预测!G5</f>
        <v>0</v>
      </c>
      <c s="75">
        <f>其他科目预测!H5</f>
        <v>0</v>
      </c>
      <c s="75">
        <f>其他科目预测!I5</f>
        <v>0</v>
      </c>
      <c s="75">
        <f>其他科目预测!J5</f>
        <v>0</v>
      </c>
      <c s="76">
        <f>其他科目预测!K5</f>
        <v>0</v>
      </c>
    </row>
    <row customHeight="1" ht="21.375">
      <c s="95" t="s">
        <v>73</v>
      </c>
      <c s="71">
        <f>B5+B6</f>
        <v>277.1071768021</v>
      </c>
      <c s="72">
        <f>C5+C6</f>
        <v>368.0074989506</v>
      </c>
      <c s="72">
        <f>D5+D6</f>
        <v>668.5496211822</v>
      </c>
      <c s="72">
        <f>E5+E6</f>
        <v>878.6886991334</v>
      </c>
      <c s="72">
        <f>F5+F6</f>
        <v>1120.7479142006</v>
      </c>
      <c s="72">
        <f>G5+G6</f>
        <v>1631.27039055709</v>
      </c>
      <c s="72">
        <f>H5+H6</f>
        <v>2085.84072728032</v>
      </c>
      <c s="72">
        <f>I5+I6</f>
        <v>2526.86563996047</v>
      </c>
      <c s="72">
        <f>J5+J6</f>
        <v>2925.67524459363</v>
      </c>
      <c s="73">
        <f>K5+K6</f>
        <v>3257.9564454921</v>
      </c>
    </row>
    <row customHeight="1" ht="21.375">
      <c s="70" t="s">
        <v>74</v>
      </c>
      <c s="74">
        <f>data!B8</f>
        <v>0.0430616124</v>
      </c>
      <c s="75">
        <f>data!C8</f>
        <v>0.0023076889</v>
      </c>
      <c s="75">
        <f>data!D8</f>
        <v>0</v>
      </c>
      <c s="75">
        <f>data!E8</f>
        <v>0</v>
      </c>
      <c s="75">
        <f>data!F8</f>
        <v>0</v>
      </c>
      <c s="75">
        <f>收入成本预测!G57</f>
        <v>0.026341250444408</v>
      </c>
      <c s="75">
        <f>收入成本预测!H57</f>
        <v>0.031348945210321</v>
      </c>
      <c s="75">
        <f>收入成本预测!I57</f>
        <v>0.03553107147561</v>
      </c>
      <c s="75">
        <f>收入成本预测!J57</f>
        <v>0.038256404949586</v>
      </c>
      <c s="76">
        <f>收入成本预测!K57</f>
        <v>0.039021533048577</v>
      </c>
    </row>
    <row customHeight="1" ht="21.375">
      <c s="70" t="s">
        <v>75</v>
      </c>
      <c s="88">
        <f>data!B7+data!B12+data!B13+data!B10</f>
        <v>20.0933046074</v>
      </c>
      <c s="89">
        <f>data!C7+data!C12+data!C13+data!C10</f>
        <v>87.1250147704</v>
      </c>
      <c s="89">
        <f>data!D7+data!D12+data!D13+data!D10</f>
        <v>10.3575959425</v>
      </c>
      <c s="89">
        <f>data!E7+data!E12+data!E13+data!E10</f>
        <v>14.9448811824</v>
      </c>
      <c s="89">
        <f>data!F7+data!F12+data!F13+data!F10</f>
        <v>13.0152014759</v>
      </c>
      <c s="75">
        <f>收入成本预测!G63</f>
        <v>29.10719959572</v>
      </c>
      <c s="75">
        <f>收入成本预测!H63</f>
        <v>29.10719959572</v>
      </c>
      <c s="75">
        <f>收入成本预测!I63</f>
        <v>29.10719959572</v>
      </c>
      <c s="75">
        <f>收入成本预测!J63</f>
        <v>29.10719959572</v>
      </c>
      <c s="76">
        <f>收入成本预测!K63</f>
        <v>29.10719959572</v>
      </c>
    </row>
    <row customHeight="1" ht="21.375">
      <c s="70" t="s">
        <v>76</v>
      </c>
      <c s="71">
        <f>B8+B9</f>
        <v>20.1363662198</v>
      </c>
      <c s="72">
        <f>C8+C9</f>
        <v>87.1273224593</v>
      </c>
      <c s="72">
        <f>D8+D9</f>
        <v>10.3575959425</v>
      </c>
      <c s="72">
        <f>E8+E9</f>
        <v>14.9448811824</v>
      </c>
      <c s="72">
        <f>F8+F9</f>
        <v>13.0152014759</v>
      </c>
      <c s="72">
        <f>G8+G9</f>
        <v>29.1335408461644</v>
      </c>
      <c s="72">
        <f>H8+H9</f>
        <v>29.1385485409303</v>
      </c>
      <c s="72">
        <f>I8+I9</f>
        <v>29.1427306671956</v>
      </c>
      <c s="72">
        <f>J8+J9</f>
        <v>29.1454560006696</v>
      </c>
      <c s="73">
        <f>K8+K9</f>
        <v>29.1462211287686</v>
      </c>
    </row>
    <row customHeight="1" ht="21.375">
      <c s="70" t="s">
        <v>77</v>
      </c>
      <c s="74">
        <f>data!B14</f>
        <v>149.8236436785</v>
      </c>
      <c s="75">
        <f>data!C14</f>
        <v>180.132970227</v>
      </c>
      <c s="75">
        <f>data!D14</f>
        <v>206.2225182555</v>
      </c>
      <c s="75">
        <f>data!E14</f>
        <v>220.5748137646</v>
      </c>
      <c s="75">
        <f>data!F14</f>
        <v>235.0695084222</v>
      </c>
      <c s="75">
        <f>收入成本预测!G59</f>
        <v>0.026341250444408</v>
      </c>
      <c s="75">
        <f>收入成本预测!H59</f>
        <v>0.031348945210321</v>
      </c>
      <c s="75">
        <f>收入成本预测!I59</f>
        <v>0.03553107147561</v>
      </c>
      <c s="75">
        <f>收入成本预测!J59</f>
        <v>0.038256404949586</v>
      </c>
      <c s="76">
        <f>收入成本预测!K59</f>
        <v>0.039021533048577</v>
      </c>
    </row>
    <row customHeight="1" ht="21.375">
      <c s="70" t="s">
        <v>78</v>
      </c>
      <c s="74">
        <f>data!B9</f>
        <v>28.6421040428</v>
      </c>
      <c s="75">
        <f>data!C9</f>
        <v>14.777348599</v>
      </c>
      <c s="75">
        <f>data!D9</f>
        <v>10.4610069692</v>
      </c>
      <c s="75">
        <f>data!E9</f>
        <v>7.9080732207</v>
      </c>
      <c s="75">
        <f>data!F9</f>
        <v>11.8237850806</v>
      </c>
      <c s="75">
        <f>收入成本预测!G61</f>
        <v>39.2753555086239</v>
      </c>
      <c s="75">
        <f>收入成本预测!H61</f>
        <v>66.2804515436058</v>
      </c>
      <c s="75">
        <f>收入成本预测!I61</f>
        <v>99.115907777583</v>
      </c>
      <c s="75">
        <f>收入成本预测!J61</f>
        <v>136.343850823912</v>
      </c>
      <c s="76">
        <f>收入成本预测!K61</f>
        <v>176.945263679668</v>
      </c>
    </row>
    <row customHeight="1" ht="21.375">
      <c s="70" t="s">
        <v>79</v>
      </c>
      <c s="88">
        <f>data!B16+data!B101</f>
        <v>3e-15</v>
      </c>
      <c s="89">
        <f>data!C16+data!C101</f>
        <v>-1.2e-14</v>
      </c>
      <c s="89">
        <f>data!D16+data!D101</f>
        <v>6.21474570630007</v>
      </c>
      <c s="89">
        <f>data!E16+data!E101</f>
        <v>0.375392314900106</v>
      </c>
      <c s="89">
        <f>data!F16+data!F101</f>
        <v>-2.03805610359991</v>
      </c>
      <c s="75">
        <f>其他科目预测!G10</f>
        <v>0.910416383520051</v>
      </c>
      <c s="75">
        <f>其他科目预测!H10</f>
        <v>0.910416383520051</v>
      </c>
      <c s="75">
        <f>其他科目预测!I10</f>
        <v>0.910416383520051</v>
      </c>
      <c s="75">
        <f>其他科目预测!J10</f>
        <v>0.910416383520051</v>
      </c>
      <c s="76">
        <f>其他科目预测!K10</f>
        <v>0.910416383520051</v>
      </c>
    </row>
    <row customHeight="1" ht="21.375">
      <c s="56" t="s">
        <v>80</v>
      </c>
      <c s="77">
        <f>SUM(B7,B10,B11,B12,B13)</f>
        <v>475.7092907432</v>
      </c>
      <c s="78">
        <f>SUM(C7,C10,C11,C12,C13)</f>
        <v>650.0451402359</v>
      </c>
      <c s="78">
        <f>SUM(D7,D10,D11,D12,D13)</f>
        <v>901.8054880557</v>
      </c>
      <c s="78">
        <f>SUM(E7,E10,E11,E12,E13)</f>
        <v>1122.491859616</v>
      </c>
      <c s="78">
        <f>SUM(F7,F10,F11,F12,F13)</f>
        <v>1378.6183530757</v>
      </c>
      <c s="78">
        <f>SUM(G7,G10,G11,G12,G13)</f>
        <v>1700.61604454584</v>
      </c>
      <c s="78">
        <f>SUM(H7,H10,H11,H12,H13)</f>
        <v>2182.20149269359</v>
      </c>
      <c s="78">
        <f>SUM(I7,I10,I11,I12,I13)</f>
        <v>2656.07022586024</v>
      </c>
      <c s="78">
        <f>SUM(J7,J10,J11,J12,J13)</f>
        <v>3092.11322420668</v>
      </c>
      <c s="79">
        <f>SUM(K7,K10,K11,K12,K13)</f>
        <v>3464.99736821711</v>
      </c>
    </row>
    <row customHeight="1" ht="21.375">
      <c s="70" t="s">
        <v>81</v>
      </c>
      <c s="88">
        <f>data!B23+data!B27+data!B28</f>
        <v>103.7575777159</v>
      </c>
      <c s="89">
        <f>data!C23+data!C27+data!C28</f>
        <v>114.1595318972</v>
      </c>
      <c s="89">
        <f>data!D23+data!D27+data!D28</f>
        <v>144.5317743934</v>
      </c>
      <c s="89">
        <f>data!E23+data!E27+data!E28</f>
        <v>152.4409663202</v>
      </c>
      <c s="89">
        <f>data!F23+data!F27+data!F28</f>
        <v>152.4855658502</v>
      </c>
      <c s="75">
        <f>CAPEX!G5</f>
        <v>178.369424310128</v>
      </c>
      <c s="75">
        <f>CAPEX!H5</f>
        <v>209.399112593456</v>
      </c>
      <c s="75">
        <f>CAPEX!I5</f>
        <v>244.043901037015</v>
      </c>
      <c s="75">
        <f>CAPEX!J5</f>
        <v>279.998867584661</v>
      </c>
      <c s="76">
        <f>CAPEX!K5</f>
        <v>314.420251391682</v>
      </c>
    </row>
    <row customHeight="1" ht="21.375">
      <c s="70" t="s">
        <v>82</v>
      </c>
      <c s="88">
        <f>data!B29+data!B32</f>
        <v>35.8803196907</v>
      </c>
      <c s="89">
        <f>data!C29+data!C32</f>
        <v>37.8106596885</v>
      </c>
      <c s="89">
        <f>data!D29+data!D32</f>
        <v>37.1985940211</v>
      </c>
      <c s="89">
        <f>data!E29+data!E32</f>
        <v>36.3648191392</v>
      </c>
      <c s="89">
        <f>data!F29+data!F32</f>
        <v>36.6759005329</v>
      </c>
      <c s="75">
        <f>CAPEX!G10</f>
        <v>34.9938487721248</v>
      </c>
      <c s="75">
        <f>CAPEX!H10</f>
        <v>33.0678741926305</v>
      </c>
      <c s="75">
        <f>CAPEX!I10</f>
        <v>30.708241988177</v>
      </c>
      <c s="75">
        <f>CAPEX!J10</f>
        <v>27.713654756386</v>
      </c>
      <c s="76">
        <f>CAPEX!K10</f>
        <v>23.9000777459274</v>
      </c>
    </row>
    <row customHeight="1" ht="21.375">
      <c s="70" t="s">
        <v>83</v>
      </c>
      <c s="88">
        <f>data!B18+data!B19+data!B21+data!B22</f>
        <v>0.64</v>
      </c>
      <c s="89">
        <f>data!C18+data!C19+data!C21+data!C22</f>
        <v>0.29</v>
      </c>
      <c s="89">
        <f>data!D18+data!D19+data!D21+data!D22</f>
        <v>0.29</v>
      </c>
      <c s="89">
        <f>data!E18+data!E19+data!E21+data!E22</f>
        <v>0.29</v>
      </c>
      <c s="89">
        <f>data!F18+data!F19+data!F21+data!F22</f>
        <v>0.29</v>
      </c>
      <c s="75">
        <f>其他科目预测!G6</f>
        <v>0.36</v>
      </c>
      <c s="75">
        <f>其他科目预测!H6</f>
        <v>0.36</v>
      </c>
      <c s="75">
        <f>其他科目预测!I6</f>
        <v>0.36</v>
      </c>
      <c s="75">
        <f>其他科目预测!J6</f>
        <v>0.36</v>
      </c>
      <c s="76">
        <f>其他科目预测!K6</f>
        <v>0.36</v>
      </c>
    </row>
    <row customHeight="1" ht="21.375">
      <c s="70" t="s">
        <v>84</v>
      </c>
      <c s="88">
        <f>data!B24+data!B20+data!B25+data!B26+data!B31+data!B30+data!B33+data!B102</f>
        <v>42.7444640965</v>
      </c>
      <c s="89">
        <f>data!C24+data!C20+data!C25+data!C26+data!C31+data!C30+data!C33+data!C102</f>
        <v>60.7093024061</v>
      </c>
      <c s="89">
        <f>data!D24+data!D20+data!D25+data!D26+data!D31+data!D30+data!D33+data!D102</f>
        <v>45.5195263339</v>
      </c>
      <c s="89">
        <f>data!E24+data!E20+data!E25+data!E26+data!E31+data!E30+data!E33+data!E102</f>
        <v>34.5135236754</v>
      </c>
      <c s="89">
        <f>data!F24+data!F20+data!F25+data!F26+data!F31+data!F30+data!F33+data!F102</f>
        <v>30.3969279013</v>
      </c>
      <c s="75">
        <f>其他科目预测!G11</f>
        <v>42.77674888264</v>
      </c>
      <c s="75">
        <f>其他科目预测!H11</f>
        <v>42.77674888264</v>
      </c>
      <c s="75">
        <f>其他科目预测!I11</f>
        <v>42.77674888264</v>
      </c>
      <c s="75">
        <f>其他科目预测!J11</f>
        <v>42.77674888264</v>
      </c>
      <c s="76">
        <f>其他科目预测!K11</f>
        <v>42.77674888264</v>
      </c>
    </row>
    <row customHeight="1" ht="21.375">
      <c s="56" t="s">
        <v>85</v>
      </c>
      <c s="77">
        <f>SUM(B15,B16,B17,B18)</f>
        <v>183.0223615031</v>
      </c>
      <c s="78">
        <f>SUM(C15,C16,C17,C18)</f>
        <v>212.9694939918</v>
      </c>
      <c s="78">
        <f>SUM(D15,D16,D17,D18)</f>
        <v>227.5398947484</v>
      </c>
      <c s="78">
        <f>SUM(E15,E16,E17,E18)</f>
        <v>223.6093091348</v>
      </c>
      <c s="78">
        <f>SUM(F15,F16,F17,F18)</f>
        <v>219.8483942844</v>
      </c>
      <c s="78">
        <f>SUM(G15,G16,G17,G18)</f>
        <v>256.500021964893</v>
      </c>
      <c s="78">
        <f>SUM(H15,H16,H17,H18)</f>
        <v>285.603735668727</v>
      </c>
      <c s="78">
        <f>SUM(I15,I16,I17,I18)</f>
        <v>317.888891907832</v>
      </c>
      <c s="78">
        <f>SUM(J15,J16,J17,J18)</f>
        <v>350.849271223687</v>
      </c>
      <c s="79">
        <f>SUM(K15,K16,K17,K18)</f>
        <v>381.457078020249</v>
      </c>
    </row>
    <row customHeight="1" ht="21.375">
      <c s="96" t="s">
        <v>86</v>
      </c>
      <c s="77">
        <f>B14+B19</f>
        <v>658.7316522463</v>
      </c>
      <c s="78">
        <f>C14+C19</f>
        <v>863.0146342277</v>
      </c>
      <c s="78">
        <f>D14+D19</f>
        <v>1129.3453828041</v>
      </c>
      <c s="78">
        <f>E14+E19</f>
        <v>1346.1011687508</v>
      </c>
      <c s="78">
        <f>F14+F19</f>
        <v>1598.4667473601</v>
      </c>
      <c s="78">
        <f>G14+G19</f>
        <v>1957.11606651073</v>
      </c>
      <c s="78">
        <f>H14+H19</f>
        <v>2467.80522836232</v>
      </c>
      <c s="78">
        <f>I14+I19</f>
        <v>2973.95911776807</v>
      </c>
      <c s="78">
        <f>J14+J19</f>
        <v>3442.96249543037</v>
      </c>
      <c s="79">
        <f>K14+K19</f>
        <v>3846.45444623736</v>
      </c>
    </row>
    <row customHeight="1" ht="21.375">
      <c s="70" t="s">
        <v>87</v>
      </c>
      <c s="74">
        <f>data!B39</f>
        <v>7.0753464754</v>
      </c>
      <c s="75">
        <f>data!C39</f>
        <v>8.8097607209</v>
      </c>
      <c s="75">
        <f>data!D39</f>
        <v>10.4060820318</v>
      </c>
      <c s="75">
        <f>data!E39</f>
        <v>9.9205591047</v>
      </c>
      <c s="75">
        <f>data!F39</f>
        <v>0</v>
      </c>
      <c s="75">
        <f>收入成本预测!G64</f>
        <v>18.1113450690094</v>
      </c>
      <c s="75">
        <f>收入成本预测!H64</f>
        <v>30.5644115423071</v>
      </c>
      <c s="75">
        <f>收入成本预测!I64</f>
        <v>45.7060766055639</v>
      </c>
      <c s="75">
        <f>收入成本预测!J64</f>
        <v>62.8732827069433</v>
      </c>
      <c s="76">
        <f>收入成本预测!K64</f>
        <v>81.5961227423044</v>
      </c>
    </row>
    <row customHeight="1" ht="21.375">
      <c s="70" t="s">
        <v>88</v>
      </c>
      <c s="88">
        <f>data!B38+data!B41+data!B42+data!B43+data!B44+data!B45+data!B46</f>
        <v>43.4107344669</v>
      </c>
      <c s="89">
        <f>data!C38+data!C41+data!C42+data!C43+data!C44+data!C45+data!C46</f>
        <v>49.4154255722</v>
      </c>
      <c s="89">
        <f>data!D38+data!D41+data!D42+data!D43+data!D44+data!D45+data!D46</f>
        <v>76.5991665337</v>
      </c>
      <c s="89">
        <f>data!E38+data!E41+data!E42+data!E43+data!E44+data!E45+data!E46</f>
        <v>126.9114283301</v>
      </c>
      <c s="89">
        <f>data!F38+data!F41+data!F42+data!F43+data!F44+data!F45+data!F46</f>
        <v>162.5313214993</v>
      </c>
      <c s="75">
        <f>收入成本预测!G66</f>
        <v>91.77361528044</v>
      </c>
      <c s="75">
        <f>收入成本预测!H66</f>
        <v>91.77361528044</v>
      </c>
      <c s="75">
        <f>收入成本预测!I66</f>
        <v>91.77361528044</v>
      </c>
      <c s="75">
        <f>收入成本预测!J66</f>
        <v>91.77361528044</v>
      </c>
      <c s="76">
        <f>收入成本预测!K66</f>
        <v>91.77361528044</v>
      </c>
    </row>
    <row customHeight="1" ht="21.375">
      <c s="70" t="s">
        <v>89</v>
      </c>
      <c s="88">
        <f>data!B37+data!B47</f>
        <v>0</v>
      </c>
      <c s="89">
        <f>data!C37+data!C47</f>
        <v>0</v>
      </c>
      <c s="89">
        <f>data!D37+data!D47</f>
        <v>0</v>
      </c>
      <c s="89">
        <f>data!E37+data!E47</f>
        <v>0</v>
      </c>
      <c s="89">
        <f>data!F37+data!F47</f>
        <v>0</v>
      </c>
      <c s="75">
        <f>融资计划!G27</f>
        <v>0</v>
      </c>
      <c s="75">
        <f>融资计划!H27</f>
        <v>0</v>
      </c>
      <c s="75">
        <f>融资计划!I27</f>
        <v>0</v>
      </c>
      <c s="75">
        <f>融资计划!J27</f>
        <v>0</v>
      </c>
      <c s="76">
        <f>融资计划!K27</f>
        <v>0</v>
      </c>
    </row>
    <row customHeight="1" ht="21.375">
      <c s="70" t="s">
        <v>90</v>
      </c>
      <c s="88">
        <f>data!B40+data!B104</f>
        <v>54.9523628928</v>
      </c>
      <c s="89">
        <f>data!C40+data!C104</f>
        <v>142.2920437217</v>
      </c>
      <c s="89">
        <f>data!D40+data!D104</f>
        <v>283.1990056914</v>
      </c>
      <c s="89">
        <f>data!E40+data!E104</f>
        <v>248.9172065652</v>
      </c>
      <c s="89">
        <f>data!F40+data!F104</f>
        <v>261.8505466355</v>
      </c>
      <c s="75">
        <f>其他科目预测!G12</f>
        <v>198.24223310132</v>
      </c>
      <c s="75">
        <f>其他科目预测!H12</f>
        <v>198.24223310132</v>
      </c>
      <c s="75">
        <f>其他科目预测!I12</f>
        <v>198.24223310132</v>
      </c>
      <c s="75">
        <f>其他科目预测!J12</f>
        <v>198.24223310132</v>
      </c>
      <c s="76">
        <f>其他科目预测!K12</f>
        <v>198.24223310132</v>
      </c>
    </row>
    <row customHeight="1" ht="21.375">
      <c s="56" t="s">
        <v>91</v>
      </c>
      <c s="77">
        <f>SUM(B21,B22,B23,B24)</f>
        <v>105.4384438351</v>
      </c>
      <c s="78">
        <f>SUM(C21,C22,C23,C24)</f>
        <v>200.5172300148</v>
      </c>
      <c s="78">
        <f>SUM(D21,D22,D23,D24)</f>
        <v>370.2042542569</v>
      </c>
      <c s="78">
        <f>SUM(E21,E22,E23,E24)</f>
        <v>385.749194</v>
      </c>
      <c s="78">
        <f>SUM(F21,F22,F23,F24)</f>
        <v>424.3818681348</v>
      </c>
      <c s="78">
        <f>SUM(G21,G22,G23,G24)</f>
        <v>308.127193450769</v>
      </c>
      <c s="78">
        <f>SUM(H21,H22,H23,H24)</f>
        <v>320.580259924067</v>
      </c>
      <c s="78">
        <f>SUM(I21,I22,I23,I24)</f>
        <v>335.721924987324</v>
      </c>
      <c s="78">
        <f>SUM(J21,J22,J23,J24)</f>
        <v>352.889131088703</v>
      </c>
      <c s="79">
        <f>SUM(K21,K22,K23,K24)</f>
        <v>371.611971124064</v>
      </c>
    </row>
    <row customHeight="1" ht="21.375">
      <c s="70" t="s">
        <v>92</v>
      </c>
      <c s="88">
        <f>data!B49+data!B50+data!B51</f>
        <v>0</v>
      </c>
      <c s="89">
        <f>data!C49+data!C50+data!C51</f>
        <v>0</v>
      </c>
      <c s="89">
        <f>data!D49+data!D50+data!D51</f>
        <v>0</v>
      </c>
      <c s="89">
        <f>data!E49+data!E50+data!E51</f>
        <v>0</v>
      </c>
      <c s="89">
        <f>data!F49+data!F50+data!F51</f>
        <v>0</v>
      </c>
      <c s="75">
        <f>融资计划!G29</f>
        <v>0</v>
      </c>
      <c s="75">
        <f>融资计划!H29</f>
        <v>0</v>
      </c>
      <c s="75">
        <f>融资计划!I29</f>
        <v>0</v>
      </c>
      <c s="75">
        <f>融资计划!J29</f>
        <v>0</v>
      </c>
      <c s="76">
        <f>融资计划!K29</f>
        <v>0</v>
      </c>
    </row>
    <row customHeight="1" ht="21.375">
      <c s="70" t="s">
        <v>93</v>
      </c>
      <c s="88">
        <f>data!B52+data!B53+data!B54+data!B105</f>
        <v>0.1777</v>
      </c>
      <c s="89">
        <f>data!C52+data!C53+data!C54+data!C105</f>
        <v>0.1557</v>
      </c>
      <c s="89">
        <f>data!D52+data!D53+data!D54+data!D105</f>
        <v>0.1557</v>
      </c>
      <c s="89">
        <f>data!E52+data!E53+data!E54+data!E105</f>
        <v>0.1557</v>
      </c>
      <c s="89">
        <f>data!F52+data!F53+data!F54+data!F105</f>
        <v>0</v>
      </c>
      <c s="75">
        <f>其他科目预测!G13</f>
        <v>0.12896</v>
      </c>
      <c s="75">
        <f>其他科目预测!H13</f>
        <v>0.12896</v>
      </c>
      <c s="75">
        <f>其他科目预测!I13</f>
        <v>0.12896</v>
      </c>
      <c s="75">
        <f>其他科目预测!J13</f>
        <v>0.12896</v>
      </c>
      <c s="76">
        <f>其他科目预测!K13</f>
        <v>0.12896</v>
      </c>
    </row>
    <row customHeight="1" ht="21.375">
      <c s="56" t="s">
        <v>94</v>
      </c>
      <c s="77">
        <f>SUM(B26,B27)</f>
        <v>0.1777</v>
      </c>
      <c s="78">
        <f>SUM(C26,C27)</f>
        <v>0.1557</v>
      </c>
      <c s="78">
        <f>SUM(D26,D27)</f>
        <v>0.1557</v>
      </c>
      <c s="78">
        <f>SUM(E26,E27)</f>
        <v>0.1557</v>
      </c>
      <c s="78">
        <f>SUM(F26,F27)</f>
        <v>0</v>
      </c>
      <c s="78">
        <f>SUM(G26,G27)</f>
        <v>0.12896</v>
      </c>
      <c s="78">
        <f>SUM(H26,H27)</f>
        <v>0.12896</v>
      </c>
      <c s="78">
        <f>SUM(I26,I27)</f>
        <v>0.12896</v>
      </c>
      <c s="78">
        <f>SUM(J26,J27)</f>
        <v>0.12896</v>
      </c>
      <c s="79">
        <f>SUM(K26,K27)</f>
        <v>0.12896</v>
      </c>
    </row>
    <row customHeight="1" ht="21.375">
      <c s="96" t="s">
        <v>95</v>
      </c>
      <c s="77">
        <f>B25+B28</f>
        <v>105.6161438351</v>
      </c>
      <c s="78">
        <f>C25+C28</f>
        <v>200.6729300148</v>
      </c>
      <c s="78">
        <f>D25+D28</f>
        <v>370.3599542569</v>
      </c>
      <c s="78">
        <f>E25+E28</f>
        <v>385.904894</v>
      </c>
      <c s="78">
        <f>F25+F28</f>
        <v>424.3818681348</v>
      </c>
      <c s="78">
        <f>G25+G28</f>
        <v>308.256153450769</v>
      </c>
      <c s="78">
        <f>H25+H28</f>
        <v>320.709219924067</v>
      </c>
      <c s="78">
        <f>I25+I28</f>
        <v>335.850884987324</v>
      </c>
      <c s="78">
        <f>J25+J28</f>
        <v>353.018091088703</v>
      </c>
      <c s="79">
        <f>K25+K28</f>
        <v>371.740931124064</v>
      </c>
    </row>
    <row customHeight="1" ht="21.375">
      <c s="70" t="s">
        <v>96</v>
      </c>
      <c s="88">
        <f>data!B57-data!B61</f>
        <v>11.41998</v>
      </c>
      <c s="89">
        <f>data!C57-data!C61</f>
        <v>12.561978</v>
      </c>
      <c s="89">
        <f>data!D57-data!D61</f>
        <v>12.561978</v>
      </c>
      <c s="89">
        <f>data!E57-data!E61</f>
        <v>12.561978</v>
      </c>
      <c s="89">
        <f>data!F57-data!F61</f>
        <v>12.561978</v>
      </c>
      <c s="75">
        <f>融资计划!G6</f>
        <v>12.561978</v>
      </c>
      <c s="75">
        <f>融资计划!H6</f>
        <v>12.561978</v>
      </c>
      <c s="75">
        <f>融资计划!I6</f>
        <v>12.561978</v>
      </c>
      <c s="75">
        <f>融资计划!J6</f>
        <v>12.561978</v>
      </c>
      <c s="76">
        <f>融资计划!K6</f>
        <v>12.561978</v>
      </c>
    </row>
    <row customHeight="1" ht="21.375">
      <c s="70" t="s">
        <v>97</v>
      </c>
      <c s="88">
        <f>data!B58+data!B59+data!B60+data!B106-data!B107</f>
        <v>86.0349550374999</v>
      </c>
      <c s="89">
        <f>data!C58+data!C59+data!C60+data!C106-data!C107</f>
        <v>100.9900812352</v>
      </c>
      <c s="89">
        <f>data!D58+data!D59+data!D60+data!D106-data!D107</f>
        <v>119.2453701811</v>
      </c>
      <c s="89">
        <f>data!E58+data!E59+data!E60+data!E106-data!E107</f>
        <v>147.5212222475</v>
      </c>
      <c s="89">
        <f>data!F58+data!F59+data!F60+data!F106-data!F107</f>
        <v>201.7034616897</v>
      </c>
      <c s="75">
        <f>融资计划!G8</f>
        <v>201.7034616897</v>
      </c>
      <c s="75">
        <f>融资计划!H8</f>
        <v>201.7034616897</v>
      </c>
      <c s="75">
        <f>融资计划!I8</f>
        <v>201.7034616897</v>
      </c>
      <c s="75">
        <f>融资计划!J8</f>
        <v>201.7034616897</v>
      </c>
      <c s="76">
        <f>融资计划!K8</f>
        <v>201.7034616897</v>
      </c>
    </row>
    <row customHeight="1" ht="21.375">
      <c s="70" t="s">
        <v>98</v>
      </c>
      <c s="74">
        <f>data!B62</f>
        <v>455.6605733737</v>
      </c>
      <c s="75">
        <f>data!C62</f>
        <v>548.7896449777</v>
      </c>
      <c s="75">
        <f>data!D62</f>
        <v>627.1780803661</v>
      </c>
      <c s="75">
        <f>data!E62</f>
        <v>800.1130745033</v>
      </c>
      <c s="75">
        <f>data!F62</f>
        <v>959.8194395356</v>
      </c>
      <c s="75">
        <f>融资计划!G9</f>
        <v>1434.59447337027</v>
      </c>
      <c s="75">
        <f>融资计划!H9</f>
        <v>1932.83056874855</v>
      </c>
      <c s="75">
        <f>融资计划!I9</f>
        <v>2423.84279431591</v>
      </c>
      <c s="75">
        <f>融资计划!J9</f>
        <v>2875.67881277574</v>
      </c>
      <c s="76">
        <f>融资计划!K9</f>
        <v>3260.44823216141</v>
      </c>
    </row>
    <row customHeight="1" ht="21.375">
      <c s="96" t="s">
        <v>99</v>
      </c>
      <c s="77">
        <f>B30+B31+B32</f>
        <v>553.1155084112</v>
      </c>
      <c s="78">
        <f>C30+C31+C32</f>
        <v>662.3417042129</v>
      </c>
      <c s="78">
        <f>D30+D31+D32</f>
        <v>758.9854285472</v>
      </c>
      <c s="78">
        <f>E30+E31+E32</f>
        <v>960.1962747508</v>
      </c>
      <c s="78">
        <f>F30+F31+F32</f>
        <v>1174.0848792253</v>
      </c>
      <c s="58">
        <f>融资计划!G5</f>
        <v>1648.85991305997</v>
      </c>
      <c s="58">
        <f>融资计划!H5</f>
        <v>2147.09599154238</v>
      </c>
      <c s="58">
        <f>融资计划!I5</f>
        <v>2638.10815742989</v>
      </c>
      <c s="58">
        <f>融资计划!J5</f>
        <v>3089.94403658063</v>
      </c>
      <c s="59">
        <f>融资计划!K5</f>
        <v>3474.71318716323</v>
      </c>
    </row>
    <row customHeight="1" ht="21.375">
      <c s="70" t="s">
        <v>100</v>
      </c>
      <c s="74">
        <f>data!B64</f>
        <v>18.8114839503</v>
      </c>
      <c s="75">
        <f>data!C64</f>
        <v>23.081919823</v>
      </c>
      <c s="75">
        <f>data!D64</f>
        <v>30.0440507147</v>
      </c>
      <c s="75">
        <f>data!E64</f>
        <v>45.6810464612</v>
      </c>
      <c s="75">
        <f>data!F64</f>
        <v>45.6992359048</v>
      </c>
      <c s="75">
        <f>融资计划!G10</f>
        <v>64.2862363142066</v>
      </c>
      <c s="75">
        <f>融资计划!H10</f>
        <v>83.711611403921</v>
      </c>
      <c s="75">
        <f>融资计划!I10</f>
        <v>102.855338460039</v>
      </c>
      <c s="75">
        <f>融资计划!J10</f>
        <v>120.471648901122</v>
      </c>
      <c s="76">
        <f>融资计划!K10</f>
        <v>135.473141959963</v>
      </c>
    </row>
    <row customHeight="1" ht="21.375">
      <c s="70" t="s">
        <v>101</v>
      </c>
      <c s="71">
        <f>B33-B34</f>
        <v>534.3040244609</v>
      </c>
      <c s="72">
        <f>C33-C34</f>
        <v>639.2597843899</v>
      </c>
      <c s="72">
        <f>D33-D34</f>
        <v>728.9413778325</v>
      </c>
      <c s="72">
        <f>E33-E34</f>
        <v>914.5152282896</v>
      </c>
      <c s="72">
        <f>F33-F34</f>
        <v>1128.3856433205</v>
      </c>
      <c s="72">
        <f>G33-G34</f>
        <v>1584.57367674576</v>
      </c>
      <c s="72">
        <f>H33-H34</f>
        <v>2063.38438013846</v>
      </c>
      <c s="72">
        <f>I33-I34</f>
        <v>2535.25281896985</v>
      </c>
      <c s="72">
        <f>J33-J34</f>
        <v>2969.47238767951</v>
      </c>
      <c s="73">
        <f>K33-K34</f>
        <v>3339.24004520327</v>
      </c>
    </row>
    <row customHeight="1" ht="21.375">
      <c s="56" t="s">
        <v>102</v>
      </c>
      <c s="77">
        <f>B29+B33</f>
        <v>658.7316522463</v>
      </c>
      <c s="78">
        <f>C29+C33</f>
        <v>863.0146342277</v>
      </c>
      <c s="78">
        <f>D29+D33</f>
        <v>1129.3453828041</v>
      </c>
      <c s="78">
        <f>E29+E33</f>
        <v>1346.1011687508</v>
      </c>
      <c s="78">
        <f>F29+F33</f>
        <v>1598.4667473601</v>
      </c>
      <c s="78">
        <f>G29+G33</f>
        <v>1957.11606651074</v>
      </c>
      <c s="78">
        <f>H29+H33</f>
        <v>2467.80521146645</v>
      </c>
      <c s="78">
        <f>I29+I33</f>
        <v>2973.95904241721</v>
      </c>
      <c s="78">
        <f>J29+J33</f>
        <v>3442.96212766933</v>
      </c>
      <c s="79">
        <f>K29+K33</f>
        <v>3846.45411828729</v>
      </c>
    </row>
    <row customHeight="1" ht="21.375">
      <c s="70" t="s">
        <v>103</v>
      </c>
      <c s="71">
        <f>B20-B36</f>
        <v>0</v>
      </c>
      <c s="72">
        <f>C20-C36</f>
        <v>0</v>
      </c>
      <c s="72">
        <f>D20-D36</f>
        <v>0</v>
      </c>
      <c s="72">
        <f>E20-E36</f>
        <v>0</v>
      </c>
      <c s="72">
        <f>F20-F36</f>
        <v>0</v>
      </c>
      <c s="72">
        <f>G20-G36</f>
        <v>-1.0004e-11</v>
      </c>
      <c s="72">
        <f>H20-H36</f>
        <v>0.000016895869976</v>
      </c>
      <c s="72">
        <f>I20-I36</f>
        <v>0.000075350859788</v>
      </c>
      <c s="72">
        <f>J20-J36</f>
        <v>0.000367761039797</v>
      </c>
      <c s="73">
        <f>K20-K36</f>
        <v>0.000327950070186</v>
      </c>
    </row>
    <row customHeight="1" ht="17.4">
      <c s="82"/>
      <c s="82"/>
      <c s="82"/>
      <c s="82"/>
      <c s="82"/>
      <c s="82"/>
      <c s="82"/>
      <c s="82"/>
      <c s="82"/>
      <c s="82"/>
      <c s="82"/>
    </row>
  </sheetData>
  <sheetProtection sheet="1" objects="1"/>
  <mergeCells count="1">
    <mergeCell ref="A3:K3"/>
  </mergeCel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17B052BA-18CC-1B47-2B17-0DC74A8FB859}" mc:Ignorable="x14ac">
  <dimension ref="A1:AG44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97" customFormat="1" customHeight="1" ht="17.4">
      <c s="49" t="s">
        <v>0</v>
      </c>
    </row>
    <row r="3" customHeight="1" ht="17.4">
      <c s="50" t="s">
        <v>104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98" t="s">
        <v>105</v>
      </c>
      <c s="99"/>
      <c s="100"/>
      <c s="100"/>
      <c s="100"/>
      <c s="100"/>
      <c s="100"/>
      <c s="100"/>
      <c s="100"/>
      <c s="100"/>
      <c s="101"/>
    </row>
    <row customHeight="1" ht="21.375">
      <c s="70" t="s">
        <v>66</v>
      </c>
      <c s="74">
        <f>'FS-利润表'!B20</f>
        <v>162.6937130658</v>
      </c>
      <c s="75">
        <f>'FS-利润表'!C20</f>
        <v>164.5499668659</v>
      </c>
      <c s="75">
        <f>'FS-利润表'!D20</f>
        <v>179.306430931</v>
      </c>
      <c s="75">
        <f>'FS-利润表'!E20</f>
        <v>290.2517048769</v>
      </c>
      <c s="75">
        <f>'FS-利润表'!F20</f>
        <v>378.4193730426</v>
      </c>
      <c s="75">
        <f>'FS-利润表'!G20</f>
        <v>474.77503383467</v>
      </c>
      <c s="75">
        <f>'FS-利润表'!H20</f>
        <v>498.236095378277</v>
      </c>
      <c s="75">
        <f>'FS-利润表'!I20</f>
        <v>491.012224342509</v>
      </c>
      <c s="75">
        <f>'FS-利润表'!J20</f>
        <v>451.836012997359</v>
      </c>
      <c s="76">
        <f>'FS-利润表'!K20</f>
        <v>384.769404226567</v>
      </c>
    </row>
    <row customHeight="1" ht="21.375">
      <c s="70" t="s">
        <v>10</v>
      </c>
      <c s="88">
        <f>CAPEX!B6+CAPEX!B11</f>
        <v>7.5679996066</v>
      </c>
      <c s="89">
        <f>CAPEX!C6+CAPEX!C11</f>
        <v>8.4814669773</v>
      </c>
      <c s="89">
        <f>CAPEX!D6+CAPEX!D11</f>
        <v>9.341946722</v>
      </c>
      <c s="89">
        <f>CAPEX!E6+CAPEX!E11</f>
        <v>11.2583454119</v>
      </c>
      <c s="89">
        <f>CAPEX!F6+CAPEX!F11</f>
        <v>11.7542549642</v>
      </c>
      <c s="89">
        <f>CAPEX!G6+CAPEX!G11</f>
        <v>14.779290894493</v>
      </c>
      <c s="89">
        <f>CAPEX!H6+CAPEX!H11</f>
        <v>17.2880206324078</v>
      </c>
      <c s="89">
        <f>CAPEX!I6+CAPEX!I11</f>
        <v>20.2954973528946</v>
      </c>
      <c s="89">
        <f>CAPEX!J6+CAPEX!J11</f>
        <v>23.6533588234586</v>
      </c>
      <c s="90">
        <f>CAPEX!K6+CAPEX!K11</f>
        <v>27.1382061055381</v>
      </c>
    </row>
    <row customHeight="1" ht="21.375">
      <c s="70" t="s">
        <v>106</v>
      </c>
      <c s="74">
        <f>'FS-利润表'!B15</f>
        <v>-1.2316879384</v>
      </c>
      <c s="75">
        <f>'FS-利润表'!C15</f>
        <v>-0.6726680097</v>
      </c>
      <c s="75">
        <f>'FS-利润表'!D15</f>
        <v>-0.3317518852</v>
      </c>
      <c s="75">
        <f>'FS-利润表'!E15</f>
        <v>-0.5572234619</v>
      </c>
      <c s="75">
        <f>'FS-利润表'!F15</f>
        <v>-0.0352120923</v>
      </c>
      <c s="75">
        <f>'FS-利润表'!G15</f>
        <v>0</v>
      </c>
      <c s="75">
        <f>'FS-利润表'!H15</f>
        <v>0</v>
      </c>
      <c s="75">
        <f>'FS-利润表'!I15</f>
        <v>0</v>
      </c>
      <c s="75">
        <f>'FS-利润表'!J15</f>
        <v>0</v>
      </c>
      <c s="76">
        <f>'FS-利润表'!K15</f>
        <v>0</v>
      </c>
    </row>
    <row customHeight="1" ht="21.375">
      <c s="70" t="s">
        <v>11</v>
      </c>
      <c s="71"/>
      <c s="89">
        <f>-('FS-资产负债表'!C8+'FS-资产负债表'!C11+'FS-资产负债表'!C12+'FS-资产负债表'!C9-'FS-资产负债表'!C21-'FS-资产负债表'!C22-('FS-资产负债表'!B8+'FS-资产负债表'!B11+'FS-资产负债表'!B12+'FS-资产负债表'!B9-'FS-资产负债表'!B21-'FS-资产负债表'!B22))</f>
        <v>-75.6964219934</v>
      </c>
      <c s="89">
        <f>-('FS-资产负债表'!D8+'FS-资产负债表'!D11+'FS-资产负债表'!D12+'FS-资产负债表'!D9-'FS-资产负债表'!D21-'FS-资产负债表'!D22-('FS-资产负债表'!C8+'FS-资产负债表'!C11+'FS-资产负债表'!C12+'FS-资产负债表'!C9-'FS-资产负债表'!C21-'FS-资产负债表'!C22))</f>
        <v>83.7765823905</v>
      </c>
      <c s="89">
        <f>-('FS-资产负债表'!E8+'FS-资产负债表'!E11+'FS-资产负债表'!E12+'FS-资产负债表'!E9-'FS-资产负债表'!E21-'FS-资产负债表'!E22-('FS-资产负债表'!D8+'FS-资产负债表'!D11+'FS-资产负债表'!D12+'FS-资产负债表'!D9-'FS-资产负债表'!D21-'FS-资产负债表'!D22))</f>
        <v>33.4400918688</v>
      </c>
      <c s="89">
        <f>-('FS-资产负债表'!F8+'FS-资产负债表'!F11+'FS-资产负债表'!F12+'FS-资产负债表'!F9-'FS-资产负债表'!F21-'FS-资产负债表'!F22-('FS-资产负债表'!E8+'FS-资产负债表'!E11+'FS-资产负债表'!E12+'FS-资产负债表'!E9-'FS-资产负债表'!E21-'FS-资产负债表'!E22))</f>
        <v>9.21860725350001</v>
      </c>
      <c s="89">
        <f>-('FS-资产负债表'!G8+'FS-资产负债表'!G11+'FS-资产负债表'!G12+'FS-资产负债表'!G9-'FS-资产负债表'!G21-'FS-资产负债表'!G22-('FS-资产负债表'!F8+'FS-资产负债表'!F11+'FS-资产负债表'!F12+'FS-资产负债表'!F9-'FS-资产负债表'!F21-'FS-资产负债表'!F22))</f>
        <v>138.826896223617</v>
      </c>
      <c s="89">
        <f>-('FS-资产负债表'!H8+'FS-资产负债表'!H11+'FS-资产负债表'!H12+'FS-资产负债表'!H9-'FS-资产负债表'!H21-'FS-资产负债表'!H22-('FS-资产负债表'!G8+'FS-资产负债表'!G11+'FS-资产负债表'!G12+'FS-资产负债表'!G9-'FS-资产负债表'!G21-'FS-资产负债表'!G22))</f>
        <v>-14.562044951216</v>
      </c>
      <c s="89">
        <f>-('FS-资产负债表'!I8+'FS-资产负债表'!I11+'FS-资产负债表'!I12+'FS-资产负债表'!I9-'FS-资产负债表'!I21-'FS-资产负债表'!I22-('FS-资产负债表'!H8+'FS-资产负债表'!H11+'FS-资产负债表'!H12+'FS-资产负债表'!H9-'FS-资产负债表'!H21-'FS-资产负债表'!H22))</f>
        <v>-17.702155423251</v>
      </c>
      <c s="89">
        <f>-('FS-资产负债表'!J8+'FS-资产负债表'!J11+'FS-资产负债表'!J12+'FS-资产负债表'!J9-'FS-资产负债表'!J21-'FS-资产负债表'!J22-('FS-资产负债表'!I8+'FS-资产负债表'!I11+'FS-资产负债表'!I12+'FS-资产负债表'!I9-'FS-资产负债表'!I21-'FS-资产负债表'!I22))</f>
        <v>-20.0661876118976</v>
      </c>
      <c s="90">
        <f>-('FS-资产负债表'!K8+'FS-资产负债表'!K11+'FS-资产负债表'!K12+'FS-资产负债表'!K9-'FS-资产负债表'!K21-'FS-资产负债表'!K22-('FS-资产负债表'!J8+'FS-资产负债表'!J11+'FS-资产负债表'!J12+'FS-资产负债表'!J9-'FS-资产负债表'!J21-'FS-资产负债表'!J22))</f>
        <v>-21.8801030765929</v>
      </c>
    </row>
    <row customHeight="1" ht="21.375">
      <c s="70" t="s">
        <v>107</v>
      </c>
      <c s="71"/>
      <c s="89">
        <f>-('FS-资产负债表'!C13+'FS-资产负债表'!C18-('FS-资产负债表'!B13+'FS-资产负债表'!B18))</f>
        <v>-17.9648383096</v>
      </c>
      <c s="89">
        <f>-('FS-资产负债表'!D13+'FS-资产负债表'!D18-('FS-资产负债表'!C13+'FS-资产负债表'!C18))</f>
        <v>8.97503036589992</v>
      </c>
      <c s="89">
        <f>-('FS-资产负债表'!E13+'FS-资产负债表'!E18-('FS-资产负债表'!D13+'FS-资产负债表'!D18))</f>
        <v>16.8453560499</v>
      </c>
      <c s="89">
        <f>-('FS-资产负债表'!F13+'FS-资产负债表'!F18-('FS-资产负债表'!E13+'FS-资产负债表'!E18))</f>
        <v>6.53004419260002</v>
      </c>
      <c s="89">
        <f>-('FS-资产负债表'!G13+'FS-资产负债表'!G18-('FS-资产负债表'!F13+'FS-资产负债表'!F18))</f>
        <v>-15.32829346846</v>
      </c>
      <c s="89">
        <f>-('FS-资产负债表'!H13+'FS-资产负债表'!H18-('FS-资产负债表'!G13+'FS-资产负债表'!G18))</f>
        <v>0</v>
      </c>
      <c s="89">
        <f>-('FS-资产负债表'!I13+'FS-资产负债表'!I18-('FS-资产负债表'!H13+'FS-资产负债表'!H18))</f>
        <v>0</v>
      </c>
      <c s="89">
        <f>-('FS-资产负债表'!J13+'FS-资产负债表'!J18-('FS-资产负债表'!I13+'FS-资产负债表'!I18))</f>
        <v>0</v>
      </c>
      <c s="90">
        <f>-('FS-资产负债表'!K13+'FS-资产负债表'!K18-('FS-资产负债表'!J13+'FS-资产负债表'!J18))</f>
        <v>0</v>
      </c>
    </row>
    <row customHeight="1" ht="21.375">
      <c s="70" t="s">
        <v>108</v>
      </c>
      <c s="71"/>
      <c s="89">
        <f>'FS-资产负债表'!C24+'FS-资产负债表'!C27-('FS-资产负债表'!B24+'FS-资产负债表'!B27)</f>
        <v>87.3176808289</v>
      </c>
      <c s="89">
        <f>'FS-资产负债表'!D24+'FS-资产负债表'!D27-('FS-资产负债表'!C24+'FS-资产负债表'!C27)</f>
        <v>140.9069619697</v>
      </c>
      <c s="89">
        <f>'FS-资产负债表'!E24+'FS-资产负债表'!E27-('FS-资产负债表'!D24+'FS-资产负债表'!D27)</f>
        <v>-34.2817991262</v>
      </c>
      <c s="89">
        <f>'FS-资产负债表'!F24+'FS-资产负债表'!F27-('FS-资产负债表'!E24+'FS-资产负债表'!E27)</f>
        <v>12.7776400703</v>
      </c>
      <c s="89">
        <f>'FS-资产负债表'!G24+'FS-资产负债表'!G27-('FS-资产负债表'!F24+'FS-资产负债表'!F27)</f>
        <v>-63.47935353418</v>
      </c>
      <c s="89">
        <f>'FS-资产负债表'!H24+'FS-资产负债表'!H27-('FS-资产负债表'!G24+'FS-资产负债表'!G27)</f>
        <v>0</v>
      </c>
      <c s="89">
        <f>'FS-资产负债表'!I24+'FS-资产负债表'!I27-('FS-资产负债表'!H24+'FS-资产负债表'!H27)</f>
        <v>0</v>
      </c>
      <c s="89">
        <f>'FS-资产负债表'!J24+'FS-资产负债表'!J27-('FS-资产负债表'!I24+'FS-资产负债表'!I27)</f>
        <v>0</v>
      </c>
      <c s="90">
        <f>'FS-资产负债表'!K24+'FS-资产负债表'!K27-('FS-资产负债表'!J24+'FS-资产负债表'!J27)</f>
        <v>0</v>
      </c>
    </row>
    <row customHeight="1" ht="21.375">
      <c s="56" t="s">
        <v>109</v>
      </c>
      <c s="77">
        <f>SUM(B6,B7,B8,B9,B10,B11)</f>
        <v>169.030024734</v>
      </c>
      <c s="78">
        <f>SUM(C6,C7,C8,C9,C10,C11)</f>
        <v>166.0151863594</v>
      </c>
      <c s="78">
        <f>SUM(D6,D7,D8,D9,D10,D11)</f>
        <v>421.9752004939</v>
      </c>
      <c s="78">
        <f>SUM(E6,E7,E8,E9,E10,E11)</f>
        <v>316.9564756194</v>
      </c>
      <c s="78">
        <f>SUM(F6,F7,F8,F9,F10,F11)</f>
        <v>418.6647074309</v>
      </c>
      <c s="78">
        <f>SUM(G6,G7,G8,G9,G10,G11)</f>
        <v>549.57357395014</v>
      </c>
      <c s="78">
        <f>SUM(H6,H7,H8,H9,H10,H11)</f>
        <v>500.962071059469</v>
      </c>
      <c s="78">
        <f>SUM(I6,I7,I8,I9,I10,I11)</f>
        <v>493.605566272153</v>
      </c>
      <c s="78">
        <f>SUM(J6,J7,J8,J9,J10,J11)</f>
        <v>455.42318420892</v>
      </c>
      <c s="79">
        <f>SUM(K6,K7,K8,K9,K10,K11)</f>
        <v>390.027507255512</v>
      </c>
    </row>
    <row customHeight="1" ht="21.375">
      <c s="98" t="s">
        <v>110</v>
      </c>
      <c s="99"/>
      <c s="100"/>
      <c s="100"/>
      <c s="100"/>
      <c s="100"/>
      <c s="100"/>
      <c s="100"/>
      <c s="100"/>
      <c s="100"/>
      <c s="101"/>
    </row>
    <row customHeight="1" ht="21.375">
      <c s="70" t="s">
        <v>111</v>
      </c>
      <c s="88">
        <f>-CAPEX!B15</f>
        <v>0</v>
      </c>
      <c s="89">
        <f>-CAPEX!C15</f>
        <v>-20.8137611564</v>
      </c>
      <c s="89">
        <f>-CAPEX!D15</f>
        <v>-39.1021235508</v>
      </c>
      <c s="89">
        <f>-CAPEX!E15</f>
        <v>-18.3337624568</v>
      </c>
      <c s="89">
        <f>-CAPEX!F15</f>
        <v>-12.1099358879</v>
      </c>
      <c s="89">
        <f>-CAPEX!G15</f>
        <v>-38.9810975936457</v>
      </c>
      <c s="89">
        <f>-CAPEX!H15</f>
        <v>-46.3917343362414</v>
      </c>
      <c s="89">
        <f>-CAPEX!I15</f>
        <v>-52.5806535919999</v>
      </c>
      <c s="89">
        <f>-CAPEX!J15</f>
        <v>-56.6137381393142</v>
      </c>
      <c s="90">
        <f>-CAPEX!K15</f>
        <v>-57.7460129021003</v>
      </c>
    </row>
    <row customHeight="1" ht="21.375">
      <c s="70" t="s">
        <v>112</v>
      </c>
      <c s="71"/>
      <c s="89">
        <f>-('FS-资产负债表'!C6+'FS-资产负债表'!C17-('FS-资产负债表'!B6+'FS-资产负债表'!B17))</f>
        <v>0.35</v>
      </c>
      <c s="89">
        <f>-('FS-资产负债表'!D6+'FS-资产负债表'!D17-('FS-资产负债表'!C6+'FS-资产负债表'!C17))</f>
        <v>0</v>
      </c>
      <c s="89">
        <f>-('FS-资产负债表'!E6+'FS-资产负债表'!E17-('FS-资产负债表'!D6+'FS-资产负债表'!D17))</f>
        <v>0</v>
      </c>
      <c s="89">
        <f>-('FS-资产负债表'!F6+'FS-资产负债表'!F17-('FS-资产负债表'!E6+'FS-资产负债表'!E17))</f>
        <v>0</v>
      </c>
      <c s="89">
        <f>-('FS-资产负债表'!G6+'FS-资产负债表'!G17-('FS-资产负债表'!F6+'FS-资产负债表'!F17))</f>
        <v>-0.07</v>
      </c>
      <c s="89">
        <f>-('FS-资产负债表'!H6+'FS-资产负债表'!H17-('FS-资产负债表'!G6+'FS-资产负债表'!G17))</f>
        <v>0</v>
      </c>
      <c s="89">
        <f>-('FS-资产负债表'!I6+'FS-资产负债表'!I17-('FS-资产负债表'!H6+'FS-资产负债表'!H17))</f>
        <v>0</v>
      </c>
      <c s="89">
        <f>-('FS-资产负债表'!J6+'FS-资产负债表'!J17-('FS-资产负债表'!I6+'FS-资产负债表'!I17))</f>
        <v>0</v>
      </c>
      <c s="90">
        <f>-('FS-资产负债表'!K6+'FS-资产负债表'!K17-('FS-资产负债表'!J6+'FS-资产负债表'!J17))</f>
        <v>0</v>
      </c>
    </row>
    <row customHeight="1" ht="21.375">
      <c s="56" t="s">
        <v>113</v>
      </c>
      <c s="77">
        <f>SUM(B14,B15)</f>
        <v>0</v>
      </c>
      <c s="78">
        <f>SUM(C14,C15)</f>
        <v>-20.4637611564</v>
      </c>
      <c s="78">
        <f>SUM(D14,D15)</f>
        <v>-39.1021235508</v>
      </c>
      <c s="78">
        <f>SUM(E14,E15)</f>
        <v>-18.3337624568</v>
      </c>
      <c s="78">
        <f>SUM(F14,F15)</f>
        <v>-12.1099358879</v>
      </c>
      <c s="78">
        <f>SUM(G14,G15)</f>
        <v>-39.0510975936457</v>
      </c>
      <c s="78">
        <f>SUM(H14,H15)</f>
        <v>-46.3917343362414</v>
      </c>
      <c s="78">
        <f>SUM(I14,I15)</f>
        <v>-52.5806535919999</v>
      </c>
      <c s="78">
        <f>SUM(J14,J15)</f>
        <v>-56.6137381393142</v>
      </c>
      <c s="79">
        <f>SUM(K14,K15)</f>
        <v>-57.7460129021003</v>
      </c>
    </row>
    <row customHeight="1" ht="21.375">
      <c s="98" t="s">
        <v>114</v>
      </c>
      <c s="99"/>
      <c s="100"/>
      <c s="100"/>
      <c s="100"/>
      <c s="100"/>
      <c s="100"/>
      <c s="100"/>
      <c s="100"/>
      <c s="100"/>
      <c s="101"/>
    </row>
    <row customHeight="1" ht="21.375">
      <c s="70" t="s">
        <v>115</v>
      </c>
      <c s="71"/>
      <c s="89">
        <f>'FS-资产负债表'!C23+'FS-资产负债表'!C26-('FS-资产负债表'!B23+'FS-资产负债表'!B26)</f>
        <v>0</v>
      </c>
      <c s="89">
        <f>'FS-资产负债表'!D23+'FS-资产负债表'!D26-('FS-资产负债表'!C23+'FS-资产负债表'!C26)</f>
        <v>0</v>
      </c>
      <c s="89">
        <f>'FS-资产负债表'!E23+'FS-资产负债表'!E26-('FS-资产负债表'!D23+'FS-资产负债表'!D26)</f>
        <v>0</v>
      </c>
      <c s="89">
        <f>'FS-资产负债表'!F23+'FS-资产负债表'!F26-('FS-资产负债表'!E23+'FS-资产负债表'!E26)</f>
        <v>0</v>
      </c>
      <c s="89">
        <f>'FS-资产负债表'!G23+'FS-资产负债表'!G26-('FS-资产负债表'!F23+'FS-资产负债表'!F26)</f>
        <v>0</v>
      </c>
      <c s="89">
        <f>'FS-资产负债表'!H23+'FS-资产负债表'!H26-('FS-资产负债表'!G23+'FS-资产负债表'!G26)</f>
        <v>0</v>
      </c>
      <c s="89">
        <f>'FS-资产负债表'!I23+'FS-资产负债表'!I26-('FS-资产负债表'!H23+'FS-资产负债表'!H26)</f>
        <v>0</v>
      </c>
      <c s="89">
        <f>'FS-资产负债表'!J23+'FS-资产负债表'!J26-('FS-资产负债表'!I23+'FS-资产负债表'!I26)</f>
        <v>0</v>
      </c>
      <c s="90">
        <f>'FS-资产负债表'!K23+'FS-资产负债表'!K26-('FS-资产负债表'!J23+'FS-资产负债表'!J26)</f>
        <v>0</v>
      </c>
    </row>
    <row customHeight="1" ht="21.375">
      <c s="70" t="s">
        <v>116</v>
      </c>
      <c s="88">
        <f>-'FS-利润表'!B15</f>
        <v>1.2316879384</v>
      </c>
      <c s="89">
        <f>-'FS-利润表'!C15</f>
        <v>0.6726680097</v>
      </c>
      <c s="89">
        <f>-'FS-利润表'!D15</f>
        <v>0.3317518852</v>
      </c>
      <c s="89">
        <f>-'FS-利润表'!E15</f>
        <v>0.5572234619</v>
      </c>
      <c s="89">
        <f>-'FS-利润表'!F15</f>
        <v>0.0352120923</v>
      </c>
      <c s="89">
        <f>-'FS-利润表'!G15</f>
        <v>0</v>
      </c>
      <c s="89">
        <f>-'FS-利润表'!H15</f>
        <v>0</v>
      </c>
      <c s="89">
        <f>-'FS-利润表'!I15</f>
        <v>0</v>
      </c>
      <c s="89">
        <f>-'FS-利润表'!J15</f>
        <v>0</v>
      </c>
      <c s="90">
        <f>-'FS-利润表'!K15</f>
        <v>0</v>
      </c>
    </row>
    <row customHeight="1" ht="21.375">
      <c s="70" t="s">
        <v>117</v>
      </c>
      <c s="74">
        <f>融资计划!B13</f>
        <v>0</v>
      </c>
      <c s="75">
        <f>融资计划!C13</f>
        <v>-55.3237710642</v>
      </c>
      <c s="75">
        <f>融资计划!D13</f>
        <v>-82.6627065967001</v>
      </c>
      <c s="75">
        <f>融资计划!E13</f>
        <v>-89.0408586733</v>
      </c>
      <c s="75">
        <f>融资计划!F13</f>
        <v>-164.5307685681</v>
      </c>
      <c s="75">
        <f>融资计划!G13</f>
        <v>0</v>
      </c>
      <c s="75">
        <f>融资计划!H13</f>
        <v>0</v>
      </c>
      <c s="75">
        <f>融资计划!I13</f>
        <v>0</v>
      </c>
      <c s="75">
        <f>融资计划!J13</f>
        <v>0</v>
      </c>
      <c s="76">
        <f>融资计划!K13</f>
        <v>0</v>
      </c>
    </row>
    <row customHeight="1" ht="21.375">
      <c s="56" t="s">
        <v>118</v>
      </c>
      <c s="77">
        <f>SUM(B18,B19,B20)</f>
        <v>1.2316879384</v>
      </c>
      <c s="78">
        <f>SUM(C18,C19,C20)</f>
        <v>-54.6511030545</v>
      </c>
      <c s="78">
        <f>SUM(D18,D19,D20)</f>
        <v>-82.3309547115001</v>
      </c>
      <c s="78">
        <f>SUM(E18,E19,E20)</f>
        <v>-88.4836352114</v>
      </c>
      <c s="78">
        <f>SUM(F18,F19,F20)</f>
        <v>-164.4955564758</v>
      </c>
      <c s="78">
        <f>SUM(G18,G19,G20)</f>
        <v>0</v>
      </c>
      <c s="78">
        <f>SUM(H18,H19,H20)</f>
        <v>0</v>
      </c>
      <c s="78">
        <f>SUM(I18,I19,I20)</f>
        <v>0</v>
      </c>
      <c s="78">
        <f>SUM(J18,J19,J20)</f>
        <v>0</v>
      </c>
      <c s="79">
        <f>SUM(K18,K19,K20)</f>
        <v>0</v>
      </c>
    </row>
    <row customHeight="1" ht="21.375">
      <c s="96" t="s">
        <v>119</v>
      </c>
      <c s="77">
        <f>B12+B16+B21</f>
        <v>170.2617126724</v>
      </c>
      <c s="78">
        <f>C12+C16+C21</f>
        <v>90.9003221485</v>
      </c>
      <c s="78">
        <f>D12+D16+D21</f>
        <v>300.5421222316</v>
      </c>
      <c s="78">
        <f>E12+E16+E21</f>
        <v>210.1390779512</v>
      </c>
      <c s="78">
        <f>F12+F16+F21</f>
        <v>242.0592150672</v>
      </c>
      <c s="78">
        <f>G12+G16+G21</f>
        <v>510.522476356494</v>
      </c>
      <c s="78">
        <f>H12+H16+H21</f>
        <v>454.570336723228</v>
      </c>
      <c s="78">
        <f>I12+I16+I21</f>
        <v>441.024912680153</v>
      </c>
      <c s="78">
        <f>J12+J16+J21</f>
        <v>398.809446069606</v>
      </c>
      <c s="79">
        <f>K12+K16+K21</f>
        <v>332.281494353412</v>
      </c>
    </row>
    <row customHeight="1" ht="21.375">
      <c s="70" t="s">
        <v>120</v>
      </c>
      <c s="71"/>
      <c s="89">
        <f>C12+C16+SUM(C19,C20)+(融资计划!C26+融资计划!C28-(融资计划!B26+融资计划!B28))</f>
        <v>90.9003221485</v>
      </c>
      <c s="89">
        <f>D12+D16+SUM(D19,D20)+(融资计划!D26+融资计划!D28-(融资计划!C26+融资计划!C28))</f>
        <v>300.5421222316</v>
      </c>
      <c s="89">
        <f>E12+E16+SUM(E19,E20)+(融资计划!E26+融资计划!E28-(融资计划!D26+融资计划!D28))</f>
        <v>210.1390779512</v>
      </c>
      <c s="89">
        <f>F12+F16+SUM(F19,F20)+(融资计划!F26+融资计划!F28-(融资计划!E26+融资计划!E28))</f>
        <v>242.0592150672</v>
      </c>
      <c s="89">
        <f>G12+G16+SUM(G19,G20)+(融资计划!G26+融资计划!G28-(融资计划!F26+融资计划!F28))</f>
        <v>510.522476356494</v>
      </c>
      <c s="89">
        <f>H12+H16+SUM(H19,H20)+(融资计划!H26+融资计划!H28-(融资计划!G26+融资计划!G28))</f>
        <v>454.570336723228</v>
      </c>
      <c s="89">
        <f>I12+I16+SUM(I19,I20)+(融资计划!I26+融资计划!I28-(融资计划!H26+融资计划!H28))</f>
        <v>441.024912680153</v>
      </c>
      <c s="89">
        <f>J12+J16+SUM(J19,J20)+(融资计划!J26+融资计划!J28-(融资计划!I26+融资计划!I28))</f>
        <v>398.809446069606</v>
      </c>
      <c s="90">
        <f>K12+K16+SUM(K19,K20)+(融资计划!K26+融资计划!K28-(融资计划!J26+融资计划!J28))</f>
        <v>332.281494353412</v>
      </c>
    </row>
    <row customHeight="1" ht="21.375">
      <c s="70" t="s">
        <v>121</v>
      </c>
      <c s="71"/>
      <c s="89">
        <f>'FS-资产负债表'!B5</f>
        <v>277.1071768021</v>
      </c>
      <c s="89">
        <f>'FS-资产负债表'!C5</f>
        <v>368.0074989506</v>
      </c>
      <c s="89">
        <f>'FS-资产负债表'!D5</f>
        <v>668.5496211822</v>
      </c>
      <c s="89">
        <f>'FS-资产负债表'!E5</f>
        <v>878.6886991334</v>
      </c>
      <c s="89">
        <f>'FS-资产负债表'!F5</f>
        <v>1120.7479142006</v>
      </c>
      <c s="89">
        <f>'FS-资产负债表'!G5</f>
        <v>1631.27039055709</v>
      </c>
      <c s="89">
        <f>'FS-资产负债表'!H5</f>
        <v>2085.84072728032</v>
      </c>
      <c s="89">
        <f>'FS-资产负债表'!I5</f>
        <v>2526.86563996047</v>
      </c>
      <c s="90">
        <f>'FS-资产负债表'!J5</f>
        <v>2925.67524459363</v>
      </c>
    </row>
    <row customHeight="1" ht="21.375">
      <c s="70" t="s">
        <v>122</v>
      </c>
      <c s="74">
        <f>'FS-资产负债表'!B5</f>
        <v>277.1071768021</v>
      </c>
      <c s="75">
        <f>'FS-资产负债表'!C5</f>
        <v>368.0074989506</v>
      </c>
      <c s="75">
        <f>'FS-资产负债表'!D5</f>
        <v>668.5496211822</v>
      </c>
      <c s="75">
        <f>'FS-资产负债表'!E5</f>
        <v>878.6886991334</v>
      </c>
      <c s="75">
        <f>'FS-资产负债表'!F5</f>
        <v>1120.7479142006</v>
      </c>
      <c s="72">
        <f>G24+G23</f>
        <v>1631.27039055709</v>
      </c>
      <c s="72">
        <f>H24+H23</f>
        <v>2085.84072728032</v>
      </c>
      <c s="72">
        <f>I24+I23</f>
        <v>2526.86563996047</v>
      </c>
      <c s="72">
        <f>J24+J23</f>
        <v>2925.67508603008</v>
      </c>
      <c s="73">
        <f>K24+K23</f>
        <v>3257.95673894704</v>
      </c>
    </row>
    <row customHeight="1" ht="21.375">
      <c s="96" t="s">
        <v>123</v>
      </c>
      <c s="57">
        <f>'FS-资产负债表'!B5</f>
        <v>277.1071768021</v>
      </c>
      <c s="58">
        <f>'FS-资产负债表'!C5</f>
        <v>368.0074989506</v>
      </c>
      <c s="58">
        <f>'FS-资产负债表'!D5</f>
        <v>668.5496211822</v>
      </c>
      <c s="58">
        <f>'FS-资产负债表'!E5</f>
        <v>878.6886991334</v>
      </c>
      <c s="58">
        <f>'FS-资产负债表'!F5</f>
        <v>1120.7479142006</v>
      </c>
      <c s="78">
        <f>G24+G22</f>
        <v>1631.27039055709</v>
      </c>
      <c s="78">
        <f>H24+H22</f>
        <v>2085.84072728032</v>
      </c>
      <c s="78">
        <f>I24+I22</f>
        <v>2526.86563996047</v>
      </c>
      <c s="78">
        <f>J24+J22</f>
        <v>2925.67508603008</v>
      </c>
      <c s="79">
        <f>K24+K22</f>
        <v>3257.95673894704</v>
      </c>
    </row>
    <row customHeight="1" ht="17.4">
      <c s="82"/>
      <c s="82"/>
      <c s="82"/>
      <c s="82"/>
      <c s="82"/>
      <c s="82"/>
      <c s="82"/>
      <c s="82"/>
      <c s="82"/>
      <c s="82"/>
      <c s="82"/>
    </row>
  </sheetData>
  <sheetProtection sheet="1" objects="1"/>
  <mergeCells count="1">
    <mergeCell ref="A3:K3"/>
  </mergeCel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80F12F1-6768-5E96-0901-89D6B0ACBE91}" mc:Ignorable="x14ac">
  <dimension ref="A1:AG84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102" customFormat="1" customHeight="1" ht="17.4">
      <c s="49" t="s">
        <v>0</v>
      </c>
    </row>
    <row r="3" customHeight="1" ht="17.4">
      <c s="50" t="s">
        <v>124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95" t="s">
        <v>3</v>
      </c>
      <c s="74">
        <f>'FS-利润表'!B5</f>
        <v>315.7392853094</v>
      </c>
      <c s="75">
        <f>'FS-利润表'!C5</f>
        <v>326.5958372528</v>
      </c>
      <c s="75">
        <f>'FS-利润表'!D5</f>
        <v>388.6218999384</v>
      </c>
      <c s="75">
        <f>'FS-利润表'!E5</f>
        <v>582.1786131417</v>
      </c>
      <c s="75">
        <f>'FS-利润表'!F5</f>
        <v>736.3887238803</v>
      </c>
      <c s="72">
        <f>F5*(1+G6)</f>
        <v>918.137775205946</v>
      </c>
      <c s="72">
        <f>G5*(1+H6)</f>
        <v>1092.68354101874</v>
      </c>
      <c s="72">
        <f>H5*(1+I6)</f>
        <v>1238.45369391812</v>
      </c>
      <c s="72">
        <f>I5*(1+J6)</f>
        <v>1333.44658796357</v>
      </c>
      <c s="73">
        <f>J5*(1+K6)</f>
        <v>1360.11551972284</v>
      </c>
    </row>
    <row customHeight="1" ht="21.375">
      <c s="60" t="s">
        <v>4</v>
      </c>
      <c s="61"/>
      <c s="62">
        <f>_xlfn.IFERROR(C5/B5-1,0)</f>
        <v>0.034384545884943</v>
      </c>
      <c s="62">
        <f>_xlfn.IFERROR(D5/C5-1,0)</f>
        <v>0.189916880776374</v>
      </c>
      <c s="62">
        <f>_xlfn.IFERROR(E5/D5-1,0)</f>
        <v>0.498059201588949</v>
      </c>
      <c s="62">
        <f>_xlfn.IFERROR(F5/E5-1,0)</f>
        <v>0.264884534157674</v>
      </c>
      <c s="62">
        <f>MAX(AVERAGE(B6,C6,D6,E6,F6),0)+G10</f>
        <v>0.246811290601985</v>
      </c>
      <c s="62">
        <f>MAX(AVERAGE(B6,C6,D6,E6,F6),0)+H10</f>
        <v>0.190108467951489</v>
      </c>
      <c s="62">
        <f>MAX(AVERAGE(B6,C6,D6,E6,F6),0)+I10</f>
        <v>0.133405645300993</v>
      </c>
      <c s="62">
        <f>MAX(AVERAGE(B6,C6,D6,E6,F6),0)+J10</f>
        <v>0.076702822650496</v>
      </c>
      <c s="63">
        <f>MAX(AVERAGE(B6,C6,D6,E6,F6),0)+K10</f>
        <v>0.02</v>
      </c>
    </row>
    <row customHeight="1" ht="21.375">
      <c s="60" t="s">
        <v>125</v>
      </c>
      <c s="61"/>
      <c s="62">
        <f>_xlfn.IFERROR(C5/B5-1,0)</f>
        <v>0.034384545884943</v>
      </c>
      <c s="62">
        <f>_xlfn.IFERROR(D5/C5-1,0)</f>
        <v>0.189916880776374</v>
      </c>
      <c s="62">
        <f>_xlfn.IFERROR(E5/D5-1,0)</f>
        <v>0.498059201588949</v>
      </c>
      <c s="62">
        <f>_xlfn.IFERROR(F5/E5-1,0)</f>
        <v>0.264884534157674</v>
      </c>
      <c s="62">
        <f>MAX(AVERAGE(B6,C6,D6,E6,F6),0)</f>
        <v>0.246811290601985</v>
      </c>
      <c s="62">
        <f>MAX(AVERAGE(B6,C6,D6,E6,F6),0)</f>
        <v>0.246811290601985</v>
      </c>
      <c s="62">
        <f>MAX(AVERAGE(B6,C6,D6,E6,F6),0)</f>
        <v>0.246811290601985</v>
      </c>
      <c s="62">
        <f>MAX(AVERAGE(B6,C6,D6,E6,F6),0)</f>
        <v>0.246811290601985</v>
      </c>
      <c s="63">
        <f>MAX(AVERAGE(B6,C6,D6,E6,F6),0)</f>
        <v>0.246811290601985</v>
      </c>
    </row>
    <row customHeight="1" ht="21.375">
      <c s="60" t="s">
        <v>126</v>
      </c>
      <c s="103">
        <f>DCF模型!B25</f>
        <v>0.02</v>
      </c>
      <c s="62"/>
      <c s="62"/>
      <c s="62"/>
      <c s="62"/>
      <c s="62"/>
      <c s="62"/>
      <c s="62"/>
      <c s="62"/>
      <c s="63"/>
    </row>
    <row customHeight="1" ht="21.375">
      <c s="60" t="s">
        <v>127</v>
      </c>
      <c s="104">
        <f>DCF模型!B25-K7</f>
        <v>-0.226811290601985</v>
      </c>
      <c s="62"/>
      <c s="62"/>
      <c s="62"/>
      <c s="62"/>
      <c s="62"/>
      <c s="62"/>
      <c s="62"/>
      <c s="62"/>
      <c s="63"/>
    </row>
    <row customHeight="1" ht="21.375">
      <c s="60" t="s">
        <v>128</v>
      </c>
      <c s="61">
        <f>0</f>
        <v>0</v>
      </c>
      <c s="62">
        <f>0</f>
        <v>0</v>
      </c>
      <c s="62">
        <f>0</f>
        <v>0</v>
      </c>
      <c s="62">
        <f>0</f>
        <v>0</v>
      </c>
      <c s="62">
        <f>0</f>
        <v>0</v>
      </c>
      <c s="62">
        <f>(0*4+B9*0)/4</f>
        <v>0</v>
      </c>
      <c s="62">
        <f>(0*3+B9*1)/4</f>
        <v>-0.056702822650496</v>
      </c>
      <c s="62">
        <f>(0*2+B9*2)/4</f>
        <v>-0.113405645300992</v>
      </c>
      <c s="62">
        <f>(0*1+B9*3)/4</f>
        <v>-0.170108467951489</v>
      </c>
      <c s="63">
        <f>(0*0+B9*4)/4</f>
        <v>-0.226811290601985</v>
      </c>
    </row>
    <row customHeight="1" ht="21.375">
      <c s="70" t="s">
        <v>53</v>
      </c>
      <c s="74">
        <f>'FS-利润表'!B6</f>
        <v>6.43285000000003</v>
      </c>
      <c s="75">
        <f>'FS-利润表'!C6</f>
        <v>7.87275300000003</v>
      </c>
      <c s="75">
        <f>'FS-利润表'!D6</f>
        <v>12.928944</v>
      </c>
      <c s="75">
        <f>'FS-利润表'!E6</f>
        <v>28.4489555000001</v>
      </c>
      <c s="75">
        <f>'FS-利润表'!F6</f>
        <v>35.605117</v>
      </c>
      <c s="72">
        <f>F11*(1+G12)</f>
        <v>56.2385260499701</v>
      </c>
      <c s="72">
        <f>G11*(1+H12)</f>
        <v>88.8291368983049</v>
      </c>
      <c s="72">
        <f>H11*(1+I12)</f>
        <v>140.306229844763</v>
      </c>
      <c s="72">
        <f>I11*(1+J12)</f>
        <v>221.614650559856</v>
      </c>
      <c s="73">
        <f>J11*(1+K12)</f>
        <v>350.041857707292</v>
      </c>
    </row>
    <row customHeight="1" ht="21.375">
      <c s="60" t="s">
        <v>4</v>
      </c>
      <c s="61"/>
      <c s="62">
        <f>_xlfn.IFERROR(C11/B11-1,0)</f>
        <v>0.223835935860465</v>
      </c>
      <c s="62">
        <f>_xlfn.IFERROR(D11/C11-1,0)</f>
        <v>0.64223925226664</v>
      </c>
      <c s="62">
        <f>_xlfn.IFERROR(E11/D11-1,0)</f>
        <v>1.20040828547174</v>
      </c>
      <c s="62">
        <f>_xlfn.IFERROR(F11/E11-1,0)</f>
        <v>0.251543909933701</v>
      </c>
      <c s="62">
        <f>MAX(AVERAGE(B12,C12,D12,E12,F12),0)</f>
        <v>0.579506845883137</v>
      </c>
      <c s="62">
        <f>MAX(AVERAGE(B12,C12,D12,E12,F12),0)</f>
        <v>0.579506845883137</v>
      </c>
      <c s="62">
        <f>MAX(AVERAGE(B12,C12,D12,E12,F12),0)</f>
        <v>0.579506845883137</v>
      </c>
      <c s="62">
        <f>MAX(AVERAGE(B12,C12,D12,E12,F12),0)</f>
        <v>0.579506845883137</v>
      </c>
      <c s="63">
        <f>MAX(AVERAGE(B12,C12,D12,E12,F12),0)</f>
        <v>0.579506845883137</v>
      </c>
    </row>
    <row customHeight="1" ht="21.375">
      <c s="70" t="s">
        <v>54</v>
      </c>
      <c s="71">
        <f>B5+B11</f>
        <v>322.1721353094</v>
      </c>
      <c s="72">
        <f>C5+C11</f>
        <v>334.4685902528</v>
      </c>
      <c s="72">
        <f>D5+D11</f>
        <v>401.5508439384</v>
      </c>
      <c s="72">
        <f>E5+E11</f>
        <v>610.6275686417</v>
      </c>
      <c s="72">
        <f>F5+F11</f>
        <v>771.9938408803</v>
      </c>
      <c s="72">
        <f>G5+G11</f>
        <v>974.376301255916</v>
      </c>
      <c s="72">
        <f>H5+H11</f>
        <v>1181.51267791704</v>
      </c>
      <c s="72">
        <f>I5+I11</f>
        <v>1378.75992376288</v>
      </c>
      <c s="72">
        <f>J5+J11</f>
        <v>1555.06123852343</v>
      </c>
      <c s="73">
        <f>K5+K11</f>
        <v>1710.15737743013</v>
      </c>
    </row>
    <row customHeight="1" ht="21.375">
      <c s="70" t="s">
        <v>55</v>
      </c>
      <c s="74">
        <f>'FS-利润表'!B8</f>
        <v>23.9784437219</v>
      </c>
      <c s="75">
        <f>'FS-利润表'!C8</f>
        <v>26.1255924117</v>
      </c>
      <c s="75">
        <f>'FS-利润表'!D8</f>
        <v>35.3313872923</v>
      </c>
      <c s="75">
        <f>'FS-利润表'!E8</f>
        <v>60.7569954703</v>
      </c>
      <c s="75">
        <f>'FS-利润表'!F8</f>
        <v>66.5936400096</v>
      </c>
      <c s="72">
        <f>G13*G16</f>
        <v>83.0727233204881</v>
      </c>
      <c s="72">
        <f>H13*H16</f>
        <v>140.192177545789</v>
      </c>
      <c s="72">
        <f>I13*I16</f>
        <v>209.643637258948</v>
      </c>
      <c s="72">
        <f>J13*J16</f>
        <v>288.38580451443</v>
      </c>
      <c s="73">
        <f>K13*K16</f>
        <v>374.263319635751</v>
      </c>
    </row>
    <row customHeight="1" ht="21.375">
      <c s="60" t="s">
        <v>129</v>
      </c>
      <c s="61">
        <f>B14/B13</f>
        <v>0.074427428985664</v>
      </c>
      <c s="62">
        <f>C14/C13</f>
        <v>0.078110749927082</v>
      </c>
      <c s="62">
        <f>D14/D13</f>
        <v>0.087987331680767</v>
      </c>
      <c s="62">
        <f>E14/E13</f>
        <v>0.099499266967998</v>
      </c>
      <c s="62">
        <f>F14/F13</f>
        <v>0.086261879931145</v>
      </c>
      <c s="62">
        <f>MAX(AVERAGE(B16,C16,D16,E16,F16),0)</f>
        <v>0.085257331498531</v>
      </c>
      <c s="62">
        <f>MAX(AVERAGE(B16,C16,D16,E16,F16),0)</f>
        <v>0.085257331498531</v>
      </c>
      <c s="62">
        <f>MAX(AVERAGE(B16,C16,D16,E16,F16),0)</f>
        <v>0.085257331498531</v>
      </c>
      <c s="62">
        <f>MAX(AVERAGE(B16,C16,D16,E16,F16),0)</f>
        <v>0.085257331498531</v>
      </c>
      <c s="63">
        <f>MAX(AVERAGE(B16,C16,D16,E16,F16),0)</f>
        <v>0.085257331498531</v>
      </c>
    </row>
    <row customHeight="1" ht="21.375">
      <c s="60" t="s">
        <v>130</v>
      </c>
      <c s="61">
        <f>B14/B13</f>
        <v>0.074427428985664</v>
      </c>
      <c s="62">
        <f>C14/C13</f>
        <v>0.078110749927082</v>
      </c>
      <c s="62">
        <f>D14/D13</f>
        <v>0.087987331680767</v>
      </c>
      <c s="62">
        <f>E14/E13</f>
        <v>0.099499266967998</v>
      </c>
      <c s="62">
        <f>F14/F13</f>
        <v>0.086261879931145</v>
      </c>
      <c s="62">
        <f>G15+G49</f>
        <v>0.085257331498531</v>
      </c>
      <c s="62">
        <f>H15+H49</f>
        <v>0.118654822894446</v>
      </c>
      <c s="62">
        <f>I15+I49</f>
        <v>0.152052314290361</v>
      </c>
      <c s="62">
        <f>J15+J49</f>
        <v>0.185449805686276</v>
      </c>
      <c s="63">
        <f>K15+K49</f>
        <v>0.21884729708219</v>
      </c>
    </row>
    <row customHeight="1" ht="21.375">
      <c s="70" t="s">
        <v>56</v>
      </c>
      <c s="74">
        <f>'FS-利润表'!B9</f>
        <v>27.8899443605</v>
      </c>
      <c s="75">
        <f>'FS-利润表'!C9</f>
        <v>34.491706374</v>
      </c>
      <c s="75">
        <f>'FS-利润表'!D9</f>
        <v>65.0892634326</v>
      </c>
      <c s="75">
        <f>'FS-利润表'!E9</f>
        <v>84.0421447069</v>
      </c>
      <c s="75">
        <f>'FS-利润表'!F9</f>
        <v>112.8892684697</v>
      </c>
      <c s="72">
        <f>G13*G18</f>
        <v>123.872509625354</v>
      </c>
      <c s="72">
        <f>H13*H18</f>
        <v>150.205767914419</v>
      </c>
      <c s="72">
        <f>I13*I18</f>
        <v>175.281820490944</v>
      </c>
      <c s="72">
        <f>J13*J18</f>
        <v>197.695015764156</v>
      </c>
      <c s="73">
        <f>K13*K18</f>
        <v>217.412395933206</v>
      </c>
    </row>
    <row customHeight="1" ht="21.375">
      <c s="60" t="s">
        <v>130</v>
      </c>
      <c s="61">
        <f>B17/B13</f>
        <v>0.08656845612584</v>
      </c>
      <c s="62">
        <f>C17/C13</f>
        <v>0.103123902749524</v>
      </c>
      <c s="62">
        <f>D17/D13</f>
        <v>0.162094699625597</v>
      </c>
      <c s="62">
        <f>E17/E13</f>
        <v>0.137632411346651</v>
      </c>
      <c s="62">
        <f>F17/F13</f>
        <v>0.146230789018955</v>
      </c>
      <c s="62">
        <f>MAX(AVERAGE(B18,C18,D18,E18,F18),0)</f>
        <v>0.127130051773313</v>
      </c>
      <c s="62">
        <f>MAX(AVERAGE(B18,C18,D18,E18,F18),0)</f>
        <v>0.127130051773313</v>
      </c>
      <c s="62">
        <f>MAX(AVERAGE(B18,C18,D18,E18,F18),0)</f>
        <v>0.127130051773313</v>
      </c>
      <c s="62">
        <f>MAX(AVERAGE(B18,C18,D18,E18,F18),0)</f>
        <v>0.127130051773313</v>
      </c>
      <c s="63">
        <f>MAX(AVERAGE(B18,C18,D18,E18,F18),0)</f>
        <v>0.127130051773313</v>
      </c>
    </row>
    <row customHeight="1" ht="21.375">
      <c s="70" t="s">
        <v>58</v>
      </c>
      <c s="74">
        <f>'FS-利润表'!B11</f>
        <v>16.7473345106</v>
      </c>
      <c s="75">
        <f>'FS-利润表'!C11</f>
        <v>14.8496151921</v>
      </c>
      <c s="75">
        <f>'FS-利润表'!D11</f>
        <v>16.810520229</v>
      </c>
      <c s="75">
        <f>'FS-利润表'!E11</f>
        <v>29.8606854499</v>
      </c>
      <c s="75">
        <f>'FS-利润表'!F11</f>
        <v>25.7207687216</v>
      </c>
      <c s="72">
        <f>G13*G21</f>
        <v>42.9628138159667</v>
      </c>
      <c s="72">
        <f>H13*H21</f>
        <v>72.5033462442088</v>
      </c>
      <c s="72">
        <f>I13*I21</f>
        <v>108.421635829974</v>
      </c>
      <c s="72">
        <f>J13*J21</f>
        <v>149.144811091868</v>
      </c>
      <c s="73">
        <f>K13*K21</f>
        <v>193.558182240197</v>
      </c>
    </row>
    <row customHeight="1" ht="21.375">
      <c s="60" t="s">
        <v>131</v>
      </c>
      <c s="61">
        <f>B19/B13</f>
        <v>0.051982566693785</v>
      </c>
      <c s="62">
        <f>C19/C13</f>
        <v>0.044397637401097</v>
      </c>
      <c s="62">
        <f>D19/D13</f>
        <v>0.041863989287441</v>
      </c>
      <c s="62">
        <f>E19/E13</f>
        <v>0.048901633308701</v>
      </c>
      <c s="62">
        <f>F19/F13</f>
        <v>0.033317323739618</v>
      </c>
      <c s="62">
        <f>MAX(AVERAGE(B21,C21,D21,E21,F21),0)</f>
        <v>0.044092630086128</v>
      </c>
      <c s="62">
        <f>MAX(AVERAGE(B21,C21,D21,E21,F21),0)</f>
        <v>0.044092630086128</v>
      </c>
      <c s="62">
        <f>MAX(AVERAGE(B21,C21,D21,E21,F21),0)</f>
        <v>0.044092630086128</v>
      </c>
      <c s="62">
        <f>MAX(AVERAGE(B21,C21,D21,E21,F21),0)</f>
        <v>0.044092630086128</v>
      </c>
      <c s="63">
        <f>MAX(AVERAGE(B21,C21,D21,E21,F21),0)</f>
        <v>0.044092630086128</v>
      </c>
    </row>
    <row customHeight="1" ht="21.375">
      <c s="60" t="s">
        <v>130</v>
      </c>
      <c s="61">
        <f>B19/B13</f>
        <v>0.051982566693785</v>
      </c>
      <c s="62">
        <f>C19/C13</f>
        <v>0.044397637401097</v>
      </c>
      <c s="62">
        <f>D19/D13</f>
        <v>0.041863989287441</v>
      </c>
      <c s="62">
        <f>E19/E13</f>
        <v>0.048901633308701</v>
      </c>
      <c s="62">
        <f>F19/F13</f>
        <v>0.033317323739618</v>
      </c>
      <c s="62">
        <f>G20+G50</f>
        <v>0.044092630086128</v>
      </c>
      <c s="62">
        <f>H20+H50</f>
        <v>0.06136484829941</v>
      </c>
      <c s="62">
        <f>I20+I50</f>
        <v>0.078637066512691</v>
      </c>
      <c s="62">
        <f>J20+J50</f>
        <v>0.095909284725973</v>
      </c>
      <c s="63">
        <f>K20+K50</f>
        <v>0.113181502939255</v>
      </c>
    </row>
    <row customHeight="1" ht="21.375">
      <c s="70" t="s">
        <v>59</v>
      </c>
      <c s="74">
        <f>'FS-利润表'!B12</f>
        <v>33.7849954459</v>
      </c>
      <c s="75">
        <f>'FS-利润表'!C12</f>
        <v>38.1285207619</v>
      </c>
      <c s="75">
        <f>'FS-利润表'!D12</f>
        <v>41.8718984042</v>
      </c>
      <c s="75">
        <f>'FS-利润表'!E12</f>
        <v>47.0179556731</v>
      </c>
      <c s="75">
        <f>'FS-利润表'!F12</f>
        <v>53.2594076224</v>
      </c>
      <c s="72">
        <f>G13*G24</f>
        <v>91.4214172886445</v>
      </c>
      <c s="72">
        <f>H13*H24</f>
        <v>154.281297780163</v>
      </c>
      <c s="72">
        <f>I13*I24</f>
        <v>230.712533280252</v>
      </c>
      <c s="72">
        <f>J13*J24</f>
        <v>317.368179599966</v>
      </c>
      <c s="73">
        <f>K13*K24</f>
        <v>411.87626639194</v>
      </c>
    </row>
    <row customHeight="1" ht="21.375">
      <c s="70" t="s">
        <v>132</v>
      </c>
      <c s="71">
        <f>B22/B5</f>
        <v>0.107002824855302</v>
      </c>
      <c s="72">
        <f>C22/C5</f>
        <v>0.116745274779442</v>
      </c>
      <c s="72">
        <f>D22/D5</f>
        <v>0.107744567176572</v>
      </c>
      <c s="72">
        <f>E22/E5</f>
        <v>0.080762079904258</v>
      </c>
      <c s="72">
        <f>F22/F5</f>
        <v>0.072325126519804</v>
      </c>
      <c s="72">
        <f>MAX(AVERAGE(B24,C24,D24,E24,F24),0)</f>
        <v>0.093825575571581</v>
      </c>
      <c s="72">
        <f>MAX(AVERAGE(B24,C24,D24,E24,F24),0)</f>
        <v>0.093825575571581</v>
      </c>
      <c s="72">
        <f>MAX(AVERAGE(B24,C24,D24,E24,F24),0)</f>
        <v>0.093825575571581</v>
      </c>
      <c s="72">
        <f>MAX(AVERAGE(B24,C24,D24,E24,F24),0)</f>
        <v>0.093825575571581</v>
      </c>
      <c s="73">
        <f>MAX(AVERAGE(B24,C24,D24,E24,F24),0)</f>
        <v>0.093825575571581</v>
      </c>
    </row>
    <row customHeight="1" ht="21.375">
      <c s="60" t="s">
        <v>130</v>
      </c>
      <c s="61">
        <f>B22/B13</f>
        <v>0.104866286506915</v>
      </c>
      <c s="62">
        <f>C22/C13</f>
        <v>0.113997313568612</v>
      </c>
      <c s="62">
        <f>D22/D13</f>
        <v>0.104275458603253</v>
      </c>
      <c s="62">
        <f>E22/E13</f>
        <v>0.07699939879506</v>
      </c>
      <c s="62">
        <f>F22/F13</f>
        <v>0.068989420384065</v>
      </c>
      <c s="62">
        <f>G23+G51</f>
        <v>0.093825575571581</v>
      </c>
      <c s="62">
        <f>H23+H51</f>
        <v>0.130579468729997</v>
      </c>
      <c s="62">
        <f>I23+I51</f>
        <v>0.167333361888411</v>
      </c>
      <c s="62">
        <f>J23+J51</f>
        <v>0.204087255046827</v>
      </c>
      <c s="63">
        <f>K23+K51</f>
        <v>0.240841148205243</v>
      </c>
    </row>
    <row customHeight="1" ht="21.375">
      <c s="70" t="s">
        <v>60</v>
      </c>
      <c s="74">
        <f>'FS-利润表'!B13</f>
        <v>1e-15</v>
      </c>
      <c s="75">
        <f>'FS-利润表'!C13</f>
        <v>1.4e-14</v>
      </c>
      <c s="75">
        <f>'FS-利润表'!D13</f>
        <v>5e-15</v>
      </c>
      <c s="75">
        <f>'FS-利润表'!E13</f>
        <v>1e-15</v>
      </c>
      <c s="75">
        <f>'FS-利润表'!F13</f>
        <v>1.2e-14</v>
      </c>
      <c s="72">
        <f>G13*G26</f>
        <v>1.5e-14</v>
      </c>
      <c s="72">
        <f>H13*H26</f>
        <v>1.8e-14</v>
      </c>
      <c s="72">
        <f>I13*I26</f>
        <v>2.1e-14</v>
      </c>
      <c s="72">
        <f>J13*J26</f>
        <v>2.3e-14</v>
      </c>
      <c s="73">
        <f>K13*K26</f>
        <v>2.6e-14</v>
      </c>
    </row>
    <row customHeight="1" ht="21.375">
      <c s="60" t="s">
        <v>130</v>
      </c>
      <c s="61">
        <f>B25/B13</f>
        <v>3.10393075751149e-18</v>
      </c>
      <c s="62">
        <f>C25/C13</f>
        <v>4.18574431441184e-17</v>
      </c>
      <c s="62">
        <f>D25/D13</f>
        <v>1.24517233009901e-17</v>
      </c>
      <c s="62">
        <f>E25/E13</f>
        <v>1.637659436544e-18</v>
      </c>
      <c s="62">
        <f>F25/F13</f>
        <v>1.55441654642173e-17</v>
      </c>
      <c s="62">
        <f>MAX(AVERAGE(B26,C26,D26,E26,F26),0)</f>
        <v>1.49189844206763e-17</v>
      </c>
      <c s="62">
        <f>MAX(AVERAGE(B26,C26,D26,E26,F26),0)</f>
        <v>1.49189844206763e-17</v>
      </c>
      <c s="62">
        <f>MAX(AVERAGE(B26,C26,D26,E26,F26),0)</f>
        <v>1.49189844206763e-17</v>
      </c>
      <c s="62">
        <f>MAX(AVERAGE(B26,C26,D26,E26,F26),0)</f>
        <v>1.49189844206763e-17</v>
      </c>
      <c s="63">
        <f>MAX(AVERAGE(B26,C26,D26,E26,F26),0)</f>
        <v>1.49189844206763e-17</v>
      </c>
    </row>
    <row customHeight="1" ht="21.375">
      <c s="70" t="s">
        <v>61</v>
      </c>
      <c s="74">
        <f>'FS-利润表'!B15</f>
        <v>-1.2316879384</v>
      </c>
      <c s="75">
        <f>'FS-利润表'!C15</f>
        <v>-0.6726680097</v>
      </c>
      <c s="75">
        <f>'FS-利润表'!D15</f>
        <v>-0.3317518852</v>
      </c>
      <c s="75">
        <f>'FS-利润表'!E15</f>
        <v>-0.5572234619</v>
      </c>
      <c s="75">
        <f>'FS-利润表'!F15</f>
        <v>-0.0352120923</v>
      </c>
      <c s="72">
        <f>G28*G29</f>
        <v>0</v>
      </c>
      <c s="72">
        <f>H28*H29</f>
        <v>0</v>
      </c>
      <c s="72">
        <f>I28*I29</f>
        <v>0</v>
      </c>
      <c s="72">
        <f>J28*J29</f>
        <v>0</v>
      </c>
      <c s="73">
        <f>K28*K29</f>
        <v>0</v>
      </c>
    </row>
    <row customHeight="1" ht="21.375">
      <c s="70" t="s">
        <v>133</v>
      </c>
      <c s="88">
        <f>'FS-资产负债表'!B23+'FS-资产负债表'!B26</f>
        <v>0</v>
      </c>
      <c s="89">
        <f>'FS-资产负债表'!C23+'FS-资产负债表'!C26</f>
        <v>0</v>
      </c>
      <c s="89">
        <f>'FS-资产负债表'!D23+'FS-资产负债表'!D26</f>
        <v>0</v>
      </c>
      <c s="89">
        <f>'FS-资产负债表'!E23+'FS-资产负债表'!E26</f>
        <v>0</v>
      </c>
      <c s="89">
        <f>'FS-资产负债表'!F23+'FS-资产负债表'!F26</f>
        <v>0</v>
      </c>
      <c s="89">
        <f>'FS-资产负债表'!G23+'FS-资产负债表'!G26</f>
        <v>0</v>
      </c>
      <c s="89">
        <f>'FS-资产负债表'!H23+'FS-资产负债表'!H26</f>
        <v>0</v>
      </c>
      <c s="89">
        <f>'FS-资产负债表'!I23+'FS-资产负债表'!I26</f>
        <v>0</v>
      </c>
      <c s="89">
        <f>'FS-资产负债表'!J23+'FS-资产负债表'!J26</f>
        <v>0</v>
      </c>
      <c s="90">
        <f>'FS-资产负债表'!K23+'FS-资产负债表'!K26</f>
        <v>0</v>
      </c>
    </row>
    <row customHeight="1" ht="21.375">
      <c s="60" t="s">
        <v>134</v>
      </c>
      <c s="61">
        <f>_xlfn.IFERROR(B27/B28,0)</f>
        <v>0</v>
      </c>
      <c s="62">
        <f>_xlfn.IFERROR(C27/C28,0)</f>
        <v>0</v>
      </c>
      <c s="62">
        <f>_xlfn.IFERROR(D27/D28,0)</f>
        <v>0</v>
      </c>
      <c s="62">
        <f>_xlfn.IFERROR(E27/E28,0)</f>
        <v>0</v>
      </c>
      <c s="62">
        <f>_xlfn.IFERROR(F27/F28,0)</f>
        <v>0</v>
      </c>
      <c s="62">
        <f>MIN(MAX(AVERAGE(B29,C29,D29,E29,F29),0),0.1)</f>
        <v>0</v>
      </c>
      <c s="62">
        <f>MIN(MAX(AVERAGE(B29,C29,D29,E29,F29),0),0.1)</f>
        <v>0</v>
      </c>
      <c s="62">
        <f>MIN(MAX(AVERAGE(B29,C29,D29,E29,F29),0),0.1)</f>
        <v>0</v>
      </c>
      <c s="62">
        <f>MIN(MAX(AVERAGE(B29,C29,D29,E29,F29),0),0.1)</f>
        <v>0</v>
      </c>
      <c s="63">
        <f>MIN(MAX(AVERAGE(B29,C29,D29,E29,F29),0),0.1)</f>
        <v>0</v>
      </c>
    </row>
    <row customHeight="1" ht="21.375">
      <c s="70" t="s">
        <v>62</v>
      </c>
      <c s="74">
        <f>'FS-利润表'!B16</f>
        <v>0.0043274588</v>
      </c>
      <c s="75">
        <f>'FS-利润表'!C16</f>
        <v>-0.0054031339</v>
      </c>
      <c s="75">
        <f>'FS-利润表'!D16</f>
        <v>0.1232749622</v>
      </c>
      <c s="75">
        <f>'FS-利润表'!E16</f>
        <v>-0.0805370395</v>
      </c>
      <c s="75">
        <f>'FS-利润表'!F16</f>
        <v>0.0128968501</v>
      </c>
      <c s="72">
        <f>G31*G32</f>
        <v>0.013458759235748</v>
      </c>
      <c s="72">
        <f>H31*H32</f>
        <v>0.01529459475677</v>
      </c>
      <c s="72">
        <f>I31*I32</f>
        <v>0.017331112749926</v>
      </c>
      <c s="72">
        <f>J31*J32</f>
        <v>0.019410223194393</v>
      </c>
      <c s="73">
        <f>K31*K32</f>
        <v>0.0213409355258</v>
      </c>
    </row>
    <row customHeight="1" ht="21.375">
      <c s="70" t="s">
        <v>135</v>
      </c>
      <c s="88">
        <f>'FS-资产负债表'!B15+'FS-资产负债表'!B16</f>
        <v>139.6378974066</v>
      </c>
      <c s="89">
        <f>'FS-资产负债表'!C15+'FS-资产负债表'!C16</f>
        <v>151.9701915857</v>
      </c>
      <c s="89">
        <f>'FS-资产负债表'!D15+'FS-资产负债表'!D16</f>
        <v>181.7303684145</v>
      </c>
      <c s="89">
        <f>'FS-资产负债表'!E15+'FS-资产负债表'!E16</f>
        <v>188.8057854594</v>
      </c>
      <c s="89">
        <f>'FS-资产负债表'!F15+'FS-资产负债表'!F16</f>
        <v>189.1614663831</v>
      </c>
      <c s="89">
        <f>'FS-资产负债表'!G15+'FS-资产负债表'!G16</f>
        <v>213.363273082253</v>
      </c>
      <c s="89">
        <f>'FS-资产负债表'!H15+'FS-资产负债表'!H16</f>
        <v>242.466986786087</v>
      </c>
      <c s="89">
        <f>'FS-资产负债表'!I15+'FS-资产负债表'!I16</f>
        <v>274.752143025192</v>
      </c>
      <c s="89">
        <f>'FS-资产负债表'!J15+'FS-资产负债表'!J16</f>
        <v>307.712522341047</v>
      </c>
      <c s="90">
        <f>'FS-资产负债表'!K15+'FS-资产负债表'!K16</f>
        <v>338.320329137609</v>
      </c>
    </row>
    <row customHeight="1" ht="21.375">
      <c s="60" t="s">
        <v>136</v>
      </c>
      <c s="61">
        <f>_xlfn.IFERROR(B30/B31,0)</f>
        <v>0.000030990575484</v>
      </c>
      <c s="62">
        <f>_xlfn.IFERROR(C30/C31,0)</f>
        <v>-0.000035553905958</v>
      </c>
      <c s="62">
        <f>_xlfn.IFERROR(D30/D31,0)</f>
        <v>0.000678339912451</v>
      </c>
      <c s="62">
        <f>_xlfn.IFERROR(E30/E31,0)</f>
        <v>-0.000426560231213</v>
      </c>
      <c s="62">
        <f>_xlfn.IFERROR(F30/F31,0)</f>
        <v>0.000068179055421</v>
      </c>
      <c s="62">
        <f>MIN(MAX(AVERAGE(B32,C32,D32,E32,F32),0),0.1)</f>
        <v>0.000063079081237</v>
      </c>
      <c s="62">
        <f>MIN(MAX(AVERAGE(B32,C32,D32,E32,F32),0),0.1)</f>
        <v>0.000063079081237</v>
      </c>
      <c s="62">
        <f>MIN(MAX(AVERAGE(B32,C32,D32,E32,F32),0),0.1)</f>
        <v>0.000063079081237</v>
      </c>
      <c s="62">
        <f>MIN(MAX(AVERAGE(B32,C32,D32,E32,F32),0),0.1)</f>
        <v>0.000063079081237</v>
      </c>
      <c s="63">
        <f>MIN(MAX(AVERAGE(B32,C32,D32,E32,F32),0),0.1)</f>
        <v>0.000063079081237</v>
      </c>
    </row>
    <row customHeight="1" ht="21.375">
      <c s="70" t="s">
        <v>63</v>
      </c>
      <c s="74">
        <f>'FS-利润表'!B17</f>
        <v>-2.17535540929998</v>
      </c>
      <c s="75">
        <f>'FS-利润表'!C17</f>
        <v>-1.53407642959997</v>
      </c>
      <c s="75">
        <f>'FS-利润表'!D17</f>
        <v>-3.07744209999998</v>
      </c>
      <c s="75">
        <f>'FS-利润表'!E17</f>
        <v>-1.99935389999998</v>
      </c>
      <c s="75">
        <f>'FS-利润表'!F17</f>
        <v>-5.15384134999999</v>
      </c>
      <c s="72">
        <f>0</f>
        <v>0</v>
      </c>
      <c s="72">
        <f>0</f>
        <v>0</v>
      </c>
      <c s="72">
        <f>0</f>
        <v>0</v>
      </c>
      <c s="72">
        <f>0</f>
        <v>0</v>
      </c>
      <c s="73">
        <f>0</f>
        <v>0</v>
      </c>
    </row>
    <row customHeight="1" ht="21.375">
      <c s="70" t="s">
        <v>64</v>
      </c>
      <c s="74">
        <f>'FS-利润表'!B18</f>
        <v>218.8234223408</v>
      </c>
      <c s="75">
        <f>'FS-利润表'!C18</f>
        <v>220.0171502271</v>
      </c>
      <c s="75">
        <f>'FS-利润表'!D18</f>
        <v>239.5788094033</v>
      </c>
      <c s="75">
        <f>'FS-利润表'!E18</f>
        <v>387.5881939429</v>
      </c>
      <c s="75">
        <f>'FS-利润表'!F18</f>
        <v>508.3992299492</v>
      </c>
      <c s="75">
        <f>'FS-利润表'!G18</f>
        <v>633.033378446227</v>
      </c>
      <c s="75">
        <f>'FS-利润表'!H18</f>
        <v>664.314793837703</v>
      </c>
      <c s="75">
        <f>'FS-利润表'!I18</f>
        <v>654.682965790012</v>
      </c>
      <c s="75">
        <f>'FS-利润表'!J18</f>
        <v>602.448017329812</v>
      </c>
      <c s="76">
        <f>'FS-利润表'!K18</f>
        <v>513.025872293507</v>
      </c>
    </row>
    <row customHeight="1" ht="21.375">
      <c s="70" t="s">
        <v>65</v>
      </c>
      <c s="74">
        <f>'FS-利润表'!B19</f>
        <v>56.129709275</v>
      </c>
      <c s="75">
        <f>'FS-利润表'!C19</f>
        <v>55.4671833612</v>
      </c>
      <c s="75">
        <f>'FS-利润表'!D19</f>
        <v>60.2723784723</v>
      </c>
      <c s="75">
        <f>'FS-利润表'!E19</f>
        <v>97.336489066</v>
      </c>
      <c s="75">
        <f>'FS-利润表'!F19</f>
        <v>129.9798569066</v>
      </c>
      <c s="72">
        <f>G34*G36</f>
        <v>158.258344611557</v>
      </c>
      <c s="72">
        <f>H34*H36</f>
        <v>166.078698459426</v>
      </c>
      <c s="72">
        <f>I34*I36</f>
        <v>163.670741447503</v>
      </c>
      <c s="72">
        <f>J34*J36</f>
        <v>150.612004332453</v>
      </c>
      <c s="73">
        <f>K34*K36</f>
        <v>128.256468073377</v>
      </c>
    </row>
    <row customHeight="1" ht="21.375">
      <c s="60" t="s">
        <v>8</v>
      </c>
      <c s="61">
        <f>_xlfn.IFERROR(B35/B34,0)</f>
        <v>0.256506861443664</v>
      </c>
      <c s="62">
        <f>_xlfn.IFERROR(C35/C34,0)</f>
        <v>0.252103907826945</v>
      </c>
      <c s="62">
        <f>_xlfn.IFERROR(D35/D34,0)</f>
        <v>0.251576417056315</v>
      </c>
      <c s="62">
        <f>_xlfn.IFERROR(E35/E34,0)</f>
        <v>0.251133782161434</v>
      </c>
      <c s="62">
        <f>_xlfn.IFERROR(F35/F34,0)</f>
        <v>0.25566493662783</v>
      </c>
      <c s="62">
        <f>MIN(MAX(AVERAGE(B36,C36,D36,E36,F36),0),0.25)</f>
        <v>0.25</v>
      </c>
      <c s="62">
        <f>MIN(MAX(AVERAGE(B36,C36,D36,E36,F36),0),0.25)</f>
        <v>0.25</v>
      </c>
      <c s="62">
        <f>MIN(MAX(AVERAGE(B36,C36,D36,E36,F36),0),0.25)</f>
        <v>0.25</v>
      </c>
      <c s="62">
        <f>MIN(MAX(AVERAGE(B36,C36,D36,E36,F36),0),0.25)</f>
        <v>0.25</v>
      </c>
      <c s="63">
        <f>MIN(MAX(AVERAGE(B36,C36,D36,E36,F36),0),0.25)</f>
        <v>0.25</v>
      </c>
    </row>
    <row customHeight="1" ht="21.375">
      <c s="70" t="s">
        <v>66</v>
      </c>
      <c s="71">
        <f>B34-B35</f>
        <v>162.6937130658</v>
      </c>
      <c s="72">
        <f>C34-C35</f>
        <v>164.5499668659</v>
      </c>
      <c s="72">
        <f>D34-D35</f>
        <v>179.306430931</v>
      </c>
      <c s="72">
        <f>E34-E35</f>
        <v>290.2517048769</v>
      </c>
      <c s="72">
        <f>F34-F35</f>
        <v>378.4193730426</v>
      </c>
      <c s="72">
        <f>G34-G35</f>
        <v>474.77503383467</v>
      </c>
      <c s="72">
        <f>H34-H35</f>
        <v>498.236095378277</v>
      </c>
      <c s="72">
        <f>I34-I35</f>
        <v>491.012224342509</v>
      </c>
      <c s="72">
        <f>J34-J35</f>
        <v>451.836012997359</v>
      </c>
      <c s="73">
        <f>K34-K35</f>
        <v>384.76940422013</v>
      </c>
    </row>
    <row customHeight="1" ht="21.375">
      <c s="70" t="s">
        <v>137</v>
      </c>
      <c s="71"/>
      <c s="72"/>
      <c s="72"/>
      <c s="72"/>
      <c s="72"/>
      <c s="72">
        <f>G37/G13</f>
        <v>0.487260448784224</v>
      </c>
      <c s="72">
        <f>H37/H13</f>
        <v>0.421693397532261</v>
      </c>
      <c s="72">
        <f>I37/I13</f>
        <v>0.356125976596745</v>
      </c>
      <c s="72">
        <f>J37/J13</f>
        <v>0.290558340600393</v>
      </c>
      <c s="73">
        <f>K37/K13</f>
        <v>0.224990640801917</v>
      </c>
    </row>
    <row customHeight="1" ht="21.375">
      <c s="70" t="s">
        <v>67</v>
      </c>
      <c s="71"/>
      <c s="72"/>
      <c s="72"/>
      <c s="72"/>
      <c s="72"/>
      <c s="72">
        <f>G37*G40</f>
        <v>0</v>
      </c>
      <c s="72">
        <f>H37*H40</f>
        <v>0</v>
      </c>
      <c s="72">
        <f>I37*I40</f>
        <v>0</v>
      </c>
      <c s="72">
        <f>J37*J40</f>
        <v>0</v>
      </c>
      <c s="73">
        <f>K37*K40</f>
        <v>0</v>
      </c>
    </row>
    <row customHeight="1" ht="21.375">
      <c s="70" t="s">
        <v>138</v>
      </c>
      <c s="71">
        <f>_xlfn.IFERROR(B39/B37,0)</f>
        <v>0</v>
      </c>
      <c s="72">
        <f>_xlfn.IFERROR(C39/C37,0)</f>
        <v>0</v>
      </c>
      <c s="72">
        <f>_xlfn.IFERROR(D39/D37,0)</f>
        <v>0</v>
      </c>
      <c s="72">
        <f>_xlfn.IFERROR(E39/E37,0)</f>
        <v>0</v>
      </c>
      <c s="72">
        <f>_xlfn.IFERROR(F39/F37,0)</f>
        <v>0</v>
      </c>
      <c s="72">
        <f>MIN(MAX(AVERAGE(B40,C40,D40,E40,F40),0),1)</f>
        <v>0</v>
      </c>
      <c s="72">
        <f>MIN(MAX(AVERAGE(B40,C40,D40,E40,F40),0),1)</f>
        <v>0</v>
      </c>
      <c s="72">
        <f>MIN(MAX(AVERAGE(B40,C40,D40,E40,F40),0),1)</f>
        <v>0</v>
      </c>
      <c s="72">
        <f>MIN(MAX(AVERAGE(B40,C40,D40,E40,F40),0),1)</f>
        <v>0</v>
      </c>
      <c s="73">
        <f>MIN(MAX(AVERAGE(B40,C40,D40,E40,F40),0),1)</f>
        <v>0</v>
      </c>
    </row>
    <row customHeight="1" ht="21.375">
      <c s="70" t="s">
        <v>68</v>
      </c>
      <c s="71">
        <f>B37-B39</f>
        <v>162.6937130658</v>
      </c>
      <c s="72">
        <f>C37-C39</f>
        <v>164.5499668659</v>
      </c>
      <c s="72">
        <f>D37-D39</f>
        <v>179.306430931</v>
      </c>
      <c s="72">
        <f>E37-E39</f>
        <v>290.2517048769</v>
      </c>
      <c s="72">
        <f>F37-F39</f>
        <v>378.4193730426</v>
      </c>
      <c s="72">
        <f>G37-G39</f>
        <v>474.77503383467</v>
      </c>
      <c s="72">
        <f>H37-H39</f>
        <v>498.236095378277</v>
      </c>
      <c s="72">
        <f>I37-I39</f>
        <v>491.012224342509</v>
      </c>
      <c s="72">
        <f>J37-J39</f>
        <v>451.836012997359</v>
      </c>
      <c s="73">
        <f>K37-K39</f>
        <v>384.76940422013</v>
      </c>
    </row>
    <row customHeight="1" ht="21.375">
      <c s="60" t="s">
        <v>139</v>
      </c>
      <c s="105">
        <f>1-K15-K18-K20-K23-K26</f>
        <v>0.649694411070447</v>
      </c>
      <c s="62"/>
      <c s="62"/>
      <c s="62"/>
      <c s="62"/>
      <c s="62"/>
      <c s="62"/>
      <c s="62"/>
      <c s="62"/>
      <c s="63"/>
    </row>
    <row customHeight="1" ht="21.375">
      <c s="60" t="s">
        <v>20</v>
      </c>
      <c s="103">
        <f>DCF模型!B27</f>
        <v>0.3</v>
      </c>
      <c s="62"/>
      <c s="62"/>
      <c s="62"/>
      <c s="62"/>
      <c s="62"/>
      <c s="62"/>
      <c s="62"/>
      <c s="62"/>
      <c s="63"/>
    </row>
    <row customHeight="1" ht="21.375">
      <c s="60" t="s">
        <v>140</v>
      </c>
      <c s="105">
        <f>B43-B42</f>
        <v>-0.349694411070447</v>
      </c>
      <c s="62"/>
      <c s="62"/>
      <c s="62"/>
      <c s="62"/>
      <c s="62"/>
      <c s="62"/>
      <c s="62"/>
      <c s="62"/>
      <c s="63"/>
    </row>
    <row customHeight="1" ht="21.375">
      <c s="60" t="s">
        <v>141</v>
      </c>
      <c s="61">
        <f>0</f>
        <v>0</v>
      </c>
      <c s="62">
        <f>0</f>
        <v>0</v>
      </c>
      <c s="62">
        <f>0</f>
        <v>0</v>
      </c>
      <c s="62">
        <f>0</f>
        <v>0</v>
      </c>
      <c s="62">
        <f>0</f>
        <v>0</v>
      </c>
      <c s="62">
        <f>(0*4+B44*0)/4</f>
        <v>0</v>
      </c>
      <c s="62">
        <f>(0*3+B44*1)/4</f>
        <v>-0.087423602767612</v>
      </c>
      <c s="62">
        <f>(0*2+B44*2)/4</f>
        <v>-0.174847205535224</v>
      </c>
      <c s="62">
        <f>(0*1+B44*3)/4</f>
        <v>-0.262270808302835</v>
      </c>
      <c s="63">
        <f>(0*0+B44*4)/4</f>
        <v>-0.349694411070448</v>
      </c>
    </row>
    <row customHeight="1" ht="21.375">
      <c s="60" t="s">
        <v>142</v>
      </c>
      <c s="61">
        <f>K16</f>
        <v>0.21884729708219</v>
      </c>
      <c s="62">
        <f>K16</f>
        <v>0.21884729708219</v>
      </c>
      <c s="62">
        <f>K16</f>
        <v>0.21884729708219</v>
      </c>
      <c s="62">
        <f>K16</f>
        <v>0.21884729708219</v>
      </c>
      <c s="62">
        <f>K16</f>
        <v>0.21884729708219</v>
      </c>
      <c s="62">
        <f>K16</f>
        <v>0.21884729708219</v>
      </c>
      <c s="62">
        <f>K16</f>
        <v>0.21884729708219</v>
      </c>
      <c s="62">
        <f>K16</f>
        <v>0.21884729708219</v>
      </c>
      <c s="62">
        <f>K16</f>
        <v>0.21884729708219</v>
      </c>
      <c s="63">
        <f>K16</f>
        <v>0.21884729708219</v>
      </c>
    </row>
    <row customHeight="1" ht="21.375">
      <c s="60" t="s">
        <v>143</v>
      </c>
      <c s="61">
        <f>K21</f>
        <v>0.113181502939255</v>
      </c>
      <c s="62">
        <f>K21</f>
        <v>0.113181502939255</v>
      </c>
      <c s="62">
        <f>K21</f>
        <v>0.113181502939255</v>
      </c>
      <c s="62">
        <f>K21</f>
        <v>0.113181502939255</v>
      </c>
      <c s="62">
        <f>K21</f>
        <v>0.113181502939255</v>
      </c>
      <c s="62">
        <f>K21</f>
        <v>0.113181502939255</v>
      </c>
      <c s="62">
        <f>K21</f>
        <v>0.113181502939255</v>
      </c>
      <c s="62">
        <f>K21</f>
        <v>0.113181502939255</v>
      </c>
      <c s="62">
        <f>K21</f>
        <v>0.113181502939255</v>
      </c>
      <c s="63">
        <f>K21</f>
        <v>0.113181502939255</v>
      </c>
    </row>
    <row customHeight="1" ht="21.375">
      <c s="60" t="s">
        <v>144</v>
      </c>
      <c s="61">
        <f>K24</f>
        <v>0.240841148205243</v>
      </c>
      <c s="62">
        <f>K24</f>
        <v>0.240841148205243</v>
      </c>
      <c s="62">
        <f>K24</f>
        <v>0.240841148205243</v>
      </c>
      <c s="62">
        <f>K24</f>
        <v>0.240841148205243</v>
      </c>
      <c s="62">
        <f>K24</f>
        <v>0.240841148205243</v>
      </c>
      <c s="62">
        <f>K24</f>
        <v>0.240841148205243</v>
      </c>
      <c s="62">
        <f>K24</f>
        <v>0.240841148205243</v>
      </c>
      <c s="62">
        <f>K24</f>
        <v>0.240841148205243</v>
      </c>
      <c s="62">
        <f>K24</f>
        <v>0.240841148205243</v>
      </c>
      <c s="63">
        <f>K24</f>
        <v>0.240841148205243</v>
      </c>
    </row>
    <row customHeight="1" ht="21.375">
      <c s="60" t="s">
        <v>145</v>
      </c>
      <c s="61">
        <f>-(B45*B46/(B46+B47+B48))</f>
        <v>0</v>
      </c>
      <c s="62">
        <f>-(C45*C46/(C46+C47+C48))</f>
        <v>0</v>
      </c>
      <c s="62">
        <f>-(D45*D46/(D46+D47+D48))</f>
        <v>0</v>
      </c>
      <c s="62">
        <f>-(E45*E46/(E46+E47+E48))</f>
        <v>0</v>
      </c>
      <c s="62">
        <f>-(F45*F46/(F46+F47+F48))</f>
        <v>0</v>
      </c>
      <c s="62">
        <f>-(G45*G46/(G46+G47+G48))</f>
        <v>0</v>
      </c>
      <c s="62">
        <f>-(H45*H46/(H46+H47+H48))</f>
        <v>0.033397491395915</v>
      </c>
      <c s="62">
        <f>-(I45*I46/(I46+I47+I48))</f>
        <v>0.06679498279183</v>
      </c>
      <c s="62">
        <f>-(J45*J46/(J46+J47+J48))</f>
        <v>0.100192474187745</v>
      </c>
      <c s="63">
        <f>-(K45*K46/(K46+K47+K48))</f>
        <v>0.133589965583659</v>
      </c>
    </row>
    <row customHeight="1" ht="21.375">
      <c s="60" t="s">
        <v>146</v>
      </c>
      <c s="61">
        <f>-(B45*B47/(B46+B47+B48))</f>
        <v>0</v>
      </c>
      <c s="62">
        <f>-(C45*C47/(C46+C47+C48))</f>
        <v>0</v>
      </c>
      <c s="62">
        <f>-(D45*D47/(D46+D47+D48))</f>
        <v>0</v>
      </c>
      <c s="62">
        <f>-(E45*E47/(E46+E47+E48))</f>
        <v>0</v>
      </c>
      <c s="62">
        <f>-(F45*F47/(F46+F47+F48))</f>
        <v>0</v>
      </c>
      <c s="62">
        <f>-(G45*G47/(G46+G47+G48))</f>
        <v>0</v>
      </c>
      <c s="62">
        <f>-(H45*H47/(H46+H47+H48))</f>
        <v>0.017272218213282</v>
      </c>
      <c s="62">
        <f>-(I45*I47/(I46+I47+I48))</f>
        <v>0.034544436426563</v>
      </c>
      <c s="62">
        <f>-(J45*J47/(J46+J47+J48))</f>
        <v>0.051816654639845</v>
      </c>
      <c s="63">
        <f>-(K45*K47/(K46+K47+K48))</f>
        <v>0.069088872853127</v>
      </c>
    </row>
    <row customHeight="1" ht="21.375">
      <c s="60" t="s">
        <v>147</v>
      </c>
      <c s="61">
        <f>-(B45*B48/(B46+B47+B48))</f>
        <v>0</v>
      </c>
      <c s="62">
        <f>-(C45*C48/(C46+C47+C48))</f>
        <v>0</v>
      </c>
      <c s="62">
        <f>-(D45*D48/(D46+D47+D48))</f>
        <v>0</v>
      </c>
      <c s="62">
        <f>-(E45*E48/(E46+E47+E48))</f>
        <v>0</v>
      </c>
      <c s="62">
        <f>-(F45*F48/(F46+F47+F48))</f>
        <v>0</v>
      </c>
      <c s="62">
        <f>-(G45*G48/(G46+G47+G48))</f>
        <v>0</v>
      </c>
      <c s="62">
        <f>-(H45*H48/(H46+H47+H48))</f>
        <v>0.036753893158416</v>
      </c>
      <c s="62">
        <f>-(I45*I48/(I46+I47+I48))</f>
        <v>0.07350778631683</v>
      </c>
      <c s="62">
        <f>-(J45*J48/(J46+J47+J48))</f>
        <v>0.110261679475246</v>
      </c>
      <c s="63">
        <f>-(K45*K48/(K46+K47+K48))</f>
        <v>0.147015572633662</v>
      </c>
    </row>
    <row customHeight="1" ht="17.4">
      <c s="82"/>
      <c s="82"/>
      <c s="82"/>
      <c s="82"/>
      <c s="82"/>
      <c s="82"/>
      <c s="82"/>
      <c s="82"/>
      <c s="82"/>
      <c s="82"/>
      <c s="82"/>
    </row>
    <row customHeight="1" ht="17.4">
      <c s="50" t="s">
        <v>148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95" t="s">
        <v>3</v>
      </c>
      <c s="74">
        <f>'FS-利润表'!B5</f>
        <v>315.7392853094</v>
      </c>
      <c s="75">
        <f>'FS-利润表'!C5</f>
        <v>326.5958372528</v>
      </c>
      <c s="75">
        <f>'FS-利润表'!D5</f>
        <v>388.6218999384</v>
      </c>
      <c s="75">
        <f>'FS-利润表'!E5</f>
        <v>582.1786131417</v>
      </c>
      <c s="75">
        <f>'FS-利润表'!F5</f>
        <v>736.3887238803</v>
      </c>
      <c s="75">
        <f>'FS-利润表'!G5</f>
        <v>918.137775205946</v>
      </c>
      <c s="75">
        <f>'FS-利润表'!H5</f>
        <v>1092.68354101874</v>
      </c>
      <c s="75">
        <f>'FS-利润表'!I5</f>
        <v>1238.45369391812</v>
      </c>
      <c s="75">
        <f>'FS-利润表'!J5</f>
        <v>1333.44658796357</v>
      </c>
      <c s="76">
        <f>'FS-利润表'!K5</f>
        <v>1360.11551972284</v>
      </c>
    </row>
    <row customHeight="1" ht="21.375">
      <c s="70" t="s">
        <v>55</v>
      </c>
      <c s="74">
        <f>'FS-利润表'!B8</f>
        <v>23.9784437219</v>
      </c>
      <c s="75">
        <f>'FS-利润表'!C8</f>
        <v>26.1255924117</v>
      </c>
      <c s="75">
        <f>'FS-利润表'!D8</f>
        <v>35.3313872923</v>
      </c>
      <c s="75">
        <f>'FS-利润表'!E8</f>
        <v>60.7569954703</v>
      </c>
      <c s="75">
        <f>'FS-利润表'!F8</f>
        <v>66.5936400096</v>
      </c>
      <c s="75">
        <f>'FS-利润表'!G8</f>
        <v>83.0727233204881</v>
      </c>
      <c s="75">
        <f>'FS-利润表'!H8</f>
        <v>140.192177545789</v>
      </c>
      <c s="75">
        <f>'FS-利润表'!I8</f>
        <v>209.643637258948</v>
      </c>
      <c s="75">
        <f>'FS-利润表'!J8</f>
        <v>288.38580451443</v>
      </c>
      <c s="76">
        <f>'FS-利润表'!K8</f>
        <v>374.263319635751</v>
      </c>
    </row>
    <row customHeight="1" ht="21.375">
      <c s="70" t="s">
        <v>149</v>
      </c>
      <c s="74">
        <f>'FS-资产负债表'!B8</f>
        <v>0.0430616124</v>
      </c>
      <c s="75">
        <f>'FS-资产负债表'!C8</f>
        <v>0.0023076889</v>
      </c>
      <c s="75">
        <f>'FS-资产负债表'!D8</f>
        <v>0</v>
      </c>
      <c s="75">
        <f>'FS-资产负债表'!E8</f>
        <v>0</v>
      </c>
      <c s="75">
        <f>'FS-资产负债表'!F8</f>
        <v>0</v>
      </c>
      <c s="72">
        <f>G55*G58</f>
        <v>0.026341250444408</v>
      </c>
      <c s="72">
        <f>H55*H58</f>
        <v>0.031348945210321</v>
      </c>
      <c s="72">
        <f>I55*I58</f>
        <v>0.03553107147561</v>
      </c>
      <c s="72">
        <f>J55*J58</f>
        <v>0.038256404949586</v>
      </c>
      <c s="73">
        <f>K55*K58</f>
        <v>0.039021533048577</v>
      </c>
    </row>
    <row customHeight="1" ht="21.375">
      <c s="60" t="s">
        <v>6</v>
      </c>
      <c s="61">
        <f>_xlfn.IFERROR(B57/B55,0)</f>
        <v>0.000136383448001</v>
      </c>
      <c s="62">
        <f>_xlfn.IFERROR(C57/C55,0)</f>
        <v>0.000007065885834</v>
      </c>
      <c s="62">
        <f>_xlfn.IFERROR(D57/D55,0)</f>
        <v>0</v>
      </c>
      <c s="62">
        <f>_xlfn.IFERROR(E57/E55,0)</f>
        <v>0</v>
      </c>
      <c s="62">
        <f>_xlfn.IFERROR(F57/F55,0)</f>
        <v>0</v>
      </c>
      <c s="62">
        <f>AVERAGE(B58,C58,D58,E58,F58)</f>
        <v>0.000028689866767</v>
      </c>
      <c s="62">
        <f>AVERAGE(B58,C58,D58,E58,F58)</f>
        <v>0.000028689866767</v>
      </c>
      <c s="62">
        <f>AVERAGE(B58,C58,D58,E58,F58)</f>
        <v>0.000028689866767</v>
      </c>
      <c s="62">
        <f>AVERAGE(B58,C58,D58,E58,F58)</f>
        <v>0.000028689866767</v>
      </c>
      <c s="63">
        <f>AVERAGE(B58,C58,D58,E58,F58)</f>
        <v>0.000028689866767</v>
      </c>
    </row>
    <row customHeight="1" ht="21.375">
      <c s="70" t="s">
        <v>77</v>
      </c>
      <c s="74">
        <f>'FS-资产负债表'!B11</f>
        <v>149.8236436785</v>
      </c>
      <c s="75">
        <f>'FS-资产负债表'!C11</f>
        <v>180.132970227</v>
      </c>
      <c s="75">
        <f>'FS-资产负债表'!D11</f>
        <v>206.2225182555</v>
      </c>
      <c s="75">
        <f>'FS-资产负债表'!E11</f>
        <v>220.5748137646</v>
      </c>
      <c s="75">
        <f>'FS-资产负债表'!F11</f>
        <v>235.0695084222</v>
      </c>
      <c s="72">
        <f>G55*G58</f>
        <v>0.026341250444408</v>
      </c>
      <c s="72">
        <f>H55*H58</f>
        <v>0.031348945210321</v>
      </c>
      <c s="72">
        <f>I55*I58</f>
        <v>0.03553107147561</v>
      </c>
      <c s="72">
        <f>J55*J58</f>
        <v>0.038256404949586</v>
      </c>
      <c s="73">
        <f>K55*K58</f>
        <v>0.039021533048577</v>
      </c>
    </row>
    <row customHeight="1" ht="21.375">
      <c s="60" t="s">
        <v>6</v>
      </c>
      <c s="61">
        <f>_xlfn.IFERROR(B59/B55,0)</f>
        <v>0.474516953225141</v>
      </c>
      <c s="62">
        <f>_xlfn.IFERROR(C59/C55,0)</f>
        <v>0.551547048922026</v>
      </c>
      <c s="62">
        <f>_xlfn.IFERROR(D59/D55,0)</f>
        <v>0.530650790107784</v>
      </c>
      <c s="62">
        <f>_xlfn.IFERROR(E59/E55,0)</f>
        <v>0.378878249364535</v>
      </c>
      <c s="62">
        <f>_xlfn.IFERROR(F59/F55,0)</f>
        <v>0.319219320990595</v>
      </c>
      <c s="62">
        <f>AVERAGE(B60,C60,D60,E60,F60)</f>
        <v>0.450962472522016</v>
      </c>
      <c s="62">
        <f>AVERAGE(B60,C60,D60,E60,F60)</f>
        <v>0.450962472522016</v>
      </c>
      <c s="62">
        <f>AVERAGE(B60,C60,D60,E60,F60)</f>
        <v>0.450962472522016</v>
      </c>
      <c s="62">
        <f>AVERAGE(B60,C60,D60,E60,F60)</f>
        <v>0.450962472522016</v>
      </c>
      <c s="63">
        <f>AVERAGE(B60,C60,D60,E60,F60)</f>
        <v>0.450962472522016</v>
      </c>
    </row>
    <row customHeight="1" ht="21.375">
      <c s="70" t="s">
        <v>78</v>
      </c>
      <c s="74">
        <f>'FS-资产负债表'!B12</f>
        <v>28.6421040428</v>
      </c>
      <c s="75">
        <f>'FS-资产负债表'!C12</f>
        <v>14.777348599</v>
      </c>
      <c s="75">
        <f>'FS-资产负债表'!D12</f>
        <v>10.4610069692</v>
      </c>
      <c s="75">
        <f>'FS-资产负债表'!E12</f>
        <v>7.9080732207</v>
      </c>
      <c s="75">
        <f>'FS-资产负债表'!F12</f>
        <v>11.8237850806</v>
      </c>
      <c s="72">
        <f>G56*G62</f>
        <v>39.2753555086239</v>
      </c>
      <c s="72">
        <f>H56*H62</f>
        <v>66.2804515436058</v>
      </c>
      <c s="72">
        <f>I56*I62</f>
        <v>99.115907777583</v>
      </c>
      <c s="72">
        <f>J56*J62</f>
        <v>136.343850823912</v>
      </c>
      <c s="73">
        <f>K56*K62</f>
        <v>176.945263679668</v>
      </c>
    </row>
    <row customHeight="1" ht="21.375">
      <c s="60" t="s">
        <v>150</v>
      </c>
      <c s="61">
        <f>_xlfn.IFERROR(B61/B56,0)</f>
        <v>1.19449387020228</v>
      </c>
      <c s="62">
        <f>_xlfn.IFERROR(C61/C56,0)</f>
        <v>0.565627311569867</v>
      </c>
      <c s="62">
        <f>_xlfn.IFERROR(D61/D56,0)</f>
        <v>0.296082542206879</v>
      </c>
      <c s="62">
        <f>_xlfn.IFERROR(E61/E56,0)</f>
        <v>0.130159056738836</v>
      </c>
      <c s="62">
        <f>_xlfn.IFERROR(F61/F56,0)</f>
        <v>0.177551265840034</v>
      </c>
      <c s="62">
        <f>AVERAGE(B62,C62,D62,E62,F62)</f>
        <v>0.472782809311579</v>
      </c>
      <c s="62">
        <f>AVERAGE(B62,C62,D62,E62,F62)</f>
        <v>0.472782809311579</v>
      </c>
      <c s="62">
        <f>AVERAGE(B62,C62,D62,E62,F62)</f>
        <v>0.472782809311579</v>
      </c>
      <c s="62">
        <f>AVERAGE(B62,C62,D62,E62,F62)</f>
        <v>0.472782809311579</v>
      </c>
      <c s="63">
        <f>AVERAGE(B62,C62,D62,E62,F62)</f>
        <v>0.472782809311579</v>
      </c>
    </row>
    <row customHeight="1" ht="21.375">
      <c s="70" t="s">
        <v>75</v>
      </c>
      <c s="74">
        <f>'FS-资产负债表'!B9</f>
        <v>20.0933046074</v>
      </c>
      <c s="75">
        <f>'FS-资产负债表'!C9</f>
        <v>87.1250147704</v>
      </c>
      <c s="75">
        <f>'FS-资产负债表'!D9</f>
        <v>10.3575959425</v>
      </c>
      <c s="75">
        <f>'FS-资产负债表'!E9</f>
        <v>14.9448811824</v>
      </c>
      <c s="75">
        <f>'FS-资产负债表'!F9</f>
        <v>13.0152014759</v>
      </c>
      <c s="72">
        <f>AVERAGE(B63,C63,D63,E63,F63)</f>
        <v>29.10719959572</v>
      </c>
      <c s="72">
        <f>AVERAGE(B63,C63,D63,E63,F63)</f>
        <v>29.10719959572</v>
      </c>
      <c s="72">
        <f>AVERAGE(B63,C63,D63,E63,F63)</f>
        <v>29.10719959572</v>
      </c>
      <c s="72">
        <f>AVERAGE(B63,C63,D63,E63,F63)</f>
        <v>29.10719959572</v>
      </c>
      <c s="73">
        <f>AVERAGE(B63,C63,D63,E63,F63)</f>
        <v>29.10719959572</v>
      </c>
    </row>
    <row customHeight="1" ht="21.375">
      <c s="70" t="s">
        <v>151</v>
      </c>
      <c s="74">
        <f>'FS-资产负债表'!B21</f>
        <v>7.0753464754</v>
      </c>
      <c s="75">
        <f>'FS-资产负债表'!C21</f>
        <v>8.8097607209</v>
      </c>
      <c s="75">
        <f>'FS-资产负债表'!D21</f>
        <v>10.4060820318</v>
      </c>
      <c s="75">
        <f>'FS-资产负债表'!E21</f>
        <v>9.9205591047</v>
      </c>
      <c s="75">
        <f>'FS-资产负债表'!F21</f>
        <v>0</v>
      </c>
      <c s="72">
        <f>G56*G65</f>
        <v>18.1113450690094</v>
      </c>
      <c s="72">
        <f>H56*H65</f>
        <v>30.5644115423071</v>
      </c>
      <c s="72">
        <f>I56*I65</f>
        <v>45.7060766055639</v>
      </c>
      <c s="72">
        <f>J56*J65</f>
        <v>62.8732827069433</v>
      </c>
      <c s="73">
        <f>K56*K65</f>
        <v>81.5961227423044</v>
      </c>
    </row>
    <row customHeight="1" ht="21.375">
      <c s="60" t="s">
        <v>150</v>
      </c>
      <c s="106">
        <f>_xlfn.IFERROR(data!B39/B56,0)</f>
        <v>0.295071129613718</v>
      </c>
      <c s="107">
        <f>_xlfn.IFERROR(data!C39/C56,0)</f>
        <v>0.337208074828369</v>
      </c>
      <c s="107">
        <f>_xlfn.IFERROR(data!D39/D56,0)</f>
        <v>0.294527977226297</v>
      </c>
      <c s="107">
        <f>_xlfn.IFERROR(data!E39/E56,0)</f>
        <v>0.163282582160428</v>
      </c>
      <c s="107">
        <f>_xlfn.IFERROR(data!F39/F56,0)</f>
        <v>0</v>
      </c>
      <c s="62">
        <f>AVERAGE(B65,C65,D65,E65,F65)</f>
        <v>0.218017952765762</v>
      </c>
      <c s="62">
        <f>AVERAGE(B65,C65,D65,E65,F65)</f>
        <v>0.218017952765762</v>
      </c>
      <c s="62">
        <f>AVERAGE(B65,C65,D65,E65,F65)</f>
        <v>0.218017952765762</v>
      </c>
      <c s="62">
        <f>AVERAGE(B65,C65,D65,E65,F65)</f>
        <v>0.218017952765762</v>
      </c>
      <c s="63">
        <f>AVERAGE(B65,C65,D65,E65,F65)</f>
        <v>0.218017952765762</v>
      </c>
    </row>
    <row customHeight="1" ht="21.375">
      <c s="70" t="s">
        <v>88</v>
      </c>
      <c s="74">
        <f>'FS-资产负债表'!B22</f>
        <v>43.4107344669</v>
      </c>
      <c s="75">
        <f>'FS-资产负债表'!C22</f>
        <v>49.4154255722</v>
      </c>
      <c s="75">
        <f>'FS-资产负债表'!D22</f>
        <v>76.5991665337</v>
      </c>
      <c s="75">
        <f>'FS-资产负债表'!E22</f>
        <v>126.9114283301</v>
      </c>
      <c s="75">
        <f>'FS-资产负债表'!F22</f>
        <v>162.5313214993</v>
      </c>
      <c s="72">
        <f>AVERAGE(B66,C66,D66,E66,F66)</f>
        <v>91.77361528044</v>
      </c>
      <c s="72">
        <f>AVERAGE(B66,C66,D66,E66,F66)</f>
        <v>91.77361528044</v>
      </c>
      <c s="72">
        <f>AVERAGE(B66,C66,D66,E66,F66)</f>
        <v>91.77361528044</v>
      </c>
      <c s="72">
        <f>AVERAGE(B66,C66,D66,E66,F66)</f>
        <v>91.77361528044</v>
      </c>
      <c s="73">
        <f>AVERAGE(B66,C66,D66,E66,F66)</f>
        <v>91.77361528044</v>
      </c>
    </row>
    <row customHeight="1" ht="17.4">
      <c s="82"/>
      <c s="82"/>
      <c s="82"/>
      <c s="82"/>
      <c s="82"/>
      <c s="82"/>
      <c s="82"/>
      <c s="82"/>
      <c s="82"/>
      <c s="82"/>
      <c s="82"/>
    </row>
  </sheetData>
  <sheetProtection sheet="1" objects="1"/>
  <mergeCells count="2">
    <mergeCell ref="A3:K3"/>
    <mergeCell ref="A53:K5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141BED1-50FC-C3CA-28DE-0B88305121C1}" mc:Ignorable="x14ac">
  <dimension ref="A1:AG33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108" customFormat="1" customHeight="1" ht="17.4">
      <c s="49" t="s">
        <v>0</v>
      </c>
    </row>
    <row r="3" customHeight="1" ht="17.4">
      <c s="50" t="s">
        <v>152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70" t="s">
        <v>81</v>
      </c>
      <c s="74">
        <f>'FS-资产负债表'!B15</f>
        <v>103.7575777159</v>
      </c>
      <c s="75">
        <f>'FS-资产负债表'!C15</f>
        <v>114.1595318972</v>
      </c>
      <c s="75">
        <f>'FS-资产负债表'!D15</f>
        <v>144.5317743934</v>
      </c>
      <c s="75">
        <f>'FS-资产负债表'!E15</f>
        <v>152.4409663202</v>
      </c>
      <c s="75">
        <f>'FS-资产负债表'!F15</f>
        <v>152.4855658502</v>
      </c>
      <c s="72">
        <f>F5-G6+G8</f>
        <v>178.369424310128</v>
      </c>
      <c s="72">
        <f>G5-H6+H8</f>
        <v>209.399112593456</v>
      </c>
      <c s="72">
        <f>H5-I6+I8</f>
        <v>244.043901037015</v>
      </c>
      <c s="72">
        <f>I5-J6+J8</f>
        <v>279.998867584661</v>
      </c>
      <c s="73">
        <f>J5-K6+K8</f>
        <v>314.420251391682</v>
      </c>
    </row>
    <row customHeight="1" ht="21.375">
      <c s="70" t="s">
        <v>153</v>
      </c>
      <c s="74">
        <f>data!B145</f>
        <v>6.7534978698</v>
      </c>
      <c s="75">
        <f>data!C145</f>
        <v>7.6145867829</v>
      </c>
      <c s="75">
        <f>data!D145</f>
        <v>8.4272807204</v>
      </c>
      <c s="75">
        <f>data!E145</f>
        <v>10.3505273345</v>
      </c>
      <c s="75">
        <f>data!F145</f>
        <v>10.8466272858</v>
      </c>
      <c s="72">
        <f>F5*G7</f>
        <v>11.0542743697159</v>
      </c>
      <c s="72">
        <f>G5*H7</f>
        <v>12.9306963875482</v>
      </c>
      <c s="72">
        <f>H5*I7</f>
        <v>15.1801597120155</v>
      </c>
      <c s="72">
        <f>I5*J7</f>
        <v>17.6916957698749</v>
      </c>
      <c s="73">
        <f>J5*K7</f>
        <v>20.2982117568509</v>
      </c>
    </row>
    <row customHeight="1" ht="21.375">
      <c s="60" t="s">
        <v>154</v>
      </c>
      <c s="61"/>
      <c s="62">
        <f>_xlfn.IFERROR(C6/B5,0.1)</f>
        <v>0.073388247398658</v>
      </c>
      <c s="62">
        <f>_xlfn.IFERROR(D6/C5,0.1)</f>
        <v>0.07382021089565</v>
      </c>
      <c s="62">
        <f>_xlfn.IFERROR(E6/D5,0.1)</f>
        <v>0.071614199562284</v>
      </c>
      <c s="62">
        <f>_xlfn.IFERROR(F6/E5,0.1)</f>
        <v>0.071152968572876</v>
      </c>
      <c s="62">
        <f>AVERAGE(B7,C7,D7,E7,F7,G7,H7,I7,J7,K7)</f>
        <v>0.072493906607367</v>
      </c>
      <c s="62">
        <f>AVERAGE(B7,C7,D7,E7,F7,G7,H7,I7,J7,K7)</f>
        <v>0.072493906607367</v>
      </c>
      <c s="62">
        <f>AVERAGE(B7,C7,D7,E7,F7,G7,H7,I7,J7,K7)</f>
        <v>0.072493906607367</v>
      </c>
      <c s="62">
        <f>AVERAGE(B7,C7,D7,E7,F7,G7,H7,I7,J7,K7)</f>
        <v>0.072493906607367</v>
      </c>
      <c s="63">
        <f>AVERAGE(B7,C7,D7,E7,F7,G7,H7,I7,J7,K7)</f>
        <v>0.072493906607367</v>
      </c>
    </row>
    <row customHeight="1" ht="21.375">
      <c s="70" t="s">
        <v>155</v>
      </c>
      <c s="71"/>
      <c s="72">
        <f>C5-B5+C6</f>
        <v>18.0165409642</v>
      </c>
      <c s="72">
        <f>D5-C5+D6</f>
        <v>38.7995232166</v>
      </c>
      <c s="72">
        <f>E5-D5+E6</f>
        <v>18.2597192613</v>
      </c>
      <c s="72">
        <f>F5-E5+F6</f>
        <v>10.8912268158</v>
      </c>
      <c s="89">
        <f>'FS-利润表'!G5*G9</f>
        <v>36.9381328296438</v>
      </c>
      <c s="89">
        <f>'FS-利润表'!H5*H9</f>
        <v>43.9603846708762</v>
      </c>
      <c s="89">
        <f>'FS-利润表'!I5*I9</f>
        <v>49.8249481555743</v>
      </c>
      <c s="89">
        <f>'FS-利润表'!J5*J9</f>
        <v>53.6466623175214</v>
      </c>
      <c s="90">
        <f>'FS-利润表'!K5*K9</f>
        <v>54.7195955638717</v>
      </c>
    </row>
    <row customHeight="1" ht="21.375">
      <c s="60" t="s">
        <v>156</v>
      </c>
      <c s="106">
        <f>_xlfn.IFERROR(B8/'FS-利润表'!B5,0)</f>
        <v>0</v>
      </c>
      <c s="107">
        <f>_xlfn.IFERROR(C8/'FS-利润表'!C5,0)</f>
        <v>0.055164637478996</v>
      </c>
      <c s="107">
        <f>_xlfn.IFERROR(D8/'FS-利润表'!D5,0)</f>
        <v>0.099838746150822</v>
      </c>
      <c s="107">
        <f>_xlfn.IFERROR(E8/'FS-利润表'!E5,0)</f>
        <v>0.031364462467562</v>
      </c>
      <c s="107">
        <f>_xlfn.IFERROR(F8/'FS-利润表'!F5,0)</f>
        <v>0.01479005104588</v>
      </c>
      <c s="62">
        <f>MAX(AVERAGE(B9,C9,D9,E9,F9),0)</f>
        <v>0.040231579428652</v>
      </c>
      <c s="62">
        <f>MAX(AVERAGE(B9,C9,D9,E9,F9),0)</f>
        <v>0.040231579428652</v>
      </c>
      <c s="62">
        <f>MAX(AVERAGE(B9,C9,D9,E9,F9),0)</f>
        <v>0.040231579428652</v>
      </c>
      <c s="62">
        <f>MAX(AVERAGE(B9,C9,D9,E9,F9),0)</f>
        <v>0.040231579428652</v>
      </c>
      <c s="63">
        <f>MAX(AVERAGE(B9,C9,D9,E9,F9),0)</f>
        <v>0.040231579428652</v>
      </c>
    </row>
    <row customHeight="1" ht="21.375">
      <c s="70" t="s">
        <v>82</v>
      </c>
      <c s="74">
        <f>'FS-资产负债表'!B16</f>
        <v>35.8803196907</v>
      </c>
      <c s="75">
        <f>'FS-资产负债表'!C16</f>
        <v>37.8106596885</v>
      </c>
      <c s="75">
        <f>'FS-资产负债表'!D16</f>
        <v>37.1985940211</v>
      </c>
      <c s="75">
        <f>'FS-资产负债表'!E16</f>
        <v>36.3648191392</v>
      </c>
      <c s="75">
        <f>'FS-资产负债表'!F16</f>
        <v>36.6759005329</v>
      </c>
      <c s="72">
        <f>F10-G11+G13</f>
        <v>34.9938487721248</v>
      </c>
      <c s="72">
        <f>G10-H11+H13</f>
        <v>33.0678741926305</v>
      </c>
      <c s="72">
        <f>H10-I11+I13</f>
        <v>30.708241988177</v>
      </c>
      <c s="72">
        <f>I10-J11+J13</f>
        <v>27.713654756386</v>
      </c>
      <c s="73">
        <f>J10-K11+K13</f>
        <v>23.9000777459274</v>
      </c>
    </row>
    <row customHeight="1" ht="21.375">
      <c s="70" t="s">
        <v>157</v>
      </c>
      <c s="88">
        <f>data!B146+data!B147</f>
        <v>0.8145017368</v>
      </c>
      <c s="89">
        <f>data!C146+data!C147</f>
        <v>0.8668801944</v>
      </c>
      <c s="89">
        <f>data!D146+data!D147</f>
        <v>0.9146660016</v>
      </c>
      <c s="89">
        <f>data!E146+data!E147</f>
        <v>0.9078180774</v>
      </c>
      <c s="89">
        <f>data!F146+data!F147</f>
        <v>0.9076276784</v>
      </c>
      <c s="72">
        <f>F5*G12</f>
        <v>3.72501652477709</v>
      </c>
      <c s="72">
        <f>G5*H12</f>
        <v>4.35732424485955</v>
      </c>
      <c s="72">
        <f>H5*I12</f>
        <v>5.11533764087914</v>
      </c>
      <c s="72">
        <f>I5*J12</f>
        <v>5.96166305358373</v>
      </c>
      <c s="73">
        <f>J5*K12</f>
        <v>6.83999434868718</v>
      </c>
    </row>
    <row customHeight="1" ht="21.375">
      <c s="60" t="s">
        <v>158</v>
      </c>
      <c s="61"/>
      <c s="62">
        <f>_xlfn.IFERROR(C11/B10,0.1)</f>
        <v>0.024160325266686</v>
      </c>
      <c s="62">
        <f>_xlfn.IFERROR(D11/C10,0.1)</f>
        <v>0.024190691438219</v>
      </c>
      <c s="62">
        <f>_xlfn.IFERROR(E11/D10,0.1)</f>
        <v>0.024404634134426</v>
      </c>
      <c s="62">
        <f>_xlfn.IFERROR(F11/E10,0.1)</f>
        <v>0.024958949333027</v>
      </c>
      <c s="62">
        <f>AVERAGE(B12,C12,D12,E12,F12)</f>
        <v>0.02442865004309</v>
      </c>
      <c s="62">
        <f>AVERAGE(B12,C12,D12,E12,F12)</f>
        <v>0.02442865004309</v>
      </c>
      <c s="62">
        <f>AVERAGE(B12,C12,D12,E12,F12)</f>
        <v>0.02442865004309</v>
      </c>
      <c s="62">
        <f>AVERAGE(B12,C12,D12,E12,F12)</f>
        <v>0.02442865004309</v>
      </c>
      <c s="63">
        <f>AVERAGE(B12,C12,D12,E12,F12)</f>
        <v>0.02442865004309</v>
      </c>
    </row>
    <row customHeight="1" ht="21.375">
      <c s="70" t="s">
        <v>159</v>
      </c>
      <c s="71"/>
      <c s="72">
        <f>C10-B10+C11</f>
        <v>2.7972201922</v>
      </c>
      <c s="72">
        <f>D10-C10+D11</f>
        <v>0.302600334199997</v>
      </c>
      <c s="72">
        <f>E10-D10+E11</f>
        <v>0.074043195500002</v>
      </c>
      <c s="72">
        <f>F10-E10+F11</f>
        <v>1.2187090721</v>
      </c>
      <c s="89">
        <f>'FS-利润表'!G5*G14</f>
        <v>2.04296476400193</v>
      </c>
      <c s="89">
        <f>'FS-利润表'!H5*H14</f>
        <v>2.43134966536521</v>
      </c>
      <c s="89">
        <f>'FS-利润表'!I5*I14</f>
        <v>2.75570543642562</v>
      </c>
      <c s="89">
        <f>'FS-利润表'!J5*J14</f>
        <v>2.96707582179277</v>
      </c>
      <c s="90">
        <f>'FS-利润表'!K5*K14</f>
        <v>3.02641733822862</v>
      </c>
    </row>
    <row customHeight="1" ht="21.375">
      <c s="60" t="s">
        <v>160</v>
      </c>
      <c s="106">
        <f>_xlfn.IFERROR(B13/'FS-利润表'!B5,0)</f>
        <v>0</v>
      </c>
      <c s="107">
        <f>_xlfn.IFERROR(C13/'FS-利润表'!C5,0)</f>
        <v>0.008564776011015</v>
      </c>
      <c s="107">
        <f>_xlfn.IFERROR(D13/'FS-利润表'!D5,0)</f>
        <v>0.000778649721614</v>
      </c>
      <c s="107">
        <f>_xlfn.IFERROR(E13/'FS-利润表'!E5,0)</f>
        <v>0.000127182953528</v>
      </c>
      <c s="107">
        <f>_xlfn.IFERROR(F13/'FS-利润表'!F5,0)</f>
        <v>0.001654980627186</v>
      </c>
      <c s="62">
        <f>MAX(AVERAGE(B14,C14,D14,E14,F14),0)</f>
        <v>0.002225117862669</v>
      </c>
      <c s="62">
        <f>MAX(AVERAGE(B14,C14,D14,E14,F14),0)</f>
        <v>0.002225117862669</v>
      </c>
      <c s="62">
        <f>MAX(AVERAGE(B14,C14,D14,E14,F14),0)</f>
        <v>0.002225117862669</v>
      </c>
      <c s="62">
        <f>MAX(AVERAGE(B14,C14,D14,E14,F14),0)</f>
        <v>0.002225117862669</v>
      </c>
      <c s="63">
        <f>MAX(AVERAGE(B14,C14,D14,E14,F14),0)</f>
        <v>0.002225117862669</v>
      </c>
    </row>
    <row customHeight="1" ht="21.375">
      <c s="56" t="s">
        <v>152</v>
      </c>
      <c s="77">
        <f>B8+B13</f>
        <v>0</v>
      </c>
      <c s="78">
        <f>C8+C13</f>
        <v>20.8137611564</v>
      </c>
      <c s="78">
        <f>D8+D13</f>
        <v>39.1021235508</v>
      </c>
      <c s="78">
        <f>E8+E13</f>
        <v>18.3337624568</v>
      </c>
      <c s="78">
        <f>F8+F13</f>
        <v>12.1099358879</v>
      </c>
      <c s="78">
        <f>G8+G13</f>
        <v>38.9810975936457</v>
      </c>
      <c s="78">
        <f>H8+H13</f>
        <v>46.3917343362414</v>
      </c>
      <c s="78">
        <f>I8+I13</f>
        <v>52.5806535919999</v>
      </c>
      <c s="78">
        <f>J8+J13</f>
        <v>56.6137381393142</v>
      </c>
      <c s="79">
        <f>K8+K13</f>
        <v>57.7460129021003</v>
      </c>
    </row>
    <row customHeight="1" ht="17.4">
      <c s="82"/>
      <c s="82"/>
      <c s="82"/>
      <c s="82"/>
      <c s="82"/>
      <c s="82"/>
      <c s="82"/>
      <c s="82"/>
      <c s="82"/>
      <c s="82"/>
      <c s="82"/>
    </row>
  </sheetData>
  <sheetProtection sheet="1" objects="1"/>
  <mergeCells count="1">
    <mergeCell ref="A3:K3"/>
  </mergeCel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91C57CBD-77ED-15DD-07CC-D9C9C1FF3453}" mc:Ignorable="x14ac">
  <dimension ref="A1:AG47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109" customFormat="1" customHeight="1" ht="17.4">
      <c s="49" t="s">
        <v>0</v>
      </c>
    </row>
    <row r="3" customHeight="1" ht="17.4">
      <c s="50" t="s">
        <v>161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70" t="s">
        <v>162</v>
      </c>
      <c s="74">
        <f>'FS-资产负债表'!B33</f>
        <v>553.1155084112</v>
      </c>
      <c s="75">
        <f>'FS-资产负债表'!C33</f>
        <v>662.3417042129</v>
      </c>
      <c s="75">
        <f>'FS-资产负债表'!D33</f>
        <v>758.9854285472</v>
      </c>
      <c s="75">
        <f>'FS-资产负债表'!E33</f>
        <v>960.1962747508</v>
      </c>
      <c s="75">
        <f>'FS-资产负债表'!F33</f>
        <v>1174.0848792253</v>
      </c>
      <c s="72">
        <f>G6+G8+G9</f>
        <v>1648.85991305997</v>
      </c>
      <c s="72">
        <f>H6+H8+H9</f>
        <v>2147.09600843825</v>
      </c>
      <c s="72">
        <f>I6+I8+I9</f>
        <v>2638.10823400561</v>
      </c>
      <c s="72">
        <f>J6+J8+J9</f>
        <v>3089.94425246544</v>
      </c>
      <c s="73">
        <f>K6+K8+K9</f>
        <v>3474.71367185111</v>
      </c>
    </row>
    <row customHeight="1" ht="21.375">
      <c s="95" t="s">
        <v>163</v>
      </c>
      <c s="74">
        <f>'FS-资产负债表'!B30</f>
        <v>11.41998</v>
      </c>
      <c s="75">
        <f>'FS-资产负债表'!C30</f>
        <v>12.561978</v>
      </c>
      <c s="75">
        <f>'FS-资产负债表'!D30</f>
        <v>12.561978</v>
      </c>
      <c s="75">
        <f>'FS-资产负债表'!E30</f>
        <v>12.561978</v>
      </c>
      <c s="75">
        <f>'FS-资产负债表'!F30</f>
        <v>12.561978</v>
      </c>
      <c s="72">
        <f>F6</f>
        <v>12.561978</v>
      </c>
      <c s="72">
        <f>G6</f>
        <v>12.561978</v>
      </c>
      <c s="72">
        <f>H6</f>
        <v>12.561978</v>
      </c>
      <c s="72">
        <f>I6</f>
        <v>12.561978</v>
      </c>
      <c s="73">
        <f>J6</f>
        <v>12.561978</v>
      </c>
    </row>
    <row customHeight="1" ht="21.375">
      <c s="70" t="s">
        <v>164</v>
      </c>
      <c s="71"/>
      <c s="89">
        <f>'FS-资产负债表'!C30-'FS-资产负债表'!B30</f>
        <v>1.141998</v>
      </c>
      <c s="89">
        <f>'FS-资产负债表'!D30-'FS-资产负债表'!C30</f>
        <v>0</v>
      </c>
      <c s="89">
        <f>'FS-资产负债表'!E30-'FS-资产负债表'!D30</f>
        <v>0</v>
      </c>
      <c s="89">
        <f>'FS-资产负债表'!F30-'FS-资产负债表'!E30</f>
        <v>0</v>
      </c>
      <c s="72">
        <f>0</f>
        <v>0</v>
      </c>
      <c s="72">
        <f>0</f>
        <v>0</v>
      </c>
      <c s="72">
        <f>0</f>
        <v>0</v>
      </c>
      <c s="72">
        <f>0</f>
        <v>0</v>
      </c>
      <c s="73">
        <f>0</f>
        <v>0</v>
      </c>
    </row>
    <row customHeight="1" ht="21.375">
      <c s="95" t="s">
        <v>165</v>
      </c>
      <c s="74">
        <f>'FS-资产负债表'!B31</f>
        <v>86.0349550374999</v>
      </c>
      <c s="75">
        <f>'FS-资产负债表'!C31</f>
        <v>100.9900812352</v>
      </c>
      <c s="75">
        <f>'FS-资产负债表'!D31</f>
        <v>119.2453701811</v>
      </c>
      <c s="75">
        <f>'FS-资产负债表'!E31</f>
        <v>147.5212222475</v>
      </c>
      <c s="75">
        <f>'FS-资产负债表'!F31</f>
        <v>201.7034616897</v>
      </c>
      <c s="72">
        <f>F8+G13-G7</f>
        <v>201.7034616897</v>
      </c>
      <c s="72">
        <f>G8+H13-H7</f>
        <v>201.7034616897</v>
      </c>
      <c s="72">
        <f>H8+I13-I7</f>
        <v>201.7034616897</v>
      </c>
      <c s="72">
        <f>I8+J13-J7</f>
        <v>201.7034616897</v>
      </c>
      <c s="73">
        <f>J8+K13-K7</f>
        <v>201.7034616897</v>
      </c>
    </row>
    <row customHeight="1" ht="21.375">
      <c s="95" t="s">
        <v>166</v>
      </c>
      <c s="74">
        <f>'FS-资产负债表'!B32</f>
        <v>455.6605733737</v>
      </c>
      <c s="75">
        <f>'FS-资产负债表'!C32</f>
        <v>548.7896449777</v>
      </c>
      <c s="75">
        <f>'FS-资产负债表'!D32</f>
        <v>627.1780803661</v>
      </c>
      <c s="75">
        <f>'FS-资产负债表'!E32</f>
        <v>800.1130745033</v>
      </c>
      <c s="75">
        <f>'FS-资产负债表'!F32</f>
        <v>959.8194395356</v>
      </c>
      <c s="72">
        <f>F9+G12</f>
        <v>1434.59447337027</v>
      </c>
      <c s="72">
        <f>G9+H12</f>
        <v>1932.83056874855</v>
      </c>
      <c s="72">
        <f>H9+I12</f>
        <v>2423.84279309106</v>
      </c>
      <c s="72">
        <f>I9+J12</f>
        <v>2875.67880599962</v>
      </c>
      <c s="73">
        <f>J9+K12</f>
        <v>3260.44820973496</v>
      </c>
    </row>
    <row customHeight="1" ht="21.375">
      <c s="70" t="s">
        <v>29</v>
      </c>
      <c s="74">
        <f>'FS-资产负债表'!B34</f>
        <v>18.8114839503</v>
      </c>
      <c s="75">
        <f>'FS-资产负债表'!C34</f>
        <v>23.081919823</v>
      </c>
      <c s="75">
        <f>'FS-资产负债表'!D34</f>
        <v>30.0440507147</v>
      </c>
      <c s="75">
        <f>'FS-资产负债表'!E34</f>
        <v>45.6810464612</v>
      </c>
      <c s="75">
        <f>'FS-资产负债表'!F34</f>
        <v>45.6992359048</v>
      </c>
      <c s="72">
        <f>G5*G11</f>
        <v>64.2862363142066</v>
      </c>
      <c s="72">
        <f>H5*H11</f>
        <v>83.7116120626622</v>
      </c>
      <c s="72">
        <f>I5*I11</f>
        <v>102.855341445596</v>
      </c>
      <c s="72">
        <f>J5*J11</f>
        <v>120.471657318103</v>
      </c>
      <c s="73">
        <f>K5*K11</f>
        <v>135.473160857117</v>
      </c>
    </row>
    <row customHeight="1" ht="21.375">
      <c s="60" t="s">
        <v>167</v>
      </c>
      <c s="61">
        <f>B10/B5</f>
        <v>0.034010046119183</v>
      </c>
      <c s="62">
        <f>C10/C5</f>
        <v>0.03484896040244</v>
      </c>
      <c s="62">
        <f>D10/D5</f>
        <v>0.039584489483821</v>
      </c>
      <c s="62">
        <f>E10/E5</f>
        <v>0.047574696614039</v>
      </c>
      <c s="62">
        <f>F10/F5</f>
        <v>0.038923281198335</v>
      </c>
      <c s="62">
        <f>AVERAGE(B11,C11,D11,E11,F11)</f>
        <v>0.038988294763564</v>
      </c>
      <c s="62">
        <f>AVERAGE(B11,C11,D11,E11,F11)</f>
        <v>0.038988294763564</v>
      </c>
      <c s="62">
        <f>AVERAGE(B11,C11,D11,E11,F11)</f>
        <v>0.038988294763564</v>
      </c>
      <c s="62">
        <f>AVERAGE(B11,C11,D11,E11,F11)</f>
        <v>0.038988294763564</v>
      </c>
      <c s="63">
        <f>AVERAGE(B11,C11,D11,E11,F11)</f>
        <v>0.038988294763564</v>
      </c>
    </row>
    <row customHeight="1" ht="21.375">
      <c s="70" t="s">
        <v>66</v>
      </c>
      <c s="74">
        <f>'FS-利润表'!B20</f>
        <v>162.6937130658</v>
      </c>
      <c s="75">
        <f>'FS-利润表'!C20</f>
        <v>164.5499668659</v>
      </c>
      <c s="75">
        <f>'FS-利润表'!D20</f>
        <v>179.306430931</v>
      </c>
      <c s="75">
        <f>'FS-利润表'!E20</f>
        <v>290.2517048769</v>
      </c>
      <c s="75">
        <f>'FS-利润表'!F20</f>
        <v>378.4193730426</v>
      </c>
      <c s="75">
        <f>'FS-利润表'!G20</f>
        <v>474.77503383467</v>
      </c>
      <c s="75">
        <f>'FS-利润表'!H20</f>
        <v>498.236095378277</v>
      </c>
      <c s="75">
        <f>'FS-利润表'!I20</f>
        <v>491.012224342509</v>
      </c>
      <c s="75">
        <f>'FS-利润表'!J20</f>
        <v>451.836012997359</v>
      </c>
      <c s="76">
        <f>'FS-利润表'!K20</f>
        <v>384.769404226567</v>
      </c>
    </row>
    <row customHeight="1" ht="21.375">
      <c s="96" t="s">
        <v>168</v>
      </c>
      <c s="77"/>
      <c s="78">
        <f>C5-B5-C12</f>
        <v>-55.3237710642</v>
      </c>
      <c s="78">
        <f>D5-C5-D12</f>
        <v>-82.6627065967001</v>
      </c>
      <c s="78">
        <f>E5-D5-E12</f>
        <v>-89.0408586733</v>
      </c>
      <c s="78">
        <f>F5-E5-F12</f>
        <v>-164.5307685681</v>
      </c>
      <c s="78">
        <f>0</f>
        <v>0</v>
      </c>
      <c s="78">
        <f>0</f>
        <v>0</v>
      </c>
      <c s="78">
        <f>0</f>
        <v>0</v>
      </c>
      <c s="78">
        <f>0</f>
        <v>0</v>
      </c>
      <c s="79">
        <f>0</f>
        <v>0</v>
      </c>
    </row>
    <row customHeight="1" ht="17.4">
      <c s="82"/>
      <c s="82"/>
      <c s="82"/>
      <c s="82"/>
      <c s="82"/>
      <c s="82"/>
      <c s="82"/>
      <c s="82"/>
      <c s="82"/>
      <c s="82"/>
      <c s="82"/>
    </row>
    <row customHeight="1" ht="17.4">
      <c s="50" t="s">
        <v>169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70" t="s">
        <v>170</v>
      </c>
      <c s="74">
        <f>'FS-资产负债表'!B5</f>
        <v>277.1071768021</v>
      </c>
      <c s="75">
        <f>'FS-资产负债表'!C5</f>
        <v>368.0074989506</v>
      </c>
      <c s="75">
        <f>'FS-资产负债表'!D5</f>
        <v>668.5496211822</v>
      </c>
      <c s="75">
        <f>'FS-资产负债表'!E5</f>
        <v>878.6886991334</v>
      </c>
      <c s="75">
        <f>'FS-资产负债表'!F5</f>
        <v>1120.7479142006</v>
      </c>
      <c s="75">
        <f>'FS-资产负债表'!G5</f>
        <v>1631.27039055709</v>
      </c>
      <c s="75">
        <f>'FS-资产负债表'!H5</f>
        <v>2085.84072728032</v>
      </c>
      <c s="75">
        <f>'FS-资产负债表'!I5</f>
        <v>2526.86563996047</v>
      </c>
      <c s="75">
        <f>'FS-资产负债表'!J5</f>
        <v>2925.67524459363</v>
      </c>
      <c s="76">
        <f>'FS-资产负债表'!K5</f>
        <v>3257.9564454921</v>
      </c>
    </row>
    <row customHeight="1" ht="21.375">
      <c s="95" t="s">
        <v>54</v>
      </c>
      <c s="74">
        <f>'FS-利润表'!B7</f>
        <v>322.1721353094</v>
      </c>
      <c s="75">
        <f>'FS-利润表'!C7</f>
        <v>334.4685902528</v>
      </c>
      <c s="75">
        <f>'FS-利润表'!D7</f>
        <v>401.5508439384</v>
      </c>
      <c s="75">
        <f>'FS-利润表'!E7</f>
        <v>610.6275686417</v>
      </c>
      <c s="75">
        <f>'FS-利润表'!F7</f>
        <v>771.9938408803</v>
      </c>
      <c s="75">
        <f>'FS-利润表'!G7</f>
        <v>974.376301255916</v>
      </c>
      <c s="75">
        <f>'FS-利润表'!H7</f>
        <v>1181.51267791704</v>
      </c>
      <c s="75">
        <f>'FS-利润表'!I7</f>
        <v>1378.75992376288</v>
      </c>
      <c s="75">
        <f>'FS-利润表'!J7</f>
        <v>1555.06123852343</v>
      </c>
      <c s="76">
        <f>'FS-利润表'!K7</f>
        <v>1710.15737743013</v>
      </c>
    </row>
    <row customHeight="1" ht="21.375">
      <c s="60" t="s">
        <v>171</v>
      </c>
      <c s="61">
        <f>B17/B18</f>
        <v>0.860121489203213</v>
      </c>
      <c s="62">
        <f>C17/C18</f>
        <v>1.10027521170957</v>
      </c>
      <c s="62">
        <f>D17/D18</f>
        <v>1.6649189791885</v>
      </c>
      <c s="62">
        <f>E17/E18</f>
        <v>1.43899283992039</v>
      </c>
      <c s="62">
        <f>F17/F18</f>
        <v>1.45175758516754</v>
      </c>
      <c s="62">
        <f>G17/G18</f>
        <v>1.67416878720724</v>
      </c>
      <c s="62">
        <f>H17/H18</f>
        <v>1.76539851519628</v>
      </c>
      <c s="62">
        <f>I17/I18</f>
        <v>1.83270894113618</v>
      </c>
      <c s="62">
        <f>J17/J18</f>
        <v>1.88138908752663</v>
      </c>
      <c s="63">
        <f>K17/K18</f>
        <v>1.9050623577041</v>
      </c>
    </row>
    <row customHeight="1" ht="21.375">
      <c s="60" t="s">
        <v>172</v>
      </c>
      <c s="105">
        <f>AVERAGE(B19,C19,D19,E19,F19)*0.5</f>
        <v>0.651606610518921</v>
      </c>
      <c s="62"/>
      <c s="62"/>
      <c s="62"/>
      <c s="62"/>
      <c s="62"/>
      <c s="62"/>
      <c s="62"/>
      <c s="62"/>
      <c s="63"/>
    </row>
    <row customHeight="1" ht="21.375">
      <c s="60" t="s">
        <v>173</v>
      </c>
      <c s="105">
        <f>AVERAGE(B19,C19,D19,E19,F19)*2</f>
        <v>2.60642644207568</v>
      </c>
      <c s="62"/>
      <c s="62"/>
      <c s="62"/>
      <c s="62"/>
      <c s="62"/>
      <c s="62"/>
      <c s="62"/>
      <c s="62"/>
      <c s="63"/>
    </row>
    <row customHeight="1" ht="21.375">
      <c s="95" t="s">
        <v>174</v>
      </c>
      <c s="71">
        <f>B18*B20</f>
        <v>209.929493092601</v>
      </c>
      <c s="72">
        <f>C18*B20</f>
        <v>217.941944419669</v>
      </c>
      <c s="72">
        <f>D18*B20</f>
        <v>261.653184369713</v>
      </c>
      <c s="72">
        <f>E18*B20</f>
        <v>397.888960292028</v>
      </c>
      <c s="72">
        <f>F18*B20</f>
        <v>503.036289997496</v>
      </c>
      <c s="72">
        <f>G18*B20</f>
        <v>634.91003903133</v>
      </c>
      <c s="72">
        <f>H18*B20</f>
        <v>769.881471342656</v>
      </c>
      <c s="72">
        <f>I18*B20</f>
        <v>898.409080642456</v>
      </c>
      <c s="72">
        <f>J18*B20</f>
        <v>1013.28818278361</v>
      </c>
      <c s="73">
        <f>K18*B20</f>
        <v>1114.34985216117</v>
      </c>
    </row>
    <row customHeight="1" ht="21.375">
      <c s="95" t="s">
        <v>175</v>
      </c>
      <c s="71">
        <f>B18*B21</f>
        <v>839.717972370404</v>
      </c>
      <c s="72">
        <f>C18*B21</f>
        <v>871.767777678674</v>
      </c>
      <c s="72">
        <f>D18*B21</f>
        <v>1046.61273747885</v>
      </c>
      <c s="72">
        <f>E18*B21</f>
        <v>1591.55584116811</v>
      </c>
      <c s="72">
        <f>F18*B21</f>
        <v>2012.14515998998</v>
      </c>
      <c s="72">
        <f>G18*B21</f>
        <v>2539.64015612532</v>
      </c>
      <c s="72">
        <f>H18*B21</f>
        <v>3079.52588537062</v>
      </c>
      <c s="72">
        <f>I18*B21</f>
        <v>3593.63632256982</v>
      </c>
      <c s="72">
        <f>J18*B21</f>
        <v>4053.15273113442</v>
      </c>
      <c s="73">
        <f>K18*B21</f>
        <v>4457.39940864469</v>
      </c>
    </row>
    <row customHeight="1" ht="21.375">
      <c s="70" t="s">
        <v>176</v>
      </c>
      <c s="88">
        <f>MAX(B22-'FS-现金流量表'!B25,0)</f>
        <v>0</v>
      </c>
      <c s="89">
        <f>MAX(C22-'FS-现金流量表'!C25,0)</f>
        <v>0</v>
      </c>
      <c s="89">
        <f>MAX(D22-'FS-现金流量表'!D25,0)</f>
        <v>0</v>
      </c>
      <c s="89">
        <f>MAX(E22-'FS-现金流量表'!E25,0)</f>
        <v>0</v>
      </c>
      <c s="89">
        <f>MAX(F22-'FS-现金流量表'!F25,0)</f>
        <v>0</v>
      </c>
      <c s="89">
        <f>MAX(G22-'FS-现金流量表'!G25,0)</f>
        <v>0</v>
      </c>
      <c s="89">
        <f>MAX(H22-'FS-现金流量表'!H25,0)</f>
        <v>0</v>
      </c>
      <c s="89">
        <f>MAX(I22-'FS-现金流量表'!I25,0)</f>
        <v>0</v>
      </c>
      <c s="89">
        <f>MAX(J22-'FS-现金流量表'!J25,0)</f>
        <v>0</v>
      </c>
      <c s="90">
        <f>MAX(K22-'FS-现金流量表'!K25,0)</f>
        <v>0</v>
      </c>
    </row>
    <row customHeight="1" ht="21.375">
      <c s="70" t="s">
        <v>177</v>
      </c>
      <c s="71"/>
      <c s="89">
        <f>MIN(MAX(-C23+'FS-现金流量表'!C25,0),B28)</f>
        <v>0</v>
      </c>
      <c s="89">
        <f>MIN(MAX(-D23+'FS-现金流量表'!D25,0),C28)</f>
        <v>0</v>
      </c>
      <c s="89">
        <f>MIN(MAX(-E23+'FS-现金流量表'!E25,0),D28)</f>
        <v>0</v>
      </c>
      <c s="89">
        <f>MIN(MAX(-F23+'FS-现金流量表'!F25,0),E28)</f>
        <v>0</v>
      </c>
      <c s="89">
        <f>MIN(MAX(-G23+'FS-现金流量表'!G25,0),F28)</f>
        <v>0</v>
      </c>
      <c s="89">
        <f>MIN(MAX(-H23+'FS-现金流量表'!H25,0),G28)</f>
        <v>0</v>
      </c>
      <c s="89">
        <f>MIN(MAX(-I23+'FS-现金流量表'!I25,0),H28)</f>
        <v>0</v>
      </c>
      <c s="89">
        <f>MIN(MAX(-J23+'FS-现金流量表'!J25,0),I28)</f>
        <v>0</v>
      </c>
      <c s="90">
        <f>MIN(MAX(-K23+'FS-现金流量表'!K25,0),J28)</f>
        <v>0</v>
      </c>
    </row>
    <row customHeight="1" ht="21.375">
      <c s="70" t="s">
        <v>178</v>
      </c>
      <c s="74">
        <f>'FS-资产负债表'!B23</f>
        <v>0</v>
      </c>
      <c s="75">
        <f>'FS-资产负债表'!C23</f>
        <v>0</v>
      </c>
      <c s="75">
        <f>'FS-资产负债表'!D23</f>
        <v>0</v>
      </c>
      <c s="75">
        <f>'FS-资产负债表'!E23</f>
        <v>0</v>
      </c>
      <c s="75">
        <f>'FS-资产负债表'!F23</f>
        <v>0</v>
      </c>
      <c s="72">
        <f>AVERAGE(B27,C27,D27,E27,F27)</f>
        <v>0</v>
      </c>
      <c s="72">
        <f>AVERAGE(B27,C27,D27,E27,F27)</f>
        <v>0</v>
      </c>
      <c s="72">
        <f>AVERAGE(B27,C27,D27,E27,F27)</f>
        <v>0</v>
      </c>
      <c s="72">
        <f>AVERAGE(B27,C27,D27,E27,F27)</f>
        <v>0</v>
      </c>
      <c s="73">
        <f>AVERAGE(B27,C27,D27,E27,F27)</f>
        <v>0</v>
      </c>
    </row>
    <row customHeight="1" ht="21.375">
      <c s="70" t="s">
        <v>89</v>
      </c>
      <c s="74">
        <f>'FS-资产负债表'!B23</f>
        <v>0</v>
      </c>
      <c s="75">
        <f>'FS-资产负债表'!C23</f>
        <v>0</v>
      </c>
      <c s="75">
        <f>'FS-资产负债表'!D23</f>
        <v>0</v>
      </c>
      <c s="75">
        <f>'FS-资产负债表'!E23</f>
        <v>0</v>
      </c>
      <c s="75">
        <f>'FS-资产负债表'!F23</f>
        <v>0</v>
      </c>
      <c s="72">
        <f>G26+G24</f>
        <v>0</v>
      </c>
      <c s="72">
        <f>H26+H24</f>
        <v>0</v>
      </c>
      <c s="72">
        <f>I26+I24</f>
        <v>0</v>
      </c>
      <c s="72">
        <f>J26+J24</f>
        <v>0</v>
      </c>
      <c s="73">
        <f>K26+K24</f>
        <v>0</v>
      </c>
    </row>
    <row customHeight="1" ht="21.375">
      <c s="70" t="s">
        <v>179</v>
      </c>
      <c s="74">
        <f>'FS-资产负债表'!B26</f>
        <v>0</v>
      </c>
      <c s="75">
        <f>'FS-资产负债表'!C26</f>
        <v>0</v>
      </c>
      <c s="75">
        <f>'FS-资产负债表'!D26</f>
        <v>0</v>
      </c>
      <c s="75">
        <f>'FS-资产负债表'!E26</f>
        <v>0</v>
      </c>
      <c s="75">
        <f>'FS-资产负债表'!F26</f>
        <v>0</v>
      </c>
      <c s="89">
        <f>'FS-资产负债表'!F26</f>
        <v>0</v>
      </c>
      <c s="89">
        <f>'FS-资产负债表'!F26</f>
        <v>0</v>
      </c>
      <c s="89">
        <f>'FS-资产负债表'!F26</f>
        <v>0</v>
      </c>
      <c s="89">
        <f>'FS-资产负债表'!F26</f>
        <v>0</v>
      </c>
      <c s="90">
        <f>'FS-资产负债表'!F26</f>
        <v>0</v>
      </c>
    </row>
    <row customHeight="1" ht="21.375">
      <c s="70" t="s">
        <v>92</v>
      </c>
      <c s="88">
        <f>'FS-资产负债表'!B26</f>
        <v>0</v>
      </c>
      <c s="89">
        <f>'FS-资产负债表'!C26</f>
        <v>0</v>
      </c>
      <c s="89">
        <f>'FS-资产负债表'!D26</f>
        <v>0</v>
      </c>
      <c s="89">
        <f>'FS-资产负债表'!E26</f>
        <v>0</v>
      </c>
      <c s="89">
        <f>'FS-资产负债表'!F26</f>
        <v>0</v>
      </c>
      <c s="72">
        <f>F29-G25</f>
        <v>0</v>
      </c>
      <c s="72">
        <f>G29-H25</f>
        <v>0</v>
      </c>
      <c s="72">
        <f>H29-I25</f>
        <v>0</v>
      </c>
      <c s="72">
        <f>I29-J25</f>
        <v>0</v>
      </c>
      <c s="73">
        <f>J29-K25</f>
        <v>0</v>
      </c>
    </row>
    <row customHeight="1" ht="17.4">
      <c s="82"/>
      <c s="82"/>
      <c s="82"/>
      <c s="82"/>
      <c s="82"/>
      <c s="82"/>
      <c s="82"/>
      <c s="82"/>
      <c s="82"/>
      <c s="82"/>
      <c s="82"/>
    </row>
  </sheetData>
  <sheetProtection sheet="1" objects="1"/>
  <mergeCells count="2">
    <mergeCell ref="A3:K3"/>
    <mergeCell ref="A15:K15"/>
  </mergeCel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412DD2EE-9CEB-AFA4-68C5-33116DA1D12F}" mc:Ignorable="x14ac">
  <dimension ref="A1:AG31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1" width="12.125" customWidth="1"/>
  </cols>
  <sheetData>
    <row s="110" customFormat="1" customHeight="1" ht="17.4">
      <c s="49" t="s">
        <v>0</v>
      </c>
    </row>
    <row r="3" customHeight="1" ht="17.4">
      <c s="50" t="s">
        <v>180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70" t="s">
        <v>72</v>
      </c>
      <c s="74">
        <f>'FS-资产负债表'!B6</f>
        <v>0</v>
      </c>
      <c s="75">
        <f>'FS-资产负债表'!C6</f>
        <v>0</v>
      </c>
      <c s="75">
        <f>'FS-资产负债表'!D6</f>
        <v>0</v>
      </c>
      <c s="75">
        <f>'FS-资产负债表'!E6</f>
        <v>0</v>
      </c>
      <c s="75">
        <f>'FS-资产负债表'!F6</f>
        <v>0</v>
      </c>
      <c s="72">
        <f>AVERAGE(B5,C5,D5,E5,F5)</f>
        <v>0</v>
      </c>
      <c s="72">
        <f>AVERAGE(B5,C5,D5,E5,F5)</f>
        <v>0</v>
      </c>
      <c s="72">
        <f>AVERAGE(B5,C5,D5,E5,F5)</f>
        <v>0</v>
      </c>
      <c s="72">
        <f>AVERAGE(B5,C5,D5,E5,F5)</f>
        <v>0</v>
      </c>
      <c s="73">
        <f>AVERAGE(B5,C5,D5,E5,F5)</f>
        <v>0</v>
      </c>
    </row>
    <row customHeight="1" ht="21.375">
      <c s="70" t="s">
        <v>83</v>
      </c>
      <c s="74">
        <f>'FS-资产负债表'!B17</f>
        <v>0.64</v>
      </c>
      <c s="75">
        <f>'FS-资产负债表'!C17</f>
        <v>0.29</v>
      </c>
      <c s="75">
        <f>'FS-资产负债表'!D17</f>
        <v>0.29</v>
      </c>
      <c s="75">
        <f>'FS-资产负债表'!E17</f>
        <v>0.29</v>
      </c>
      <c s="75">
        <f>'FS-资产负债表'!F17</f>
        <v>0.29</v>
      </c>
      <c s="72">
        <f>AVERAGE(B6,C6,D6,E6,F6)</f>
        <v>0.36</v>
      </c>
      <c s="72">
        <f>AVERAGE(B6,C6,D6,E6,F6)</f>
        <v>0.36</v>
      </c>
      <c s="72">
        <f>AVERAGE(B6,C6,D6,E6,F6)</f>
        <v>0.36</v>
      </c>
      <c s="72">
        <f>AVERAGE(B6,C6,D6,E6,F6)</f>
        <v>0.36</v>
      </c>
      <c s="73">
        <f>AVERAGE(B6,C6,D6,E6,F6)</f>
        <v>0.36</v>
      </c>
    </row>
    <row customHeight="1" ht="17.4">
      <c s="82"/>
      <c s="82"/>
      <c s="82"/>
      <c s="82"/>
      <c s="82"/>
      <c s="82"/>
      <c s="82"/>
      <c s="82"/>
      <c s="82"/>
      <c s="82"/>
      <c s="82"/>
    </row>
    <row customHeight="1" ht="17.4">
      <c s="50" t="s">
        <v>181</v>
      </c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4">
        <v>2018</v>
      </c>
      <c s="54">
        <v>2019</v>
      </c>
      <c s="54">
        <v>2020</v>
      </c>
      <c s="54">
        <v>2021</v>
      </c>
      <c s="54">
        <v>2022</v>
      </c>
      <c s="55">
        <v>2023</v>
      </c>
    </row>
    <row customHeight="1" ht="21.375">
      <c s="70" t="s">
        <v>79</v>
      </c>
      <c s="74">
        <f>'FS-资产负债表'!B13</f>
        <v>3e-15</v>
      </c>
      <c s="75">
        <f>'FS-资产负债表'!C13</f>
        <v>-1.2e-14</v>
      </c>
      <c s="75">
        <f>'FS-资产负债表'!D13</f>
        <v>6.21474570630007</v>
      </c>
      <c s="75">
        <f>'FS-资产负债表'!E13</f>
        <v>0.375392314900106</v>
      </c>
      <c s="75">
        <f>'FS-资产负债表'!F13</f>
        <v>-2.03805610359991</v>
      </c>
      <c s="72">
        <f>AVERAGE(B10,C10,D10,E10,F10)</f>
        <v>0.910416383520051</v>
      </c>
      <c s="72">
        <f>AVERAGE(B10,C10,D10,E10,F10)</f>
        <v>0.910416383520051</v>
      </c>
      <c s="72">
        <f>AVERAGE(B10,C10,D10,E10,F10)</f>
        <v>0.910416383520051</v>
      </c>
      <c s="72">
        <f>AVERAGE(B10,C10,D10,E10,F10)</f>
        <v>0.910416383520051</v>
      </c>
      <c s="73">
        <f>AVERAGE(B10,C10,D10,E10,F10)</f>
        <v>0.910416383520051</v>
      </c>
    </row>
    <row customHeight="1" ht="21.375">
      <c s="70" t="s">
        <v>84</v>
      </c>
      <c s="74">
        <f>'FS-资产负债表'!B18</f>
        <v>42.7444640965</v>
      </c>
      <c s="75">
        <f>'FS-资产负债表'!C18</f>
        <v>60.7093024061</v>
      </c>
      <c s="75">
        <f>'FS-资产负债表'!D18</f>
        <v>45.5195263339</v>
      </c>
      <c s="75">
        <f>'FS-资产负债表'!E18</f>
        <v>34.5135236754</v>
      </c>
      <c s="75">
        <f>'FS-资产负债表'!F18</f>
        <v>30.3969279013</v>
      </c>
      <c s="72">
        <f>AVERAGE(B11,C11,D11,E11,F11)</f>
        <v>42.77674888264</v>
      </c>
      <c s="72">
        <f>AVERAGE(B11,C11,D11,E11,F11)</f>
        <v>42.77674888264</v>
      </c>
      <c s="72">
        <f>AVERAGE(B11,C11,D11,E11,F11)</f>
        <v>42.77674888264</v>
      </c>
      <c s="72">
        <f>AVERAGE(B11,C11,D11,E11,F11)</f>
        <v>42.77674888264</v>
      </c>
      <c s="73">
        <f>AVERAGE(B11,C11,D11,E11,F11)</f>
        <v>42.77674888264</v>
      </c>
    </row>
    <row customHeight="1" ht="21.375">
      <c s="70" t="s">
        <v>90</v>
      </c>
      <c s="74">
        <f>'FS-资产负债表'!B24</f>
        <v>54.9523628928</v>
      </c>
      <c s="75">
        <f>'FS-资产负债表'!C24</f>
        <v>142.2920437217</v>
      </c>
      <c s="75">
        <f>'FS-资产负债表'!D24</f>
        <v>283.1990056914</v>
      </c>
      <c s="75">
        <f>'FS-资产负债表'!E24</f>
        <v>248.9172065652</v>
      </c>
      <c s="75">
        <f>'FS-资产负债表'!F24</f>
        <v>261.8505466355</v>
      </c>
      <c s="72">
        <f>AVERAGE(B12,C12,D12,E12,F12)</f>
        <v>198.24223310132</v>
      </c>
      <c s="72">
        <f>AVERAGE(B12,C12,D12,E12,F12)</f>
        <v>198.24223310132</v>
      </c>
      <c s="72">
        <f>AVERAGE(B12,C12,D12,E12,F12)</f>
        <v>198.24223310132</v>
      </c>
      <c s="72">
        <f>AVERAGE(B12,C12,D12,E12,F12)</f>
        <v>198.24223310132</v>
      </c>
      <c s="73">
        <f>AVERAGE(B12,C12,D12,E12,F12)</f>
        <v>198.24223310132</v>
      </c>
    </row>
    <row customHeight="1" ht="21.375">
      <c s="70" t="s">
        <v>93</v>
      </c>
      <c s="74">
        <f>'FS-资产负债表'!B27</f>
        <v>0.1777</v>
      </c>
      <c s="75">
        <f>'FS-资产负债表'!C27</f>
        <v>0.1557</v>
      </c>
      <c s="75">
        <f>'FS-资产负债表'!D27</f>
        <v>0.1557</v>
      </c>
      <c s="75">
        <f>'FS-资产负债表'!E27</f>
        <v>0.1557</v>
      </c>
      <c s="75">
        <f>'FS-资产负债表'!F27</f>
        <v>0</v>
      </c>
      <c s="72">
        <f>AVERAGE(B13,C13,D13,E13,F13)</f>
        <v>0.12896</v>
      </c>
      <c s="72">
        <f>AVERAGE(B13,C13,D13,E13,F13)</f>
        <v>0.12896</v>
      </c>
      <c s="72">
        <f>AVERAGE(B13,C13,D13,E13,F13)</f>
        <v>0.12896</v>
      </c>
      <c s="72">
        <f>AVERAGE(B13,C13,D13,E13,F13)</f>
        <v>0.12896</v>
      </c>
      <c s="73">
        <f>AVERAGE(B13,C13,D13,E13,F13)</f>
        <v>0.12896</v>
      </c>
    </row>
    <row customHeight="1" ht="17.4">
      <c s="82"/>
      <c s="82"/>
      <c s="82"/>
      <c s="82"/>
      <c s="82"/>
      <c s="82"/>
      <c s="82"/>
      <c s="82"/>
      <c s="82"/>
      <c s="82"/>
      <c s="82"/>
    </row>
  </sheetData>
  <sheetProtection sheet="1" objects="1"/>
  <mergeCells count="2">
    <mergeCell ref="A3:K3"/>
    <mergeCell ref="A8:K8"/>
  </mergeCel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BF8152-5FF4-A534-AD88-72C39C0AABEF}" mc:Ignorable="x14ac">
  <dimension ref="A1:AB274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6" width="12.125" customWidth="1"/>
  </cols>
  <sheetData>
    <row s="111" customFormat="1" customHeight="1" ht="17.4">
      <c s="49" t="s">
        <v>0</v>
      </c>
    </row>
    <row r="3" customHeight="1" ht="17.4">
      <c s="50" t="s">
        <v>182</v>
      </c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5">
        <v>2018</v>
      </c>
    </row>
    <row customHeight="1" ht="21.375">
      <c s="70" t="s">
        <v>183</v>
      </c>
      <c s="112">
        <v>277.1071768021</v>
      </c>
      <c s="113">
        <v>368.0074989506</v>
      </c>
      <c s="113">
        <v>668.5496211822</v>
      </c>
      <c s="113">
        <v>878.6886991334</v>
      </c>
      <c s="114">
        <v>1120.7479142006</v>
      </c>
    </row>
    <row customHeight="1" ht="21.375">
      <c s="70" t="s">
        <v>184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185</v>
      </c>
      <c s="112">
        <v>18.4783861783</v>
      </c>
      <c s="113">
        <v>85.7893540682</v>
      </c>
      <c s="113">
        <v>8.17627172</v>
      </c>
      <c s="113">
        <v>12.21706039</v>
      </c>
      <c s="114">
        <v>5.6373971</v>
      </c>
    </row>
    <row customHeight="1" ht="21.375">
      <c s="70" t="s">
        <v>74</v>
      </c>
      <c s="112">
        <v>0.043061612400000004</v>
      </c>
      <c s="113">
        <v>0.0023076889000000003</v>
      </c>
      <c s="113">
        <v>0</v>
      </c>
      <c s="113">
        <v>0</v>
      </c>
      <c s="114">
        <v>0</v>
      </c>
    </row>
    <row customHeight="1" ht="21.375">
      <c s="70" t="s">
        <v>78</v>
      </c>
      <c s="112">
        <v>28.642104042800003</v>
      </c>
      <c s="113">
        <v>14.777348599000002</v>
      </c>
      <c s="113">
        <v>10.4610069692</v>
      </c>
      <c s="113">
        <v>7.9080732207</v>
      </c>
      <c s="114">
        <v>11.823785080599999</v>
      </c>
    </row>
    <row customHeight="1" ht="21.375">
      <c s="70" t="s">
        <v>186</v>
      </c>
      <c s="112">
        <v>0.8088892058</v>
      </c>
      <c s="113">
        <v>0.4821901875</v>
      </c>
      <c s="113">
        <v>0.7722756537000001</v>
      </c>
      <c s="113">
        <v>0.3132346335</v>
      </c>
      <c s="114">
        <v>3.9389049312</v>
      </c>
    </row>
    <row customHeight="1" ht="21.375">
      <c s="70" t="s">
        <v>187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188</v>
      </c>
      <c s="112">
        <v>0.8060292232999999</v>
      </c>
      <c s="113">
        <v>0.8534705147</v>
      </c>
      <c s="113">
        <v>1.4090485687999998</v>
      </c>
      <c s="113">
        <v>2.4145861588999997</v>
      </c>
      <c s="114">
        <v>3.4388994447</v>
      </c>
    </row>
    <row customHeight="1" ht="21.375">
      <c s="70" t="s">
        <v>189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77</v>
      </c>
      <c s="112">
        <v>149.8236436785</v>
      </c>
      <c s="113">
        <v>180.13297022700002</v>
      </c>
      <c s="113">
        <v>206.2225182555</v>
      </c>
      <c s="113">
        <v>220.57481376459998</v>
      </c>
      <c s="114">
        <v>235.06950842220002</v>
      </c>
    </row>
    <row customHeight="1" ht="21.375">
      <c s="70" t="s">
        <v>190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191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80</v>
      </c>
      <c s="112">
        <v>475.7092907432</v>
      </c>
      <c s="113">
        <v>650.0451402358999</v>
      </c>
      <c s="113">
        <v>901.8054880557</v>
      </c>
      <c s="113">
        <v>1122.491859616</v>
      </c>
      <c s="114">
        <v>1378.6183530757</v>
      </c>
    </row>
    <row customHeight="1" ht="21.375">
      <c s="70" t="s">
        <v>192</v>
      </c>
      <c s="112">
        <v>0.04</v>
      </c>
      <c s="113">
        <v>0.29</v>
      </c>
      <c s="113">
        <v>0.29</v>
      </c>
      <c s="113">
        <v>0.29</v>
      </c>
      <c s="114">
        <v>0.29</v>
      </c>
    </row>
    <row customHeight="1" ht="21.375">
      <c s="70" t="s">
        <v>193</v>
      </c>
      <c s="112">
        <v>0.6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194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195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196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197</v>
      </c>
      <c s="112">
        <v>103.7575777159</v>
      </c>
      <c s="113">
        <v>114.1595318972</v>
      </c>
      <c s="113">
        <v>144.5317743934</v>
      </c>
      <c s="113">
        <v>152.4409663202</v>
      </c>
      <c s="114">
        <v>152.4855658502</v>
      </c>
    </row>
    <row customHeight="1" ht="21.375">
      <c s="70" t="s">
        <v>198</v>
      </c>
      <c s="112">
        <v>34.2177444802</v>
      </c>
      <c s="113">
        <v>48.951507165100004</v>
      </c>
      <c s="113">
        <v>27.4557999568</v>
      </c>
      <c s="113">
        <v>20.1640500577</v>
      </c>
      <c s="114">
        <v>19.5432296868</v>
      </c>
    </row>
    <row customHeight="1" ht="21.375">
      <c s="70" t="s">
        <v>199</v>
      </c>
      <c s="112">
        <v>0.0026085592</v>
      </c>
      <c s="113">
        <v>0.0026085592</v>
      </c>
      <c s="113">
        <v>0</v>
      </c>
      <c s="113">
        <v>0</v>
      </c>
      <c s="114">
        <v>0</v>
      </c>
    </row>
    <row customHeight="1" ht="21.375">
      <c s="70" t="s">
        <v>200</v>
      </c>
      <c s="112">
        <v>0</v>
      </c>
      <c s="113">
        <v>0.0068259404</v>
      </c>
      <c s="113">
        <v>0</v>
      </c>
      <c s="113">
        <v>0</v>
      </c>
      <c s="114">
        <v>0</v>
      </c>
    </row>
    <row customHeight="1" ht="21.375">
      <c s="70" t="s">
        <v>201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202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203</v>
      </c>
      <c s="112">
        <v>35.8262368224</v>
      </c>
      <c s="113">
        <v>35.8246243104</v>
      </c>
      <c s="113">
        <v>35.317406256</v>
      </c>
      <c s="113">
        <v>34.5862223938</v>
      </c>
      <c s="114">
        <v>34.9917537452</v>
      </c>
    </row>
    <row customHeight="1" ht="21.375">
      <c s="70" t="s">
        <v>204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205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206</v>
      </c>
      <c s="112">
        <v>0.0540828683</v>
      </c>
      <c s="113">
        <v>1.9860353781</v>
      </c>
      <c s="113">
        <v>1.8811877651</v>
      </c>
      <c s="113">
        <v>1.7785967454</v>
      </c>
      <c s="114">
        <v>1.6841467877</v>
      </c>
    </row>
    <row customHeight="1" ht="21.375">
      <c s="70" t="s">
        <v>207</v>
      </c>
      <c s="112">
        <v>8.216011057100001</v>
      </c>
      <c s="113">
        <v>11.5533607414</v>
      </c>
      <c s="113">
        <v>17.4553912068</v>
      </c>
      <c s="113">
        <v>14.0179736177</v>
      </c>
      <c s="114">
        <v>10.4929482145</v>
      </c>
    </row>
    <row customHeight="1" ht="21.375">
      <c s="70" t="s">
        <v>85</v>
      </c>
      <c s="112">
        <v>183.0223615031</v>
      </c>
      <c s="113">
        <v>212.9694939918</v>
      </c>
      <c s="113">
        <v>227.5398947484</v>
      </c>
      <c s="113">
        <v>223.6093091348</v>
      </c>
      <c s="114">
        <v>219.84839428439997</v>
      </c>
    </row>
    <row customHeight="1" ht="21.375">
      <c s="70" t="s">
        <v>208</v>
      </c>
      <c s="112">
        <v>658.7316522463</v>
      </c>
      <c s="113">
        <v>863.0146342277001</v>
      </c>
      <c s="113">
        <v>1129.3453828041</v>
      </c>
      <c s="113">
        <v>1346.1011687508</v>
      </c>
      <c s="114">
        <v>1598.4667473601</v>
      </c>
    </row>
    <row customHeight="1" ht="21.375">
      <c s="70" t="s">
        <v>89</v>
      </c>
      <c s="112">
        <v>0.62552484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209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210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87</v>
      </c>
      <c s="112">
        <v>7.0753464754</v>
      </c>
      <c s="113">
        <v>8.8097607209</v>
      </c>
      <c s="113">
        <v>10.406082031799999</v>
      </c>
      <c s="113">
        <v>9.9205591047</v>
      </c>
      <c s="114">
        <v>0</v>
      </c>
    </row>
    <row customHeight="1" ht="21.375">
      <c s="70" t="s">
        <v>211</v>
      </c>
      <c s="112">
        <v>14.7623309609</v>
      </c>
      <c s="113">
        <v>82.6158207304</v>
      </c>
      <c s="113">
        <v>175.4108223701</v>
      </c>
      <c s="113">
        <v>144.2910690238</v>
      </c>
      <c s="114">
        <v>135.7651681344</v>
      </c>
    </row>
    <row customHeight="1" ht="21.375">
      <c s="70" t="s">
        <v>212</v>
      </c>
      <c s="112">
        <v>9.8864384256</v>
      </c>
      <c s="113">
        <v>9.754777470599999</v>
      </c>
      <c s="113">
        <v>16.285072520299998</v>
      </c>
      <c s="113">
        <v>19.0164419364</v>
      </c>
      <c s="114">
        <v>20.3451465891</v>
      </c>
    </row>
    <row customHeight="1" ht="21.375">
      <c s="70" t="s">
        <v>213</v>
      </c>
      <c s="112">
        <v>21.051781658699998</v>
      </c>
      <c s="113">
        <v>25.1551615683</v>
      </c>
      <c s="113">
        <v>42.7228919457</v>
      </c>
      <c s="113">
        <v>77.26135741899999</v>
      </c>
      <c s="114">
        <v>107.7107596685</v>
      </c>
    </row>
    <row customHeight="1" ht="21.375">
      <c s="70" t="s">
        <v>214</v>
      </c>
      <c s="112">
        <v>0.1536519791</v>
      </c>
      <c s="113">
        <v>0.274094474</v>
      </c>
      <c s="113">
        <v>0.3448163533</v>
      </c>
      <c s="113">
        <v>0.23414593670000003</v>
      </c>
      <c s="114">
        <v>0.4277045184</v>
      </c>
    </row>
    <row customHeight="1" ht="21.375">
      <c s="70" t="s">
        <v>215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216</v>
      </c>
      <c s="112">
        <v>12.318862403499999</v>
      </c>
      <c s="113">
        <v>14.231392059300001</v>
      </c>
      <c s="113">
        <v>17.246385714400002</v>
      </c>
      <c s="113">
        <v>30.399483038000003</v>
      </c>
      <c s="114">
        <v>34.0477107233</v>
      </c>
    </row>
    <row customHeight="1" ht="21.375">
      <c s="70" t="s">
        <v>217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218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91</v>
      </c>
      <c s="112">
        <v>105.4384438351</v>
      </c>
      <c s="113">
        <v>200.5172300148</v>
      </c>
      <c s="113">
        <v>370.2042542569</v>
      </c>
      <c s="113">
        <v>385.749194</v>
      </c>
      <c s="114">
        <v>424.3818681348</v>
      </c>
    </row>
    <row customHeight="1" ht="21.375">
      <c s="70" t="s">
        <v>219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220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221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222</v>
      </c>
      <c s="112">
        <v>0.1777</v>
      </c>
      <c s="113">
        <v>0.1557</v>
      </c>
      <c s="113">
        <v>0.1557</v>
      </c>
      <c s="113">
        <v>0.1557</v>
      </c>
      <c s="114">
        <v>0</v>
      </c>
    </row>
    <row customHeight="1" ht="21.375">
      <c s="70" t="s">
        <v>223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224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94</v>
      </c>
      <c s="112">
        <v>0.1777</v>
      </c>
      <c s="113">
        <v>0.1557</v>
      </c>
      <c s="113">
        <v>0.1557</v>
      </c>
      <c s="113">
        <v>0.1557</v>
      </c>
      <c s="114">
        <v>0</v>
      </c>
    </row>
    <row customHeight="1" ht="21.375">
      <c s="70" t="s">
        <v>95</v>
      </c>
      <c s="112">
        <v>105.6161438351</v>
      </c>
      <c s="113">
        <v>200.6729300148</v>
      </c>
      <c s="113">
        <v>370.35995425690004</v>
      </c>
      <c s="113">
        <v>385.904894</v>
      </c>
      <c s="114">
        <v>424.3818681348</v>
      </c>
    </row>
    <row customHeight="1" ht="21.375">
      <c s="70" t="s">
        <v>225</v>
      </c>
      <c s="112">
        <v>11.41998</v>
      </c>
      <c s="113">
        <v>12.561978</v>
      </c>
      <c s="113">
        <v>12.561978</v>
      </c>
      <c s="113">
        <v>12.561978</v>
      </c>
      <c s="114">
        <v>12.561978</v>
      </c>
    </row>
    <row customHeight="1" ht="21.375">
      <c s="70" t="s">
        <v>226</v>
      </c>
      <c s="112">
        <v>13.7496441572</v>
      </c>
      <c s="113">
        <v>13.7496441572</v>
      </c>
      <c s="113">
        <v>13.7496441572</v>
      </c>
      <c s="113">
        <v>13.7496441572</v>
      </c>
      <c s="114">
        <v>13.7496441572</v>
      </c>
    </row>
    <row customHeight="1" ht="21.375">
      <c s="70" t="s">
        <v>227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228</v>
      </c>
      <c s="112">
        <v>52.4940723462</v>
      </c>
      <c s="113">
        <v>62.1052449754</v>
      </c>
      <c s="113">
        <v>71.3564996312</v>
      </c>
      <c s="113">
        <v>82.1559550969</v>
      </c>
      <c s="114">
        <v>134.4422124484</v>
      </c>
    </row>
    <row customHeight="1" ht="21.375">
      <c s="70" t="s">
        <v>229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98</v>
      </c>
      <c s="112">
        <v>455.6605733737</v>
      </c>
      <c s="113">
        <v>548.7896449776999</v>
      </c>
      <c s="113">
        <v>627.1780803661001</v>
      </c>
      <c s="113">
        <v>800.1130745033</v>
      </c>
      <c s="114">
        <v>959.8194395355999</v>
      </c>
    </row>
    <row customHeight="1" ht="21.375">
      <c s="70" t="s">
        <v>230</v>
      </c>
      <c s="112">
        <v>534.3040244609</v>
      </c>
      <c s="113">
        <v>639.2597843899</v>
      </c>
      <c s="113">
        <v>728.9413778325</v>
      </c>
      <c s="113">
        <v>914.5152282896</v>
      </c>
      <c s="114">
        <v>1128.3856433205</v>
      </c>
    </row>
    <row customHeight="1" ht="21.375">
      <c s="70" t="s">
        <v>29</v>
      </c>
      <c s="112">
        <v>18.8114839503</v>
      </c>
      <c s="113">
        <v>23.081919823000003</v>
      </c>
      <c s="113">
        <v>30.0440507147</v>
      </c>
      <c s="113">
        <v>45.6810464612</v>
      </c>
      <c s="114">
        <v>45.6992359048</v>
      </c>
    </row>
    <row customHeight="1" ht="21.375">
      <c s="70" t="s">
        <v>231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232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233</v>
      </c>
      <c s="112">
        <v>553.1155084112</v>
      </c>
      <c s="113">
        <v>662.3417042129</v>
      </c>
      <c s="113">
        <v>758.9854285472001</v>
      </c>
      <c s="113">
        <v>960.1962747508001</v>
      </c>
      <c s="114">
        <v>1174.0848792253</v>
      </c>
    </row>
    <row customHeight="1" ht="21.375">
      <c s="70" t="s">
        <v>234</v>
      </c>
      <c s="112">
        <v>658.7316522463</v>
      </c>
      <c s="113">
        <v>863.0146342277001</v>
      </c>
      <c s="113">
        <v>1129.3453828041</v>
      </c>
      <c s="113">
        <v>1346.1011687508</v>
      </c>
      <c s="114">
        <v>1598.4667473601</v>
      </c>
    </row>
    <row customHeight="1" ht="21.375">
      <c s="70" t="s">
        <v>235</v>
      </c>
      <c s="112">
        <v>-0.0061904399</v>
      </c>
      <c s="113">
        <v>-0.1303407547</v>
      </c>
      <c s="113">
        <v>-0.1124084156</v>
      </c>
      <c s="113">
        <v>-0.074015764</v>
      </c>
      <c s="114">
        <v>-0.070657257</v>
      </c>
    </row>
    <row customHeight="1" ht="21.375">
      <c s="70" t="s">
        <v>236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237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238</v>
      </c>
      <c s="112">
        <v>0</v>
      </c>
      <c s="113">
        <v>0</v>
      </c>
      <c s="113">
        <v>3.9</v>
      </c>
      <c s="113">
        <v>0</v>
      </c>
      <c s="114">
        <v>0</v>
      </c>
    </row>
    <row customHeight="1" ht="21.375">
      <c s="70" t="s">
        <v>239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246</v>
      </c>
      <c s="112">
        <v>0</v>
      </c>
      <c s="113">
        <v>0.195</v>
      </c>
      <c s="113">
        <v>0.6083351703000001</v>
      </c>
      <c s="113">
        <v>0.3315</v>
      </c>
      <c s="114">
        <v>0.36075</v>
      </c>
    </row>
    <row customHeight="1" ht="21.375">
      <c s="70" t="s">
        <v>247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248</v>
      </c>
      <c s="112">
        <v>0</v>
      </c>
      <c s="113">
        <v>59.6762229913</v>
      </c>
      <c s="113">
        <v>107.7881833213</v>
      </c>
      <c s="113">
        <v>104.6261375414</v>
      </c>
      <c s="114">
        <v>114.7301188536</v>
      </c>
    </row>
    <row customHeight="1" ht="21.375">
      <c s="70" t="s">
        <v>249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258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259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260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261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262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263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264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265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266</v>
      </c>
      <c s="112">
        <v>-3.814697265625e-14</v>
      </c>
      <c s="113">
        <v>7.62939453125e-14</v>
      </c>
      <c s="113">
        <v>-3.814697265625e-14</v>
      </c>
      <c s="113">
        <v>-3.814697265625e-14</v>
      </c>
      <c s="114">
        <v>3.814697265625e-14</v>
      </c>
    </row>
    <row customHeight="1" ht="21.375">
      <c s="70" t="s">
        <v>267</v>
      </c>
      <c s="112">
        <v>3.2782554626464802e-15</v>
      </c>
      <c s="113">
        <v>-1.16229057312012e-14</v>
      </c>
      <c s="113">
        <v>6.214745706300071</v>
      </c>
      <c s="113">
        <v>0.375392314900106</v>
      </c>
      <c s="114">
        <v>-2.03805610359991</v>
      </c>
    </row>
    <row customHeight="1" ht="21.375">
      <c s="70" t="s">
        <v>268</v>
      </c>
      <c s="112">
        <v>0.30810000000000803</v>
      </c>
      <c s="113">
        <v>0.195000000000007</v>
      </c>
      <c s="113">
        <v>0.6083351702999971</v>
      </c>
      <c s="113">
        <v>0.331499999999986</v>
      </c>
      <c s="114">
        <v>0.360749999999979</v>
      </c>
    </row>
    <row customHeight="1" ht="21.375">
      <c s="70" t="s">
        <v>269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270</v>
      </c>
      <c s="112">
        <v>40.1900319319</v>
      </c>
      <c s="113">
        <v>59.6762229913</v>
      </c>
      <c s="113">
        <v>107.7881833213</v>
      </c>
      <c s="113">
        <v>104.6261375414</v>
      </c>
      <c s="114">
        <v>126.08537850110001</v>
      </c>
    </row>
    <row customHeight="1" ht="21.375">
      <c s="70" t="s">
        <v>271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272</v>
      </c>
      <c s="112">
        <v>19.7912385341</v>
      </c>
      <c s="113">
        <v>25.1351921026</v>
      </c>
      <c s="113">
        <v>34.1392263927</v>
      </c>
      <c s="113">
        <v>51.6156229934</v>
      </c>
      <c s="114">
        <v>53.5116050841</v>
      </c>
    </row>
    <row customHeight="1" ht="21.375">
      <c s="70" t="s">
        <v>273</v>
      </c>
      <c s="112">
        <v>7.62939453125e-14</v>
      </c>
      <c s="113">
        <v>0</v>
      </c>
      <c s="113">
        <v>0</v>
      </c>
      <c s="113">
        <v>0</v>
      </c>
      <c s="114">
        <v>0</v>
      </c>
    </row>
    <row customHeight="1" ht="17.4">
      <c s="82"/>
      <c s="82"/>
      <c s="82"/>
      <c s="82"/>
      <c s="82"/>
      <c s="82"/>
    </row>
    <row customHeight="1" ht="17.4">
      <c s="50" t="s">
        <v>274</v>
      </c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5">
        <v>2018</v>
      </c>
    </row>
    <row customHeight="1" ht="21.375">
      <c s="70" t="s">
        <v>275</v>
      </c>
      <c s="112">
        <v>333.8483571404</v>
      </c>
      <c s="113">
        <v>370.8307183558</v>
      </c>
      <c s="113">
        <v>610.1296410254</v>
      </c>
      <c s="113">
        <v>644.2147934302</v>
      </c>
      <c s="114">
        <v>842.6869573262</v>
      </c>
    </row>
    <row customHeight="1" ht="21.375">
      <c s="70" t="s">
        <v>276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277</v>
      </c>
      <c s="112">
        <v>354.87849677459997</v>
      </c>
      <c s="113">
        <v>400.1390685005</v>
      </c>
      <c s="113">
        <v>672.7914563793</v>
      </c>
      <c s="113">
        <v>673.6946251181</v>
      </c>
      <c s="114">
        <v>893.4563539869999</v>
      </c>
    </row>
    <row customHeight="1" ht="21.375">
      <c s="70" t="s">
        <v>278</v>
      </c>
      <c s="112">
        <v>28.3802840497</v>
      </c>
      <c s="113">
        <v>29.6773263037</v>
      </c>
      <c s="113">
        <v>27.7302040327</v>
      </c>
      <c s="113">
        <v>48.7576850416</v>
      </c>
      <c s="114">
        <v>52.985180325500004</v>
      </c>
    </row>
    <row customHeight="1" ht="21.375">
      <c s="70" t="s">
        <v>279</v>
      </c>
      <c s="112">
        <v>33.9360975687</v>
      </c>
      <c s="113">
        <v>45.36877341100001</v>
      </c>
      <c s="113">
        <v>46.7415423666</v>
      </c>
      <c s="113">
        <v>54.89606122479999</v>
      </c>
      <c s="114">
        <v>66.5313773366</v>
      </c>
    </row>
    <row customHeight="1" ht="21.375">
      <c s="70" t="s">
        <v>280</v>
      </c>
      <c s="112">
        <v>144.9645081241</v>
      </c>
      <c s="113">
        <v>140.0304893321</v>
      </c>
      <c s="113">
        <v>175.105163312</v>
      </c>
      <c s="113">
        <v>230.6564850305</v>
      </c>
      <c s="114">
        <v>320.3217812592</v>
      </c>
    </row>
    <row customHeight="1" ht="21.375">
      <c s="70" t="s">
        <v>281</v>
      </c>
      <c s="112">
        <v>228.5532724086</v>
      </c>
      <c s="113">
        <v>225.77566708330002</v>
      </c>
      <c s="113">
        <v>298.2789599088</v>
      </c>
      <c s="113">
        <v>452.1642642768</v>
      </c>
      <c s="114">
        <v>479.60400991980003</v>
      </c>
    </row>
    <row customHeight="1" ht="21.375">
      <c s="70" t="s">
        <v>282</v>
      </c>
      <c s="112">
        <v>126.325224366</v>
      </c>
      <c s="113">
        <v>174.3634014172</v>
      </c>
      <c s="113">
        <v>374.5124964705</v>
      </c>
      <c s="113">
        <v>221.53036084130002</v>
      </c>
      <c s="114">
        <v>413.8523440672</v>
      </c>
    </row>
    <row customHeight="1" ht="21.375">
      <c s="70" t="s">
        <v>283</v>
      </c>
      <c s="112">
        <v>0.05</v>
      </c>
      <c s="113">
        <v>0.6005</v>
      </c>
      <c s="113">
        <v>0</v>
      </c>
      <c s="113">
        <v>0</v>
      </c>
      <c s="114">
        <v>0</v>
      </c>
    </row>
    <row customHeight="1" ht="21.375">
      <c s="70" t="s">
        <v>284</v>
      </c>
      <c s="112">
        <v>0.0309526575</v>
      </c>
      <c s="113">
        <v>0.0386917205</v>
      </c>
      <c s="113">
        <v>0</v>
      </c>
      <c s="113">
        <v>0</v>
      </c>
      <c s="114">
        <v>0</v>
      </c>
    </row>
    <row customHeight="1" ht="21.375">
      <c s="70" t="s">
        <v>285</v>
      </c>
      <c s="112">
        <v>0.1022693939</v>
      </c>
      <c s="113">
        <v>0.0877293739</v>
      </c>
      <c s="113">
        <v>0.000920845</v>
      </c>
      <c s="113">
        <v>0.0001645</v>
      </c>
      <c s="114">
        <v>0</v>
      </c>
    </row>
    <row customHeight="1" ht="21.375">
      <c s="70" t="s">
        <v>286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287</v>
      </c>
      <c s="112">
        <v>1.2504905714</v>
      </c>
      <c s="113">
        <v>1.0604999549</v>
      </c>
      <c s="113">
        <v>0.0565443569</v>
      </c>
      <c s="113">
        <v>0.2144712295</v>
      </c>
      <c s="114">
        <v>0.112441813</v>
      </c>
    </row>
    <row customHeight="1" ht="21.375">
      <c s="70" t="s">
        <v>288</v>
      </c>
      <c s="112">
        <v>44.3106506605</v>
      </c>
      <c s="113">
        <v>20.6147048132</v>
      </c>
      <c s="113">
        <v>10.1917813692</v>
      </c>
      <c s="113">
        <v>11.2501719245</v>
      </c>
      <c s="114">
        <v>16.0675022628</v>
      </c>
    </row>
    <row customHeight="1" ht="21.375">
      <c s="70" t="s">
        <v>289</v>
      </c>
      <c s="112">
        <v>0.15</v>
      </c>
      <c s="113">
        <v>0.2505</v>
      </c>
      <c s="113">
        <v>0</v>
      </c>
      <c s="113">
        <v>0</v>
      </c>
      <c s="114">
        <v>0</v>
      </c>
    </row>
    <row customHeight="1" ht="21.375">
      <c s="70" t="s">
        <v>290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291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292</v>
      </c>
      <c s="112">
        <v>47.0520863733</v>
      </c>
      <c s="113">
        <v>21.5484026008</v>
      </c>
      <c s="113">
        <v>11.081552398900001</v>
      </c>
      <c s="113">
        <v>11.4209233755</v>
      </c>
      <c s="114">
        <v>16.4020688586</v>
      </c>
    </row>
    <row customHeight="1" ht="21.375">
      <c s="70" t="s">
        <v>293</v>
      </c>
      <c s="112">
        <v>-45.80159580189999</v>
      </c>
      <c s="113">
        <v>-20.4879026459</v>
      </c>
      <c s="113">
        <v>-11.025008042</v>
      </c>
      <c s="113">
        <v>-11.206452145999998</v>
      </c>
      <c s="114">
        <v>-16.2896270456</v>
      </c>
    </row>
    <row customHeight="1" ht="21.375">
      <c s="70" t="s">
        <v>294</v>
      </c>
      <c s="112">
        <v>0.348</v>
      </c>
      <c s="113">
        <v>0</v>
      </c>
      <c s="113">
        <v>0.16</v>
      </c>
      <c s="113">
        <v>0.06</v>
      </c>
      <c s="114">
        <v>0</v>
      </c>
    </row>
    <row customHeight="1" ht="21.375">
      <c s="70" t="s">
        <v>295</v>
      </c>
      <c s="112">
        <v>0.67382607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296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297</v>
      </c>
      <c s="112">
        <v>1.02182607</v>
      </c>
      <c s="113">
        <v>0.22</v>
      </c>
      <c s="113">
        <v>0.16</v>
      </c>
      <c s="113">
        <v>0.06</v>
      </c>
      <c s="114">
        <v>0</v>
      </c>
    </row>
    <row customHeight="1" ht="21.375">
      <c s="70" t="s">
        <v>298</v>
      </c>
      <c s="112">
        <v>0</v>
      </c>
      <c s="113">
        <v>0.55917672</v>
      </c>
      <c s="113">
        <v>0</v>
      </c>
      <c s="113">
        <v>0</v>
      </c>
      <c s="114">
        <v>0</v>
      </c>
    </row>
    <row customHeight="1" ht="21.375">
      <c s="70" t="s">
        <v>299</v>
      </c>
      <c s="112">
        <v>51.2160933633</v>
      </c>
      <c s="113">
        <v>55.5410196661</v>
      </c>
      <c s="113">
        <v>83.5051225223</v>
      </c>
      <c s="113">
        <v>89.051778808</v>
      </c>
      <c s="114">
        <v>164.4109316006</v>
      </c>
    </row>
    <row customHeight="1" ht="21.375">
      <c s="70" t="s">
        <v>300</v>
      </c>
      <c s="112">
        <v>51.436093363299996</v>
      </c>
      <c s="113">
        <v>56.100196386099995</v>
      </c>
      <c s="113">
        <v>83.5051225223</v>
      </c>
      <c s="113">
        <v>89.051778808</v>
      </c>
      <c s="114">
        <v>164.4109316006</v>
      </c>
    </row>
    <row customHeight="1" ht="21.375">
      <c s="70" t="s">
        <v>301</v>
      </c>
      <c s="112">
        <v>-50.4142672933</v>
      </c>
      <c s="113">
        <v>-55.880196386099996</v>
      </c>
      <c s="113">
        <v>-83.3451225223</v>
      </c>
      <c s="113">
        <v>-88.99177880799999</v>
      </c>
      <c s="114">
        <v>-164.4109316006</v>
      </c>
    </row>
    <row customHeight="1" ht="21.375">
      <c s="70" t="s">
        <v>302</v>
      </c>
      <c s="112">
        <v>-0.054491669900000005</v>
      </c>
      <c s="113">
        <v>-0.1627353171</v>
      </c>
      <c s="113">
        <v>0.000723178</v>
      </c>
      <c s="113">
        <v>0.0007294886</v>
      </c>
      <c s="114">
        <v>0.00029006860000000003</v>
      </c>
    </row>
    <row customHeight="1" ht="21.375">
      <c s="70" t="s">
        <v>303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304</v>
      </c>
      <c s="112">
        <v>30.054869600900002</v>
      </c>
      <c s="113">
        <v>97.83256706809999</v>
      </c>
      <c s="113">
        <v>280.14308908419997</v>
      </c>
      <c s="113">
        <v>121.3328593759</v>
      </c>
      <c s="114">
        <v>233.15207548959998</v>
      </c>
    </row>
    <row customHeight="1" ht="21.375">
      <c s="70" t="s">
        <v>305</v>
      </c>
      <c s="112">
        <v>219.9174223767</v>
      </c>
      <c s="113">
        <v>249.97229197759998</v>
      </c>
      <c s="113">
        <v>347.80485904569997</v>
      </c>
      <c s="113">
        <v>627.9479481298999</v>
      </c>
      <c s="114">
        <v>749.2808075058</v>
      </c>
    </row>
    <row customHeight="1" ht="21.375">
      <c s="70" t="s">
        <v>306</v>
      </c>
      <c s="112">
        <v>249.97229197759998</v>
      </c>
      <c s="113">
        <v>347.80485904569997</v>
      </c>
      <c s="113">
        <v>627.9479481298999</v>
      </c>
      <c s="113">
        <v>749.2808075058</v>
      </c>
      <c s="114">
        <v>982.4328829954</v>
      </c>
    </row>
    <row customHeight="1" ht="21.375">
      <c s="70" t="s">
        <v>66</v>
      </c>
      <c s="112">
        <v>162.6937150983</v>
      </c>
      <c s="113">
        <v>164.5499662522</v>
      </c>
      <c s="113">
        <v>179.3064310988</v>
      </c>
      <c s="113">
        <v>290.06423236</v>
      </c>
      <c s="114">
        <v>378.29617756809995</v>
      </c>
    </row>
    <row customHeight="1" ht="21.375">
      <c s="70" t="s">
        <v>307</v>
      </c>
      <c s="112">
        <v>0.0043274588000000004</v>
      </c>
      <c s="113">
        <v>-0.0054031339</v>
      </c>
      <c s="113">
        <v>0.1232749622</v>
      </c>
      <c s="113">
        <v>-0.0805370395</v>
      </c>
      <c s="114">
        <v>0.0128968501</v>
      </c>
    </row>
    <row customHeight="1" ht="21.375">
      <c s="70" t="s">
        <v>308</v>
      </c>
      <c s="112">
        <v>6.7534978698</v>
      </c>
      <c s="113">
        <v>7.6145867829</v>
      </c>
      <c s="113">
        <v>8.427280720399999</v>
      </c>
      <c s="113">
        <v>10.3505273345</v>
      </c>
      <c s="114">
        <v>10.846627285799999</v>
      </c>
    </row>
    <row customHeight="1" ht="21.375">
      <c s="70" t="s">
        <v>309</v>
      </c>
      <c s="112">
        <v>0.7760752320000001</v>
      </c>
      <c s="113">
        <v>0.7988327042</v>
      </c>
      <c s="113">
        <v>0.8045789599</v>
      </c>
      <c s="113">
        <v>0.8052270576999999</v>
      </c>
      <c s="114">
        <v>0.8043166722</v>
      </c>
    </row>
    <row customHeight="1" ht="21.375">
      <c s="70" t="s">
        <v>310</v>
      </c>
      <c s="112">
        <v>0.0384265048</v>
      </c>
      <c s="113">
        <v>0.06804749019999999</v>
      </c>
      <c s="113">
        <v>0.1100870417</v>
      </c>
      <c s="113">
        <v>0.10259101970000001</v>
      </c>
      <c s="114">
        <v>0.10331100619999999</v>
      </c>
    </row>
    <row customHeight="1" ht="21.375">
      <c s="70" t="s">
        <v>311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312</v>
      </c>
      <c s="112">
        <v>0.8511958331999999</v>
      </c>
      <c s="113">
        <v>-0.00017419860000000002</v>
      </c>
      <c s="113">
        <v>0.0186986913</v>
      </c>
      <c s="113">
        <v>0.032918955</v>
      </c>
      <c s="114">
        <v>0.0180893093</v>
      </c>
    </row>
    <row customHeight="1" ht="21.375">
      <c s="70" t="s">
        <v>313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61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314</v>
      </c>
      <c s="112">
        <v>-0.0309526575</v>
      </c>
      <c s="113">
        <v>-0.038692769</v>
      </c>
      <c s="113">
        <v>0</v>
      </c>
      <c s="113">
        <v>0</v>
      </c>
      <c s="114">
        <v>0</v>
      </c>
    </row>
    <row customHeight="1" ht="21.375">
      <c s="70" t="s">
        <v>315</v>
      </c>
      <c s="112">
        <v>0.0377141894</v>
      </c>
      <c s="113">
        <v>-3.3373496843</v>
      </c>
      <c s="113">
        <v>-5.902030465399999</v>
      </c>
      <c s="113">
        <v>3.4374175891000003</v>
      </c>
      <c s="114">
        <v>3.5250254032</v>
      </c>
    </row>
    <row customHeight="1" ht="21.375">
      <c s="70" t="s">
        <v>316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317</v>
      </c>
      <c s="112">
        <v>-31.455541288200003</v>
      </c>
      <c s="113">
        <v>-30.3093265485</v>
      </c>
      <c s="113">
        <v>-26.089548028499998</v>
      </c>
      <c s="113">
        <v>-14.352295509100001</v>
      </c>
      <c s="114">
        <v>-14.4946946576</v>
      </c>
    </row>
    <row customHeight="1" ht="21.375">
      <c s="70" t="s">
        <v>318</v>
      </c>
      <c s="112">
        <v>-15.1798242056</v>
      </c>
      <c s="113">
        <v>-67.0517783934</v>
      </c>
      <c s="113">
        <v>76.6965056584</v>
      </c>
      <c s="113">
        <v>-4.5872852399</v>
      </c>
      <c s="114">
        <v>5.2566501445</v>
      </c>
    </row>
    <row customHeight="1" ht="21.375">
      <c s="70" t="s">
        <v>319</v>
      </c>
      <c s="112">
        <v>1.836590331</v>
      </c>
      <c s="113">
        <v>102.07469291540001</v>
      </c>
      <c s="113">
        <v>141.0172178317</v>
      </c>
      <c s="113">
        <v>-64.2424356862</v>
      </c>
      <c s="114">
        <v>29.4839444854</v>
      </c>
    </row>
    <row customHeight="1" ht="21.375">
      <c s="70" t="s">
        <v>320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321</v>
      </c>
      <c s="112">
        <v>126.325224366</v>
      </c>
      <c s="113">
        <v>174.3634014172</v>
      </c>
      <c s="113">
        <v>374.5124964705</v>
      </c>
      <c s="113">
        <v>221.53036084130002</v>
      </c>
      <c s="114">
        <v>413.8523440672</v>
      </c>
    </row>
    <row customHeight="1" ht="21.375">
      <c s="70" t="s">
        <v>322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323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324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325</v>
      </c>
      <c s="112">
        <v>249.97229197759998</v>
      </c>
      <c s="113">
        <v>347.80485904569997</v>
      </c>
      <c s="113">
        <v>627.9479481298999</v>
      </c>
      <c s="113">
        <v>749.2808075058</v>
      </c>
      <c s="114">
        <v>982.4328829954</v>
      </c>
    </row>
    <row customHeight="1" ht="21.375">
      <c s="70" t="s">
        <v>326</v>
      </c>
      <c s="112">
        <v>219.9174223767</v>
      </c>
      <c s="113">
        <v>249.97229197759998</v>
      </c>
      <c s="113">
        <v>347.80485904569997</v>
      </c>
      <c s="113">
        <v>627.9479481298999</v>
      </c>
      <c s="114">
        <v>749.2808075058</v>
      </c>
    </row>
    <row customHeight="1" ht="21.375">
      <c s="70" t="s">
        <v>327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328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329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330</v>
      </c>
      <c s="112">
        <v>30.054869600900002</v>
      </c>
      <c s="113">
        <v>97.83256706809999</v>
      </c>
      <c s="113">
        <v>280.14308908419997</v>
      </c>
      <c s="113">
        <v>121.3328593759</v>
      </c>
      <c s="114">
        <v>233.15207548959998</v>
      </c>
    </row>
    <row customHeight="1" ht="21.375">
      <c s="70" t="s">
        <v>331</v>
      </c>
      <c s="112">
        <v>11.8326160965</v>
      </c>
      <c s="113">
        <v>20.1117158994</v>
      </c>
      <c s="113">
        <v>48.11196033</v>
      </c>
      <c s="113">
        <v>-3.1620457799</v>
      </c>
      <c s="114">
        <v>10.1039813122</v>
      </c>
    </row>
    <row customHeight="1" ht="21.375">
      <c s="70" t="s">
        <v>332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333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334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335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336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337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338</v>
      </c>
      <c s="112">
        <v>6.2002297487</v>
      </c>
      <c s="113">
        <v>7.660161832899999</v>
      </c>
      <c s="113">
        <v>12.6584277844</v>
      </c>
      <c s="113">
        <v>27.220255363099998</v>
      </c>
      <c s="114">
        <v>34.4498316657</v>
      </c>
    </row>
    <row customHeight="1" ht="21.375">
      <c s="70" t="s">
        <v>339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340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341</v>
      </c>
      <c s="112">
        <v>-0.598475</v>
      </c>
      <c s="113">
        <v>-0.116</v>
      </c>
      <c s="113">
        <v>0.42393350799999996</v>
      </c>
      <c s="113">
        <v>-0.283933508</v>
      </c>
      <c s="114">
        <v>0.03</v>
      </c>
    </row>
    <row customHeight="1" ht="21.375">
      <c s="70" t="s">
        <v>342</v>
      </c>
      <c s="112">
        <v>-5.0177861156</v>
      </c>
      <c s="113">
        <v>-8.4823182496</v>
      </c>
      <c s="113">
        <v>23.4036243674</v>
      </c>
      <c s="113">
        <v>87.2717006853</v>
      </c>
      <c s="114">
        <v>9.2071395776</v>
      </c>
    </row>
    <row customHeight="1" ht="21.375">
      <c s="70" t="s">
        <v>343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344</v>
      </c>
      <c s="112">
        <v>0.7212263814000001</v>
      </c>
      <c s="113">
        <v>0.6229719696</v>
      </c>
      <c s="113">
        <v>1.1596245533</v>
      </c>
      <c s="113">
        <v>1.4633021672</v>
      </c>
      <c s="114">
        <v>1.1708630902</v>
      </c>
    </row>
    <row customHeight="1" ht="21.375">
      <c s="70" t="s">
        <v>345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346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347</v>
      </c>
      <c s="112">
        <v>5.8009457797</v>
      </c>
      <c s="113">
        <v>5.1300933272</v>
      </c>
      <c s="113">
        <v>0</v>
      </c>
      <c s="113">
        <v>3.7936340561</v>
      </c>
      <c s="114">
        <v>26.241735492300002</v>
      </c>
    </row>
    <row customHeight="1" ht="21.375">
      <c s="70" t="s">
        <v>348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349</v>
      </c>
      <c s="112">
        <v>21.0301396342</v>
      </c>
      <c s="113">
        <v>29.308350144699997</v>
      </c>
      <c s="113">
        <v>62.6618153539</v>
      </c>
      <c s="113">
        <v>29.4798316879</v>
      </c>
      <c s="114">
        <v>50.7693966608</v>
      </c>
    </row>
    <row customHeight="1" ht="21.375">
      <c s="70" t="s">
        <v>350</v>
      </c>
      <c s="112">
        <v>21.2723826661</v>
      </c>
      <c s="113">
        <v>10.6990780365</v>
      </c>
      <c s="113">
        <v>48.7020501975</v>
      </c>
      <c s="113">
        <v>117.8540329799</v>
      </c>
      <c s="114">
        <v>39.7656709985001</v>
      </c>
    </row>
    <row customHeight="1" ht="21.375">
      <c s="70" t="s">
        <v>351</v>
      </c>
      <c s="112">
        <v>0</v>
      </c>
      <c s="113">
        <v>0</v>
      </c>
      <c s="113">
        <v>3.814697265625e-14</v>
      </c>
      <c s="113">
        <v>7.62939453125e-14</v>
      </c>
      <c s="114">
        <v>7.62939453125e-14</v>
      </c>
    </row>
    <row customHeight="1" ht="21.375">
      <c s="70" t="s">
        <v>352</v>
      </c>
      <c s="112">
        <v>1.06726852</v>
      </c>
      <c s="113">
        <v>0.3335788605</v>
      </c>
      <c s="113">
        <v>0.055623511900000006</v>
      </c>
      <c s="113">
        <v>0.2143067295</v>
      </c>
      <c s="114">
        <v>0.112441813</v>
      </c>
    </row>
    <row customHeight="1" ht="21.375">
      <c s="70" t="s">
        <v>353</v>
      </c>
      <c s="112">
        <v>2.5914357128</v>
      </c>
      <c s="113">
        <v>0.6831977876</v>
      </c>
      <c s="113">
        <v>0.889771029700001</v>
      </c>
      <c s="113">
        <v>0.170751450999999</v>
      </c>
      <c s="114">
        <v>0.33456659579999903</v>
      </c>
    </row>
    <row customHeight="1" ht="21.375">
      <c s="70" t="s">
        <v>354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355</v>
      </c>
      <c s="112">
        <v>0</v>
      </c>
      <c s="113">
        <v>0.22</v>
      </c>
      <c s="113">
        <v>0</v>
      </c>
      <c s="113">
        <v>0</v>
      </c>
      <c s="114">
        <v>0</v>
      </c>
    </row>
    <row customHeight="1" ht="21.375">
      <c s="70" t="s">
        <v>356</v>
      </c>
      <c s="112">
        <v>0.22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357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358</v>
      </c>
      <c s="112">
        <v>-7.24568963050842e-15</v>
      </c>
      <c s="113">
        <v>-3.72529029846191e-16</v>
      </c>
      <c s="113">
        <v>-5.5313139455393e-14</v>
      </c>
      <c s="113">
        <v>2.51769961323589e-14</v>
      </c>
      <c s="114">
        <v>-1.08337408164516e-13</v>
      </c>
    </row>
    <row customHeight="1" ht="17.4">
      <c s="82"/>
      <c s="82"/>
      <c s="82"/>
      <c s="82"/>
      <c s="82"/>
      <c s="82"/>
    </row>
    <row customHeight="1" ht="17.4">
      <c s="50" t="s">
        <v>359</v>
      </c>
      <c s="51"/>
      <c s="51"/>
      <c s="51"/>
      <c s="51"/>
      <c s="51"/>
    </row>
    <row customHeight="1" ht="21.375">
      <c s="52" t="s">
        <v>2</v>
      </c>
      <c s="53">
        <v>2014</v>
      </c>
      <c s="54">
        <v>2015</v>
      </c>
      <c s="54">
        <v>2016</v>
      </c>
      <c s="54">
        <v>2017</v>
      </c>
      <c s="55">
        <v>2018</v>
      </c>
    </row>
    <row customHeight="1" ht="21.375">
      <c s="70" t="s">
        <v>54</v>
      </c>
      <c s="112">
        <v>322.1721374108</v>
      </c>
      <c s="113">
        <v>334.46859045580004</v>
      </c>
      <c s="113">
        <v>401.5508441293</v>
      </c>
      <c s="113">
        <v>610.6275686616</v>
      </c>
      <c s="114">
        <v>771.9938411022</v>
      </c>
    </row>
    <row customHeight="1" ht="21.375">
      <c s="70" t="s">
        <v>3</v>
      </c>
      <c s="112">
        <v>315.7392853094</v>
      </c>
      <c s="113">
        <v>326.5958372528</v>
      </c>
      <c s="113">
        <v>388.62189993839996</v>
      </c>
      <c s="113">
        <v>582.1786131417</v>
      </c>
      <c s="114">
        <v>736.3887238803</v>
      </c>
    </row>
    <row customHeight="1" ht="21.375">
      <c s="70" t="s">
        <v>360</v>
      </c>
      <c s="112">
        <v>101.1733575593</v>
      </c>
      <c s="113">
        <v>112.9173635961</v>
      </c>
      <c s="113">
        <v>158.8945924351</v>
      </c>
      <c s="113">
        <v>221.04002079880001</v>
      </c>
      <c s="114">
        <v>258.4407695811</v>
      </c>
    </row>
    <row customHeight="1" ht="21.375">
      <c s="70" t="s">
        <v>55</v>
      </c>
      <c s="112">
        <v>23.3855053233</v>
      </c>
      <c s="113">
        <v>25.383374490599998</v>
      </c>
      <c s="113">
        <v>34.1010408597</v>
      </c>
      <c s="113">
        <v>59.4043637197</v>
      </c>
      <c s="114">
        <v>65.2292183377</v>
      </c>
    </row>
    <row customHeight="1" ht="21.375">
      <c s="70" t="s">
        <v>56</v>
      </c>
      <c s="112">
        <v>27.889944360500003</v>
      </c>
      <c s="113">
        <v>34.491706374</v>
      </c>
      <c s="113">
        <v>65.0892634326</v>
      </c>
      <c s="113">
        <v>84.04214470689999</v>
      </c>
      <c s="114">
        <v>112.8892684697</v>
      </c>
    </row>
    <row customHeight="1" ht="21.375">
      <c s="70" t="s">
        <v>58</v>
      </c>
      <c s="112">
        <v>16.7473345106</v>
      </c>
      <c s="113">
        <v>14.8496151921</v>
      </c>
      <c s="113">
        <v>16.810520229</v>
      </c>
      <c s="113">
        <v>29.860685449899997</v>
      </c>
      <c s="114">
        <v>25.7207687216</v>
      </c>
    </row>
    <row customHeight="1" ht="21.375">
      <c s="70" t="s">
        <v>59</v>
      </c>
      <c s="112">
        <v>33.7849954459</v>
      </c>
      <c s="113">
        <v>38.1285207619</v>
      </c>
      <c s="113">
        <v>41.8718984042</v>
      </c>
      <c s="113">
        <v>47.017955673100005</v>
      </c>
      <c s="114">
        <v>53.2594076224</v>
      </c>
    </row>
    <row customHeight="1" ht="21.375">
      <c s="70" t="s">
        <v>361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61</v>
      </c>
      <c s="112">
        <v>-1.2316879384000001</v>
      </c>
      <c s="113">
        <v>-0.6726680097</v>
      </c>
      <c s="113">
        <v>-0.3317518852</v>
      </c>
      <c s="113">
        <v>-0.5572234618999999</v>
      </c>
      <c s="114">
        <v>-0.0352120923</v>
      </c>
    </row>
    <row customHeight="1" ht="21.375">
      <c s="70" t="s">
        <v>62</v>
      </c>
      <c s="112">
        <v>0.0043274588000000004</v>
      </c>
      <c s="113">
        <v>-0.0054031339</v>
      </c>
      <c s="113">
        <v>0.1232749622</v>
      </c>
      <c s="113">
        <v>-0.0805370395</v>
      </c>
      <c s="114">
        <v>0.0128968501</v>
      </c>
    </row>
    <row customHeight="1" ht="21.375">
      <c s="70" t="s">
        <v>362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363</v>
      </c>
      <c s="112">
        <v>0.0309526575</v>
      </c>
      <c s="113">
        <v>0.038692769</v>
      </c>
      <c s="113">
        <v>0</v>
      </c>
      <c s="113">
        <v>0</v>
      </c>
      <c s="114">
        <v>0</v>
      </c>
    </row>
    <row customHeight="1" ht="21.375">
      <c s="70" t="s">
        <v>364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365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366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367</v>
      </c>
      <c s="112">
        <v>221.029732509</v>
      </c>
      <c s="113">
        <v>221.5899196287</v>
      </c>
      <c s="113">
        <v>242.6562516942</v>
      </c>
      <c s="113">
        <v>389.40007533449995</v>
      </c>
      <c s="114">
        <v>513.4298768118</v>
      </c>
    </row>
    <row customHeight="1" ht="21.375">
      <c s="70" t="s">
        <v>368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369</v>
      </c>
      <c s="112">
        <v>0.0656255218</v>
      </c>
      <c s="113">
        <v>0.048231833200000004</v>
      </c>
      <c s="113">
        <v>0.0855392606</v>
      </c>
      <c s="113">
        <v>0.12201990509999999</v>
      </c>
      <c s="114">
        <v>0.11619526109999999</v>
      </c>
    </row>
    <row customHeight="1" ht="21.375">
      <c s="70" t="s">
        <v>370</v>
      </c>
      <c s="112">
        <v>2.2719336575</v>
      </c>
      <c s="113">
        <v>1.6210018485</v>
      </c>
      <c s="113">
        <v>3.1629813837</v>
      </c>
      <c s="113">
        <v>2.1213738136</v>
      </c>
      <c s="114">
        <v>5.2700375982</v>
      </c>
    </row>
    <row customHeight="1" ht="21.375">
      <c s="70" t="s">
        <v>371</v>
      </c>
      <c s="112">
        <v>0.8675448123</v>
      </c>
      <c s="113">
        <v>0.0018843942</v>
      </c>
      <c s="113">
        <v>0</v>
      </c>
      <c s="113">
        <v>0</v>
      </c>
      <c s="114">
        <v>0</v>
      </c>
    </row>
    <row customHeight="1" ht="21.375">
      <c s="70" t="s">
        <v>372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373</v>
      </c>
      <c s="112">
        <v>218.8234243733</v>
      </c>
      <c s="113">
        <v>220.0171496134</v>
      </c>
      <c s="113">
        <v>239.5788095711</v>
      </c>
      <c s="113">
        <v>387.40072142599996</v>
      </c>
      <c s="114">
        <v>508.2760344747</v>
      </c>
    </row>
    <row customHeight="1" ht="21.375">
      <c s="70" t="s">
        <v>65</v>
      </c>
      <c s="112">
        <v>56.129709275</v>
      </c>
      <c s="113">
        <v>55.4671833612</v>
      </c>
      <c s="113">
        <v>60.2723784723</v>
      </c>
      <c s="113">
        <v>97.336489066</v>
      </c>
      <c s="114">
        <v>129.9798569066</v>
      </c>
    </row>
    <row customHeight="1" ht="21.375">
      <c s="70" t="s">
        <v>374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66</v>
      </c>
      <c s="112">
        <v>162.6937150983</v>
      </c>
      <c s="113">
        <v>164.5499662522</v>
      </c>
      <c s="113">
        <v>179.3064310988</v>
      </c>
      <c s="113">
        <v>290.06423236</v>
      </c>
      <c s="114">
        <v>378.29617756809995</v>
      </c>
    </row>
    <row customHeight="1" ht="21.375">
      <c s="70" t="s">
        <v>68</v>
      </c>
      <c s="112">
        <v>153.4980432227</v>
      </c>
      <c s="113">
        <v>155.0309027638</v>
      </c>
      <c s="113">
        <v>167.1836273416</v>
      </c>
      <c s="113">
        <v>270.7936025574</v>
      </c>
      <c s="114">
        <v>352.0362526322</v>
      </c>
    </row>
    <row customHeight="1" ht="21.375">
      <c s="70" t="s">
        <v>67</v>
      </c>
      <c s="112">
        <v>9.195671875599999</v>
      </c>
      <c s="113">
        <v>9.5190634884</v>
      </c>
      <c s="113">
        <v>12.1228037572</v>
      </c>
      <c s="113">
        <v>19.2706298026</v>
      </c>
      <c s="114">
        <v>26.259924935900003</v>
      </c>
    </row>
    <row customHeight="1" ht="21.375">
      <c s="70" t="s">
        <v>375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376</v>
      </c>
      <c s="112">
        <v>1.222e-7</v>
      </c>
      <c s="113">
        <v>1.234e-7</v>
      </c>
      <c s="113">
        <v>1.331e-7</v>
      </c>
      <c s="113">
        <v>2.156e-7</v>
      </c>
      <c s="114">
        <v>2.802e-7</v>
      </c>
    </row>
    <row customHeight="1" ht="21.375">
      <c s="70" t="s">
        <v>377</v>
      </c>
      <c s="112">
        <v>1.222e-7</v>
      </c>
      <c s="113">
        <v>1.234e-7</v>
      </c>
      <c s="113">
        <v>1.331e-7</v>
      </c>
      <c s="113">
        <v>2.156e-7</v>
      </c>
      <c s="114">
        <v>2.802e-7</v>
      </c>
    </row>
    <row customHeight="1" ht="21.375">
      <c s="70" t="s">
        <v>235</v>
      </c>
      <c s="112">
        <v>-0.0061904399</v>
      </c>
      <c s="113">
        <v>-0.12415031480000001</v>
      </c>
      <c s="113">
        <v>0.0179323391</v>
      </c>
      <c s="113">
        <v>0.0383926516</v>
      </c>
      <c s="114">
        <v>0.003358507</v>
      </c>
    </row>
    <row customHeight="1" ht="21.375">
      <c s="70" t="s">
        <v>378</v>
      </c>
      <c s="112">
        <v>162.6875246584</v>
      </c>
      <c s="113">
        <v>164.4258159374</v>
      </c>
      <c s="113">
        <v>179.32436343790002</v>
      </c>
      <c s="113">
        <v>290.1026250116</v>
      </c>
      <c s="114">
        <v>378.29953607510004</v>
      </c>
    </row>
    <row customHeight="1" ht="21.375">
      <c s="70" t="s">
        <v>379</v>
      </c>
      <c s="112">
        <v>153.4918527828</v>
      </c>
      <c s="113">
        <v>154.906752449</v>
      </c>
      <c s="113">
        <v>167.2015596807</v>
      </c>
      <c s="113">
        <v>270.831995209</v>
      </c>
      <c s="114">
        <v>352.03961113919996</v>
      </c>
    </row>
    <row customHeight="1" ht="21.375">
      <c s="70" t="s">
        <v>380</v>
      </c>
      <c s="112">
        <v>9.195671875599999</v>
      </c>
      <c s="113">
        <v>9.5190634884</v>
      </c>
      <c s="113">
        <v>12.1228037572</v>
      </c>
      <c s="113">
        <v>19.2706298026</v>
      </c>
      <c s="114">
        <v>26.259924935900003</v>
      </c>
    </row>
    <row customHeight="1" ht="21.375">
      <c s="70" t="s">
        <v>381</v>
      </c>
      <c s="112">
        <v>6.4308521014</v>
      </c>
      <c s="113">
        <v>7.8654532029999995</v>
      </c>
      <c s="113">
        <v>12.927229096600001</v>
      </c>
      <c s="113">
        <v>28.443106463299998</v>
      </c>
      <c s="114">
        <v>35.596343637</v>
      </c>
    </row>
    <row customHeight="1" ht="21.375">
      <c s="70" t="s">
        <v>382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383</v>
      </c>
      <c s="112">
        <v>0.002</v>
      </c>
      <c s="113">
        <v>0.0073</v>
      </c>
      <c s="113">
        <v>0.0017150943</v>
      </c>
      <c s="113">
        <v>0.0058490566</v>
      </c>
      <c s="114">
        <v>0.008773584899999999</v>
      </c>
    </row>
    <row customHeight="1" ht="21.375">
      <c s="70" t="s">
        <v>384</v>
      </c>
      <c s="112">
        <v>0.592172891</v>
      </c>
      <c s="113">
        <v>0.7415961928</v>
      </c>
      <c s="113">
        <v>1.2296104954</v>
      </c>
      <c s="113">
        <v>1.3518779706</v>
      </c>
      <c s="114">
        <v>1.3631777984</v>
      </c>
    </row>
    <row customHeight="1" ht="21.375">
      <c s="70" t="s">
        <v>385</v>
      </c>
      <c s="112">
        <v>0.0007655075999999999</v>
      </c>
      <c s="113">
        <v>0.0006217283</v>
      </c>
      <c s="113">
        <v>0.0007359372</v>
      </c>
      <c s="113">
        <v>0.00075378</v>
      </c>
      <c s="114">
        <v>0.0012438735000000001</v>
      </c>
    </row>
    <row customHeight="1" ht="21.375">
      <c s="70" t="s">
        <v>386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387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388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389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390</v>
      </c>
      <c s="112">
        <v>0</v>
      </c>
      <c s="113">
        <v>0</v>
      </c>
      <c s="113">
        <v>0</v>
      </c>
      <c s="113">
        <v>0</v>
      </c>
      <c s="114">
        <v>0</v>
      </c>
    </row>
    <row customHeight="1" ht="21.375">
      <c s="70" t="s">
        <v>391</v>
      </c>
      <c s="112">
        <v>0.016348979099999997</v>
      </c>
      <c s="113">
        <v>0.0020585928</v>
      </c>
      <c s="113">
        <v>0</v>
      </c>
      <c s="113">
        <v>0</v>
      </c>
      <c s="114">
        <v>0</v>
      </c>
    </row>
    <row customHeight="1" ht="21.375">
      <c s="70" t="s">
        <v>392</v>
      </c>
      <c s="112">
        <v>0</v>
      </c>
      <c s="113">
        <v>0</v>
      </c>
      <c s="113">
        <v>0</v>
      </c>
      <c s="113">
        <v>0</v>
      </c>
      <c s="114">
        <v>0.09634135</v>
      </c>
    </row>
    <row customHeight="1" ht="21.375">
      <c s="70" t="s">
        <v>393</v>
      </c>
      <c s="112">
        <v>3.21865081787109e-14</v>
      </c>
      <c s="113">
        <v>3.09944152832031e-14</v>
      </c>
      <c s="113">
        <v>3.8814614526927495e-14</v>
      </c>
      <c s="113">
        <v>5.56942541152239e-14</v>
      </c>
      <c s="114">
        <v>2.632150426507e-14</v>
      </c>
    </row>
    <row customHeight="1" ht="21.375">
      <c s="70" t="s">
        <v>394</v>
      </c>
      <c s="112">
        <v>0.5929383986</v>
      </c>
      <c s="113">
        <v>0.7422179211</v>
      </c>
      <c s="113">
        <v>1.2303464326</v>
      </c>
      <c s="113">
        <v>1.3526317506</v>
      </c>
      <c s="114">
        <v>1.3644216719</v>
      </c>
    </row>
    <row customHeight="1" ht="21.375">
      <c s="70" t="s">
        <v>395</v>
      </c>
      <c s="112">
        <v>9.68575477600098e-16</v>
      </c>
      <c s="113">
        <v>1.4305114746093802e-14</v>
      </c>
      <c s="113">
        <v>5.2154064178466795e-15</v>
      </c>
      <c s="113">
        <v>5.96046447753906e-16</v>
      </c>
      <c s="114">
        <v>1.22189521789551e-14</v>
      </c>
    </row>
    <row customHeight="1" ht="21.375">
      <c s="70" t="s">
        <v>396</v>
      </c>
      <c s="112">
        <v>0.0309526575</v>
      </c>
      <c s="113">
        <v>0.038692769</v>
      </c>
      <c s="113">
        <v>0</v>
      </c>
      <c s="113">
        <v>0</v>
      </c>
      <c s="114">
        <v>0</v>
      </c>
    </row>
    <row customHeight="1" ht="21.375">
      <c s="70" t="s">
        <v>397</v>
      </c>
      <c s="112">
        <v>0</v>
      </c>
      <c s="113">
        <v>-2.28872522711754e-14</v>
      </c>
      <c s="113">
        <v>-1.9073486328125e-14</v>
      </c>
      <c s="113">
        <v>-0.187472528300056</v>
      </c>
      <c s="114">
        <v>-0.123194709300003</v>
      </c>
    </row>
    <row customHeight="1" ht="21.375">
      <c s="70" t="s">
        <v>398</v>
      </c>
      <c s="112">
        <v>0.851195833200003</v>
      </c>
      <c s="113">
        <v>-0.00017419859998778103</v>
      </c>
      <c s="113">
        <v>2.44379043579102e-14</v>
      </c>
      <c s="113">
        <v>1.54972076416016e-14</v>
      </c>
      <c s="114">
        <v>-0.0963413499999911</v>
      </c>
    </row>
    <row customHeight="1" ht="21.375">
      <c s="70" t="s">
        <v>399</v>
      </c>
      <c s="112">
        <v>1.9073486328125e-14</v>
      </c>
      <c s="113">
        <v>1.9073486328125e-14</v>
      </c>
      <c s="113">
        <v>0</v>
      </c>
      <c s="113">
        <v>0</v>
      </c>
      <c s="114">
        <v>0</v>
      </c>
    </row>
    <row customHeight="1" ht="21.375">
      <c s="70" t="s">
        <v>400</v>
      </c>
      <c s="112">
        <v>-4.76837158203125e-15</v>
      </c>
      <c s="113">
        <v>1.19209289550781e-15</v>
      </c>
      <c s="113">
        <v>1.19209289550781e-14</v>
      </c>
      <c s="113">
        <v>-1.66893005371094e-14</v>
      </c>
      <c s="114">
        <v>-3.814697265625e-14</v>
      </c>
    </row>
    <row customHeight="1" ht="21.375">
      <c s="70" t="s">
        <v>401</v>
      </c>
      <c s="112">
        <v>2.2887252271175402e-15</v>
      </c>
      <c s="113">
        <v>4.58210706710815e-15</v>
      </c>
      <c s="113">
        <v>-1.52504071593285e-15</v>
      </c>
      <c s="113">
        <v>-1.52736902236938e-15</v>
      </c>
      <c s="114">
        <v>4.5776250772178196e-14</v>
      </c>
    </row>
    <row customHeight="1" ht="21.375">
      <c s="70" t="s">
        <v>53</v>
      </c>
      <c s="112">
        <v>6.43285</v>
      </c>
      <c s="113">
        <v>7.872753</v>
      </c>
      <c s="113">
        <v>12.928944</v>
      </c>
      <c s="113">
        <v>28.4489555</v>
      </c>
      <c s="114">
        <v>35.605117</v>
      </c>
    </row>
    <row customHeight="1" ht="21.375">
      <c s="70" t="s">
        <v>402</v>
      </c>
      <c s="112">
        <v>-3.0575039</v>
      </c>
      <c s="113">
        <v>-1.572595</v>
      </c>
      <c s="113">
        <v>-3.0774421</v>
      </c>
      <c s="113">
        <v>-1.9993539</v>
      </c>
      <c s="114">
        <v>-5.0575</v>
      </c>
    </row>
    <row customHeight="1" ht="17.4">
      <c s="82"/>
      <c s="82"/>
      <c s="82"/>
      <c s="82"/>
      <c s="82"/>
      <c s="82"/>
    </row>
  </sheetData>
  <sheetProtection sheet="1" objects="1"/>
  <mergeCells count="3">
    <mergeCell ref="A3:F3"/>
    <mergeCell ref="A109:F109"/>
    <mergeCell ref="A198:F198"/>
  </mergeCells>
</worksheet>
</file>